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harts/chart6.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worksheets/sheet13.xml" ContentType="application/vnd.openxmlformats-officedocument.spreadsheetml.worksheet+xml"/>
  <Override PartName="/xl/drawings/drawing3.xml" ContentType="application/vnd.openxmlformats-officedocument.drawing+xml"/>
  <Override PartName="/docProps/app.xml" ContentType="application/vnd.openxmlformats-officedocument.extended-properties+xml"/>
  <Override PartName="/xl/connections.xml" ContentType="application/vnd.openxmlformats-officedocument.spreadsheetml.connection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M:\Statistikk og analyse\Livstatistikk\Faste statistikker\MA\2022\Q3-22\Publisert\"/>
    </mc:Choice>
  </mc:AlternateContent>
  <xr:revisionPtr revIDLastSave="0" documentId="13_ncr:1_{50B39DB5-8D36-4A28-A6D4-C48EEB4DC571}" xr6:coauthVersionLast="47" xr6:coauthVersionMax="47" xr10:uidLastSave="{00000000-0000-0000-0000-000000000000}"/>
  <bookViews>
    <workbookView xWindow="-120" yWindow="-120" windowWidth="29040" windowHeight="17640" tabRatio="835" activeTab="1" xr2:uid="{00000000-000D-0000-FFFF-FFFF00000000}"/>
  </bookViews>
  <sheets>
    <sheet name="Forside" sheetId="6" r:id="rId1"/>
    <sheet name="Innhold" sheetId="7" r:id="rId2"/>
    <sheet name="Figurer" sheetId="8" r:id="rId3"/>
    <sheet name="Tabel 1.1" sheetId="9" r:id="rId4"/>
    <sheet name="Tabell 1.2" sheetId="10" r:id="rId5"/>
    <sheet name="Tabell 1.3" sheetId="58" r:id="rId6"/>
    <sheet name="Skjema total MA" sheetId="4" r:id="rId7"/>
    <sheet name="Codan Forsikring" sheetId="76" r:id="rId8"/>
    <sheet name="Storebrand Danica P" sheetId="18" r:id="rId9"/>
    <sheet name="DNB Livsforsikring" sheetId="13" r:id="rId10"/>
    <sheet name="Eika Forsikring AS" sheetId="19" r:id="rId11"/>
    <sheet name="Euro Accident" sheetId="77" r:id="rId12"/>
    <sheet name="Fremtind Livsforsikring" sheetId="16" r:id="rId13"/>
    <sheet name="Frende Livsforsikring" sheetId="20" r:id="rId14"/>
    <sheet name="Frende Skadeforsikring" sheetId="21" r:id="rId15"/>
    <sheet name="Gjensidige Forsikring" sheetId="22" r:id="rId16"/>
    <sheet name="Gjensidige Pensjon" sheetId="23" r:id="rId17"/>
    <sheet name="Handelsbanken Liv" sheetId="24" r:id="rId18"/>
    <sheet name="If Skadeforsikring NUF" sheetId="25" r:id="rId19"/>
    <sheet name="KLP" sheetId="26" r:id="rId20"/>
    <sheet name="KLP Skadeforsikring AS" sheetId="51" r:id="rId21"/>
    <sheet name="Landkreditt Forsikring" sheetId="40" r:id="rId22"/>
    <sheet name="Ly Forsikring" sheetId="78" r:id="rId23"/>
    <sheet name="Nordea Liv " sheetId="29" r:id="rId24"/>
    <sheet name="Oslo Pensjonsforsikring" sheetId="34" r:id="rId25"/>
    <sheet name="Protector Forsikring" sheetId="72" r:id="rId26"/>
    <sheet name="SHB Liv" sheetId="35" r:id="rId27"/>
    <sheet name="Sparebank 1" sheetId="33" r:id="rId28"/>
    <sheet name="Storebrand Livsforsikring" sheetId="37" r:id="rId29"/>
    <sheet name="Telenor Forsikring" sheetId="38" r:id="rId30"/>
    <sheet name="Tryg Forsikring" sheetId="39" r:id="rId31"/>
    <sheet name="WaterCircles F" sheetId="74" r:id="rId32"/>
    <sheet name="Youplus Livsforsikring" sheetId="79" r:id="rId33"/>
    <sheet name="Tabell 4" sheetId="65" r:id="rId34"/>
    <sheet name="Tabell 6" sheetId="62" r:id="rId35"/>
    <sheet name="Tabell 8" sheetId="75" r:id="rId36"/>
    <sheet name="Noter og kommentarer" sheetId="3" r:id="rId37"/>
  </sheets>
  <externalReferences>
    <externalReference r:id="rId38"/>
    <externalReference r:id="rId39"/>
  </externalReferences>
  <definedNames>
    <definedName name="Dag">#REF!</definedName>
    <definedName name="Dager">#REF!</definedName>
    <definedName name="dato">#REF!</definedName>
    <definedName name="Feilmelding">#REF!</definedName>
    <definedName name="FilNavn">[1]Oppslagstabeller!$N$5</definedName>
    <definedName name="Fjorårstall">#REF!</definedName>
    <definedName name="Koder2a">#REF!</definedName>
    <definedName name="kvartal">#REF!</definedName>
    <definedName name="Måned">#REF!</definedName>
    <definedName name="OppslagsKolonneDataVerdi">#REF!</definedName>
    <definedName name="OppslagsKolonneSelskapNavn">#REF!</definedName>
    <definedName name="Selskap">[1]Oppslagstabeller!$N$4</definedName>
    <definedName name="SelskapKolonneIndeks">[1]!Tabell3[#All]</definedName>
    <definedName name="SelskapListe">#REF!</definedName>
    <definedName name="Selskapsliste">[1]Oppslagstabeller!$A$1:$G$36</definedName>
    <definedName name="UtfylteTall">#REF!</definedName>
    <definedName name="_xlnm.Print_Area" localSheetId="12">'Fremtind Livsforsikring'!$A$1:$M$137</definedName>
    <definedName name="_xlnm.Print_Area" localSheetId="36">'Noter og kommentarer'!$A$1:$L$43</definedName>
    <definedName name="_xlnm.Print_Area" localSheetId="6">'Skjema total MA'!$A$1:$J$138</definedName>
    <definedName name="år">#REF!</definedName>
    <definedName name="ÅrFratrek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6" i="75" l="1"/>
  <c r="AB16" i="75"/>
  <c r="Y18" i="75"/>
  <c r="Y16" i="75"/>
  <c r="V16" i="75"/>
  <c r="P16" i="75"/>
  <c r="S14" i="75"/>
  <c r="AS84" i="62"/>
  <c r="AR84" i="62"/>
  <c r="AT84" i="62" s="1"/>
  <c r="AK79" i="62"/>
  <c r="AK76" i="62"/>
  <c r="AK46" i="62"/>
  <c r="AH24" i="62"/>
  <c r="AH42" i="62"/>
  <c r="AH49" i="62"/>
  <c r="AH58" i="62"/>
  <c r="AH57" i="62"/>
  <c r="AE91" i="62"/>
  <c r="AB21" i="62"/>
  <c r="AB79" i="62"/>
  <c r="AB78" i="62"/>
  <c r="AB77" i="62"/>
  <c r="AB76" i="62"/>
  <c r="Y58" i="62"/>
  <c r="Y56" i="62"/>
  <c r="Y25" i="62"/>
  <c r="Y24" i="62"/>
  <c r="Y15" i="62"/>
  <c r="V52" i="62"/>
  <c r="V76" i="62"/>
  <c r="V79" i="62"/>
  <c r="V78" i="62"/>
  <c r="V84" i="62"/>
  <c r="V83" i="62"/>
  <c r="V86" i="62"/>
  <c r="S73" i="62"/>
  <c r="M90" i="62"/>
  <c r="M75" i="62"/>
  <c r="M37" i="62"/>
  <c r="M36" i="62"/>
  <c r="M18" i="62"/>
  <c r="M17" i="62"/>
  <c r="J90" i="62"/>
  <c r="J89" i="62"/>
  <c r="J71" i="62"/>
  <c r="J75" i="62"/>
  <c r="J43" i="62"/>
  <c r="J42" i="62"/>
  <c r="J38" i="62"/>
  <c r="J34" i="62"/>
  <c r="J23" i="62"/>
  <c r="J19" i="62"/>
  <c r="G79" i="62"/>
  <c r="G49" i="62"/>
  <c r="G46" i="62"/>
  <c r="G38" i="62"/>
  <c r="G19" i="62"/>
  <c r="G17" i="62"/>
  <c r="D58" i="62"/>
  <c r="AE43" i="65"/>
  <c r="AE41" i="65"/>
  <c r="AE38" i="65"/>
  <c r="AB13" i="65"/>
  <c r="AB12" i="65"/>
  <c r="AB28" i="65"/>
  <c r="V28" i="65"/>
  <c r="V43" i="65"/>
  <c r="S30" i="65"/>
  <c r="S23" i="65"/>
  <c r="P27" i="65"/>
  <c r="P17" i="65"/>
  <c r="M25" i="65"/>
  <c r="J32" i="65"/>
  <c r="I28" i="4" l="1"/>
  <c r="H28" i="4" l="1"/>
  <c r="J28" i="4" s="1"/>
  <c r="S20" i="75" l="1"/>
  <c r="S16" i="75"/>
  <c r="U30" i="65"/>
  <c r="C87" i="62" l="1"/>
  <c r="B87" i="62"/>
  <c r="C80" i="62"/>
  <c r="B80" i="62"/>
  <c r="B93" i="62" s="1"/>
  <c r="B59" i="62"/>
  <c r="B54" i="62" s="1"/>
  <c r="C54" i="62"/>
  <c r="C39" i="62"/>
  <c r="C45" i="62" s="1"/>
  <c r="B39" i="62"/>
  <c r="B45" i="62" s="1"/>
  <c r="B28" i="62"/>
  <c r="C20" i="62"/>
  <c r="C27" i="62" s="1"/>
  <c r="C29" i="62" s="1"/>
  <c r="B20" i="62"/>
  <c r="C41" i="65"/>
  <c r="B41" i="65"/>
  <c r="C32" i="65"/>
  <c r="C31" i="65"/>
  <c r="C30" i="65"/>
  <c r="B23" i="65"/>
  <c r="B30" i="65" s="1"/>
  <c r="C21" i="65"/>
  <c r="B19" i="65"/>
  <c r="B21" i="65" s="1"/>
  <c r="C14" i="65"/>
  <c r="B14" i="65"/>
  <c r="C60" i="62" l="1"/>
  <c r="C62" i="62" s="1"/>
  <c r="C64" i="62" s="1"/>
  <c r="B60" i="62"/>
  <c r="B62" i="62" s="1"/>
  <c r="C35" i="65"/>
  <c r="C42" i="65" s="1"/>
  <c r="C44" i="65" s="1"/>
  <c r="C46" i="65" s="1"/>
  <c r="C93" i="62"/>
  <c r="B27" i="62"/>
  <c r="B29" i="62" s="1"/>
  <c r="B35" i="65"/>
  <c r="B42" i="65" s="1"/>
  <c r="B44" i="65" s="1"/>
  <c r="B46" i="65" s="1"/>
  <c r="B64" i="62" l="1"/>
  <c r="L80" i="62"/>
  <c r="K80" i="62"/>
  <c r="L39" i="62"/>
  <c r="K39" i="62"/>
  <c r="L35" i="62"/>
  <c r="K35" i="62"/>
  <c r="M35" i="62" s="1"/>
  <c r="L20" i="62"/>
  <c r="K20" i="62"/>
  <c r="L16" i="62"/>
  <c r="K16" i="62"/>
  <c r="M16" i="62" s="1"/>
  <c r="L41" i="65"/>
  <c r="K41" i="65"/>
  <c r="L30" i="65"/>
  <c r="K30" i="65"/>
  <c r="L21" i="65"/>
  <c r="K21" i="65"/>
  <c r="L14" i="65"/>
  <c r="K14" i="65"/>
  <c r="F87" i="62"/>
  <c r="E87" i="62"/>
  <c r="F80" i="62"/>
  <c r="E80" i="62"/>
  <c r="F54" i="62"/>
  <c r="F60" i="62" s="1"/>
  <c r="E54" i="62"/>
  <c r="F39" i="62"/>
  <c r="E39" i="62"/>
  <c r="F35" i="62"/>
  <c r="E35" i="62"/>
  <c r="F20" i="62"/>
  <c r="E20" i="62"/>
  <c r="E18" i="62"/>
  <c r="G18" i="62" s="1"/>
  <c r="F16" i="62"/>
  <c r="E16" i="62"/>
  <c r="G16" i="62" s="1"/>
  <c r="F41" i="65"/>
  <c r="E41" i="65"/>
  <c r="F30" i="65"/>
  <c r="E30" i="65"/>
  <c r="F21" i="65"/>
  <c r="E21" i="65"/>
  <c r="F14" i="65"/>
  <c r="E14" i="65"/>
  <c r="AS8" i="62"/>
  <c r="AR8" i="62"/>
  <c r="F35" i="65" l="1"/>
  <c r="F42" i="65" s="1"/>
  <c r="F44" i="65" s="1"/>
  <c r="F46" i="65" s="1"/>
  <c r="F27" i="62"/>
  <c r="F29" i="62" s="1"/>
  <c r="K35" i="65"/>
  <c r="K42" i="65" s="1"/>
  <c r="K44" i="65" s="1"/>
  <c r="K46" i="65" s="1"/>
  <c r="K27" i="62"/>
  <c r="K29" i="62" s="1"/>
  <c r="L35" i="65"/>
  <c r="L42" i="65" s="1"/>
  <c r="L44" i="65" s="1"/>
  <c r="L46" i="65" s="1"/>
  <c r="L27" i="62"/>
  <c r="L29" i="62" s="1"/>
  <c r="K93" i="62"/>
  <c r="E45" i="62"/>
  <c r="E93" i="62"/>
  <c r="K45" i="62"/>
  <c r="F45" i="62"/>
  <c r="F62" i="62" s="1"/>
  <c r="F64" i="62" s="1"/>
  <c r="F93" i="62"/>
  <c r="L45" i="62"/>
  <c r="L93" i="62"/>
  <c r="E60" i="62"/>
  <c r="E35" i="65"/>
  <c r="E42" i="65" s="1"/>
  <c r="E44" i="65" s="1"/>
  <c r="E46" i="65" s="1"/>
  <c r="E27" i="62"/>
  <c r="E29" i="62" s="1"/>
  <c r="AM80" i="62"/>
  <c r="AM54" i="62"/>
  <c r="AM20" i="62"/>
  <c r="AM21" i="65"/>
  <c r="AM14" i="65"/>
  <c r="AJ87" i="62"/>
  <c r="AI87" i="62"/>
  <c r="AJ80" i="62"/>
  <c r="AI80" i="62"/>
  <c r="AJ54" i="62"/>
  <c r="AI54" i="62"/>
  <c r="AJ53" i="62"/>
  <c r="AJ50" i="62" s="1"/>
  <c r="AI53" i="62"/>
  <c r="AJ39" i="62"/>
  <c r="AI39" i="62"/>
  <c r="AJ38" i="62"/>
  <c r="AJ35" i="62" s="1"/>
  <c r="AI38" i="62"/>
  <c r="AI35" i="62" s="1"/>
  <c r="AJ28" i="62"/>
  <c r="AI28" i="62"/>
  <c r="AJ20" i="62"/>
  <c r="AI20" i="62"/>
  <c r="AJ19" i="62"/>
  <c r="AJ16" i="62" s="1"/>
  <c r="AI19" i="62"/>
  <c r="AI16" i="62"/>
  <c r="AJ41" i="65"/>
  <c r="AI41" i="65"/>
  <c r="AJ30" i="65"/>
  <c r="AI30" i="65"/>
  <c r="AI21" i="65"/>
  <c r="AJ19" i="65"/>
  <c r="AJ21" i="65" s="1"/>
  <c r="AJ14" i="65"/>
  <c r="AI14" i="65"/>
  <c r="AI50" i="62" l="1"/>
  <c r="AK53" i="62"/>
  <c r="AJ45" i="62"/>
  <c r="AJ93" i="62"/>
  <c r="L62" i="62"/>
  <c r="L64" i="62" s="1"/>
  <c r="AI27" i="62"/>
  <c r="AI29" i="62" s="1"/>
  <c r="K62" i="62"/>
  <c r="K64" i="62" s="1"/>
  <c r="AJ60" i="62"/>
  <c r="AJ62" i="62" s="1"/>
  <c r="AM27" i="62"/>
  <c r="AM29" i="62" s="1"/>
  <c r="AM60" i="62"/>
  <c r="E62" i="62"/>
  <c r="E64" i="62" s="1"/>
  <c r="AI45" i="62"/>
  <c r="AI93" i="62"/>
  <c r="AM93" i="62"/>
  <c r="AM35" i="65"/>
  <c r="AM42" i="65" s="1"/>
  <c r="AM44" i="65" s="1"/>
  <c r="AM46" i="65" s="1"/>
  <c r="AI35" i="65"/>
  <c r="AI42" i="65" s="1"/>
  <c r="AI44" i="65" s="1"/>
  <c r="AI46" i="65" s="1"/>
  <c r="AJ35" i="65"/>
  <c r="AJ42" i="65" s="1"/>
  <c r="AJ44" i="65" s="1"/>
  <c r="AJ46" i="65" s="1"/>
  <c r="AJ27" i="62"/>
  <c r="AJ29" i="62" s="1"/>
  <c r="AI60" i="62" l="1"/>
  <c r="AI62" i="62" s="1"/>
  <c r="AI64" i="62" s="1"/>
  <c r="AK50" i="62"/>
  <c r="AM62" i="62"/>
  <c r="AM64" i="62" s="1"/>
  <c r="AJ64" i="62"/>
  <c r="X14" i="75"/>
  <c r="W14" i="75"/>
  <c r="AA88" i="62"/>
  <c r="Z88" i="62"/>
  <c r="AA80" i="62"/>
  <c r="Z80" i="62"/>
  <c r="AA39" i="62"/>
  <c r="Z39" i="62"/>
  <c r="AA38" i="62"/>
  <c r="AA35" i="62" s="1"/>
  <c r="Z35" i="62"/>
  <c r="Z34" i="62"/>
  <c r="AA28" i="62"/>
  <c r="Z28" i="62"/>
  <c r="AA20" i="62"/>
  <c r="Z20" i="62"/>
  <c r="AA16" i="62"/>
  <c r="Z16" i="62"/>
  <c r="Z15" i="62"/>
  <c r="AA41" i="65"/>
  <c r="Z41" i="65"/>
  <c r="AA30" i="65"/>
  <c r="Z30" i="65"/>
  <c r="AA21" i="65"/>
  <c r="Z21" i="65"/>
  <c r="AA14" i="65"/>
  <c r="Z14" i="65"/>
  <c r="AA45" i="62" l="1"/>
  <c r="AA93" i="62"/>
  <c r="Z35" i="65"/>
  <c r="Z42" i="65" s="1"/>
  <c r="Z44" i="65" s="1"/>
  <c r="Z46" i="65" s="1"/>
  <c r="AA62" i="62"/>
  <c r="Z93" i="62"/>
  <c r="AA27" i="62"/>
  <c r="AA29" i="62" s="1"/>
  <c r="AA35" i="65"/>
  <c r="AA42" i="65" s="1"/>
  <c r="AA44" i="65" s="1"/>
  <c r="AA46" i="65" s="1"/>
  <c r="Z27" i="62"/>
  <c r="Z29" i="62" s="1"/>
  <c r="Z45" i="62"/>
  <c r="Z62" i="62" s="1"/>
  <c r="Z64" i="62" l="1"/>
  <c r="AA64" i="62"/>
  <c r="AD87" i="62"/>
  <c r="AC87" i="62"/>
  <c r="AD54" i="62"/>
  <c r="AC54" i="62"/>
  <c r="R80" i="62"/>
  <c r="Q80" i="62"/>
  <c r="Q93" i="62" s="1"/>
  <c r="AD41" i="65"/>
  <c r="AC41" i="65"/>
  <c r="AD21" i="65"/>
  <c r="AC21" i="65"/>
  <c r="AD14" i="65"/>
  <c r="AC14" i="65"/>
  <c r="R41" i="65"/>
  <c r="Q41" i="65"/>
  <c r="R30" i="65"/>
  <c r="Q30" i="65"/>
  <c r="R21" i="65"/>
  <c r="Q21" i="65"/>
  <c r="R14" i="65"/>
  <c r="Q14" i="65"/>
  <c r="O87" i="62"/>
  <c r="N87" i="62"/>
  <c r="O80" i="62"/>
  <c r="N80" i="62"/>
  <c r="O54" i="62"/>
  <c r="N54" i="62"/>
  <c r="O50" i="62"/>
  <c r="N50" i="62"/>
  <c r="O39" i="62"/>
  <c r="N39" i="62"/>
  <c r="O35" i="62"/>
  <c r="N35" i="62"/>
  <c r="O20" i="62"/>
  <c r="N20" i="62"/>
  <c r="O16" i="62"/>
  <c r="N16" i="62"/>
  <c r="O41" i="65"/>
  <c r="N41" i="65"/>
  <c r="O30" i="65"/>
  <c r="N30" i="65"/>
  <c r="O21" i="65"/>
  <c r="N21" i="65"/>
  <c r="O14" i="65"/>
  <c r="N14" i="65"/>
  <c r="J20" i="75"/>
  <c r="H93" i="62"/>
  <c r="I87" i="62"/>
  <c r="I80" i="62"/>
  <c r="I39" i="62"/>
  <c r="I35" i="62"/>
  <c r="J35" i="62" s="1"/>
  <c r="I20" i="62"/>
  <c r="I16" i="62"/>
  <c r="J16" i="62" s="1"/>
  <c r="I41" i="65"/>
  <c r="H41" i="65"/>
  <c r="H35" i="65"/>
  <c r="I30" i="65"/>
  <c r="I21" i="65"/>
  <c r="I14" i="65"/>
  <c r="X87" i="62"/>
  <c r="W87" i="62"/>
  <c r="X80" i="62"/>
  <c r="W80" i="62"/>
  <c r="X54" i="62"/>
  <c r="W54" i="62"/>
  <c r="W60" i="62" s="1"/>
  <c r="X39" i="62"/>
  <c r="W39" i="62"/>
  <c r="X35" i="62"/>
  <c r="W35" i="62"/>
  <c r="X20" i="62"/>
  <c r="W20" i="62"/>
  <c r="W27" i="62" s="1"/>
  <c r="W29" i="62" s="1"/>
  <c r="X41" i="65"/>
  <c r="W41" i="65"/>
  <c r="X30" i="65"/>
  <c r="W30" i="65"/>
  <c r="X21" i="65"/>
  <c r="W21" i="65"/>
  <c r="X14" i="65"/>
  <c r="W14" i="65"/>
  <c r="AA14" i="75"/>
  <c r="AC93" i="62" l="1"/>
  <c r="AD29" i="62"/>
  <c r="AD60" i="62"/>
  <c r="AC35" i="65"/>
  <c r="AC42" i="65" s="1"/>
  <c r="AC44" i="65" s="1"/>
  <c r="AC46" i="65" s="1"/>
  <c r="Q29" i="62"/>
  <c r="H62" i="62"/>
  <c r="H64" i="62" s="1"/>
  <c r="R93" i="62"/>
  <c r="H42" i="65"/>
  <c r="H44" i="65" s="1"/>
  <c r="H46" i="65" s="1"/>
  <c r="X93" i="62"/>
  <c r="N35" i="65"/>
  <c r="N27" i="62"/>
  <c r="N29" i="62" s="1"/>
  <c r="N60" i="62"/>
  <c r="Q35" i="65"/>
  <c r="Q42" i="65" s="1"/>
  <c r="Q44" i="65" s="1"/>
  <c r="Q46" i="65" s="1"/>
  <c r="I27" i="62"/>
  <c r="I29" i="62" s="1"/>
  <c r="I93" i="62"/>
  <c r="AD93" i="62"/>
  <c r="O45" i="62"/>
  <c r="O93" i="62"/>
  <c r="AC60" i="62"/>
  <c r="AC62" i="62" s="1"/>
  <c r="N42" i="65"/>
  <c r="N44" i="65" s="1"/>
  <c r="N46" i="65" s="1"/>
  <c r="R35" i="65"/>
  <c r="R42" i="65" s="1"/>
  <c r="R44" i="65" s="1"/>
  <c r="R46" i="65" s="1"/>
  <c r="AD35" i="65"/>
  <c r="AD42" i="65" s="1"/>
  <c r="AD44" i="65" s="1"/>
  <c r="AD46" i="65" s="1"/>
  <c r="R29" i="62"/>
  <c r="I35" i="65"/>
  <c r="I42" i="65" s="1"/>
  <c r="I44" i="65" s="1"/>
  <c r="I46" i="65" s="1"/>
  <c r="AC29" i="62"/>
  <c r="O35" i="65"/>
  <c r="O42" i="65" s="1"/>
  <c r="O44" i="65" s="1"/>
  <c r="O46" i="65" s="1"/>
  <c r="O27" i="62"/>
  <c r="O29" i="62" s="1"/>
  <c r="O60" i="62"/>
  <c r="O62" i="62" s="1"/>
  <c r="X45" i="62"/>
  <c r="N45" i="62"/>
  <c r="N93" i="62"/>
  <c r="X27" i="62"/>
  <c r="X29" i="62" s="1"/>
  <c r="X60" i="62"/>
  <c r="I45" i="62"/>
  <c r="W35" i="65"/>
  <c r="W42" i="65" s="1"/>
  <c r="W44" i="65" s="1"/>
  <c r="W46" i="65" s="1"/>
  <c r="X35" i="65"/>
  <c r="X42" i="65" s="1"/>
  <c r="X44" i="65" s="1"/>
  <c r="X46" i="65" s="1"/>
  <c r="W45" i="62"/>
  <c r="W62" i="62" s="1"/>
  <c r="W64" i="62" s="1"/>
  <c r="W93" i="62"/>
  <c r="AG87" i="62"/>
  <c r="AF87" i="62"/>
  <c r="AG80" i="62"/>
  <c r="AF80" i="62"/>
  <c r="AG54" i="62"/>
  <c r="AF54" i="62"/>
  <c r="AG39" i="62"/>
  <c r="AF39" i="62"/>
  <c r="AG35" i="62"/>
  <c r="AF35" i="62"/>
  <c r="AG20" i="62"/>
  <c r="AF20" i="62"/>
  <c r="AG16" i="62"/>
  <c r="AF16" i="62"/>
  <c r="AG41" i="65"/>
  <c r="AF41" i="65"/>
  <c r="AG30" i="65"/>
  <c r="AF30" i="65"/>
  <c r="AG21" i="65"/>
  <c r="AF21" i="65"/>
  <c r="AG14" i="65"/>
  <c r="AF14" i="65"/>
  <c r="AP84" i="62"/>
  <c r="AO84" i="62"/>
  <c r="AQ84" i="62" s="1"/>
  <c r="AP76" i="62"/>
  <c r="AO76" i="62"/>
  <c r="AQ76" i="62" s="1"/>
  <c r="AG20" i="75"/>
  <c r="AF20" i="75"/>
  <c r="G20" i="75"/>
  <c r="AG18" i="75"/>
  <c r="AF18" i="75"/>
  <c r="AH18" i="75" s="1"/>
  <c r="AG16" i="75"/>
  <c r="AF16" i="75"/>
  <c r="G16" i="75"/>
  <c r="D16" i="75"/>
  <c r="AE14" i="75"/>
  <c r="AB14" i="75"/>
  <c r="Y14" i="75"/>
  <c r="V14" i="75"/>
  <c r="P14" i="75"/>
  <c r="M14" i="75"/>
  <c r="J14" i="75"/>
  <c r="G14" i="75"/>
  <c r="AN93" i="62"/>
  <c r="AS91" i="62"/>
  <c r="AR91" i="62"/>
  <c r="AP91" i="62"/>
  <c r="AO91" i="62"/>
  <c r="AK91" i="62"/>
  <c r="AH91" i="62"/>
  <c r="Y91" i="62"/>
  <c r="V91" i="62"/>
  <c r="P91" i="62"/>
  <c r="M91" i="62"/>
  <c r="G91" i="62"/>
  <c r="D91" i="62"/>
  <c r="AS90" i="62"/>
  <c r="AP90" i="62"/>
  <c r="AN90" i="62"/>
  <c r="AK90" i="62"/>
  <c r="AH90" i="62"/>
  <c r="AE90" i="62"/>
  <c r="AO90" i="62"/>
  <c r="Y90" i="62"/>
  <c r="V90" i="62"/>
  <c r="S90" i="62"/>
  <c r="P90" i="62"/>
  <c r="G90" i="62"/>
  <c r="D90" i="62"/>
  <c r="AS89" i="62"/>
  <c r="AR89" i="62"/>
  <c r="AP89" i="62"/>
  <c r="AO89" i="62"/>
  <c r="AH89" i="62"/>
  <c r="AS88" i="62"/>
  <c r="AR88" i="62"/>
  <c r="AP88" i="62"/>
  <c r="AO88" i="62"/>
  <c r="AK88" i="62"/>
  <c r="AH88" i="62"/>
  <c r="AB88" i="62"/>
  <c r="Y88" i="62"/>
  <c r="V88" i="62"/>
  <c r="S88" i="62"/>
  <c r="P88" i="62"/>
  <c r="J88" i="62"/>
  <c r="G88" i="62"/>
  <c r="D88" i="62"/>
  <c r="J87" i="62"/>
  <c r="G87" i="62"/>
  <c r="AS86" i="62"/>
  <c r="AR86" i="62"/>
  <c r="AP86" i="62"/>
  <c r="AO86" i="62"/>
  <c r="AS85" i="62"/>
  <c r="AR85" i="62"/>
  <c r="AP85" i="62"/>
  <c r="AO85" i="62"/>
  <c r="AH85" i="62"/>
  <c r="V85" i="62"/>
  <c r="P85" i="62"/>
  <c r="G85" i="62"/>
  <c r="D85" i="62"/>
  <c r="AS83" i="62"/>
  <c r="AR83" i="62"/>
  <c r="AP83" i="62"/>
  <c r="AO83" i="62"/>
  <c r="AS82" i="62"/>
  <c r="AR82" i="62"/>
  <c r="AP82" i="62"/>
  <c r="AO82" i="62"/>
  <c r="AK82" i="62"/>
  <c r="AH82" i="62"/>
  <c r="AE82" i="62"/>
  <c r="Y82" i="62"/>
  <c r="V82" i="62"/>
  <c r="P82" i="62"/>
  <c r="G82" i="62"/>
  <c r="D82" i="62"/>
  <c r="AN80" i="62"/>
  <c r="V80" i="62"/>
  <c r="D80" i="62"/>
  <c r="AS79" i="62"/>
  <c r="AR79" i="62"/>
  <c r="AP79" i="62"/>
  <c r="AO79" i="62"/>
  <c r="AS78" i="62"/>
  <c r="AR78" i="62"/>
  <c r="AP78" i="62"/>
  <c r="AO78" i="62"/>
  <c r="AK78" i="62"/>
  <c r="M78" i="62"/>
  <c r="G78" i="62"/>
  <c r="D78" i="62"/>
  <c r="AS77" i="62"/>
  <c r="AR77" i="62"/>
  <c r="AP77" i="62"/>
  <c r="AO77" i="62"/>
  <c r="AK77" i="62"/>
  <c r="AH77" i="62"/>
  <c r="Y77" i="62"/>
  <c r="V77" i="62"/>
  <c r="G77" i="62"/>
  <c r="D77" i="62"/>
  <c r="AS75" i="62"/>
  <c r="AR75" i="62"/>
  <c r="AP75" i="62"/>
  <c r="AO75" i="62"/>
  <c r="AK75" i="62"/>
  <c r="AH75" i="62"/>
  <c r="AB75" i="62"/>
  <c r="Y75" i="62"/>
  <c r="V75" i="62"/>
  <c r="P75" i="62"/>
  <c r="G75" i="62"/>
  <c r="D75" i="62"/>
  <c r="AS74" i="62"/>
  <c r="AR74" i="62"/>
  <c r="AP74" i="62"/>
  <c r="AO74" i="62"/>
  <c r="AK74" i="62"/>
  <c r="AH74" i="62"/>
  <c r="AB74" i="62"/>
  <c r="Y74" i="62"/>
  <c r="V74" i="62"/>
  <c r="P74" i="62"/>
  <c r="M74" i="62"/>
  <c r="G74" i="62"/>
  <c r="D74" i="62"/>
  <c r="AS73" i="62"/>
  <c r="AR73" i="62"/>
  <c r="AP73" i="62"/>
  <c r="AO73" i="62"/>
  <c r="AN73" i="62"/>
  <c r="AK73" i="62"/>
  <c r="AH73" i="62"/>
  <c r="AB73" i="62"/>
  <c r="Y73" i="62"/>
  <c r="V73" i="62"/>
  <c r="P73" i="62"/>
  <c r="M73" i="62"/>
  <c r="J73" i="62"/>
  <c r="G73" i="62"/>
  <c r="D73" i="62"/>
  <c r="AS71" i="62"/>
  <c r="AR71" i="62"/>
  <c r="AP71" i="62"/>
  <c r="AO71" i="62"/>
  <c r="AK71" i="62"/>
  <c r="AH71" i="62"/>
  <c r="AB71" i="62"/>
  <c r="Y71" i="62"/>
  <c r="V71" i="62"/>
  <c r="G71" i="62"/>
  <c r="AS70" i="62"/>
  <c r="AR70" i="62"/>
  <c r="AP70" i="62"/>
  <c r="AO70" i="62"/>
  <c r="AK70" i="62"/>
  <c r="AH70" i="62"/>
  <c r="Y70" i="62"/>
  <c r="V70" i="62"/>
  <c r="P70" i="62"/>
  <c r="G70" i="62"/>
  <c r="AS69" i="62"/>
  <c r="AR69" i="62"/>
  <c r="AP69" i="62"/>
  <c r="AO69" i="62"/>
  <c r="AN69" i="62"/>
  <c r="AK69" i="62"/>
  <c r="AH69" i="62"/>
  <c r="AE69" i="62"/>
  <c r="AB69" i="62"/>
  <c r="Y69" i="62"/>
  <c r="V69" i="62"/>
  <c r="S69" i="62"/>
  <c r="P69" i="62"/>
  <c r="M69" i="62"/>
  <c r="J69" i="62"/>
  <c r="G69" i="62"/>
  <c r="D69" i="62"/>
  <c r="AS68" i="62"/>
  <c r="AR68" i="62"/>
  <c r="AP68" i="62"/>
  <c r="AO68" i="62"/>
  <c r="AN68" i="62"/>
  <c r="AK68" i="62"/>
  <c r="AH68" i="62"/>
  <c r="AE68" i="62"/>
  <c r="AB68" i="62"/>
  <c r="Y68" i="62"/>
  <c r="V68" i="62"/>
  <c r="S68" i="62"/>
  <c r="P68" i="62"/>
  <c r="M68" i="62"/>
  <c r="J68" i="62"/>
  <c r="G68" i="62"/>
  <c r="D68" i="62"/>
  <c r="AN64" i="62"/>
  <c r="AN62" i="62"/>
  <c r="AS61" i="62"/>
  <c r="AR61" i="62"/>
  <c r="AP61" i="62"/>
  <c r="AO61" i="62"/>
  <c r="AN60" i="62"/>
  <c r="AS59" i="62"/>
  <c r="AR59" i="62"/>
  <c r="AP59" i="62"/>
  <c r="AO59" i="62"/>
  <c r="AN59" i="62"/>
  <c r="AH59" i="62"/>
  <c r="Y59" i="62"/>
  <c r="V59" i="62"/>
  <c r="P59" i="62"/>
  <c r="D59" i="62"/>
  <c r="AS58" i="62"/>
  <c r="AR58" i="62"/>
  <c r="AP58" i="62"/>
  <c r="AO58" i="62"/>
  <c r="AK58" i="62"/>
  <c r="V58" i="62"/>
  <c r="AS57" i="62"/>
  <c r="AR57" i="62"/>
  <c r="AP57" i="62"/>
  <c r="AO57" i="62"/>
  <c r="AK57" i="62"/>
  <c r="V57" i="62"/>
  <c r="P57" i="62"/>
  <c r="G57" i="62"/>
  <c r="AS56" i="62"/>
  <c r="AR56" i="62"/>
  <c r="AP56" i="62"/>
  <c r="AO56" i="62"/>
  <c r="AK56" i="62"/>
  <c r="AH56" i="62"/>
  <c r="V56" i="62"/>
  <c r="P56" i="62"/>
  <c r="G56" i="62"/>
  <c r="D56" i="62"/>
  <c r="AS55" i="62"/>
  <c r="AR55" i="62"/>
  <c r="AP55" i="62"/>
  <c r="AO55" i="62"/>
  <c r="AK55" i="62"/>
  <c r="AH55" i="62"/>
  <c r="AE55" i="62"/>
  <c r="Y55" i="62"/>
  <c r="V55" i="62"/>
  <c r="P55" i="62"/>
  <c r="G55" i="62"/>
  <c r="D55" i="62"/>
  <c r="AN54" i="62"/>
  <c r="Y54" i="62"/>
  <c r="AS53" i="62"/>
  <c r="AP53" i="62"/>
  <c r="AR53" i="62"/>
  <c r="V53" i="62"/>
  <c r="AS52" i="62"/>
  <c r="AR52" i="62"/>
  <c r="AP52" i="62"/>
  <c r="AO52" i="62"/>
  <c r="AS51" i="62"/>
  <c r="AR51" i="62"/>
  <c r="AP51" i="62"/>
  <c r="AO51" i="62"/>
  <c r="V51" i="62"/>
  <c r="AS49" i="62"/>
  <c r="AR49" i="62"/>
  <c r="AP49" i="62"/>
  <c r="AO49" i="62"/>
  <c r="AK49" i="62"/>
  <c r="V49" i="62"/>
  <c r="AS48" i="62"/>
  <c r="AR48" i="62"/>
  <c r="AT48" i="62" s="1"/>
  <c r="AP48" i="62"/>
  <c r="AO48" i="62"/>
  <c r="AQ48" i="62" s="1"/>
  <c r="AS46" i="62"/>
  <c r="AR46" i="62"/>
  <c r="AP46" i="62"/>
  <c r="AO46" i="62"/>
  <c r="AH46" i="62"/>
  <c r="Y46" i="62"/>
  <c r="M46" i="62"/>
  <c r="J46" i="62"/>
  <c r="D46" i="62"/>
  <c r="AS44" i="62"/>
  <c r="AP44" i="62"/>
  <c r="AH44" i="62"/>
  <c r="AR44" i="62"/>
  <c r="Y44" i="62"/>
  <c r="V44" i="62"/>
  <c r="P44" i="62"/>
  <c r="M44" i="62"/>
  <c r="J44" i="62"/>
  <c r="G44" i="62"/>
  <c r="D44" i="62"/>
  <c r="AS43" i="62"/>
  <c r="AR43" i="62"/>
  <c r="AP43" i="62"/>
  <c r="AO43" i="62"/>
  <c r="AK43" i="62"/>
  <c r="AH43" i="62"/>
  <c r="AB43" i="62"/>
  <c r="Y43" i="62"/>
  <c r="V43" i="62"/>
  <c r="G43" i="62"/>
  <c r="AS42" i="62"/>
  <c r="AR42" i="62"/>
  <c r="AP42" i="62"/>
  <c r="AO42" i="62"/>
  <c r="V42" i="62"/>
  <c r="P42" i="62"/>
  <c r="G42" i="62"/>
  <c r="AS41" i="62"/>
  <c r="AR41" i="62"/>
  <c r="AP41" i="62"/>
  <c r="AO41" i="62"/>
  <c r="AK41" i="62"/>
  <c r="AH41" i="62"/>
  <c r="AB41" i="62"/>
  <c r="Y41" i="62"/>
  <c r="V41" i="62"/>
  <c r="P41" i="62"/>
  <c r="M41" i="62"/>
  <c r="J41" i="62"/>
  <c r="G41" i="62"/>
  <c r="D41" i="62"/>
  <c r="AS40" i="62"/>
  <c r="AR40" i="62"/>
  <c r="AP40" i="62"/>
  <c r="AO40" i="62"/>
  <c r="AK40" i="62"/>
  <c r="AH40" i="62"/>
  <c r="AB40" i="62"/>
  <c r="Y40" i="62"/>
  <c r="V40" i="62"/>
  <c r="M40" i="62"/>
  <c r="J40" i="62"/>
  <c r="G40" i="62"/>
  <c r="D40" i="62"/>
  <c r="AS38" i="62"/>
  <c r="AP38" i="62"/>
  <c r="AO38" i="62"/>
  <c r="AH38" i="62"/>
  <c r="AB38" i="62"/>
  <c r="Y38" i="62"/>
  <c r="V38" i="62"/>
  <c r="P38" i="62"/>
  <c r="AS37" i="62"/>
  <c r="AR37" i="62"/>
  <c r="AP37" i="62"/>
  <c r="AO37" i="62"/>
  <c r="AK37" i="62"/>
  <c r="AH37" i="62"/>
  <c r="Y37" i="62"/>
  <c r="V37" i="62"/>
  <c r="G37" i="62"/>
  <c r="AS36" i="62"/>
  <c r="AR36" i="62"/>
  <c r="AP36" i="62"/>
  <c r="AO36" i="62"/>
  <c r="AK36" i="62"/>
  <c r="AH36" i="62"/>
  <c r="Y36" i="62"/>
  <c r="V36" i="62"/>
  <c r="G36" i="62"/>
  <c r="AS34" i="62"/>
  <c r="AP34" i="62"/>
  <c r="AK34" i="62"/>
  <c r="AH34" i="62"/>
  <c r="AO34" i="62"/>
  <c r="Y34" i="62"/>
  <c r="V34" i="62"/>
  <c r="G34" i="62"/>
  <c r="AS33" i="62"/>
  <c r="AR33" i="62"/>
  <c r="AP33" i="62"/>
  <c r="AO33" i="62"/>
  <c r="G33" i="62"/>
  <c r="AN29" i="62"/>
  <c r="AS28" i="62"/>
  <c r="AP28" i="62"/>
  <c r="AK28" i="62"/>
  <c r="AH28" i="62"/>
  <c r="AE28" i="62"/>
  <c r="AB28" i="62"/>
  <c r="Y28" i="62"/>
  <c r="V28" i="62"/>
  <c r="S28" i="62"/>
  <c r="P28" i="62"/>
  <c r="M28" i="62"/>
  <c r="J28" i="62"/>
  <c r="G28" i="62"/>
  <c r="D28" i="62"/>
  <c r="AN27" i="62"/>
  <c r="AS26" i="62"/>
  <c r="AR26" i="62"/>
  <c r="AT26" i="62" s="1"/>
  <c r="AP26" i="62"/>
  <c r="AO26" i="62"/>
  <c r="AQ26" i="62" s="1"/>
  <c r="AS25" i="62"/>
  <c r="AR25" i="62"/>
  <c r="AP25" i="62"/>
  <c r="AO25" i="62"/>
  <c r="AN25" i="62"/>
  <c r="AH25" i="62"/>
  <c r="V25" i="62"/>
  <c r="M25" i="62"/>
  <c r="J25" i="62"/>
  <c r="G25" i="62"/>
  <c r="AS24" i="62"/>
  <c r="AR24" i="62"/>
  <c r="AP24" i="62"/>
  <c r="AO24" i="62"/>
  <c r="AK24" i="62"/>
  <c r="AB24" i="62"/>
  <c r="V24" i="62"/>
  <c r="G24" i="62"/>
  <c r="AS23" i="62"/>
  <c r="AR23" i="62"/>
  <c r="AP23" i="62"/>
  <c r="AO23" i="62"/>
  <c r="AH23" i="62"/>
  <c r="Y23" i="62"/>
  <c r="V23" i="62"/>
  <c r="G23" i="62"/>
  <c r="AS22" i="62"/>
  <c r="AR22" i="62"/>
  <c r="AP22" i="62"/>
  <c r="AO22" i="62"/>
  <c r="AK22" i="62"/>
  <c r="AH22" i="62"/>
  <c r="AB22" i="62"/>
  <c r="Y22" i="62"/>
  <c r="V22" i="62"/>
  <c r="P22" i="62"/>
  <c r="M22" i="62"/>
  <c r="J22" i="62"/>
  <c r="G22" i="62"/>
  <c r="D22" i="62"/>
  <c r="AS21" i="62"/>
  <c r="AR21" i="62"/>
  <c r="AP21" i="62"/>
  <c r="AO21" i="62"/>
  <c r="AK21" i="62"/>
  <c r="AH21" i="62"/>
  <c r="Y21" i="62"/>
  <c r="V21" i="62"/>
  <c r="P21" i="62"/>
  <c r="M21" i="62"/>
  <c r="G21" i="62"/>
  <c r="D21" i="62"/>
  <c r="AN20" i="62"/>
  <c r="V20" i="62"/>
  <c r="J20" i="62"/>
  <c r="G20" i="62"/>
  <c r="AS19" i="62"/>
  <c r="AP19" i="62"/>
  <c r="AR19" i="62"/>
  <c r="AH19" i="62"/>
  <c r="AB19" i="62"/>
  <c r="V19" i="62"/>
  <c r="AS18" i="62"/>
  <c r="AR18" i="62"/>
  <c r="AP18" i="62"/>
  <c r="AO18" i="62"/>
  <c r="AH18" i="62"/>
  <c r="V18" i="62"/>
  <c r="AS17" i="62"/>
  <c r="AR17" i="62"/>
  <c r="AP17" i="62"/>
  <c r="AO17" i="62"/>
  <c r="AH17" i="62"/>
  <c r="AB17" i="62"/>
  <c r="V17" i="62"/>
  <c r="AS15" i="62"/>
  <c r="AP15" i="62"/>
  <c r="AK15" i="62"/>
  <c r="AH15" i="62"/>
  <c r="AO15" i="62"/>
  <c r="V15" i="62"/>
  <c r="G15" i="62"/>
  <c r="AS14" i="62"/>
  <c r="AR14" i="62"/>
  <c r="AP14" i="62"/>
  <c r="AO14" i="62"/>
  <c r="V14" i="62"/>
  <c r="AN46" i="65"/>
  <c r="AP45" i="65"/>
  <c r="AO45" i="65"/>
  <c r="AK45" i="65"/>
  <c r="Y45" i="65"/>
  <c r="V45" i="65"/>
  <c r="G45" i="65"/>
  <c r="AN44" i="65"/>
  <c r="AP43" i="65"/>
  <c r="AO43" i="65"/>
  <c r="AK43" i="65"/>
  <c r="AH43" i="65"/>
  <c r="AB43" i="65"/>
  <c r="Y43" i="65"/>
  <c r="S43" i="65"/>
  <c r="P43" i="65"/>
  <c r="M43" i="65"/>
  <c r="J43" i="65"/>
  <c r="G43" i="65"/>
  <c r="D43" i="65"/>
  <c r="AN42" i="65"/>
  <c r="V41" i="65"/>
  <c r="AP40" i="65"/>
  <c r="AO40" i="65"/>
  <c r="AK40" i="65"/>
  <c r="AH40" i="65"/>
  <c r="AB40" i="65"/>
  <c r="Y40" i="65"/>
  <c r="V40" i="65"/>
  <c r="P40" i="65"/>
  <c r="J40" i="65"/>
  <c r="G40" i="65"/>
  <c r="AP39" i="65"/>
  <c r="AO39" i="65"/>
  <c r="AK39" i="65"/>
  <c r="AH39" i="65"/>
  <c r="AB39" i="65"/>
  <c r="V39" i="65"/>
  <c r="M39" i="65"/>
  <c r="G39" i="65"/>
  <c r="AP38" i="65"/>
  <c r="AO38" i="65"/>
  <c r="AK38" i="65"/>
  <c r="AH38" i="65"/>
  <c r="AB38" i="65"/>
  <c r="Y38" i="65"/>
  <c r="V38" i="65"/>
  <c r="S38" i="65"/>
  <c r="P38" i="65"/>
  <c r="M38" i="65"/>
  <c r="J38" i="65"/>
  <c r="G38" i="65"/>
  <c r="D38" i="65"/>
  <c r="AN35" i="65"/>
  <c r="AP34" i="65"/>
  <c r="AO34" i="65"/>
  <c r="AK34" i="65"/>
  <c r="AH34" i="65"/>
  <c r="Y34" i="65"/>
  <c r="V34" i="65"/>
  <c r="G34" i="65"/>
  <c r="AP33" i="65"/>
  <c r="AO33" i="65"/>
  <c r="AN33" i="65"/>
  <c r="AK33" i="65"/>
  <c r="AH33" i="65"/>
  <c r="AE33" i="65"/>
  <c r="AB33" i="65"/>
  <c r="Y33" i="65"/>
  <c r="V33" i="65"/>
  <c r="S33" i="65"/>
  <c r="P33" i="65"/>
  <c r="M33" i="65"/>
  <c r="J33" i="65"/>
  <c r="G33" i="65"/>
  <c r="D33" i="65"/>
  <c r="AP32" i="65"/>
  <c r="AO32" i="65"/>
  <c r="AK32" i="65"/>
  <c r="AH32" i="65"/>
  <c r="AB32" i="65"/>
  <c r="Y32" i="65"/>
  <c r="V32" i="65"/>
  <c r="P32" i="65"/>
  <c r="G32" i="65"/>
  <c r="D32" i="65"/>
  <c r="AP31" i="65"/>
  <c r="AO31" i="65"/>
  <c r="AK31" i="65"/>
  <c r="AH31" i="65"/>
  <c r="AE31" i="65"/>
  <c r="Y31" i="65"/>
  <c r="V31" i="65"/>
  <c r="P31" i="65"/>
  <c r="G31" i="65"/>
  <c r="D31" i="65"/>
  <c r="AP29" i="65"/>
  <c r="AO29" i="65"/>
  <c r="AK29" i="65"/>
  <c r="AH29" i="65"/>
  <c r="Y29" i="65"/>
  <c r="G29" i="65"/>
  <c r="AP28" i="65"/>
  <c r="AO28" i="65"/>
  <c r="AK28" i="65"/>
  <c r="M28" i="65"/>
  <c r="G28" i="65"/>
  <c r="D28" i="65"/>
  <c r="AP27" i="65"/>
  <c r="AO27" i="65"/>
  <c r="AK27" i="65"/>
  <c r="AH27" i="65"/>
  <c r="AB27" i="65"/>
  <c r="Y27" i="65"/>
  <c r="V27" i="65"/>
  <c r="G27" i="65"/>
  <c r="AP26" i="65"/>
  <c r="AO26" i="65"/>
  <c r="AQ26" i="65" s="1"/>
  <c r="AK26" i="65"/>
  <c r="AB26" i="65"/>
  <c r="V26" i="65"/>
  <c r="AP25" i="65"/>
  <c r="AO25" i="65"/>
  <c r="AK25" i="65"/>
  <c r="AH25" i="65"/>
  <c r="AB25" i="65"/>
  <c r="Y25" i="65"/>
  <c r="V25" i="65"/>
  <c r="P25" i="65"/>
  <c r="G25" i="65"/>
  <c r="D25" i="65"/>
  <c r="AP24" i="65"/>
  <c r="AO24" i="65"/>
  <c r="AK24" i="65"/>
  <c r="AH24" i="65"/>
  <c r="Y24" i="65"/>
  <c r="V24" i="65"/>
  <c r="P24" i="65"/>
  <c r="G24" i="65"/>
  <c r="AP23" i="65"/>
  <c r="AK23" i="65"/>
  <c r="AH23" i="65"/>
  <c r="AB23" i="65"/>
  <c r="Y23" i="65"/>
  <c r="V23" i="65"/>
  <c r="P23" i="65"/>
  <c r="M23" i="65"/>
  <c r="J23" i="65"/>
  <c r="G23" i="65"/>
  <c r="AP22" i="65"/>
  <c r="AO22" i="65"/>
  <c r="AN21" i="65"/>
  <c r="AS20" i="65"/>
  <c r="AR20" i="65"/>
  <c r="AP20" i="65"/>
  <c r="AO20" i="65"/>
  <c r="AK20" i="65"/>
  <c r="AH20" i="65"/>
  <c r="AE20" i="65"/>
  <c r="Y20" i="65"/>
  <c r="V20" i="65"/>
  <c r="P20" i="65"/>
  <c r="J20" i="65"/>
  <c r="G20" i="65"/>
  <c r="D20" i="65"/>
  <c r="AS19" i="65"/>
  <c r="AP19" i="65"/>
  <c r="AN19" i="65"/>
  <c r="AH19" i="65"/>
  <c r="AE19" i="65"/>
  <c r="AB19" i="65"/>
  <c r="Y19" i="65"/>
  <c r="V19" i="65"/>
  <c r="S19" i="65"/>
  <c r="P19" i="65"/>
  <c r="M19" i="65"/>
  <c r="J19" i="65"/>
  <c r="G19" i="65"/>
  <c r="AS17" i="65"/>
  <c r="AR17" i="65"/>
  <c r="AP17" i="65"/>
  <c r="AO17" i="65"/>
  <c r="AK17" i="65"/>
  <c r="AH17" i="65"/>
  <c r="AB17" i="65"/>
  <c r="Y17" i="65"/>
  <c r="V17" i="65"/>
  <c r="M17" i="65"/>
  <c r="J17" i="65"/>
  <c r="G17" i="65"/>
  <c r="AS16" i="65"/>
  <c r="AR16" i="65"/>
  <c r="AP16" i="65"/>
  <c r="AO16" i="65"/>
  <c r="AK16" i="65"/>
  <c r="AH16" i="65"/>
  <c r="AE16" i="65"/>
  <c r="Y16" i="65"/>
  <c r="V16" i="65"/>
  <c r="P16" i="65"/>
  <c r="G16" i="65"/>
  <c r="D16" i="65"/>
  <c r="AS15" i="65"/>
  <c r="AR15" i="65"/>
  <c r="AP15" i="65"/>
  <c r="AO15" i="65"/>
  <c r="AN15" i="65"/>
  <c r="AK15" i="65"/>
  <c r="AH15" i="65"/>
  <c r="AB15" i="65"/>
  <c r="Y15" i="65"/>
  <c r="V15" i="65"/>
  <c r="P15" i="65"/>
  <c r="M15" i="65"/>
  <c r="J15" i="65"/>
  <c r="G15" i="65"/>
  <c r="D15" i="65"/>
  <c r="AN14" i="65"/>
  <c r="AS13" i="65"/>
  <c r="AR13" i="65"/>
  <c r="AP13" i="65"/>
  <c r="AO13" i="65"/>
  <c r="AK13" i="65"/>
  <c r="AH13" i="65"/>
  <c r="AE13" i="65"/>
  <c r="Y13" i="65"/>
  <c r="V13" i="65"/>
  <c r="P13" i="65"/>
  <c r="G13" i="65"/>
  <c r="D13" i="65"/>
  <c r="AS12" i="65"/>
  <c r="AR12" i="65"/>
  <c r="AP12" i="65"/>
  <c r="AO12" i="65"/>
  <c r="AN12" i="65"/>
  <c r="AK12" i="65"/>
  <c r="AH12" i="65"/>
  <c r="Y12" i="65"/>
  <c r="P12" i="65"/>
  <c r="M12" i="65"/>
  <c r="J12" i="65"/>
  <c r="G12" i="65"/>
  <c r="D12" i="65"/>
  <c r="AS11" i="65"/>
  <c r="AP11" i="65"/>
  <c r="AN11" i="65"/>
  <c r="AK11" i="65"/>
  <c r="AH11" i="65"/>
  <c r="AE11" i="65"/>
  <c r="AB11" i="65"/>
  <c r="Y11" i="65"/>
  <c r="V11" i="65"/>
  <c r="S11" i="65"/>
  <c r="P11" i="65"/>
  <c r="M11" i="65"/>
  <c r="J11" i="65"/>
  <c r="G11" i="65"/>
  <c r="AR11" i="65"/>
  <c r="R64" i="62" l="1"/>
  <c r="AD62" i="62"/>
  <c r="AD64" i="62" s="1"/>
  <c r="N62" i="62"/>
  <c r="N64" i="62" s="1"/>
  <c r="AH41" i="65"/>
  <c r="AF45" i="62"/>
  <c r="AC64" i="62"/>
  <c r="X62" i="62"/>
  <c r="X64" i="62" s="1"/>
  <c r="O64" i="62"/>
  <c r="Q64" i="62"/>
  <c r="I62" i="62"/>
  <c r="I64" i="62" s="1"/>
  <c r="AF60" i="62"/>
  <c r="AQ59" i="62"/>
  <c r="AT82" i="62"/>
  <c r="AF35" i="65"/>
  <c r="AF42" i="65" s="1"/>
  <c r="AF44" i="65" s="1"/>
  <c r="AF46" i="65" s="1"/>
  <c r="AG60" i="62"/>
  <c r="AG27" i="62"/>
  <c r="AG29" i="62" s="1"/>
  <c r="AF93" i="62"/>
  <c r="AQ38" i="65"/>
  <c r="AF27" i="62"/>
  <c r="AF29" i="62" s="1"/>
  <c r="AG35" i="65"/>
  <c r="AG42" i="65" s="1"/>
  <c r="AG44" i="65" s="1"/>
  <c r="AG46" i="65" s="1"/>
  <c r="G80" i="62"/>
  <c r="AB41" i="65"/>
  <c r="AQ78" i="62"/>
  <c r="AG93" i="62"/>
  <c r="AQ90" i="62"/>
  <c r="AG45" i="62"/>
  <c r="AT23" i="62"/>
  <c r="AQ45" i="65"/>
  <c r="AQ29" i="65"/>
  <c r="AH20" i="62"/>
  <c r="M29" i="62"/>
  <c r="AQ82" i="62"/>
  <c r="AQ83" i="62"/>
  <c r="AQ33" i="62"/>
  <c r="AT41" i="62"/>
  <c r="AT61" i="62"/>
  <c r="AQ17" i="65"/>
  <c r="AQ21" i="62"/>
  <c r="AQ43" i="62"/>
  <c r="AH54" i="62"/>
  <c r="Y20" i="62"/>
  <c r="AQ52" i="62"/>
  <c r="AB20" i="62"/>
  <c r="AQ23" i="62"/>
  <c r="AT43" i="62"/>
  <c r="AQ49" i="62"/>
  <c r="AT11" i="65"/>
  <c r="AQ57" i="62"/>
  <c r="AQ75" i="62"/>
  <c r="AH16" i="75"/>
  <c r="AT18" i="62"/>
  <c r="AQ36" i="62"/>
  <c r="AR38" i="62"/>
  <c r="AT38" i="62" s="1"/>
  <c r="AQ40" i="62"/>
  <c r="G54" i="62"/>
  <c r="AQ55" i="62"/>
  <c r="AQ70" i="62"/>
  <c r="AT49" i="62"/>
  <c r="AT70" i="62"/>
  <c r="AQ77" i="62"/>
  <c r="AQ85" i="62"/>
  <c r="AT17" i="65"/>
  <c r="AQ31" i="65"/>
  <c r="Y41" i="65"/>
  <c r="AK41" i="65"/>
  <c r="AT53" i="62"/>
  <c r="AT59" i="62"/>
  <c r="AT74" i="62"/>
  <c r="AT77" i="62"/>
  <c r="AH20" i="75"/>
  <c r="AH14" i="65"/>
  <c r="G30" i="65"/>
  <c r="AT51" i="62"/>
  <c r="AT73" i="62"/>
  <c r="P21" i="65"/>
  <c r="AQ39" i="65"/>
  <c r="P20" i="62"/>
  <c r="AQ24" i="62"/>
  <c r="AQ46" i="62"/>
  <c r="AT55" i="62"/>
  <c r="AQ74" i="62"/>
  <c r="AT78" i="62"/>
  <c r="AO80" i="62"/>
  <c r="AK80" i="62"/>
  <c r="AT86" i="62"/>
  <c r="AQ89" i="62"/>
  <c r="AT91" i="62"/>
  <c r="AB16" i="62"/>
  <c r="AS20" i="62"/>
  <c r="D39" i="62"/>
  <c r="AT44" i="62"/>
  <c r="G14" i="65"/>
  <c r="AQ12" i="65"/>
  <c r="AQ15" i="65"/>
  <c r="AQ25" i="65"/>
  <c r="AQ33" i="65"/>
  <c r="J41" i="65"/>
  <c r="V35" i="62"/>
  <c r="AR54" i="62"/>
  <c r="AQ58" i="62"/>
  <c r="AQ68" i="62"/>
  <c r="AQ69" i="62"/>
  <c r="AT79" i="62"/>
  <c r="AQ88" i="62"/>
  <c r="AT13" i="65"/>
  <c r="Y14" i="65"/>
  <c r="AT16" i="65"/>
  <c r="AQ27" i="65"/>
  <c r="J30" i="65"/>
  <c r="AQ32" i="65"/>
  <c r="AQ40" i="65"/>
  <c r="M41" i="65"/>
  <c r="AQ25" i="62"/>
  <c r="AQ38" i="62"/>
  <c r="AT40" i="62"/>
  <c r="AT58" i="62"/>
  <c r="AT71" i="62"/>
  <c r="AT85" i="62"/>
  <c r="AT12" i="65"/>
  <c r="AQ20" i="65"/>
  <c r="Y21" i="65"/>
  <c r="AT25" i="62"/>
  <c r="AT37" i="62"/>
  <c r="AT42" i="62"/>
  <c r="AT56" i="62"/>
  <c r="AO11" i="65"/>
  <c r="AQ11" i="65" s="1"/>
  <c r="D14" i="65"/>
  <c r="M21" i="65"/>
  <c r="AQ28" i="65"/>
  <c r="D41" i="65"/>
  <c r="P41" i="65"/>
  <c r="AQ17" i="62"/>
  <c r="AT19" i="62"/>
  <c r="AT21" i="62"/>
  <c r="AR28" i="62"/>
  <c r="AT28" i="62" s="1"/>
  <c r="AT33" i="62"/>
  <c r="AR87" i="62"/>
  <c r="AQ91" i="62"/>
  <c r="AE21" i="65"/>
  <c r="AT14" i="62"/>
  <c r="AR20" i="62"/>
  <c r="AQ37" i="62"/>
  <c r="M39" i="62"/>
  <c r="AQ42" i="62"/>
  <c r="AT46" i="62"/>
  <c r="AP50" i="62"/>
  <c r="AQ51" i="62"/>
  <c r="AE54" i="62"/>
  <c r="AP54" i="62"/>
  <c r="AT57" i="62"/>
  <c r="G60" i="62"/>
  <c r="AQ61" i="62"/>
  <c r="Y87" i="62"/>
  <c r="AH87" i="62"/>
  <c r="J35" i="65"/>
  <c r="AS16" i="62"/>
  <c r="V16" i="62"/>
  <c r="AH16" i="62"/>
  <c r="M80" i="62"/>
  <c r="AT89" i="62"/>
  <c r="V87" i="62"/>
  <c r="AT20" i="65"/>
  <c r="AQ24" i="65"/>
  <c r="AK38" i="62"/>
  <c r="AS39" i="62"/>
  <c r="AT83" i="62"/>
  <c r="AK87" i="62"/>
  <c r="D23" i="65"/>
  <c r="V30" i="65"/>
  <c r="AH21" i="65"/>
  <c r="AO41" i="65"/>
  <c r="AK14" i="65"/>
  <c r="AR19" i="65"/>
  <c r="AT19" i="65" s="1"/>
  <c r="AS21" i="65"/>
  <c r="AQ18" i="62"/>
  <c r="AS35" i="62"/>
  <c r="P35" i="62"/>
  <c r="G39" i="62"/>
  <c r="AO53" i="62"/>
  <c r="AQ53" i="62" s="1"/>
  <c r="AT75" i="62"/>
  <c r="P80" i="62"/>
  <c r="V21" i="65"/>
  <c r="D20" i="62"/>
  <c r="AQ16" i="65"/>
  <c r="AQ43" i="65"/>
  <c r="AQ15" i="62"/>
  <c r="D11" i="65"/>
  <c r="P14" i="65"/>
  <c r="AT15" i="65"/>
  <c r="D19" i="65"/>
  <c r="G21" i="65"/>
  <c r="AB21" i="65"/>
  <c r="AO23" i="65"/>
  <c r="AQ23" i="65" s="1"/>
  <c r="P30" i="65"/>
  <c r="AB30" i="65"/>
  <c r="AK30" i="65"/>
  <c r="AQ34" i="65"/>
  <c r="G41" i="65"/>
  <c r="AP41" i="65"/>
  <c r="AQ14" i="62"/>
  <c r="AT17" i="62"/>
  <c r="M20" i="62"/>
  <c r="AQ22" i="62"/>
  <c r="AT24" i="62"/>
  <c r="AO50" i="62"/>
  <c r="P87" i="62"/>
  <c r="AT22" i="62"/>
  <c r="AQ86" i="62"/>
  <c r="V35" i="65"/>
  <c r="J14" i="65"/>
  <c r="AH30" i="65"/>
  <c r="AP14" i="65"/>
  <c r="AQ13" i="65"/>
  <c r="S21" i="65"/>
  <c r="S41" i="65"/>
  <c r="AO20" i="62"/>
  <c r="AK20" i="62"/>
  <c r="AO28" i="62"/>
  <c r="AQ28" i="62" s="1"/>
  <c r="AQ34" i="62"/>
  <c r="AT36" i="62"/>
  <c r="AH39" i="62"/>
  <c r="AQ41" i="62"/>
  <c r="AK54" i="62"/>
  <c r="AT68" i="62"/>
  <c r="AQ71" i="62"/>
  <c r="AQ73" i="62"/>
  <c r="AQ79" i="62"/>
  <c r="J80" i="62"/>
  <c r="J27" i="62"/>
  <c r="Y27" i="62"/>
  <c r="AE29" i="62"/>
  <c r="G35" i="62"/>
  <c r="AB35" i="62"/>
  <c r="AO35" i="62"/>
  <c r="AP39" i="62"/>
  <c r="AB44" i="62"/>
  <c r="AS80" i="62"/>
  <c r="AP80" i="62"/>
  <c r="AP35" i="62"/>
  <c r="AB15" i="62"/>
  <c r="AK19" i="62"/>
  <c r="AB34" i="62"/>
  <c r="AH35" i="62"/>
  <c r="Y39" i="62"/>
  <c r="AR39" i="62"/>
  <c r="AT52" i="62"/>
  <c r="AO54" i="62"/>
  <c r="AQ56" i="62"/>
  <c r="AR15" i="62"/>
  <c r="AT15" i="62" s="1"/>
  <c r="AR34" i="62"/>
  <c r="AT34" i="62" s="1"/>
  <c r="Y35" i="62"/>
  <c r="AS54" i="62"/>
  <c r="D54" i="62"/>
  <c r="AR90" i="62"/>
  <c r="AT90" i="62" s="1"/>
  <c r="AP16" i="62"/>
  <c r="AO19" i="62"/>
  <c r="AQ19" i="62" s="1"/>
  <c r="AP20" i="62"/>
  <c r="P39" i="62"/>
  <c r="AK39" i="62"/>
  <c r="AO44" i="62"/>
  <c r="AQ44" i="62" s="1"/>
  <c r="P54" i="62"/>
  <c r="AT69" i="62"/>
  <c r="AH80" i="62"/>
  <c r="AE87" i="62"/>
  <c r="AT88" i="62"/>
  <c r="J39" i="62"/>
  <c r="V50" i="62"/>
  <c r="V54" i="62"/>
  <c r="AR16" i="62"/>
  <c r="AS50" i="62"/>
  <c r="V39" i="62"/>
  <c r="AO39" i="62"/>
  <c r="S80" i="62"/>
  <c r="AB80" i="62"/>
  <c r="AS87" i="62"/>
  <c r="AO87" i="62"/>
  <c r="Y80" i="62"/>
  <c r="AR80" i="62"/>
  <c r="AP87" i="62"/>
  <c r="D87" i="62"/>
  <c r="AO21" i="65"/>
  <c r="AK21" i="65"/>
  <c r="AO30" i="65"/>
  <c r="D30" i="65"/>
  <c r="AK35" i="65"/>
  <c r="S14" i="65"/>
  <c r="AB14" i="65"/>
  <c r="AS14" i="65"/>
  <c r="AK19" i="65"/>
  <c r="J21" i="65"/>
  <c r="AR21" i="65"/>
  <c r="M30" i="65"/>
  <c r="AP30" i="65"/>
  <c r="M14" i="65"/>
  <c r="V14" i="65"/>
  <c r="AO19" i="65"/>
  <c r="AQ19" i="65" s="1"/>
  <c r="Y30" i="65"/>
  <c r="AE14" i="65"/>
  <c r="D21" i="65"/>
  <c r="AP21" i="65"/>
  <c r="AH29" i="62" l="1"/>
  <c r="AF62" i="62"/>
  <c r="AG62" i="62"/>
  <c r="AG64" i="62" s="1"/>
  <c r="G93" i="62"/>
  <c r="AQ20" i="62"/>
  <c r="AH27" i="62"/>
  <c r="AR50" i="62"/>
  <c r="AT50" i="62" s="1"/>
  <c r="AF64" i="62"/>
  <c r="AT16" i="62"/>
  <c r="J42" i="65"/>
  <c r="AR35" i="62"/>
  <c r="M27" i="62"/>
  <c r="AK45" i="62"/>
  <c r="AK35" i="62"/>
  <c r="AT20" i="62"/>
  <c r="AH45" i="62"/>
  <c r="D27" i="62"/>
  <c r="AQ80" i="62"/>
  <c r="P60" i="62"/>
  <c r="P27" i="62"/>
  <c r="AB39" i="62"/>
  <c r="AR14" i="65"/>
  <c r="M35" i="65"/>
  <c r="V27" i="62"/>
  <c r="Y93" i="62"/>
  <c r="AP27" i="62"/>
  <c r="P93" i="62"/>
  <c r="AO14" i="65"/>
  <c r="AB93" i="62"/>
  <c r="S93" i="62"/>
  <c r="AT54" i="62"/>
  <c r="AO60" i="62"/>
  <c r="AQ41" i="65"/>
  <c r="AE93" i="62"/>
  <c r="AK93" i="62"/>
  <c r="AO27" i="62"/>
  <c r="AK16" i="62"/>
  <c r="AR60" i="62"/>
  <c r="AQ50" i="62"/>
  <c r="AO16" i="62"/>
  <c r="AQ16" i="62" s="1"/>
  <c r="AQ54" i="62"/>
  <c r="AT39" i="62"/>
  <c r="Y29" i="62"/>
  <c r="AK60" i="62"/>
  <c r="AT80" i="62"/>
  <c r="V93" i="62"/>
  <c r="AB27" i="62"/>
  <c r="M45" i="62"/>
  <c r="D60" i="62"/>
  <c r="AP60" i="62"/>
  <c r="AS60" i="62"/>
  <c r="J29" i="62"/>
  <c r="D29" i="62"/>
  <c r="P45" i="62"/>
  <c r="G27" i="62"/>
  <c r="AP29" i="62"/>
  <c r="AQ35" i="62"/>
  <c r="AR93" i="62"/>
  <c r="J93" i="62"/>
  <c r="AO93" i="62"/>
  <c r="AQ39" i="62"/>
  <c r="AB45" i="62"/>
  <c r="G45" i="62"/>
  <c r="AE62" i="62"/>
  <c r="Y45" i="62"/>
  <c r="V45" i="62"/>
  <c r="AQ87" i="62"/>
  <c r="V60" i="62"/>
  <c r="AE60" i="62"/>
  <c r="AS93" i="62"/>
  <c r="AP93" i="62"/>
  <c r="D93" i="62"/>
  <c r="J45" i="62"/>
  <c r="V29" i="62"/>
  <c r="M93" i="62"/>
  <c r="AT87" i="62"/>
  <c r="Y60" i="62"/>
  <c r="AH93" i="62"/>
  <c r="AS45" i="62"/>
  <c r="D45" i="62"/>
  <c r="AP45" i="62"/>
  <c r="AS27" i="62"/>
  <c r="AH60" i="62"/>
  <c r="P29" i="62"/>
  <c r="AE35" i="65"/>
  <c r="AB35" i="65"/>
  <c r="S35" i="65"/>
  <c r="AK42" i="65"/>
  <c r="AP35" i="65"/>
  <c r="AT21" i="65"/>
  <c r="M42" i="65"/>
  <c r="AQ21" i="65"/>
  <c r="G35" i="65"/>
  <c r="V42" i="65"/>
  <c r="P35" i="65"/>
  <c r="AH35" i="65"/>
  <c r="Y35" i="65"/>
  <c r="AQ30" i="65"/>
  <c r="AH62" i="62" l="1"/>
  <c r="AT35" i="62"/>
  <c r="AO45" i="62"/>
  <c r="AR45" i="62"/>
  <c r="AT45" i="62" s="1"/>
  <c r="AO35" i="65"/>
  <c r="D35" i="65"/>
  <c r="G42" i="65"/>
  <c r="AQ27" i="62"/>
  <c r="AT14" i="65"/>
  <c r="AQ14" i="65"/>
  <c r="AR62" i="62"/>
  <c r="P62" i="62"/>
  <c r="J62" i="62"/>
  <c r="V62" i="62"/>
  <c r="D62" i="62"/>
  <c r="AS62" i="62"/>
  <c r="AP62" i="62"/>
  <c r="Y62" i="62"/>
  <c r="G62" i="62"/>
  <c r="AQ93" i="62"/>
  <c r="AR27" i="62"/>
  <c r="AT27" i="62" s="1"/>
  <c r="AH64" i="62"/>
  <c r="AB62" i="62"/>
  <c r="G29" i="62"/>
  <c r="AS29" i="62"/>
  <c r="AB29" i="62"/>
  <c r="S29" i="62"/>
  <c r="AE64" i="62"/>
  <c r="AK62" i="62"/>
  <c r="AQ60" i="62"/>
  <c r="AR29" i="62"/>
  <c r="AK27" i="62"/>
  <c r="M62" i="62"/>
  <c r="Y64" i="62"/>
  <c r="AT93" i="62"/>
  <c r="AO62" i="62"/>
  <c r="J64" i="62"/>
  <c r="AT60" i="62"/>
  <c r="Y42" i="65"/>
  <c r="P42" i="65"/>
  <c r="AP42" i="65"/>
  <c r="S42" i="65"/>
  <c r="G44" i="65"/>
  <c r="M44" i="65"/>
  <c r="AH42" i="65"/>
  <c r="AK44" i="65"/>
  <c r="D42" i="65"/>
  <c r="AO42" i="65"/>
  <c r="AB42" i="65"/>
  <c r="V44" i="65"/>
  <c r="J44" i="65"/>
  <c r="AE42" i="65"/>
  <c r="AQ45" i="62" l="1"/>
  <c r="AQ35" i="65"/>
  <c r="AT29" i="62"/>
  <c r="AQ42" i="65"/>
  <c r="S64" i="62"/>
  <c r="G64" i="62"/>
  <c r="V64" i="62"/>
  <c r="P64" i="62"/>
  <c r="AT62" i="62"/>
  <c r="AS64" i="62"/>
  <c r="D64" i="62"/>
  <c r="AP64" i="62"/>
  <c r="M64" i="62"/>
  <c r="AQ62" i="62"/>
  <c r="AR64" i="62"/>
  <c r="AK29" i="62"/>
  <c r="AO29" i="62"/>
  <c r="AQ29" i="62" s="1"/>
  <c r="AB64" i="62"/>
  <c r="S44" i="65"/>
  <c r="AB44" i="65"/>
  <c r="AH44" i="65"/>
  <c r="AP44" i="65"/>
  <c r="AE44" i="65"/>
  <c r="AO44" i="65"/>
  <c r="D44" i="65"/>
  <c r="J46" i="65"/>
  <c r="M46" i="65"/>
  <c r="P44" i="65"/>
  <c r="V46" i="65"/>
  <c r="Y44" i="65"/>
  <c r="AK46" i="65"/>
  <c r="G46" i="65"/>
  <c r="AT64" i="62" l="1"/>
  <c r="AK64" i="62"/>
  <c r="AO64" i="62"/>
  <c r="AP46" i="65"/>
  <c r="Y46" i="65"/>
  <c r="AH46" i="65"/>
  <c r="D46" i="65"/>
  <c r="AO46" i="65"/>
  <c r="AQ44" i="65"/>
  <c r="AB46" i="65"/>
  <c r="P46" i="65"/>
  <c r="AE46" i="65"/>
  <c r="S46" i="65"/>
  <c r="AQ64" i="62" l="1"/>
  <c r="AQ46" i="65"/>
  <c r="L9" i="79" l="1"/>
  <c r="K8" i="79"/>
  <c r="D7" i="79" l="1"/>
  <c r="D10" i="79"/>
  <c r="L29" i="79"/>
  <c r="L28" i="79"/>
  <c r="D9" i="79"/>
  <c r="K7" i="79"/>
  <c r="L22" i="79"/>
  <c r="K10" i="79"/>
  <c r="D8" i="79"/>
  <c r="L8" i="79"/>
  <c r="K22" i="79"/>
  <c r="K28" i="79"/>
  <c r="K29" i="79"/>
  <c r="L10" i="79"/>
  <c r="K9" i="79"/>
  <c r="L7" i="79"/>
  <c r="D22" i="79"/>
  <c r="D28" i="79"/>
  <c r="D29" i="79"/>
  <c r="H33" i="9" l="1"/>
  <c r="H75" i="9" s="1"/>
  <c r="G33" i="9"/>
  <c r="G75" i="9" s="1"/>
  <c r="C33" i="9"/>
  <c r="C75" i="9" s="1"/>
  <c r="B33" i="9" l="1"/>
  <c r="B75" i="9" s="1"/>
  <c r="H24" i="9" l="1"/>
  <c r="D48" i="78"/>
  <c r="AP8" i="62"/>
  <c r="AO8" i="62"/>
  <c r="AJ8" i="62"/>
  <c r="AI8" i="62"/>
  <c r="AG8" i="62"/>
  <c r="AF8" i="62"/>
  <c r="AD8" i="62"/>
  <c r="AC8" i="62"/>
  <c r="AA8" i="62"/>
  <c r="Z8" i="62"/>
  <c r="X8" i="62"/>
  <c r="W8" i="62"/>
  <c r="U8" i="62"/>
  <c r="T8" i="62"/>
  <c r="R8" i="62"/>
  <c r="Q8" i="62"/>
  <c r="O8" i="62"/>
  <c r="N8" i="62"/>
  <c r="L8" i="62"/>
  <c r="K8" i="62"/>
  <c r="I8" i="62"/>
  <c r="H8" i="62"/>
  <c r="F8" i="62"/>
  <c r="E8" i="62"/>
  <c r="AM8" i="62"/>
  <c r="AL8" i="62"/>
  <c r="AG8" i="75"/>
  <c r="AF8" i="75"/>
  <c r="AD8" i="75"/>
  <c r="AC8" i="75"/>
  <c r="AA8" i="75"/>
  <c r="Z8" i="75"/>
  <c r="X8" i="75"/>
  <c r="W8" i="75"/>
  <c r="U8" i="75"/>
  <c r="T8" i="75"/>
  <c r="R8" i="75"/>
  <c r="Q8" i="75"/>
  <c r="O8" i="75"/>
  <c r="N8" i="75"/>
  <c r="L8" i="75"/>
  <c r="K8" i="75"/>
  <c r="I8" i="75"/>
  <c r="H8" i="75"/>
  <c r="F8" i="75"/>
  <c r="E8" i="75"/>
  <c r="G24" i="9" l="1"/>
  <c r="M71" i="8" s="1"/>
  <c r="C24" i="9"/>
  <c r="N23" i="8" s="1"/>
  <c r="D47" i="78"/>
  <c r="H65" i="9"/>
  <c r="N71" i="8"/>
  <c r="G65" i="9" l="1"/>
  <c r="C65" i="9"/>
  <c r="B24" i="9"/>
  <c r="M23" i="8" l="1"/>
  <c r="D24" i="9"/>
  <c r="B65" i="9"/>
  <c r="D65" i="9" s="1"/>
  <c r="D54" i="76" l="1"/>
  <c r="D54" i="77"/>
  <c r="D55" i="77"/>
  <c r="D57" i="76"/>
  <c r="D48" i="76"/>
  <c r="H13" i="9"/>
  <c r="D48" i="77"/>
  <c r="G13" i="9"/>
  <c r="D53" i="77" l="1"/>
  <c r="D56" i="76"/>
  <c r="D53" i="76"/>
  <c r="M61" i="8"/>
  <c r="G54" i="9"/>
  <c r="H54" i="9"/>
  <c r="N61" i="8"/>
  <c r="D49" i="77"/>
  <c r="C13" i="9"/>
  <c r="H9" i="9"/>
  <c r="G9" i="9"/>
  <c r="C54" i="9" l="1"/>
  <c r="N12" i="8"/>
  <c r="B13" i="9"/>
  <c r="M12" i="8" s="1"/>
  <c r="H50" i="9"/>
  <c r="N57" i="8"/>
  <c r="C9" i="9"/>
  <c r="D47" i="76"/>
  <c r="B9" i="9"/>
  <c r="M8" i="8" s="1"/>
  <c r="G50" i="9"/>
  <c r="M57" i="8"/>
  <c r="D47" i="77"/>
  <c r="N8" i="8" l="1"/>
  <c r="C50" i="9"/>
  <c r="D9" i="9"/>
  <c r="B50" i="9"/>
  <c r="D13" i="9"/>
  <c r="B54" i="9"/>
  <c r="D54" i="9" s="1"/>
  <c r="D50" i="9" l="1"/>
  <c r="N131" i="8" l="1"/>
  <c r="M131" i="8"/>
  <c r="N108" i="8"/>
  <c r="M108" i="8"/>
  <c r="N83" i="8"/>
  <c r="M83" i="8"/>
  <c r="N77" i="8"/>
  <c r="M77" i="8"/>
  <c r="N56" i="8"/>
  <c r="M56" i="8"/>
  <c r="N36" i="8"/>
  <c r="M36" i="8"/>
  <c r="G73" i="9" l="1"/>
  <c r="H73" i="9"/>
  <c r="L74" i="9"/>
  <c r="M74" i="9"/>
  <c r="O74" i="9"/>
  <c r="N74" i="9"/>
  <c r="K8" i="74" l="1"/>
  <c r="H32" i="9"/>
  <c r="G32" i="9"/>
  <c r="M78" i="8" s="1"/>
  <c r="D8" i="74"/>
  <c r="J8" i="74"/>
  <c r="L8" i="74" s="1"/>
  <c r="K7" i="74"/>
  <c r="J7" i="74"/>
  <c r="D48" i="74"/>
  <c r="D7" i="74"/>
  <c r="C32" i="9" l="1"/>
  <c r="L7" i="74"/>
  <c r="D47" i="74"/>
  <c r="H74" i="9"/>
  <c r="N78" i="8"/>
  <c r="B32" i="9"/>
  <c r="M31" i="8" s="1"/>
  <c r="G74" i="9"/>
  <c r="B74" i="9" l="1"/>
  <c r="E29" i="4" l="1"/>
  <c r="B22" i="4"/>
  <c r="B29" i="4"/>
  <c r="C29" i="4"/>
  <c r="E22" i="4"/>
  <c r="C22" i="4"/>
  <c r="F22" i="4"/>
  <c r="F29" i="4"/>
  <c r="E22" i="79" l="1"/>
  <c r="E29" i="79"/>
  <c r="K32" i="13" l="1"/>
  <c r="E24" i="4"/>
  <c r="C25" i="4"/>
  <c r="C24" i="4"/>
  <c r="F33" i="4"/>
  <c r="E33" i="4"/>
  <c r="F32" i="4"/>
  <c r="E32" i="4"/>
  <c r="B25" i="4" l="1"/>
  <c r="B24" i="4"/>
  <c r="F31" i="4"/>
  <c r="E25" i="4"/>
  <c r="E31" i="4"/>
  <c r="F30" i="4"/>
  <c r="F24" i="4"/>
  <c r="E30" i="4"/>
  <c r="C30" i="4"/>
  <c r="B31" i="4"/>
  <c r="E26" i="4"/>
  <c r="B32" i="4"/>
  <c r="H33" i="4"/>
  <c r="F23" i="4"/>
  <c r="B30" i="4"/>
  <c r="B23" i="4"/>
  <c r="F25" i="4"/>
  <c r="C31" i="4"/>
  <c r="F26" i="4"/>
  <c r="C32" i="4"/>
  <c r="C23" i="4"/>
  <c r="E23" i="4"/>
  <c r="H23" i="33"/>
  <c r="D23" i="29"/>
  <c r="D30" i="33"/>
  <c r="D25" i="29"/>
  <c r="H25" i="23"/>
  <c r="H24" i="23"/>
  <c r="D25" i="13"/>
  <c r="D31" i="37"/>
  <c r="D32" i="29"/>
  <c r="D31" i="24"/>
  <c r="H30" i="18"/>
  <c r="H30" i="37"/>
  <c r="H30" i="33"/>
  <c r="H30" i="35"/>
  <c r="H30" i="29"/>
  <c r="H30" i="23"/>
  <c r="H30" i="13"/>
  <c r="D23" i="37"/>
  <c r="D23" i="20"/>
  <c r="D30" i="37"/>
  <c r="D30" i="20"/>
  <c r="H23" i="37"/>
  <c r="H24" i="13"/>
  <c r="H31" i="18"/>
  <c r="H31" i="37"/>
  <c r="H31" i="29"/>
  <c r="H31" i="23"/>
  <c r="H31" i="13"/>
  <c r="H25" i="13"/>
  <c r="D31" i="13"/>
  <c r="H32" i="18"/>
  <c r="H32" i="37"/>
  <c r="H32" i="33"/>
  <c r="H32" i="29"/>
  <c r="H32" i="23"/>
  <c r="H33" i="37"/>
  <c r="H33" i="33"/>
  <c r="H33" i="35"/>
  <c r="H33" i="29"/>
  <c r="H33" i="23"/>
  <c r="H23" i="35"/>
  <c r="H23" i="13"/>
  <c r="D30" i="13"/>
  <c r="D31" i="33"/>
  <c r="D31" i="29"/>
  <c r="D32" i="13"/>
  <c r="H33" i="18"/>
  <c r="H24" i="33"/>
  <c r="H31" i="33"/>
  <c r="H31" i="35"/>
  <c r="H25" i="18"/>
  <c r="H25" i="37"/>
  <c r="H25" i="33"/>
  <c r="H25" i="29"/>
  <c r="H32" i="13"/>
  <c r="D24" i="37"/>
  <c r="D24" i="33"/>
  <c r="D24" i="29"/>
  <c r="D24" i="24"/>
  <c r="D24" i="13"/>
  <c r="H26" i="18"/>
  <c r="H26" i="37"/>
  <c r="H26" i="33"/>
  <c r="H26" i="35"/>
  <c r="H26" i="29"/>
  <c r="H26" i="23"/>
  <c r="J30" i="29"/>
  <c r="D30" i="29"/>
  <c r="J30" i="23"/>
  <c r="D23" i="33"/>
  <c r="H23" i="18"/>
  <c r="H23" i="29"/>
  <c r="H23" i="23"/>
  <c r="D23" i="13"/>
  <c r="J30" i="18"/>
  <c r="J33" i="35"/>
  <c r="J33" i="23"/>
  <c r="J33" i="33"/>
  <c r="J33" i="29"/>
  <c r="J25" i="29"/>
  <c r="J25" i="13"/>
  <c r="J32" i="18"/>
  <c r="J32" i="33"/>
  <c r="J32" i="29"/>
  <c r="J32" i="23"/>
  <c r="J26" i="18"/>
  <c r="J26" i="37"/>
  <c r="J26" i="33"/>
  <c r="J26" i="35"/>
  <c r="J26" i="29"/>
  <c r="J26" i="23"/>
  <c r="K23" i="33"/>
  <c r="J33" i="18"/>
  <c r="J33" i="37"/>
  <c r="K31" i="23"/>
  <c r="K25" i="18"/>
  <c r="K25" i="37"/>
  <c r="K25" i="33"/>
  <c r="K25" i="29"/>
  <c r="K25" i="23"/>
  <c r="K25" i="13"/>
  <c r="K23" i="37"/>
  <c r="K23" i="20"/>
  <c r="K32" i="18"/>
  <c r="K32" i="33"/>
  <c r="K32" i="29"/>
  <c r="K32" i="23"/>
  <c r="K33" i="23"/>
  <c r="K26" i="18"/>
  <c r="K26" i="33"/>
  <c r="K26" i="29"/>
  <c r="K23" i="35"/>
  <c r="K23" i="13"/>
  <c r="K33" i="18"/>
  <c r="K33" i="33"/>
  <c r="K33" i="29"/>
  <c r="J23" i="20"/>
  <c r="K26" i="35"/>
  <c r="J23" i="37"/>
  <c r="K26" i="37"/>
  <c r="K26" i="23"/>
  <c r="K31" i="13"/>
  <c r="J23" i="18"/>
  <c r="J23" i="29"/>
  <c r="J25" i="18"/>
  <c r="J25" i="37"/>
  <c r="J25" i="33"/>
  <c r="K24" i="24"/>
  <c r="K24" i="23"/>
  <c r="K24" i="13"/>
  <c r="K31" i="18"/>
  <c r="K31" i="33"/>
  <c r="K31" i="29"/>
  <c r="J23" i="35"/>
  <c r="J23" i="13"/>
  <c r="K30" i="20"/>
  <c r="K30" i="13"/>
  <c r="K24" i="33"/>
  <c r="K24" i="29"/>
  <c r="J31" i="37"/>
  <c r="J31" i="24"/>
  <c r="J31" i="35"/>
  <c r="J31" i="13"/>
  <c r="J24" i="37"/>
  <c r="J24" i="33"/>
  <c r="J24" i="29"/>
  <c r="J24" i="24"/>
  <c r="J24" i="13"/>
  <c r="K23" i="18"/>
  <c r="K23" i="29"/>
  <c r="K23" i="23"/>
  <c r="J31" i="18"/>
  <c r="J31" i="33"/>
  <c r="J31" i="29"/>
  <c r="J31" i="23"/>
  <c r="K24" i="37"/>
  <c r="K30" i="37"/>
  <c r="J30" i="13"/>
  <c r="J23" i="33"/>
  <c r="J30" i="33"/>
  <c r="J30" i="35"/>
  <c r="J32" i="13"/>
  <c r="L32" i="13" s="1"/>
  <c r="J30" i="37"/>
  <c r="J30" i="20"/>
  <c r="J32" i="37"/>
  <c r="K30" i="18"/>
  <c r="K30" i="33"/>
  <c r="K30" i="29"/>
  <c r="K30" i="23"/>
  <c r="K32" i="37"/>
  <c r="K30" i="35"/>
  <c r="K31" i="37"/>
  <c r="K33" i="37"/>
  <c r="K31" i="35"/>
  <c r="K33" i="35"/>
  <c r="K31" i="24"/>
  <c r="L31" i="23" l="1"/>
  <c r="L23" i="33"/>
  <c r="L30" i="37"/>
  <c r="L24" i="23"/>
  <c r="L24" i="29"/>
  <c r="L23" i="35"/>
  <c r="L23" i="20"/>
  <c r="L25" i="18"/>
  <c r="L31" i="29"/>
  <c r="L25" i="23"/>
  <c r="L25" i="29"/>
  <c r="L24" i="33"/>
  <c r="L26" i="33"/>
  <c r="L33" i="23"/>
  <c r="L30" i="35"/>
  <c r="L31" i="18"/>
  <c r="L33" i="18"/>
  <c r="L30" i="20"/>
  <c r="L31" i="13"/>
  <c r="L24" i="13"/>
  <c r="L26" i="35"/>
  <c r="L24" i="37"/>
  <c r="L31" i="37"/>
  <c r="L23" i="23"/>
  <c r="L26" i="37"/>
  <c r="L26" i="29"/>
  <c r="L30" i="29"/>
  <c r="L32" i="37"/>
  <c r="L31" i="33"/>
  <c r="L23" i="13"/>
  <c r="L23" i="29"/>
  <c r="L33" i="37"/>
  <c r="L32" i="23"/>
  <c r="L25" i="13"/>
  <c r="L30" i="18"/>
  <c r="L31" i="35"/>
  <c r="L23" i="18"/>
  <c r="L33" i="29"/>
  <c r="L25" i="33"/>
  <c r="L26" i="23"/>
  <c r="L26" i="18"/>
  <c r="L32" i="29"/>
  <c r="L33" i="33"/>
  <c r="L30" i="13"/>
  <c r="L30" i="33"/>
  <c r="L24" i="24"/>
  <c r="L25" i="37"/>
  <c r="L23" i="37"/>
  <c r="L32" i="33"/>
  <c r="L31" i="24"/>
  <c r="L32" i="18"/>
  <c r="L33" i="35"/>
  <c r="L30" i="23"/>
  <c r="J9" i="72"/>
  <c r="E31" i="13" l="1"/>
  <c r="E31" i="37"/>
  <c r="E31" i="33"/>
  <c r="E31" i="24"/>
  <c r="E31" i="29"/>
  <c r="E23" i="13"/>
  <c r="E23" i="20"/>
  <c r="E23" i="37"/>
  <c r="E23" i="33"/>
  <c r="E23" i="29"/>
  <c r="E25" i="29"/>
  <c r="E25" i="13"/>
  <c r="E30" i="13"/>
  <c r="E30" i="20"/>
  <c r="E30" i="37"/>
  <c r="E30" i="29"/>
  <c r="E30" i="33"/>
  <c r="E32" i="13"/>
  <c r="E32" i="29"/>
  <c r="E24" i="24"/>
  <c r="E24" i="13"/>
  <c r="E24" i="29"/>
  <c r="E24" i="33"/>
  <c r="E24" i="37"/>
  <c r="K7" i="72"/>
  <c r="K9" i="72"/>
  <c r="L9" i="72" s="1"/>
  <c r="J7" i="72"/>
  <c r="D48" i="72"/>
  <c r="D7" i="72"/>
  <c r="D9" i="72"/>
  <c r="L7" i="72" l="1"/>
  <c r="H27" i="9"/>
  <c r="D47" i="72"/>
  <c r="G27" i="9"/>
  <c r="G68" i="9" s="1"/>
  <c r="B27" i="9"/>
  <c r="M26" i="8" s="1"/>
  <c r="C27" i="9" l="1"/>
  <c r="B68" i="9"/>
  <c r="C68" i="9" l="1"/>
  <c r="D68" i="9" s="1"/>
  <c r="N26" i="8"/>
  <c r="G33" i="4"/>
  <c r="I33" i="4" l="1"/>
  <c r="J33" i="4" l="1"/>
  <c r="K9" i="18"/>
  <c r="K8" i="18"/>
  <c r="G10" i="9" l="1"/>
  <c r="D22" i="18"/>
  <c r="H10" i="9"/>
  <c r="D29" i="18"/>
  <c r="H10" i="18"/>
  <c r="D7" i="18"/>
  <c r="D10" i="18"/>
  <c r="H117" i="18"/>
  <c r="H121" i="18"/>
  <c r="K7" i="18"/>
  <c r="J88" i="18"/>
  <c r="H109" i="18"/>
  <c r="H113" i="18"/>
  <c r="H125" i="18"/>
  <c r="K113" i="18"/>
  <c r="K99" i="18"/>
  <c r="H7" i="18"/>
  <c r="K11" i="18"/>
  <c r="J67" i="18"/>
  <c r="D99" i="18"/>
  <c r="J109" i="18"/>
  <c r="J112" i="18"/>
  <c r="J121" i="18"/>
  <c r="D28" i="18"/>
  <c r="H34" i="18"/>
  <c r="H35" i="18"/>
  <c r="K78" i="18"/>
  <c r="K108" i="18"/>
  <c r="J113" i="18"/>
  <c r="K120" i="18"/>
  <c r="H108" i="18"/>
  <c r="J35" i="18"/>
  <c r="H11" i="18"/>
  <c r="K109" i="18"/>
  <c r="J117" i="18"/>
  <c r="K12" i="18"/>
  <c r="K112" i="18"/>
  <c r="K117" i="18"/>
  <c r="H12" i="18"/>
  <c r="K35" i="18"/>
  <c r="K10" i="18"/>
  <c r="J34" i="18"/>
  <c r="D67" i="18"/>
  <c r="D88" i="18"/>
  <c r="J99" i="18"/>
  <c r="J120" i="18"/>
  <c r="K121" i="18"/>
  <c r="K28" i="18"/>
  <c r="K34" i="18"/>
  <c r="D48" i="18"/>
  <c r="K67" i="18"/>
  <c r="D120" i="18"/>
  <c r="J11" i="18"/>
  <c r="J108" i="18"/>
  <c r="D112" i="18"/>
  <c r="H22" i="18"/>
  <c r="D78" i="18"/>
  <c r="D108" i="18"/>
  <c r="J125" i="18"/>
  <c r="J9" i="18"/>
  <c r="L9" i="18" s="1"/>
  <c r="D9" i="18"/>
  <c r="J28" i="18"/>
  <c r="J12" i="18"/>
  <c r="J7" i="18"/>
  <c r="J10" i="18"/>
  <c r="J8" i="18"/>
  <c r="L8" i="18" s="1"/>
  <c r="D8" i="18"/>
  <c r="J78" i="18"/>
  <c r="K125" i="18"/>
  <c r="K88" i="18"/>
  <c r="B97" i="4" l="1"/>
  <c r="C97" i="4"/>
  <c r="C76" i="4"/>
  <c r="B76" i="4"/>
  <c r="M58" i="8"/>
  <c r="N58" i="8"/>
  <c r="K98" i="18"/>
  <c r="I10" i="9"/>
  <c r="D87" i="18"/>
  <c r="H29" i="18"/>
  <c r="D66" i="18"/>
  <c r="K29" i="18"/>
  <c r="K22" i="18"/>
  <c r="J29" i="18"/>
  <c r="H119" i="18"/>
  <c r="J22" i="18"/>
  <c r="K119" i="18"/>
  <c r="L113" i="18"/>
  <c r="L12" i="18"/>
  <c r="L28" i="18"/>
  <c r="L88" i="18"/>
  <c r="L121" i="18"/>
  <c r="L109" i="18"/>
  <c r="L120" i="18"/>
  <c r="L99" i="18"/>
  <c r="L35" i="18"/>
  <c r="J111" i="18"/>
  <c r="H111" i="18"/>
  <c r="L117" i="18"/>
  <c r="L78" i="18"/>
  <c r="L7" i="18"/>
  <c r="L108" i="18"/>
  <c r="L11" i="18"/>
  <c r="L67" i="18"/>
  <c r="K111" i="18"/>
  <c r="L112" i="18"/>
  <c r="D98" i="18"/>
  <c r="L10" i="18"/>
  <c r="J119" i="18"/>
  <c r="D119" i="18"/>
  <c r="L34" i="18"/>
  <c r="L125" i="18"/>
  <c r="D111" i="18"/>
  <c r="K97" i="37"/>
  <c r="J97" i="37"/>
  <c r="D97" i="29"/>
  <c r="K97" i="33"/>
  <c r="K97" i="29"/>
  <c r="J97" i="13"/>
  <c r="J97" i="33"/>
  <c r="J97" i="29"/>
  <c r="D97" i="37"/>
  <c r="D97" i="13"/>
  <c r="K97" i="13"/>
  <c r="D97" i="33"/>
  <c r="K76" i="37"/>
  <c r="D76" i="33"/>
  <c r="D76" i="37"/>
  <c r="K76" i="29"/>
  <c r="J76" i="13"/>
  <c r="J76" i="37"/>
  <c r="D76" i="29"/>
  <c r="K76" i="33"/>
  <c r="J76" i="33"/>
  <c r="J76" i="29"/>
  <c r="D76" i="13"/>
  <c r="K76" i="13"/>
  <c r="J8" i="37"/>
  <c r="K8" i="37"/>
  <c r="J9" i="37"/>
  <c r="K9" i="37"/>
  <c r="J36" i="37"/>
  <c r="J37" i="37"/>
  <c r="K100" i="18" l="1"/>
  <c r="L8" i="37"/>
  <c r="L9" i="37"/>
  <c r="D47" i="18"/>
  <c r="B10" i="9"/>
  <c r="L76" i="33"/>
  <c r="L119" i="18"/>
  <c r="L97" i="33"/>
  <c r="L97" i="29"/>
  <c r="L76" i="29"/>
  <c r="D77" i="18"/>
  <c r="H68" i="18"/>
  <c r="J68" i="18"/>
  <c r="J66" i="18"/>
  <c r="L29" i="18"/>
  <c r="K79" i="18"/>
  <c r="K77" i="18"/>
  <c r="L22" i="18"/>
  <c r="L76" i="13"/>
  <c r="D97" i="4"/>
  <c r="D76" i="4"/>
  <c r="L97" i="37"/>
  <c r="K68" i="18"/>
  <c r="L76" i="37"/>
  <c r="K87" i="18"/>
  <c r="K89" i="18"/>
  <c r="L97" i="13"/>
  <c r="H100" i="18"/>
  <c r="J100" i="18"/>
  <c r="J89" i="18"/>
  <c r="H89" i="18"/>
  <c r="H79" i="18"/>
  <c r="J79" i="18"/>
  <c r="I97" i="4"/>
  <c r="I76" i="4"/>
  <c r="L111" i="18"/>
  <c r="H34" i="37"/>
  <c r="H116" i="37"/>
  <c r="D114" i="37"/>
  <c r="D116" i="37"/>
  <c r="J124" i="37"/>
  <c r="H76" i="4"/>
  <c r="H97" i="4"/>
  <c r="K12" i="37"/>
  <c r="K7" i="37"/>
  <c r="H113" i="37"/>
  <c r="H117" i="37"/>
  <c r="J88" i="37"/>
  <c r="K75" i="37"/>
  <c r="K108" i="37"/>
  <c r="K96" i="37"/>
  <c r="K67" i="37"/>
  <c r="J35" i="37"/>
  <c r="J10" i="37"/>
  <c r="D7" i="37"/>
  <c r="K137" i="37"/>
  <c r="K135" i="37"/>
  <c r="K134" i="37"/>
  <c r="K122" i="37"/>
  <c r="D122" i="37"/>
  <c r="H114" i="37"/>
  <c r="H112" i="37"/>
  <c r="J121" i="37"/>
  <c r="D137" i="37"/>
  <c r="H121" i="37"/>
  <c r="K114" i="37"/>
  <c r="K107" i="37"/>
  <c r="K99" i="37"/>
  <c r="J125" i="37"/>
  <c r="K116" i="37"/>
  <c r="K78" i="37"/>
  <c r="D8" i="37"/>
  <c r="H108" i="37"/>
  <c r="D67" i="37"/>
  <c r="K110" i="37"/>
  <c r="J86" i="37"/>
  <c r="K28" i="37"/>
  <c r="H7" i="37"/>
  <c r="D135" i="37"/>
  <c r="H124" i="37"/>
  <c r="J110" i="37"/>
  <c r="D108" i="37"/>
  <c r="D28" i="37"/>
  <c r="D125" i="37"/>
  <c r="K113" i="37"/>
  <c r="J108" i="37"/>
  <c r="D34" i="37"/>
  <c r="K10" i="37"/>
  <c r="K125" i="37"/>
  <c r="J117" i="37"/>
  <c r="J113" i="37"/>
  <c r="D110" i="37"/>
  <c r="K136" i="37"/>
  <c r="J134" i="37"/>
  <c r="H35" i="37"/>
  <c r="J28" i="37"/>
  <c r="K11" i="37"/>
  <c r="J122" i="37"/>
  <c r="L122" i="37" s="1"/>
  <c r="J116" i="37"/>
  <c r="K109" i="37"/>
  <c r="D35" i="37"/>
  <c r="J12" i="37"/>
  <c r="J7" i="37"/>
  <c r="H75" i="37"/>
  <c r="D48" i="37"/>
  <c r="J137" i="37"/>
  <c r="K121" i="37"/>
  <c r="J67" i="37"/>
  <c r="H125" i="37"/>
  <c r="D124" i="37"/>
  <c r="D109" i="37"/>
  <c r="H96" i="37"/>
  <c r="K88" i="37"/>
  <c r="D55" i="37"/>
  <c r="J34" i="37"/>
  <c r="D9" i="37"/>
  <c r="J107" i="37"/>
  <c r="D107" i="37"/>
  <c r="K124" i="37"/>
  <c r="D99" i="37"/>
  <c r="D134" i="37"/>
  <c r="D120" i="37"/>
  <c r="J78" i="37"/>
  <c r="D78" i="37"/>
  <c r="J75" i="37"/>
  <c r="D75" i="37"/>
  <c r="J112" i="37"/>
  <c r="D112" i="37"/>
  <c r="J109" i="37"/>
  <c r="J135" i="37"/>
  <c r="D136" i="37"/>
  <c r="K120" i="37"/>
  <c r="J99" i="37"/>
  <c r="J96" i="37"/>
  <c r="D96" i="37"/>
  <c r="K86" i="37"/>
  <c r="J136" i="37"/>
  <c r="J120" i="37"/>
  <c r="J114" i="37"/>
  <c r="H109" i="37"/>
  <c r="D86" i="37"/>
  <c r="K117" i="37"/>
  <c r="K112" i="37"/>
  <c r="D88" i="37"/>
  <c r="H11" i="37"/>
  <c r="D10" i="37"/>
  <c r="K35" i="37"/>
  <c r="D57" i="37"/>
  <c r="D54" i="37"/>
  <c r="K34" i="37"/>
  <c r="H12" i="37"/>
  <c r="K37" i="37"/>
  <c r="D37" i="37"/>
  <c r="H10" i="37"/>
  <c r="K36" i="37"/>
  <c r="D36" i="37"/>
  <c r="J11" i="37"/>
  <c r="M9" i="8" l="1"/>
  <c r="J76" i="4"/>
  <c r="L100" i="18"/>
  <c r="L114" i="37"/>
  <c r="L79" i="18"/>
  <c r="D77" i="37"/>
  <c r="H29" i="37"/>
  <c r="J29" i="37"/>
  <c r="D100" i="37"/>
  <c r="L68" i="18"/>
  <c r="L89" i="18"/>
  <c r="K98" i="37"/>
  <c r="H66" i="18"/>
  <c r="K66" i="18"/>
  <c r="L66" i="18" s="1"/>
  <c r="K77" i="37"/>
  <c r="J79" i="37"/>
  <c r="L110" i="37"/>
  <c r="J97" i="4"/>
  <c r="J100" i="37"/>
  <c r="J66" i="37"/>
  <c r="H87" i="18"/>
  <c r="J87" i="18"/>
  <c r="L87" i="18" s="1"/>
  <c r="H77" i="18"/>
  <c r="J77" i="18"/>
  <c r="L77" i="18" s="1"/>
  <c r="J98" i="18"/>
  <c r="L98" i="18" s="1"/>
  <c r="H98" i="18"/>
  <c r="L116" i="37"/>
  <c r="D89" i="37"/>
  <c r="K22" i="37"/>
  <c r="D49" i="37"/>
  <c r="J22" i="37"/>
  <c r="H22" i="37"/>
  <c r="K29" i="37"/>
  <c r="D29" i="37"/>
  <c r="D22" i="37"/>
  <c r="D87" i="37"/>
  <c r="D56" i="37"/>
  <c r="L88" i="37"/>
  <c r="L124" i="37"/>
  <c r="L12" i="37"/>
  <c r="L78" i="37"/>
  <c r="K111" i="37"/>
  <c r="L7" i="37"/>
  <c r="L135" i="37"/>
  <c r="D53" i="37"/>
  <c r="L28" i="37"/>
  <c r="L136" i="37"/>
  <c r="L96" i="37"/>
  <c r="L34" i="37"/>
  <c r="L109" i="37"/>
  <c r="L67" i="37"/>
  <c r="L99" i="37"/>
  <c r="L108" i="37"/>
  <c r="L134" i="37"/>
  <c r="L10" i="37"/>
  <c r="D47" i="37"/>
  <c r="L107" i="37"/>
  <c r="L75" i="37"/>
  <c r="K119" i="37"/>
  <c r="H111" i="37"/>
  <c r="L86" i="37"/>
  <c r="L121" i="37"/>
  <c r="H119" i="37"/>
  <c r="L137" i="37"/>
  <c r="L35" i="37"/>
  <c r="L120" i="37"/>
  <c r="L11" i="37"/>
  <c r="D119" i="37"/>
  <c r="L117" i="37"/>
  <c r="L125" i="37"/>
  <c r="L113" i="37"/>
  <c r="J111" i="37"/>
  <c r="D111" i="37"/>
  <c r="D66" i="37"/>
  <c r="D98" i="37"/>
  <c r="J119" i="37"/>
  <c r="L112" i="37"/>
  <c r="L29" i="37" l="1"/>
  <c r="K79" i="37"/>
  <c r="L79" i="37" s="1"/>
  <c r="K100" i="37"/>
  <c r="L100" i="37" s="1"/>
  <c r="K87" i="37"/>
  <c r="K89" i="37"/>
  <c r="H68" i="37"/>
  <c r="H79" i="37"/>
  <c r="H100" i="37"/>
  <c r="H77" i="37"/>
  <c r="H98" i="37"/>
  <c r="L22" i="37"/>
  <c r="J68" i="37"/>
  <c r="K68" i="37"/>
  <c r="H89" i="37"/>
  <c r="J89" i="37"/>
  <c r="L111" i="37"/>
  <c r="L119" i="37"/>
  <c r="H87" i="37" l="1"/>
  <c r="L89" i="37"/>
  <c r="J98" i="37"/>
  <c r="L98" i="37" s="1"/>
  <c r="J77" i="37"/>
  <c r="L77" i="37" s="1"/>
  <c r="L68" i="37"/>
  <c r="J87" i="37"/>
  <c r="L87" i="37" s="1"/>
  <c r="H66" i="37"/>
  <c r="K66" i="37"/>
  <c r="L66" i="37" s="1"/>
  <c r="G14" i="58" l="1"/>
  <c r="C14" i="58"/>
  <c r="B13" i="58"/>
  <c r="F13" i="58"/>
  <c r="F22" i="58"/>
  <c r="B22" i="58"/>
  <c r="G21" i="58"/>
  <c r="C21" i="58"/>
  <c r="F17" i="58"/>
  <c r="B17" i="58"/>
  <c r="F28" i="58"/>
  <c r="B28" i="58"/>
  <c r="C26" i="58"/>
  <c r="G26" i="58"/>
  <c r="F29" i="58"/>
  <c r="B29" i="58"/>
  <c r="F11" i="58"/>
  <c r="B11" i="58"/>
  <c r="C13" i="58"/>
  <c r="G13" i="58"/>
  <c r="F20" i="58"/>
  <c r="B20" i="58"/>
  <c r="G22" i="58"/>
  <c r="C22" i="58"/>
  <c r="G17" i="58"/>
  <c r="C17" i="58"/>
  <c r="G28" i="58"/>
  <c r="C28" i="58"/>
  <c r="G29" i="58"/>
  <c r="C29" i="58"/>
  <c r="G11" i="58"/>
  <c r="C11" i="58"/>
  <c r="B12" i="58"/>
  <c r="F12" i="58"/>
  <c r="B10" i="58"/>
  <c r="F10" i="58"/>
  <c r="F9" i="58"/>
  <c r="B9" i="58"/>
  <c r="F19" i="58"/>
  <c r="B19" i="58"/>
  <c r="G20" i="58"/>
  <c r="C20" i="58"/>
  <c r="F18" i="58"/>
  <c r="B18" i="58"/>
  <c r="F27" i="58"/>
  <c r="B27" i="58"/>
  <c r="F30" i="58"/>
  <c r="B30" i="58"/>
  <c r="F25" i="58"/>
  <c r="B25" i="58"/>
  <c r="C12" i="58"/>
  <c r="G12" i="58"/>
  <c r="F14" i="58"/>
  <c r="B14" i="58"/>
  <c r="G10" i="58"/>
  <c r="C10" i="58"/>
  <c r="C9" i="58"/>
  <c r="G9" i="58"/>
  <c r="G19" i="58"/>
  <c r="C19" i="58"/>
  <c r="G18" i="58"/>
  <c r="C18" i="58"/>
  <c r="F21" i="58"/>
  <c r="B21" i="58"/>
  <c r="G27" i="58"/>
  <c r="C27" i="58"/>
  <c r="G30" i="58"/>
  <c r="C30" i="58"/>
  <c r="F26" i="58"/>
  <c r="B26" i="58"/>
  <c r="G25" i="58"/>
  <c r="C25" i="58"/>
  <c r="C8" i="58" l="1"/>
  <c r="G31" i="4" l="1"/>
  <c r="G23" i="4" l="1"/>
  <c r="G24" i="4"/>
  <c r="G30" i="4"/>
  <c r="G25" i="4"/>
  <c r="G32" i="4"/>
  <c r="D32" i="4"/>
  <c r="D24" i="4"/>
  <c r="I23" i="37"/>
  <c r="I25" i="37"/>
  <c r="I25" i="18"/>
  <c r="I30" i="37"/>
  <c r="I30" i="18"/>
  <c r="I31" i="37"/>
  <c r="I31" i="18"/>
  <c r="G26" i="4"/>
  <c r="D25" i="4"/>
  <c r="I32" i="37"/>
  <c r="I32" i="18"/>
  <c r="D30" i="4"/>
  <c r="D31" i="4"/>
  <c r="E29" i="18" l="1"/>
  <c r="E29" i="23"/>
  <c r="E29" i="29"/>
  <c r="E29" i="33"/>
  <c r="E29" i="16"/>
  <c r="E29" i="20"/>
  <c r="E29" i="24"/>
  <c r="E29" i="51"/>
  <c r="E29" i="37"/>
  <c r="E29" i="13"/>
  <c r="I23" i="18"/>
  <c r="D23" i="4"/>
  <c r="I26" i="4"/>
  <c r="H26" i="4"/>
  <c r="F26" i="10"/>
  <c r="F16" i="10"/>
  <c r="F34" i="10"/>
  <c r="I26" i="29"/>
  <c r="I26" i="23"/>
  <c r="I26" i="33"/>
  <c r="I26" i="37"/>
  <c r="I26" i="35"/>
  <c r="I26" i="18"/>
  <c r="G16" i="10"/>
  <c r="G26" i="10"/>
  <c r="G34" i="10"/>
  <c r="M26" i="29" l="1"/>
  <c r="J26" i="4"/>
  <c r="M26" i="23"/>
  <c r="M26" i="35"/>
  <c r="M26" i="37"/>
  <c r="M26" i="33"/>
  <c r="M26" i="18"/>
  <c r="H30" i="58"/>
  <c r="H29" i="58"/>
  <c r="D29" i="58"/>
  <c r="H28" i="58"/>
  <c r="D28" i="58"/>
  <c r="H27" i="58"/>
  <c r="D27" i="58"/>
  <c r="H25" i="58"/>
  <c r="C24" i="58"/>
  <c r="D25" i="58"/>
  <c r="D22" i="58"/>
  <c r="H21" i="58"/>
  <c r="D20" i="58"/>
  <c r="H19" i="58"/>
  <c r="D18" i="58"/>
  <c r="G16" i="58"/>
  <c r="F16" i="58"/>
  <c r="H13" i="58"/>
  <c r="H12" i="58"/>
  <c r="H11" i="58"/>
  <c r="H10" i="58"/>
  <c r="H9" i="58"/>
  <c r="C38" i="58"/>
  <c r="C35" i="58"/>
  <c r="C34" i="58"/>
  <c r="B36" i="58"/>
  <c r="D11" i="58"/>
  <c r="D9" i="58"/>
  <c r="D30" i="58"/>
  <c r="D26" i="58"/>
  <c r="H22" i="58"/>
  <c r="H20" i="58"/>
  <c r="H18" i="58"/>
  <c r="H14" i="58"/>
  <c r="D13" i="58"/>
  <c r="G8" i="58"/>
  <c r="B24" i="58" l="1"/>
  <c r="D24" i="58" s="1"/>
  <c r="B37" i="58"/>
  <c r="B34" i="58"/>
  <c r="D34" i="58" s="1"/>
  <c r="B38" i="58"/>
  <c r="D38" i="58" s="1"/>
  <c r="C37" i="58"/>
  <c r="B35" i="58"/>
  <c r="D35" i="58" s="1"/>
  <c r="C36" i="58"/>
  <c r="D36" i="58" s="1"/>
  <c r="H26" i="58"/>
  <c r="C33" i="58"/>
  <c r="C16" i="58"/>
  <c r="G24" i="58"/>
  <c r="H16" i="58"/>
  <c r="B8" i="58"/>
  <c r="D8" i="58" s="1"/>
  <c r="B33" i="58"/>
  <c r="H17" i="58"/>
  <c r="D10" i="58"/>
  <c r="D12" i="58"/>
  <c r="D14" i="58"/>
  <c r="B16" i="58"/>
  <c r="D17" i="58"/>
  <c r="D19" i="58"/>
  <c r="D21" i="58"/>
  <c r="F8" i="58"/>
  <c r="H8" i="58" s="1"/>
  <c r="F24" i="58"/>
  <c r="D16" i="58" l="1"/>
  <c r="C32" i="58"/>
  <c r="G33" i="58" s="1"/>
  <c r="D37" i="58"/>
  <c r="D33" i="58"/>
  <c r="H24" i="58"/>
  <c r="B32" i="58"/>
  <c r="G34" i="58" l="1"/>
  <c r="G37" i="58"/>
  <c r="G35" i="58"/>
  <c r="G36" i="58"/>
  <c r="D32" i="58"/>
  <c r="G38" i="58"/>
  <c r="F36" i="58"/>
  <c r="F35" i="58"/>
  <c r="F33" i="58"/>
  <c r="H33" i="58" s="1"/>
  <c r="F37" i="58"/>
  <c r="F38" i="58"/>
  <c r="F34" i="58"/>
  <c r="H37" i="58" l="1"/>
  <c r="H34" i="58"/>
  <c r="H36" i="58"/>
  <c r="G32" i="58"/>
  <c r="H38" i="58"/>
  <c r="H35" i="58"/>
  <c r="F32" i="58"/>
  <c r="H32" i="58" l="1"/>
  <c r="G56" i="10" l="1"/>
  <c r="G60" i="10"/>
  <c r="F60" i="10" l="1"/>
  <c r="F56" i="10"/>
  <c r="K28" i="10" l="1"/>
  <c r="J28" i="10"/>
  <c r="K9" i="33" l="1"/>
  <c r="K9" i="29"/>
  <c r="K8" i="51"/>
  <c r="K8" i="29"/>
  <c r="K8" i="33"/>
  <c r="K9" i="51"/>
  <c r="K8" i="25"/>
  <c r="K8" i="24"/>
  <c r="K9" i="25"/>
  <c r="K9" i="24"/>
  <c r="K8" i="22"/>
  <c r="K9" i="22"/>
  <c r="K9" i="20"/>
  <c r="K8" i="20"/>
  <c r="K8" i="19"/>
  <c r="J36" i="13"/>
  <c r="K9" i="19"/>
  <c r="K39" i="13"/>
  <c r="K37" i="13"/>
  <c r="J39" i="13"/>
  <c r="J37" i="13"/>
  <c r="K36" i="13"/>
  <c r="K8" i="13"/>
  <c r="K9" i="13"/>
  <c r="D22" i="16"/>
  <c r="B124" i="4" l="1"/>
  <c r="B55" i="4"/>
  <c r="B135" i="4"/>
  <c r="B57" i="4"/>
  <c r="E7" i="4"/>
  <c r="F9" i="10" s="1"/>
  <c r="F10" i="4"/>
  <c r="E114" i="4"/>
  <c r="G114" i="4" s="1"/>
  <c r="C86" i="4"/>
  <c r="F135" i="4"/>
  <c r="B48" i="4"/>
  <c r="E79" i="4"/>
  <c r="C67" i="4"/>
  <c r="C108" i="4"/>
  <c r="C125" i="4"/>
  <c r="E116" i="4"/>
  <c r="F124" i="4"/>
  <c r="B122" i="4"/>
  <c r="B68" i="4"/>
  <c r="B13" i="10" s="1"/>
  <c r="C126" i="4"/>
  <c r="C57" i="4"/>
  <c r="E57" i="16" s="1"/>
  <c r="C124" i="4"/>
  <c r="E113" i="4"/>
  <c r="F11" i="4"/>
  <c r="B136" i="4"/>
  <c r="B33" i="10" s="1"/>
  <c r="F34" i="4"/>
  <c r="C99" i="4"/>
  <c r="E10" i="4"/>
  <c r="F20" i="10" s="1"/>
  <c r="B86" i="4"/>
  <c r="E86" i="4"/>
  <c r="B89" i="4"/>
  <c r="B23" i="10" s="1"/>
  <c r="B110" i="4"/>
  <c r="F116" i="4"/>
  <c r="B36" i="4"/>
  <c r="B16" i="10" s="1"/>
  <c r="C34" i="4"/>
  <c r="C107" i="4"/>
  <c r="E121" i="4"/>
  <c r="C88" i="4"/>
  <c r="B54" i="4"/>
  <c r="C49" i="4"/>
  <c r="F68" i="4"/>
  <c r="F109" i="4"/>
  <c r="B126" i="4"/>
  <c r="D126" i="4" s="1"/>
  <c r="C28" i="4"/>
  <c r="E34" i="4"/>
  <c r="F86" i="4"/>
  <c r="E11" i="4"/>
  <c r="F30" i="10" s="1"/>
  <c r="E12" i="4"/>
  <c r="F41" i="10" s="1"/>
  <c r="C112" i="4"/>
  <c r="E107" i="4"/>
  <c r="E134" i="4"/>
  <c r="F15" i="10" s="1"/>
  <c r="C96" i="4"/>
  <c r="F7" i="4"/>
  <c r="C68" i="4"/>
  <c r="C89" i="4"/>
  <c r="F79" i="4"/>
  <c r="E117" i="4"/>
  <c r="C110" i="4"/>
  <c r="B116" i="4"/>
  <c r="C39" i="4"/>
  <c r="C75" i="4"/>
  <c r="E75" i="4"/>
  <c r="F96" i="4"/>
  <c r="B34" i="4"/>
  <c r="C114" i="4"/>
  <c r="B8" i="4"/>
  <c r="F107" i="4"/>
  <c r="F12" i="4"/>
  <c r="E96" i="4"/>
  <c r="C79" i="4"/>
  <c r="B49" i="4"/>
  <c r="E100" i="4"/>
  <c r="B108" i="4"/>
  <c r="F117" i="4"/>
  <c r="C116" i="4"/>
  <c r="B75" i="4"/>
  <c r="F113" i="4"/>
  <c r="B114" i="4"/>
  <c r="C120" i="4"/>
  <c r="B39" i="4"/>
  <c r="B35" i="4"/>
  <c r="C121" i="4"/>
  <c r="F112" i="4"/>
  <c r="C35" i="4"/>
  <c r="E36" i="13" s="1"/>
  <c r="C48" i="4"/>
  <c r="B113" i="4"/>
  <c r="F89" i="4"/>
  <c r="F100" i="4"/>
  <c r="E109" i="4"/>
  <c r="G109" i="4" s="1"/>
  <c r="F125" i="4"/>
  <c r="E108" i="4"/>
  <c r="B134" i="4"/>
  <c r="B15" i="10" s="1"/>
  <c r="B107" i="4"/>
  <c r="C113" i="4"/>
  <c r="B37" i="4"/>
  <c r="B26" i="10" s="1"/>
  <c r="C134" i="4"/>
  <c r="C37" i="4"/>
  <c r="E37" i="37" s="1"/>
  <c r="E35" i="4"/>
  <c r="F42" i="10" s="1"/>
  <c r="F114" i="4"/>
  <c r="B96" i="4"/>
  <c r="C54" i="4"/>
  <c r="E54" i="16" s="1"/>
  <c r="B120" i="4"/>
  <c r="C100" i="4"/>
  <c r="B79" i="4"/>
  <c r="B109" i="4"/>
  <c r="B117" i="4"/>
  <c r="F108" i="4"/>
  <c r="F136" i="4"/>
  <c r="B137" i="4"/>
  <c r="B44" i="10" s="1"/>
  <c r="C55" i="4"/>
  <c r="B112" i="4"/>
  <c r="B99" i="4"/>
  <c r="C122" i="4"/>
  <c r="C135" i="4"/>
  <c r="B78" i="4"/>
  <c r="F121" i="4"/>
  <c r="E112" i="4"/>
  <c r="G112" i="4" s="1"/>
  <c r="F35" i="4"/>
  <c r="B67" i="4"/>
  <c r="E89" i="4"/>
  <c r="B125" i="4"/>
  <c r="C117" i="4"/>
  <c r="B28" i="4"/>
  <c r="E136" i="4"/>
  <c r="C36" i="4"/>
  <c r="B121" i="4"/>
  <c r="C136" i="4"/>
  <c r="F75" i="4"/>
  <c r="C137" i="4"/>
  <c r="B88" i="4"/>
  <c r="C78" i="4"/>
  <c r="F134" i="4"/>
  <c r="E135" i="4"/>
  <c r="F25" i="10" s="1"/>
  <c r="E68" i="4"/>
  <c r="B100" i="4"/>
  <c r="E125" i="4"/>
  <c r="G125" i="4" s="1"/>
  <c r="C109" i="4"/>
  <c r="E124" i="4"/>
  <c r="G124" i="4" s="1"/>
  <c r="C10" i="4"/>
  <c r="B12" i="4"/>
  <c r="B41" i="10" s="1"/>
  <c r="B9" i="4"/>
  <c r="B7" i="4"/>
  <c r="B9" i="10" s="1"/>
  <c r="B10" i="4"/>
  <c r="B20" i="10" s="1"/>
  <c r="C12" i="4"/>
  <c r="C8" i="4"/>
  <c r="C11" i="4"/>
  <c r="B11" i="4"/>
  <c r="B30" i="10" s="1"/>
  <c r="C9" i="4"/>
  <c r="C7" i="4"/>
  <c r="F31" i="10"/>
  <c r="G17" i="9"/>
  <c r="G58" i="9" s="1"/>
  <c r="H42" i="9"/>
  <c r="C40" i="9"/>
  <c r="H41" i="9"/>
  <c r="G40" i="9"/>
  <c r="H20" i="9"/>
  <c r="N67" i="8" s="1"/>
  <c r="G18" i="9"/>
  <c r="M65" i="8" s="1"/>
  <c r="G15" i="9"/>
  <c r="M63" i="8" s="1"/>
  <c r="G16" i="9"/>
  <c r="C38" i="9"/>
  <c r="G19" i="9"/>
  <c r="M66" i="8" s="1"/>
  <c r="B43" i="9"/>
  <c r="B44" i="9"/>
  <c r="C44" i="9"/>
  <c r="G22" i="9"/>
  <c r="M69" i="8" s="1"/>
  <c r="C42" i="9"/>
  <c r="H43" i="9"/>
  <c r="H15" i="9"/>
  <c r="N63" i="8" s="1"/>
  <c r="H39" i="9"/>
  <c r="G12" i="9"/>
  <c r="C39" i="9"/>
  <c r="G21" i="9"/>
  <c r="M68" i="8" s="1"/>
  <c r="H21" i="9"/>
  <c r="G25" i="9"/>
  <c r="M72" i="8" s="1"/>
  <c r="H38" i="9"/>
  <c r="H11" i="9"/>
  <c r="H40" i="9"/>
  <c r="C43" i="9"/>
  <c r="G11" i="9"/>
  <c r="H12" i="9"/>
  <c r="N60" i="8" s="1"/>
  <c r="C41" i="9"/>
  <c r="G23" i="9"/>
  <c r="G20" i="9"/>
  <c r="G26" i="9"/>
  <c r="H44" i="9"/>
  <c r="G28" i="9"/>
  <c r="M74" i="8" s="1"/>
  <c r="G30" i="9"/>
  <c r="M76" i="8" s="1"/>
  <c r="G38" i="9"/>
  <c r="H23" i="9"/>
  <c r="N70" i="8" s="1"/>
  <c r="B38" i="9"/>
  <c r="B42" i="9"/>
  <c r="B39" i="9"/>
  <c r="K135" i="26"/>
  <c r="K7" i="35"/>
  <c r="H29" i="29"/>
  <c r="K121" i="13"/>
  <c r="H121" i="33"/>
  <c r="H125" i="33"/>
  <c r="H68" i="29"/>
  <c r="K113" i="33"/>
  <c r="H68" i="35"/>
  <c r="H29" i="13"/>
  <c r="K12" i="29"/>
  <c r="J86" i="29"/>
  <c r="K108" i="33"/>
  <c r="H22" i="33"/>
  <c r="K68" i="33"/>
  <c r="H35" i="29"/>
  <c r="H34" i="13"/>
  <c r="H121" i="35"/>
  <c r="K22" i="51"/>
  <c r="K135" i="34"/>
  <c r="K134" i="26"/>
  <c r="K113" i="29"/>
  <c r="H100" i="29"/>
  <c r="K137" i="26"/>
  <c r="K116" i="29"/>
  <c r="J79" i="29"/>
  <c r="K28" i="51"/>
  <c r="H89" i="29"/>
  <c r="K12" i="33"/>
  <c r="K116" i="33"/>
  <c r="K29" i="51"/>
  <c r="H34" i="33"/>
  <c r="H12" i="33"/>
  <c r="H125" i="29"/>
  <c r="K108" i="23"/>
  <c r="K22" i="23"/>
  <c r="K107" i="33"/>
  <c r="K100" i="33"/>
  <c r="K75" i="33"/>
  <c r="K122" i="33"/>
  <c r="H86" i="35"/>
  <c r="K114" i="33"/>
  <c r="H29" i="33"/>
  <c r="H75" i="33"/>
  <c r="D37" i="13"/>
  <c r="K89" i="23"/>
  <c r="K68" i="23"/>
  <c r="K28" i="24"/>
  <c r="H135" i="26"/>
  <c r="H22" i="29"/>
  <c r="K113" i="35"/>
  <c r="K12" i="35"/>
  <c r="K109" i="35"/>
  <c r="H12" i="35"/>
  <c r="H96" i="33"/>
  <c r="H117" i="33"/>
  <c r="K28" i="25"/>
  <c r="K136" i="34"/>
  <c r="K96" i="33"/>
  <c r="H35" i="33"/>
  <c r="K117" i="33"/>
  <c r="H109" i="35"/>
  <c r="K28" i="23"/>
  <c r="K89" i="33"/>
  <c r="K11" i="35"/>
  <c r="H113" i="35"/>
  <c r="D57" i="16"/>
  <c r="D28" i="16"/>
  <c r="D29" i="16"/>
  <c r="D9" i="16"/>
  <c r="D10" i="16"/>
  <c r="D54" i="16"/>
  <c r="D8" i="16"/>
  <c r="D49" i="16"/>
  <c r="D7" i="16"/>
  <c r="D48" i="16"/>
  <c r="H100" i="23"/>
  <c r="B21" i="10"/>
  <c r="K109" i="23"/>
  <c r="K10" i="35"/>
  <c r="K34" i="13"/>
  <c r="K107" i="13"/>
  <c r="K121" i="23"/>
  <c r="H109" i="23"/>
  <c r="H22" i="23"/>
  <c r="H89" i="35"/>
  <c r="H100" i="33"/>
  <c r="H68" i="33"/>
  <c r="K125" i="33"/>
  <c r="D49" i="39"/>
  <c r="K7" i="13"/>
  <c r="K7" i="19"/>
  <c r="K10" i="29"/>
  <c r="H7" i="23"/>
  <c r="H7" i="29"/>
  <c r="H7" i="33"/>
  <c r="K10" i="33"/>
  <c r="H10" i="13"/>
  <c r="K7" i="23"/>
  <c r="K11" i="33"/>
  <c r="K7" i="29"/>
  <c r="H10" i="35"/>
  <c r="H11" i="13"/>
  <c r="K22" i="13"/>
  <c r="K29" i="13"/>
  <c r="H79" i="13"/>
  <c r="K100" i="13"/>
  <c r="K116" i="13"/>
  <c r="K10" i="13"/>
  <c r="H121" i="13"/>
  <c r="K7" i="20"/>
  <c r="K10" i="20"/>
  <c r="K22" i="24"/>
  <c r="D49" i="26"/>
  <c r="K11" i="29"/>
  <c r="H22" i="35"/>
  <c r="H113" i="29"/>
  <c r="H7" i="35"/>
  <c r="H11" i="35"/>
  <c r="K7" i="33"/>
  <c r="H89" i="33"/>
  <c r="H107" i="33"/>
  <c r="K121" i="33"/>
  <c r="K126" i="33"/>
  <c r="H89" i="13"/>
  <c r="K109" i="13"/>
  <c r="K67" i="13"/>
  <c r="K11" i="13"/>
  <c r="H113" i="33"/>
  <c r="H107" i="35"/>
  <c r="H12" i="23"/>
  <c r="H86" i="23"/>
  <c r="H136" i="26"/>
  <c r="K28" i="29"/>
  <c r="K34" i="29"/>
  <c r="H134" i="26"/>
  <c r="K117" i="29"/>
  <c r="H35" i="35"/>
  <c r="H79" i="23"/>
  <c r="H89" i="23"/>
  <c r="H117" i="23"/>
  <c r="K35" i="29"/>
  <c r="H117" i="29"/>
  <c r="H45" i="9"/>
  <c r="D39" i="13"/>
  <c r="H22" i="13"/>
  <c r="H7" i="13"/>
  <c r="K35" i="13"/>
  <c r="K108" i="13"/>
  <c r="K12" i="13"/>
  <c r="H107" i="13"/>
  <c r="C45" i="9"/>
  <c r="D48" i="13"/>
  <c r="J10" i="13"/>
  <c r="D10" i="13"/>
  <c r="K28" i="13"/>
  <c r="K68" i="13"/>
  <c r="K112" i="13"/>
  <c r="K117" i="13"/>
  <c r="H35" i="13"/>
  <c r="H109" i="13"/>
  <c r="J89" i="13"/>
  <c r="D89" i="13"/>
  <c r="D11" i="13"/>
  <c r="J11" i="13"/>
  <c r="J9" i="19"/>
  <c r="L9" i="19" s="1"/>
  <c r="D9" i="19"/>
  <c r="B37" i="9"/>
  <c r="K113" i="13"/>
  <c r="J9" i="13"/>
  <c r="L9" i="13" s="1"/>
  <c r="D9" i="13"/>
  <c r="H68" i="13"/>
  <c r="J88" i="13"/>
  <c r="D88" i="13"/>
  <c r="H100" i="13"/>
  <c r="H12" i="13"/>
  <c r="C37" i="9"/>
  <c r="H37" i="9"/>
  <c r="H51" i="9" s="1"/>
  <c r="G37" i="9"/>
  <c r="G51" i="9" s="1"/>
  <c r="D78" i="13"/>
  <c r="J78" i="13"/>
  <c r="J12" i="13"/>
  <c r="D12" i="13"/>
  <c r="K120" i="13"/>
  <c r="K88" i="13"/>
  <c r="H117" i="13"/>
  <c r="D48" i="19"/>
  <c r="D47" i="19"/>
  <c r="D35" i="13"/>
  <c r="J35" i="13"/>
  <c r="J68" i="13"/>
  <c r="K86" i="13"/>
  <c r="K89" i="13"/>
  <c r="J107" i="13"/>
  <c r="D107" i="13"/>
  <c r="D112" i="13"/>
  <c r="J112" i="13"/>
  <c r="J117" i="13"/>
  <c r="D86" i="13"/>
  <c r="J86" i="13"/>
  <c r="J125" i="13"/>
  <c r="D8" i="20"/>
  <c r="J8" i="20"/>
  <c r="L8" i="20" s="1"/>
  <c r="J79" i="13"/>
  <c r="D99" i="13"/>
  <c r="J99" i="13"/>
  <c r="J124" i="13"/>
  <c r="D124" i="13"/>
  <c r="H108" i="13"/>
  <c r="H113" i="13"/>
  <c r="D36" i="13"/>
  <c r="D54" i="13"/>
  <c r="D108" i="13"/>
  <c r="J108" i="13"/>
  <c r="J113" i="13"/>
  <c r="K124" i="13"/>
  <c r="J7" i="20"/>
  <c r="D7" i="20"/>
  <c r="J7" i="13"/>
  <c r="D7" i="13"/>
  <c r="D22" i="13"/>
  <c r="J22" i="13"/>
  <c r="J29" i="13"/>
  <c r="D29" i="13"/>
  <c r="D57" i="13"/>
  <c r="K78" i="13"/>
  <c r="K99" i="13"/>
  <c r="D109" i="13"/>
  <c r="J109" i="13"/>
  <c r="J120" i="13"/>
  <c r="D120" i="13"/>
  <c r="H125" i="13"/>
  <c r="J10" i="20"/>
  <c r="D10" i="20"/>
  <c r="J7" i="19"/>
  <c r="D7" i="19"/>
  <c r="J28" i="20"/>
  <c r="D28" i="20"/>
  <c r="D54" i="22"/>
  <c r="D22" i="23"/>
  <c r="J22" i="23"/>
  <c r="D28" i="24"/>
  <c r="J28" i="24"/>
  <c r="D28" i="25"/>
  <c r="J28" i="25"/>
  <c r="J112" i="23"/>
  <c r="D112" i="23"/>
  <c r="J22" i="24"/>
  <c r="D22" i="24"/>
  <c r="D8" i="22"/>
  <c r="J8" i="22"/>
  <c r="L8" i="22" s="1"/>
  <c r="D29" i="23"/>
  <c r="J29" i="23"/>
  <c r="K112" i="23"/>
  <c r="D7" i="24"/>
  <c r="J7" i="24"/>
  <c r="J22" i="51"/>
  <c r="D22" i="51"/>
  <c r="K11" i="23"/>
  <c r="K35" i="23"/>
  <c r="D107" i="23"/>
  <c r="J107" i="23"/>
  <c r="J117" i="23"/>
  <c r="K29" i="24"/>
  <c r="D48" i="25"/>
  <c r="D9" i="22"/>
  <c r="J9" i="22"/>
  <c r="L9" i="22" s="1"/>
  <c r="K12" i="23"/>
  <c r="K67" i="23"/>
  <c r="D78" i="23"/>
  <c r="K78" i="23"/>
  <c r="J108" i="23"/>
  <c r="D108" i="23"/>
  <c r="H113" i="23"/>
  <c r="D67" i="29"/>
  <c r="K67" i="29"/>
  <c r="J75" i="33"/>
  <c r="D75" i="33"/>
  <c r="D48" i="26"/>
  <c r="D48" i="51"/>
  <c r="D54" i="40"/>
  <c r="J28" i="29"/>
  <c r="D28" i="29"/>
  <c r="D136" i="26"/>
  <c r="J136" i="26"/>
  <c r="D7" i="29"/>
  <c r="J7" i="29"/>
  <c r="J10" i="35"/>
  <c r="J12" i="29"/>
  <c r="H12" i="29"/>
  <c r="J109" i="29"/>
  <c r="D109" i="29"/>
  <c r="K120" i="29"/>
  <c r="D68" i="29"/>
  <c r="J68" i="29"/>
  <c r="D86" i="29"/>
  <c r="K86" i="29"/>
  <c r="K89" i="29"/>
  <c r="K107" i="29"/>
  <c r="J112" i="29"/>
  <c r="D112" i="29"/>
  <c r="D116" i="29"/>
  <c r="J116" i="29"/>
  <c r="H121" i="29"/>
  <c r="J7" i="35"/>
  <c r="K22" i="35"/>
  <c r="K29" i="35"/>
  <c r="J10" i="33"/>
  <c r="D10" i="33"/>
  <c r="J68" i="33"/>
  <c r="D68" i="33"/>
  <c r="J125" i="35"/>
  <c r="D126" i="33"/>
  <c r="J126" i="33"/>
  <c r="L126" i="33" s="1"/>
  <c r="J86" i="35"/>
  <c r="J89" i="35"/>
  <c r="J107" i="35"/>
  <c r="K78" i="33"/>
  <c r="K77" i="33"/>
  <c r="K112" i="33"/>
  <c r="K121" i="35"/>
  <c r="J8" i="33"/>
  <c r="L8" i="33" s="1"/>
  <c r="D8" i="33"/>
  <c r="H11" i="33"/>
  <c r="K35" i="33"/>
  <c r="D96" i="33"/>
  <c r="J96" i="33"/>
  <c r="J108" i="33"/>
  <c r="D108" i="33"/>
  <c r="K110" i="33"/>
  <c r="D116" i="33"/>
  <c r="J116" i="33"/>
  <c r="D54" i="39"/>
  <c r="J8" i="13"/>
  <c r="L8" i="13" s="1"/>
  <c r="D8" i="13"/>
  <c r="J28" i="13"/>
  <c r="D28" i="13"/>
  <c r="J34" i="13"/>
  <c r="D34" i="13"/>
  <c r="D67" i="13"/>
  <c r="J67" i="13"/>
  <c r="K79" i="13"/>
  <c r="D100" i="13"/>
  <c r="J100" i="13"/>
  <c r="J116" i="13"/>
  <c r="D116" i="13"/>
  <c r="J121" i="13"/>
  <c r="K125" i="13"/>
  <c r="J8" i="19"/>
  <c r="L8" i="19" s="1"/>
  <c r="D8" i="19"/>
  <c r="D57" i="22"/>
  <c r="J9" i="20"/>
  <c r="L9" i="20" s="1"/>
  <c r="D9" i="20"/>
  <c r="K22" i="20"/>
  <c r="K29" i="20"/>
  <c r="J113" i="23"/>
  <c r="K7" i="22"/>
  <c r="J12" i="35"/>
  <c r="D49" i="22"/>
  <c r="J10" i="23"/>
  <c r="J34" i="23"/>
  <c r="K113" i="23"/>
  <c r="J125" i="23"/>
  <c r="J8" i="24"/>
  <c r="L8" i="24" s="1"/>
  <c r="D8" i="24"/>
  <c r="J7" i="25"/>
  <c r="D7" i="25"/>
  <c r="D29" i="51"/>
  <c r="J29" i="51"/>
  <c r="J12" i="23"/>
  <c r="J78" i="23"/>
  <c r="K7" i="24"/>
  <c r="D10" i="24"/>
  <c r="J10" i="24"/>
  <c r="H29" i="23"/>
  <c r="J68" i="23"/>
  <c r="K79" i="23"/>
  <c r="J88" i="23"/>
  <c r="D88" i="23"/>
  <c r="K99" i="23"/>
  <c r="J109" i="23"/>
  <c r="K120" i="23"/>
  <c r="K10" i="24"/>
  <c r="D48" i="40"/>
  <c r="J29" i="29"/>
  <c r="D29" i="29"/>
  <c r="D134" i="26"/>
  <c r="J134" i="26"/>
  <c r="D137" i="26"/>
  <c r="J137" i="26"/>
  <c r="K7" i="51"/>
  <c r="K10" i="51"/>
  <c r="J78" i="29"/>
  <c r="D78" i="29"/>
  <c r="J22" i="29"/>
  <c r="D22" i="29"/>
  <c r="K68" i="29"/>
  <c r="J88" i="29"/>
  <c r="D88" i="29"/>
  <c r="J11" i="33"/>
  <c r="J121" i="29"/>
  <c r="J134" i="34"/>
  <c r="D134" i="34"/>
  <c r="H29" i="35"/>
  <c r="K108" i="29"/>
  <c r="D48" i="34"/>
  <c r="J22" i="35"/>
  <c r="J29" i="35"/>
  <c r="H77" i="29"/>
  <c r="H107" i="29"/>
  <c r="K112" i="29"/>
  <c r="J117" i="29"/>
  <c r="D117" i="29"/>
  <c r="J135" i="34"/>
  <c r="D135" i="34"/>
  <c r="K34" i="35"/>
  <c r="J117" i="35"/>
  <c r="J9" i="33"/>
  <c r="L9" i="33" s="1"/>
  <c r="D9" i="33"/>
  <c r="J78" i="33"/>
  <c r="D78" i="33"/>
  <c r="J22" i="33"/>
  <c r="D22" i="33"/>
  <c r="J29" i="33"/>
  <c r="D29" i="33"/>
  <c r="J67" i="33"/>
  <c r="K79" i="33"/>
  <c r="K86" i="35"/>
  <c r="K89" i="35"/>
  <c r="K107" i="35"/>
  <c r="H117" i="35"/>
  <c r="J99" i="33"/>
  <c r="D99" i="33"/>
  <c r="D109" i="33"/>
  <c r="J109" i="33"/>
  <c r="D48" i="38"/>
  <c r="G45" i="9"/>
  <c r="J112" i="33"/>
  <c r="D112" i="33"/>
  <c r="J117" i="33"/>
  <c r="D48" i="39"/>
  <c r="D56" i="21"/>
  <c r="D57" i="21"/>
  <c r="K28" i="20"/>
  <c r="J28" i="23"/>
  <c r="D28" i="23"/>
  <c r="D48" i="21"/>
  <c r="D57" i="25"/>
  <c r="J11" i="23"/>
  <c r="J35" i="23"/>
  <c r="J8" i="25"/>
  <c r="L8" i="25" s="1"/>
  <c r="D8" i="25"/>
  <c r="J9" i="51"/>
  <c r="L9" i="51" s="1"/>
  <c r="D9" i="51"/>
  <c r="K29" i="23"/>
  <c r="J67" i="23"/>
  <c r="D67" i="23"/>
  <c r="J79" i="23"/>
  <c r="J99" i="23"/>
  <c r="D99" i="23"/>
  <c r="J120" i="23"/>
  <c r="D120" i="23"/>
  <c r="K125" i="23"/>
  <c r="K7" i="25"/>
  <c r="D48" i="22"/>
  <c r="H10" i="23"/>
  <c r="H34" i="23"/>
  <c r="K86" i="23"/>
  <c r="J89" i="23"/>
  <c r="K100" i="23"/>
  <c r="K116" i="23"/>
  <c r="J121" i="23"/>
  <c r="H125" i="23"/>
  <c r="J9" i="24"/>
  <c r="L9" i="24" s="1"/>
  <c r="D9" i="24"/>
  <c r="D54" i="25"/>
  <c r="J7" i="51"/>
  <c r="D7" i="51"/>
  <c r="D10" i="51"/>
  <c r="J10" i="51"/>
  <c r="J34" i="29"/>
  <c r="D34" i="29"/>
  <c r="D10" i="29"/>
  <c r="J10" i="29"/>
  <c r="J89" i="29"/>
  <c r="D89" i="29"/>
  <c r="J11" i="35"/>
  <c r="H10" i="29"/>
  <c r="K22" i="29"/>
  <c r="K29" i="29"/>
  <c r="J120" i="29"/>
  <c r="D120" i="29"/>
  <c r="J107" i="29"/>
  <c r="D107" i="29"/>
  <c r="H34" i="35"/>
  <c r="K78" i="29"/>
  <c r="K99" i="29"/>
  <c r="K109" i="29"/>
  <c r="J125" i="29"/>
  <c r="K134" i="34"/>
  <c r="J34" i="35"/>
  <c r="J68" i="35"/>
  <c r="H29" i="9"/>
  <c r="N75" i="8" s="1"/>
  <c r="H79" i="29"/>
  <c r="D113" i="29"/>
  <c r="J113" i="29"/>
  <c r="K125" i="29"/>
  <c r="K35" i="35"/>
  <c r="K68" i="35"/>
  <c r="K117" i="35"/>
  <c r="D67" i="33"/>
  <c r="K67" i="33"/>
  <c r="J79" i="33"/>
  <c r="D79" i="33"/>
  <c r="K125" i="35"/>
  <c r="J34" i="33"/>
  <c r="K86" i="33"/>
  <c r="D122" i="33"/>
  <c r="J122" i="33"/>
  <c r="J113" i="35"/>
  <c r="K22" i="33"/>
  <c r="K29" i="33"/>
  <c r="H79" i="33"/>
  <c r="J88" i="33"/>
  <c r="D88" i="33"/>
  <c r="J100" i="33"/>
  <c r="D100" i="33"/>
  <c r="K120" i="33"/>
  <c r="D113" i="33"/>
  <c r="J113" i="33"/>
  <c r="D57" i="39"/>
  <c r="D54" i="21"/>
  <c r="J22" i="20"/>
  <c r="D22" i="20"/>
  <c r="J29" i="20"/>
  <c r="D29" i="20"/>
  <c r="D48" i="20"/>
  <c r="J7" i="23"/>
  <c r="K88" i="23"/>
  <c r="J35" i="29"/>
  <c r="D7" i="22"/>
  <c r="J7" i="22"/>
  <c r="H121" i="23"/>
  <c r="J29" i="24"/>
  <c r="D29" i="24"/>
  <c r="K10" i="23"/>
  <c r="K34" i="23"/>
  <c r="H68" i="23"/>
  <c r="D86" i="23"/>
  <c r="J86" i="23"/>
  <c r="J100" i="23"/>
  <c r="D116" i="23"/>
  <c r="J116" i="23"/>
  <c r="J28" i="51"/>
  <c r="D28" i="51"/>
  <c r="H11" i="23"/>
  <c r="H35" i="23"/>
  <c r="K107" i="23"/>
  <c r="K117" i="23"/>
  <c r="J9" i="25"/>
  <c r="L9" i="25" s="1"/>
  <c r="D9" i="25"/>
  <c r="K136" i="26"/>
  <c r="J8" i="51"/>
  <c r="L8" i="51" s="1"/>
  <c r="D8" i="51"/>
  <c r="D135" i="26"/>
  <c r="J135" i="26"/>
  <c r="D57" i="40"/>
  <c r="J8" i="29"/>
  <c r="L8" i="29" s="1"/>
  <c r="D8" i="29"/>
  <c r="J11" i="29"/>
  <c r="J99" i="29"/>
  <c r="D99" i="29"/>
  <c r="D120" i="33"/>
  <c r="J120" i="33"/>
  <c r="D9" i="29"/>
  <c r="J9" i="29"/>
  <c r="L9" i="29" s="1"/>
  <c r="H11" i="29"/>
  <c r="H34" i="29"/>
  <c r="J100" i="29"/>
  <c r="D100" i="29"/>
  <c r="J136" i="34"/>
  <c r="D136" i="34"/>
  <c r="J108" i="29"/>
  <c r="D108" i="29"/>
  <c r="J12" i="33"/>
  <c r="D125" i="33"/>
  <c r="J125" i="33"/>
  <c r="J67" i="29"/>
  <c r="D79" i="29"/>
  <c r="K79" i="29"/>
  <c r="K88" i="29"/>
  <c r="K100" i="29"/>
  <c r="K121" i="29"/>
  <c r="J35" i="35"/>
  <c r="K99" i="33"/>
  <c r="H86" i="29"/>
  <c r="H109" i="29"/>
  <c r="K88" i="33"/>
  <c r="J86" i="33"/>
  <c r="D121" i="33"/>
  <c r="J121" i="33"/>
  <c r="J121" i="35"/>
  <c r="J35" i="33"/>
  <c r="D35" i="33"/>
  <c r="J109" i="35"/>
  <c r="H125" i="35"/>
  <c r="J7" i="33"/>
  <c r="D7" i="33"/>
  <c r="H10" i="33"/>
  <c r="K34" i="33"/>
  <c r="H86" i="33"/>
  <c r="J89" i="33"/>
  <c r="D89" i="33"/>
  <c r="J107" i="33"/>
  <c r="J110" i="33"/>
  <c r="D110" i="33"/>
  <c r="K109" i="33"/>
  <c r="H109" i="33"/>
  <c r="J114" i="33"/>
  <c r="D114" i="33"/>
  <c r="G29" i="9"/>
  <c r="M75" i="8" s="1"/>
  <c r="B10" i="10"/>
  <c r="F21" i="10"/>
  <c r="F10" i="10"/>
  <c r="K9" i="16"/>
  <c r="K8" i="16"/>
  <c r="K22" i="16"/>
  <c r="K7" i="16"/>
  <c r="J8" i="16"/>
  <c r="J9" i="16"/>
  <c r="J22" i="16"/>
  <c r="J28" i="16"/>
  <c r="J29" i="16"/>
  <c r="K10" i="16"/>
  <c r="K29" i="16"/>
  <c r="J10" i="16"/>
  <c r="J7" i="16"/>
  <c r="K28" i="16"/>
  <c r="G121" i="4" l="1"/>
  <c r="F13" i="10"/>
  <c r="G68" i="4"/>
  <c r="G75" i="4"/>
  <c r="F23" i="10"/>
  <c r="G89" i="4"/>
  <c r="G79" i="4"/>
  <c r="G100" i="4"/>
  <c r="B25" i="10"/>
  <c r="H135" i="4"/>
  <c r="G108" i="4"/>
  <c r="G116" i="4"/>
  <c r="G96" i="4"/>
  <c r="G117" i="4"/>
  <c r="G107" i="4"/>
  <c r="G86" i="4"/>
  <c r="G113" i="4"/>
  <c r="E37" i="13"/>
  <c r="E36" i="37"/>
  <c r="D28" i="4"/>
  <c r="E119" i="4"/>
  <c r="F111" i="4"/>
  <c r="C98" i="4"/>
  <c r="E87" i="4"/>
  <c r="G87" i="4" s="1"/>
  <c r="E111" i="4"/>
  <c r="F87" i="4"/>
  <c r="B47" i="4"/>
  <c r="B11" i="10" s="1"/>
  <c r="E77" i="4"/>
  <c r="F77" i="4"/>
  <c r="B87" i="4"/>
  <c r="B53" i="4"/>
  <c r="B38" i="10" s="1"/>
  <c r="F119" i="4"/>
  <c r="B119" i="4"/>
  <c r="B43" i="10" s="1"/>
  <c r="C119" i="4"/>
  <c r="C53" i="4"/>
  <c r="C47" i="4"/>
  <c r="C77" i="4"/>
  <c r="F98" i="4"/>
  <c r="E66" i="4"/>
  <c r="C111" i="4"/>
  <c r="C56" i="4"/>
  <c r="B77" i="4"/>
  <c r="E98" i="4"/>
  <c r="C87" i="4"/>
  <c r="B56" i="4"/>
  <c r="B49" i="10" s="1"/>
  <c r="B98" i="4"/>
  <c r="F66" i="4"/>
  <c r="B66" i="4"/>
  <c r="C66" i="4"/>
  <c r="B111" i="4"/>
  <c r="B32" i="10" s="1"/>
  <c r="N59" i="8"/>
  <c r="M59" i="8"/>
  <c r="M79" i="8"/>
  <c r="L86" i="23"/>
  <c r="E9" i="79"/>
  <c r="E7" i="79"/>
  <c r="E48" i="78"/>
  <c r="E8" i="79"/>
  <c r="E10" i="79"/>
  <c r="E28" i="79"/>
  <c r="H14" i="9"/>
  <c r="N62" i="8" s="1"/>
  <c r="G14" i="9"/>
  <c r="M62" i="8" s="1"/>
  <c r="N79" i="8"/>
  <c r="D34" i="4"/>
  <c r="E48" i="77"/>
  <c r="E48" i="76"/>
  <c r="E55" i="77"/>
  <c r="E57" i="76"/>
  <c r="E49" i="76"/>
  <c r="E49" i="77"/>
  <c r="E54" i="76"/>
  <c r="E54" i="77"/>
  <c r="L7" i="35"/>
  <c r="L107" i="23"/>
  <c r="B14" i="9"/>
  <c r="M13" i="8" s="1"/>
  <c r="H77" i="33"/>
  <c r="L29" i="51"/>
  <c r="N136" i="8"/>
  <c r="E28" i="16"/>
  <c r="H62" i="9"/>
  <c r="N68" i="8"/>
  <c r="E28" i="51"/>
  <c r="G67" i="9"/>
  <c r="M73" i="8"/>
  <c r="G61" i="9"/>
  <c r="M67" i="8"/>
  <c r="E28" i="29"/>
  <c r="E28" i="24"/>
  <c r="G64" i="9"/>
  <c r="M70" i="8"/>
  <c r="E28" i="23"/>
  <c r="E28" i="20"/>
  <c r="G53" i="9"/>
  <c r="M60" i="8"/>
  <c r="E28" i="25"/>
  <c r="G57" i="9"/>
  <c r="M64" i="8"/>
  <c r="M136" i="8"/>
  <c r="G71" i="9"/>
  <c r="I11" i="9"/>
  <c r="G52" i="9"/>
  <c r="G59" i="9"/>
  <c r="G72" i="9"/>
  <c r="G63" i="9"/>
  <c r="G60" i="9"/>
  <c r="K98" i="33"/>
  <c r="C14" i="9"/>
  <c r="L22" i="51"/>
  <c r="D47" i="39"/>
  <c r="L7" i="51"/>
  <c r="E34" i="37"/>
  <c r="E34" i="13"/>
  <c r="E34" i="29"/>
  <c r="L110" i="33"/>
  <c r="E8" i="74"/>
  <c r="E28" i="18"/>
  <c r="E7" i="72"/>
  <c r="E7" i="74"/>
  <c r="E48" i="72"/>
  <c r="E48" i="74"/>
  <c r="E28" i="37"/>
  <c r="E28" i="13"/>
  <c r="D35" i="4"/>
  <c r="C31" i="9"/>
  <c r="N30" i="8" s="1"/>
  <c r="D53" i="40"/>
  <c r="D53" i="21"/>
  <c r="L28" i="51"/>
  <c r="L125" i="35"/>
  <c r="L10" i="51"/>
  <c r="E35" i="13"/>
  <c r="E35" i="37"/>
  <c r="E35" i="33"/>
  <c r="B34" i="10"/>
  <c r="H77" i="13"/>
  <c r="B42" i="10"/>
  <c r="E99" i="18"/>
  <c r="D29" i="4"/>
  <c r="E88" i="18"/>
  <c r="E9" i="18"/>
  <c r="E9" i="72"/>
  <c r="E67" i="18"/>
  <c r="E8" i="18"/>
  <c r="E112" i="18"/>
  <c r="E108" i="18"/>
  <c r="E120" i="18"/>
  <c r="E78" i="18"/>
  <c r="D37" i="4"/>
  <c r="D36" i="4"/>
  <c r="D39" i="4"/>
  <c r="I33" i="18"/>
  <c r="I33" i="37"/>
  <c r="I33" i="33"/>
  <c r="I33" i="35"/>
  <c r="I33" i="29"/>
  <c r="I33" i="23"/>
  <c r="B31" i="10"/>
  <c r="D110" i="4"/>
  <c r="L117" i="35"/>
  <c r="L122" i="33"/>
  <c r="L135" i="26"/>
  <c r="E39" i="13"/>
  <c r="H111" i="35"/>
  <c r="L113" i="35"/>
  <c r="D122" i="4"/>
  <c r="H119" i="35"/>
  <c r="D47" i="34"/>
  <c r="L121" i="13"/>
  <c r="L108" i="33"/>
  <c r="L121" i="35"/>
  <c r="E48" i="37"/>
  <c r="E48" i="18"/>
  <c r="I11" i="37"/>
  <c r="I11" i="18"/>
  <c r="E54" i="37"/>
  <c r="I34" i="37"/>
  <c r="I34" i="18"/>
  <c r="I117" i="37"/>
  <c r="I117" i="18"/>
  <c r="E22" i="37"/>
  <c r="E22" i="18"/>
  <c r="I109" i="37"/>
  <c r="I109" i="18"/>
  <c r="E7" i="37"/>
  <c r="E7" i="18"/>
  <c r="E134" i="37"/>
  <c r="E55" i="37"/>
  <c r="I89" i="37"/>
  <c r="I89" i="18"/>
  <c r="I10" i="37"/>
  <c r="I10" i="18"/>
  <c r="I125" i="37"/>
  <c r="I125" i="18"/>
  <c r="I124" i="37"/>
  <c r="I113" i="37"/>
  <c r="I113" i="18"/>
  <c r="I68" i="37"/>
  <c r="I68" i="18"/>
  <c r="E137" i="37"/>
  <c r="I114" i="37"/>
  <c r="I96" i="37"/>
  <c r="E75" i="37"/>
  <c r="E49" i="37"/>
  <c r="I100" i="37"/>
  <c r="I100" i="18"/>
  <c r="E89" i="37"/>
  <c r="D114" i="4"/>
  <c r="I12" i="37"/>
  <c r="I12" i="18"/>
  <c r="I22" i="37"/>
  <c r="I22" i="18"/>
  <c r="I121" i="37"/>
  <c r="I121" i="18"/>
  <c r="I29" i="37"/>
  <c r="I29" i="18"/>
  <c r="I79" i="37"/>
  <c r="I79" i="18"/>
  <c r="I116" i="37"/>
  <c r="I35" i="37"/>
  <c r="I35" i="18"/>
  <c r="I75" i="37"/>
  <c r="E135" i="37"/>
  <c r="I112" i="37"/>
  <c r="I108" i="37"/>
  <c r="I108" i="18"/>
  <c r="E10" i="37"/>
  <c r="E10" i="18"/>
  <c r="E57" i="37"/>
  <c r="I7" i="37"/>
  <c r="I7" i="18"/>
  <c r="E96" i="37"/>
  <c r="E136" i="37"/>
  <c r="L114" i="33"/>
  <c r="H77" i="23"/>
  <c r="K77" i="23"/>
  <c r="D47" i="21"/>
  <c r="D47" i="20"/>
  <c r="L107" i="29"/>
  <c r="L134" i="26"/>
  <c r="L109" i="23"/>
  <c r="L113" i="33"/>
  <c r="L12" i="33"/>
  <c r="D56" i="22"/>
  <c r="E100" i="37"/>
  <c r="E122" i="37"/>
  <c r="E78" i="37"/>
  <c r="E114" i="37"/>
  <c r="E9" i="37"/>
  <c r="E124" i="37"/>
  <c r="E8" i="37"/>
  <c r="E67" i="37"/>
  <c r="E109" i="37"/>
  <c r="E116" i="37"/>
  <c r="E125" i="37"/>
  <c r="E99" i="37"/>
  <c r="E112" i="37"/>
  <c r="E110" i="37"/>
  <c r="E107" i="37"/>
  <c r="E88" i="37"/>
  <c r="E86" i="37"/>
  <c r="E108" i="37"/>
  <c r="E120" i="37"/>
  <c r="D47" i="38"/>
  <c r="L96" i="33"/>
  <c r="L113" i="29"/>
  <c r="L89" i="23"/>
  <c r="L75" i="33"/>
  <c r="L136" i="34"/>
  <c r="L68" i="33"/>
  <c r="L68" i="23"/>
  <c r="L28" i="24"/>
  <c r="H98" i="29"/>
  <c r="K98" i="29"/>
  <c r="L22" i="23"/>
  <c r="L120" i="33"/>
  <c r="K87" i="29"/>
  <c r="L137" i="26"/>
  <c r="D47" i="40"/>
  <c r="L28" i="23"/>
  <c r="L12" i="29"/>
  <c r="D53" i="13"/>
  <c r="K87" i="33"/>
  <c r="K87" i="23"/>
  <c r="L89" i="33"/>
  <c r="H87" i="29"/>
  <c r="L135" i="34"/>
  <c r="L10" i="29"/>
  <c r="L7" i="33"/>
  <c r="H66" i="23"/>
  <c r="L35" i="29"/>
  <c r="D56" i="39"/>
  <c r="L11" i="35"/>
  <c r="H87" i="35"/>
  <c r="L116" i="29"/>
  <c r="L11" i="29"/>
  <c r="H111" i="13"/>
  <c r="L35" i="23"/>
  <c r="N135" i="8"/>
  <c r="C12" i="9"/>
  <c r="N11" i="8" s="1"/>
  <c r="N112" i="8"/>
  <c r="C25" i="9"/>
  <c r="N24" i="8" s="1"/>
  <c r="C15" i="9"/>
  <c r="N14" i="8" s="1"/>
  <c r="C23" i="9"/>
  <c r="N22" i="8" s="1"/>
  <c r="C28" i="9"/>
  <c r="N27" i="8" s="1"/>
  <c r="K111" i="13"/>
  <c r="L107" i="33"/>
  <c r="L100" i="33"/>
  <c r="N138" i="8"/>
  <c r="M112" i="8"/>
  <c r="L108" i="13"/>
  <c r="D56" i="40"/>
  <c r="N139" i="8"/>
  <c r="L109" i="35"/>
  <c r="H119" i="23"/>
  <c r="L116" i="33"/>
  <c r="C21" i="9"/>
  <c r="N20" i="8" s="1"/>
  <c r="D53" i="22"/>
  <c r="L35" i="33"/>
  <c r="L8" i="16"/>
  <c r="L67" i="29"/>
  <c r="L29" i="20"/>
  <c r="L116" i="23"/>
  <c r="L12" i="35"/>
  <c r="L108" i="23"/>
  <c r="L28" i="25"/>
  <c r="L9" i="16"/>
  <c r="H98" i="13"/>
  <c r="K111" i="29"/>
  <c r="L7" i="16"/>
  <c r="D53" i="16"/>
  <c r="D56" i="25"/>
  <c r="L117" i="33"/>
  <c r="L10" i="35"/>
  <c r="L12" i="13"/>
  <c r="K66" i="35"/>
  <c r="D56" i="16"/>
  <c r="N133" i="8"/>
  <c r="L99" i="23"/>
  <c r="L7" i="20"/>
  <c r="K119" i="13"/>
  <c r="M113" i="8"/>
  <c r="K66" i="23"/>
  <c r="K87" i="35"/>
  <c r="M109" i="8"/>
  <c r="L11" i="33"/>
  <c r="H119" i="13"/>
  <c r="L22" i="16"/>
  <c r="L29" i="16"/>
  <c r="C16" i="9"/>
  <c r="N15" i="8" s="1"/>
  <c r="L10" i="16"/>
  <c r="D47" i="16"/>
  <c r="L28" i="16"/>
  <c r="N137" i="8"/>
  <c r="L7" i="13"/>
  <c r="N132" i="8"/>
  <c r="B29" i="9"/>
  <c r="M28" i="8" s="1"/>
  <c r="M114" i="8"/>
  <c r="M137" i="8"/>
  <c r="N111" i="8"/>
  <c r="N134" i="8"/>
  <c r="N140" i="8"/>
  <c r="C29" i="9"/>
  <c r="N28" i="8" s="1"/>
  <c r="C22" i="9"/>
  <c r="N21" i="8" s="1"/>
  <c r="C19" i="9"/>
  <c r="N18" i="8" s="1"/>
  <c r="M111" i="8"/>
  <c r="B11" i="9"/>
  <c r="B17" i="9"/>
  <c r="M16" i="8" s="1"/>
  <c r="M115" i="8"/>
  <c r="H119" i="33"/>
  <c r="L125" i="33"/>
  <c r="L121" i="23"/>
  <c r="M135" i="8"/>
  <c r="L116" i="13"/>
  <c r="N114" i="8"/>
  <c r="L10" i="33"/>
  <c r="C20" i="9"/>
  <c r="N19" i="8" s="1"/>
  <c r="B20" i="9"/>
  <c r="M19" i="8" s="1"/>
  <c r="L22" i="13"/>
  <c r="L107" i="13"/>
  <c r="L10" i="13"/>
  <c r="L121" i="33"/>
  <c r="C26" i="9"/>
  <c r="N25" i="8" s="1"/>
  <c r="H87" i="23"/>
  <c r="L29" i="24"/>
  <c r="L7" i="23"/>
  <c r="H87" i="33"/>
  <c r="L120" i="29"/>
  <c r="D47" i="22"/>
  <c r="L11" i="23"/>
  <c r="L117" i="29"/>
  <c r="K119" i="23"/>
  <c r="L34" i="13"/>
  <c r="M139" i="8"/>
  <c r="B22" i="9"/>
  <c r="M21" i="8" s="1"/>
  <c r="B21" i="9"/>
  <c r="M20" i="8" s="1"/>
  <c r="L22" i="24"/>
  <c r="L7" i="19"/>
  <c r="N109" i="8"/>
  <c r="M110" i="8"/>
  <c r="C10" i="9"/>
  <c r="L11" i="13"/>
  <c r="C11" i="9"/>
  <c r="N10" i="8" s="1"/>
  <c r="M132" i="8"/>
  <c r="C30" i="9"/>
  <c r="N29" i="8" s="1"/>
  <c r="F14" i="10"/>
  <c r="E48" i="39"/>
  <c r="E48" i="16"/>
  <c r="I89" i="13"/>
  <c r="I89" i="29"/>
  <c r="I89" i="35"/>
  <c r="I89" i="33"/>
  <c r="I89" i="23"/>
  <c r="G23" i="10"/>
  <c r="I35" i="23"/>
  <c r="I35" i="29"/>
  <c r="I35" i="35"/>
  <c r="I35" i="33"/>
  <c r="I35" i="13"/>
  <c r="G42" i="10"/>
  <c r="I134" i="26"/>
  <c r="G15" i="10"/>
  <c r="I10" i="23"/>
  <c r="I10" i="35"/>
  <c r="I10" i="29"/>
  <c r="I10" i="33"/>
  <c r="I10" i="13"/>
  <c r="G20" i="10"/>
  <c r="E49" i="39"/>
  <c r="E49" i="16"/>
  <c r="I23" i="33"/>
  <c r="I23" i="13"/>
  <c r="I23" i="23"/>
  <c r="I23" i="29"/>
  <c r="I23" i="35"/>
  <c r="E54" i="39"/>
  <c r="C25" i="10"/>
  <c r="C31" i="10"/>
  <c r="C9" i="10"/>
  <c r="C23" i="10"/>
  <c r="G44" i="10"/>
  <c r="C41" i="10"/>
  <c r="I86" i="23"/>
  <c r="I86" i="29"/>
  <c r="I86" i="33"/>
  <c r="I86" i="35"/>
  <c r="C21" i="10"/>
  <c r="C33" i="10"/>
  <c r="C16" i="10"/>
  <c r="H18" i="9"/>
  <c r="N65" i="8" s="1"/>
  <c r="B16" i="9"/>
  <c r="M15" i="8" s="1"/>
  <c r="M140" i="8"/>
  <c r="B12" i="9"/>
  <c r="M11" i="8" s="1"/>
  <c r="H68" i="9"/>
  <c r="H19" i="9"/>
  <c r="N66" i="8" s="1"/>
  <c r="M134" i="8"/>
  <c r="N110" i="8"/>
  <c r="I29" i="33"/>
  <c r="I29" i="23"/>
  <c r="I29" i="29"/>
  <c r="I29" i="13"/>
  <c r="I29" i="35"/>
  <c r="G21" i="10"/>
  <c r="I25" i="23"/>
  <c r="I25" i="29"/>
  <c r="I25" i="33"/>
  <c r="I25" i="13"/>
  <c r="I30" i="23"/>
  <c r="I30" i="29"/>
  <c r="I30" i="35"/>
  <c r="I30" i="33"/>
  <c r="I30" i="13"/>
  <c r="C30" i="10"/>
  <c r="I107" i="13"/>
  <c r="I107" i="29"/>
  <c r="I107" i="35"/>
  <c r="I107" i="33"/>
  <c r="C44" i="10"/>
  <c r="I75" i="33"/>
  <c r="G14" i="10"/>
  <c r="I32" i="13"/>
  <c r="I32" i="23"/>
  <c r="I32" i="29"/>
  <c r="I32" i="33"/>
  <c r="I100" i="13"/>
  <c r="I100" i="23"/>
  <c r="I100" i="29"/>
  <c r="I100" i="33"/>
  <c r="I22" i="23"/>
  <c r="I22" i="29"/>
  <c r="I22" i="35"/>
  <c r="I22" i="33"/>
  <c r="I22" i="13"/>
  <c r="G10" i="10"/>
  <c r="C34" i="10"/>
  <c r="I121" i="13"/>
  <c r="I121" i="23"/>
  <c r="I121" i="35"/>
  <c r="I121" i="33"/>
  <c r="I121" i="29"/>
  <c r="I113" i="23"/>
  <c r="I113" i="13"/>
  <c r="I113" i="35"/>
  <c r="I113" i="33"/>
  <c r="I113" i="29"/>
  <c r="I108" i="13"/>
  <c r="M138" i="8"/>
  <c r="N113" i="8"/>
  <c r="B41" i="9"/>
  <c r="B15" i="9"/>
  <c r="M14" i="8" s="1"/>
  <c r="B31" i="9"/>
  <c r="M30" i="8" s="1"/>
  <c r="G44" i="9"/>
  <c r="G70" i="9" s="1"/>
  <c r="H22" i="9"/>
  <c r="N69" i="8" s="1"/>
  <c r="C17" i="9"/>
  <c r="N16" i="8" s="1"/>
  <c r="B30" i="9"/>
  <c r="M29" i="8" s="1"/>
  <c r="H28" i="9"/>
  <c r="N74" i="8" s="1"/>
  <c r="B40" i="9"/>
  <c r="B19" i="9"/>
  <c r="M18" i="8" s="1"/>
  <c r="I136" i="26"/>
  <c r="G33" i="10"/>
  <c r="I7" i="29"/>
  <c r="I7" i="33"/>
  <c r="I7" i="23"/>
  <c r="I7" i="35"/>
  <c r="I7" i="13"/>
  <c r="G9" i="10"/>
  <c r="B45" i="10"/>
  <c r="I31" i="35"/>
  <c r="I31" i="13"/>
  <c r="I31" i="33"/>
  <c r="I31" i="23"/>
  <c r="I31" i="29"/>
  <c r="C45" i="10"/>
  <c r="C42" i="10"/>
  <c r="I24" i="13"/>
  <c r="I24" i="33"/>
  <c r="I24" i="23"/>
  <c r="C15" i="10"/>
  <c r="B28" i="9"/>
  <c r="M27" i="8" s="1"/>
  <c r="H17" i="9"/>
  <c r="M133" i="8"/>
  <c r="B45" i="9"/>
  <c r="G43" i="9"/>
  <c r="G69" i="9" s="1"/>
  <c r="N115" i="8"/>
  <c r="C18" i="9"/>
  <c r="N17" i="8" s="1"/>
  <c r="H30" i="9"/>
  <c r="N76" i="8" s="1"/>
  <c r="C13" i="10"/>
  <c r="F44" i="10"/>
  <c r="I135" i="26"/>
  <c r="G25" i="10"/>
  <c r="I96" i="33"/>
  <c r="G24" i="10"/>
  <c r="C14" i="10"/>
  <c r="I68" i="23"/>
  <c r="I68" i="29"/>
  <c r="I68" i="35"/>
  <c r="I68" i="33"/>
  <c r="I68" i="13"/>
  <c r="G13" i="10"/>
  <c r="G136" i="4"/>
  <c r="F33" i="10"/>
  <c r="I79" i="13"/>
  <c r="I79" i="23"/>
  <c r="I79" i="33"/>
  <c r="I79" i="29"/>
  <c r="I109" i="13"/>
  <c r="I109" i="35"/>
  <c r="I109" i="29"/>
  <c r="I109" i="23"/>
  <c r="I109" i="33"/>
  <c r="I12" i="29"/>
  <c r="I12" i="33"/>
  <c r="I12" i="35"/>
  <c r="I12" i="23"/>
  <c r="I12" i="13"/>
  <c r="G41" i="10"/>
  <c r="I11" i="13"/>
  <c r="I11" i="23"/>
  <c r="I11" i="35"/>
  <c r="I11" i="33"/>
  <c r="G30" i="10"/>
  <c r="I11" i="29"/>
  <c r="F24" i="10"/>
  <c r="I125" i="13"/>
  <c r="I125" i="23"/>
  <c r="I125" i="35"/>
  <c r="I125" i="29"/>
  <c r="I125" i="33"/>
  <c r="C26" i="10"/>
  <c r="I34" i="13"/>
  <c r="I34" i="35"/>
  <c r="I34" i="23"/>
  <c r="I34" i="29"/>
  <c r="I34" i="33"/>
  <c r="G31" i="10"/>
  <c r="D96" i="4"/>
  <c r="B24" i="10"/>
  <c r="C24" i="10"/>
  <c r="I117" i="13"/>
  <c r="I117" i="23"/>
  <c r="I117" i="35"/>
  <c r="I117" i="29"/>
  <c r="I117" i="33"/>
  <c r="C10" i="10"/>
  <c r="C20" i="10"/>
  <c r="D75" i="4"/>
  <c r="B14" i="10"/>
  <c r="E57" i="39"/>
  <c r="L120" i="23"/>
  <c r="L67" i="23"/>
  <c r="H98" i="33"/>
  <c r="L22" i="35"/>
  <c r="L100" i="13"/>
  <c r="D53" i="39"/>
  <c r="L109" i="29"/>
  <c r="L7" i="29"/>
  <c r="L28" i="29"/>
  <c r="L117" i="23"/>
  <c r="H98" i="23"/>
  <c r="L10" i="20"/>
  <c r="K98" i="13"/>
  <c r="L29" i="13"/>
  <c r="G41" i="9"/>
  <c r="G62" i="9" s="1"/>
  <c r="B18" i="9"/>
  <c r="M17" i="8" s="1"/>
  <c r="G42" i="9"/>
  <c r="G66" i="9" s="1"/>
  <c r="B23" i="9"/>
  <c r="M22" i="8" s="1"/>
  <c r="H16" i="9"/>
  <c r="N64" i="8" s="1"/>
  <c r="B26" i="9"/>
  <c r="M25" i="8" s="1"/>
  <c r="N32" i="8"/>
  <c r="G39" i="9"/>
  <c r="G56" i="9" s="1"/>
  <c r="H26" i="9"/>
  <c r="N73" i="8" s="1"/>
  <c r="B25" i="9"/>
  <c r="M24" i="8" s="1"/>
  <c r="H25" i="9"/>
  <c r="N72" i="8" s="1"/>
  <c r="L22" i="20"/>
  <c r="L109" i="33"/>
  <c r="L99" i="33"/>
  <c r="H111" i="29"/>
  <c r="L10" i="23"/>
  <c r="L28" i="13"/>
  <c r="L89" i="35"/>
  <c r="D56" i="13"/>
  <c r="L35" i="35"/>
  <c r="L99" i="29"/>
  <c r="K119" i="33"/>
  <c r="L88" i="33"/>
  <c r="L79" i="33"/>
  <c r="L34" i="29"/>
  <c r="H66" i="33"/>
  <c r="L78" i="33"/>
  <c r="L67" i="13"/>
  <c r="H66" i="35"/>
  <c r="L109" i="13"/>
  <c r="L112" i="13"/>
  <c r="L35" i="13"/>
  <c r="L79" i="29"/>
  <c r="L86" i="29"/>
  <c r="L7" i="22"/>
  <c r="K66" i="33"/>
  <c r="L89" i="29"/>
  <c r="L12" i="23"/>
  <c r="H87" i="13"/>
  <c r="L120" i="13"/>
  <c r="L68" i="13"/>
  <c r="L7" i="25"/>
  <c r="L134" i="34"/>
  <c r="L108" i="29"/>
  <c r="L34" i="35"/>
  <c r="D53" i="25"/>
  <c r="L112" i="33"/>
  <c r="L29" i="33"/>
  <c r="L121" i="29"/>
  <c r="L29" i="29"/>
  <c r="H111" i="23"/>
  <c r="L86" i="35"/>
  <c r="L112" i="29"/>
  <c r="L68" i="29"/>
  <c r="L136" i="26"/>
  <c r="D47" i="25"/>
  <c r="L112" i="23"/>
  <c r="L113" i="13"/>
  <c r="L117" i="13"/>
  <c r="L68" i="35"/>
  <c r="L86" i="33"/>
  <c r="H119" i="29"/>
  <c r="L100" i="29"/>
  <c r="L34" i="33"/>
  <c r="L125" i="29"/>
  <c r="L29" i="35"/>
  <c r="L88" i="29"/>
  <c r="L78" i="29"/>
  <c r="L88" i="23"/>
  <c r="L125" i="23"/>
  <c r="L113" i="23"/>
  <c r="H111" i="33"/>
  <c r="L107" i="35"/>
  <c r="D47" i="51"/>
  <c r="D47" i="26"/>
  <c r="L7" i="24"/>
  <c r="L29" i="23"/>
  <c r="L28" i="20"/>
  <c r="K119" i="35"/>
  <c r="L100" i="23"/>
  <c r="L79" i="23"/>
  <c r="L67" i="33"/>
  <c r="L22" i="33"/>
  <c r="L22" i="29"/>
  <c r="J77" i="29"/>
  <c r="K98" i="23"/>
  <c r="L10" i="24"/>
  <c r="L78" i="23"/>
  <c r="L34" i="23"/>
  <c r="L124" i="13"/>
  <c r="L79" i="13"/>
  <c r="L89" i="13"/>
  <c r="L99" i="13"/>
  <c r="L125" i="13"/>
  <c r="L78" i="13"/>
  <c r="K66" i="13"/>
  <c r="L86" i="13"/>
  <c r="K87" i="13"/>
  <c r="J77" i="13"/>
  <c r="L88" i="13"/>
  <c r="H66" i="13"/>
  <c r="D47" i="13"/>
  <c r="J87" i="35"/>
  <c r="D66" i="33"/>
  <c r="J66" i="33"/>
  <c r="J98" i="23"/>
  <c r="D98" i="23"/>
  <c r="D111" i="33"/>
  <c r="J111" i="33"/>
  <c r="J111" i="35"/>
  <c r="D66" i="13"/>
  <c r="J66" i="13"/>
  <c r="K111" i="33"/>
  <c r="K111" i="35"/>
  <c r="J111" i="29"/>
  <c r="D111" i="29"/>
  <c r="J111" i="23"/>
  <c r="D111" i="23"/>
  <c r="J87" i="13"/>
  <c r="D87" i="13"/>
  <c r="J119" i="33"/>
  <c r="D119" i="33"/>
  <c r="D77" i="29"/>
  <c r="K77" i="29"/>
  <c r="J66" i="35"/>
  <c r="D77" i="13"/>
  <c r="K77" i="13"/>
  <c r="J66" i="29"/>
  <c r="J87" i="33"/>
  <c r="D87" i="33"/>
  <c r="D119" i="29"/>
  <c r="J119" i="29"/>
  <c r="D98" i="33"/>
  <c r="J98" i="33"/>
  <c r="J87" i="29"/>
  <c r="D87" i="29"/>
  <c r="J87" i="23"/>
  <c r="D87" i="23"/>
  <c r="K119" i="29"/>
  <c r="K111" i="23"/>
  <c r="D119" i="13"/>
  <c r="J119" i="13"/>
  <c r="D98" i="13"/>
  <c r="J98" i="13"/>
  <c r="D111" i="13"/>
  <c r="J111" i="13"/>
  <c r="J98" i="29"/>
  <c r="D98" i="29"/>
  <c r="J119" i="35"/>
  <c r="H66" i="29"/>
  <c r="D119" i="23"/>
  <c r="J119" i="23"/>
  <c r="J66" i="23"/>
  <c r="D66" i="23"/>
  <c r="D77" i="33"/>
  <c r="J77" i="33"/>
  <c r="L77" i="33" s="1"/>
  <c r="J77" i="23"/>
  <c r="D77" i="23"/>
  <c r="D66" i="29"/>
  <c r="K66" i="29"/>
  <c r="E48" i="38"/>
  <c r="E88" i="33"/>
  <c r="E108" i="33"/>
  <c r="E22" i="33"/>
  <c r="E99" i="33"/>
  <c r="E9" i="33"/>
  <c r="E110" i="33"/>
  <c r="E122" i="33"/>
  <c r="E75" i="33"/>
  <c r="E126" i="33"/>
  <c r="E116" i="33"/>
  <c r="E10" i="33"/>
  <c r="E79" i="33"/>
  <c r="E7" i="33"/>
  <c r="E89" i="33"/>
  <c r="E100" i="33"/>
  <c r="E125" i="33"/>
  <c r="E68" i="33"/>
  <c r="E96" i="33"/>
  <c r="E8" i="33"/>
  <c r="E78" i="33"/>
  <c r="E67" i="33"/>
  <c r="E112" i="33"/>
  <c r="E109" i="33"/>
  <c r="E114" i="33"/>
  <c r="E121" i="33"/>
  <c r="E120" i="33"/>
  <c r="E113" i="33"/>
  <c r="E99" i="29"/>
  <c r="E9" i="29"/>
  <c r="E48" i="34"/>
  <c r="E86" i="29"/>
  <c r="E117" i="29"/>
  <c r="E134" i="34"/>
  <c r="E68" i="29"/>
  <c r="E88" i="29"/>
  <c r="E108" i="29"/>
  <c r="E116" i="29"/>
  <c r="E22" i="29"/>
  <c r="E10" i="29"/>
  <c r="E79" i="29"/>
  <c r="E135" i="34"/>
  <c r="E7" i="29"/>
  <c r="E89" i="29"/>
  <c r="E100" i="29"/>
  <c r="E107" i="29"/>
  <c r="E136" i="34"/>
  <c r="E8" i="29"/>
  <c r="E78" i="29"/>
  <c r="E67" i="29"/>
  <c r="E112" i="29"/>
  <c r="E109" i="29"/>
  <c r="E120" i="29"/>
  <c r="E113" i="29"/>
  <c r="E48" i="40"/>
  <c r="E57" i="40"/>
  <c r="E54" i="40"/>
  <c r="E9" i="51"/>
  <c r="E48" i="51"/>
  <c r="E22" i="51"/>
  <c r="E10" i="51"/>
  <c r="E7" i="51"/>
  <c r="E8" i="51"/>
  <c r="E9" i="25"/>
  <c r="E57" i="25"/>
  <c r="E48" i="25"/>
  <c r="E48" i="26"/>
  <c r="E137" i="26"/>
  <c r="E49" i="26"/>
  <c r="E54" i="25"/>
  <c r="E135" i="26"/>
  <c r="E7" i="25"/>
  <c r="E136" i="26"/>
  <c r="E134" i="26"/>
  <c r="E8" i="25"/>
  <c r="E99" i="23"/>
  <c r="E9" i="24"/>
  <c r="E86" i="23"/>
  <c r="E88" i="23"/>
  <c r="E108" i="23"/>
  <c r="E116" i="23"/>
  <c r="E22" i="23"/>
  <c r="E22" i="24"/>
  <c r="E10" i="24"/>
  <c r="E7" i="24"/>
  <c r="E107" i="23"/>
  <c r="E8" i="24"/>
  <c r="E78" i="23"/>
  <c r="E67" i="23"/>
  <c r="E112" i="23"/>
  <c r="E120" i="23"/>
  <c r="E9" i="22"/>
  <c r="E48" i="21"/>
  <c r="E48" i="22"/>
  <c r="E57" i="21"/>
  <c r="E57" i="22"/>
  <c r="E49" i="22"/>
  <c r="E54" i="21"/>
  <c r="E54" i="22"/>
  <c r="E7" i="22"/>
  <c r="E8" i="22"/>
  <c r="E22" i="20"/>
  <c r="E10" i="20"/>
  <c r="E7" i="19"/>
  <c r="E7" i="20"/>
  <c r="E9" i="19"/>
  <c r="E9" i="20"/>
  <c r="E48" i="19"/>
  <c r="E48" i="20"/>
  <c r="E8" i="19"/>
  <c r="E8" i="20"/>
  <c r="E99" i="13"/>
  <c r="E9" i="13"/>
  <c r="E48" i="13"/>
  <c r="E86" i="13"/>
  <c r="E88" i="13"/>
  <c r="E124" i="13"/>
  <c r="E108" i="13"/>
  <c r="E116" i="13"/>
  <c r="E22" i="13"/>
  <c r="E10" i="13"/>
  <c r="E57" i="13"/>
  <c r="E11" i="13"/>
  <c r="E54" i="13"/>
  <c r="E7" i="13"/>
  <c r="E89" i="13"/>
  <c r="E100" i="13"/>
  <c r="E107" i="13"/>
  <c r="E12" i="13"/>
  <c r="E8" i="13"/>
  <c r="E78" i="13"/>
  <c r="E67" i="13"/>
  <c r="E112" i="13"/>
  <c r="E109" i="13"/>
  <c r="E120" i="13"/>
  <c r="D116" i="4"/>
  <c r="D108" i="4"/>
  <c r="D117" i="4"/>
  <c r="D124" i="4"/>
  <c r="D125" i="4"/>
  <c r="D109" i="4"/>
  <c r="E22" i="16"/>
  <c r="E9" i="16"/>
  <c r="D22" i="4"/>
  <c r="D136" i="4"/>
  <c r="D57" i="4"/>
  <c r="E10" i="16"/>
  <c r="G22" i="4"/>
  <c r="D113" i="4"/>
  <c r="D137" i="4"/>
  <c r="D10" i="4"/>
  <c r="D112" i="4"/>
  <c r="D55" i="4"/>
  <c r="D120" i="4"/>
  <c r="D7" i="4"/>
  <c r="E7" i="16"/>
  <c r="D68" i="4"/>
  <c r="D8" i="4"/>
  <c r="E8" i="16"/>
  <c r="D134" i="4"/>
  <c r="G7" i="4"/>
  <c r="D48" i="4"/>
  <c r="D54" i="4"/>
  <c r="D49" i="4"/>
  <c r="D12" i="4"/>
  <c r="D11" i="4"/>
  <c r="G12" i="4"/>
  <c r="G34" i="4"/>
  <c r="D121" i="4"/>
  <c r="G11" i="4"/>
  <c r="H22" i="4"/>
  <c r="G29" i="4"/>
  <c r="D67" i="4"/>
  <c r="D100" i="4"/>
  <c r="G10" i="4"/>
  <c r="D89" i="4"/>
  <c r="G35" i="4"/>
  <c r="D99" i="4"/>
  <c r="D86" i="4"/>
  <c r="D107" i="4"/>
  <c r="D135" i="4"/>
  <c r="G135" i="4"/>
  <c r="G134" i="4"/>
  <c r="D78" i="4"/>
  <c r="D88" i="4"/>
  <c r="D79" i="4"/>
  <c r="D9" i="4"/>
  <c r="G98" i="4" l="1"/>
  <c r="F32" i="10"/>
  <c r="G111" i="4"/>
  <c r="B22" i="10"/>
  <c r="H87" i="4"/>
  <c r="F43" i="10"/>
  <c r="G119" i="4"/>
  <c r="G77" i="4"/>
  <c r="C34" i="9"/>
  <c r="H34" i="9"/>
  <c r="M10" i="8"/>
  <c r="B34" i="9"/>
  <c r="G34" i="9"/>
  <c r="M32" i="8"/>
  <c r="G55" i="9"/>
  <c r="G76" i="9" s="1"/>
  <c r="E47" i="78"/>
  <c r="I14" i="9"/>
  <c r="H55" i="9"/>
  <c r="N9" i="8"/>
  <c r="E56" i="76"/>
  <c r="E47" i="76"/>
  <c r="E47" i="77"/>
  <c r="E53" i="76"/>
  <c r="E53" i="77"/>
  <c r="B55" i="9"/>
  <c r="L98" i="33"/>
  <c r="C55" i="9"/>
  <c r="N13" i="8"/>
  <c r="D14" i="9"/>
  <c r="E47" i="72"/>
  <c r="E47" i="74"/>
  <c r="L119" i="35"/>
  <c r="E87" i="18"/>
  <c r="E66" i="18"/>
  <c r="L77" i="23"/>
  <c r="I77" i="29"/>
  <c r="I77" i="23"/>
  <c r="I77" i="13"/>
  <c r="I77" i="33"/>
  <c r="L111" i="35"/>
  <c r="E56" i="37"/>
  <c r="I111" i="37"/>
  <c r="I111" i="18"/>
  <c r="I98" i="18"/>
  <c r="E77" i="18"/>
  <c r="I77" i="18"/>
  <c r="E119" i="37"/>
  <c r="E119" i="18"/>
  <c r="I119" i="37"/>
  <c r="I119" i="18"/>
  <c r="E47" i="37"/>
  <c r="E47" i="18"/>
  <c r="E98" i="18"/>
  <c r="I87" i="37"/>
  <c r="I87" i="18"/>
  <c r="E111" i="37"/>
  <c r="E111" i="18"/>
  <c r="E53" i="37"/>
  <c r="I66" i="37"/>
  <c r="I66" i="18"/>
  <c r="I77" i="37"/>
  <c r="L87" i="29"/>
  <c r="E97" i="33"/>
  <c r="E97" i="29"/>
  <c r="E97" i="37"/>
  <c r="E97" i="13"/>
  <c r="I98" i="37"/>
  <c r="L119" i="13"/>
  <c r="E76" i="33"/>
  <c r="E76" i="29"/>
  <c r="E76" i="37"/>
  <c r="E76" i="13"/>
  <c r="E66" i="37"/>
  <c r="E87" i="33"/>
  <c r="E87" i="37"/>
  <c r="E98" i="37"/>
  <c r="E77" i="37"/>
  <c r="L111" i="29"/>
  <c r="L111" i="13"/>
  <c r="L87" i="33"/>
  <c r="L98" i="29"/>
  <c r="L119" i="23"/>
  <c r="L87" i="23"/>
  <c r="L98" i="23"/>
  <c r="E87" i="13"/>
  <c r="E87" i="23"/>
  <c r="D98" i="4"/>
  <c r="L66" i="35"/>
  <c r="E98" i="29"/>
  <c r="E98" i="33"/>
  <c r="L119" i="33"/>
  <c r="L98" i="13"/>
  <c r="L66" i="33"/>
  <c r="L87" i="35"/>
  <c r="L66" i="23"/>
  <c r="L66" i="13"/>
  <c r="E66" i="23"/>
  <c r="E66" i="13"/>
  <c r="E66" i="29"/>
  <c r="E66" i="33"/>
  <c r="L111" i="33"/>
  <c r="D87" i="4"/>
  <c r="E98" i="23"/>
  <c r="E87" i="29"/>
  <c r="C43" i="10"/>
  <c r="I119" i="13"/>
  <c r="I119" i="23"/>
  <c r="I119" i="29"/>
  <c r="I119" i="35"/>
  <c r="I119" i="33"/>
  <c r="G43" i="10"/>
  <c r="F22" i="10"/>
  <c r="I98" i="13"/>
  <c r="I98" i="23"/>
  <c r="I98" i="29"/>
  <c r="I98" i="33"/>
  <c r="D66" i="4"/>
  <c r="B12" i="10"/>
  <c r="I66" i="13"/>
  <c r="I66" i="29"/>
  <c r="I66" i="35"/>
  <c r="I66" i="33"/>
  <c r="G12" i="10"/>
  <c r="I66" i="23"/>
  <c r="G66" i="4"/>
  <c r="F12" i="10"/>
  <c r="E53" i="39"/>
  <c r="C38" i="10"/>
  <c r="E53" i="16"/>
  <c r="I111" i="13"/>
  <c r="I111" i="23"/>
  <c r="I111" i="29"/>
  <c r="I111" i="35"/>
  <c r="I111" i="33"/>
  <c r="G32" i="10"/>
  <c r="E56" i="39"/>
  <c r="E56" i="16"/>
  <c r="C49" i="10"/>
  <c r="C32" i="10"/>
  <c r="C22" i="10"/>
  <c r="E47" i="39"/>
  <c r="C11" i="10"/>
  <c r="E47" i="16"/>
  <c r="C12" i="10"/>
  <c r="I87" i="13"/>
  <c r="I87" i="29"/>
  <c r="I87" i="23"/>
  <c r="I87" i="33"/>
  <c r="I87" i="35"/>
  <c r="G22" i="10"/>
  <c r="L87" i="13"/>
  <c r="L119" i="29"/>
  <c r="L66" i="29"/>
  <c r="L77" i="29"/>
  <c r="L111" i="23"/>
  <c r="E98" i="13"/>
  <c r="L77" i="13"/>
  <c r="E47" i="38"/>
  <c r="E77" i="33"/>
  <c r="E111" i="33"/>
  <c r="E119" i="33"/>
  <c r="E47" i="34"/>
  <c r="E119" i="29"/>
  <c r="E77" i="29"/>
  <c r="E111" i="29"/>
  <c r="E53" i="40"/>
  <c r="E56" i="40"/>
  <c r="E47" i="40"/>
  <c r="E47" i="51"/>
  <c r="E53" i="25"/>
  <c r="E47" i="25"/>
  <c r="E47" i="26"/>
  <c r="E56" i="25"/>
  <c r="E119" i="23"/>
  <c r="E77" i="23"/>
  <c r="E111" i="23"/>
  <c r="E56" i="21"/>
  <c r="E56" i="22"/>
  <c r="E47" i="21"/>
  <c r="E47" i="22"/>
  <c r="E53" i="21"/>
  <c r="E53" i="22"/>
  <c r="E47" i="19"/>
  <c r="E47" i="20"/>
  <c r="E53" i="13"/>
  <c r="E77" i="13"/>
  <c r="E56" i="13"/>
  <c r="E111" i="13"/>
  <c r="E47" i="13"/>
  <c r="E119" i="13"/>
  <c r="D111" i="4"/>
  <c r="D77" i="4"/>
  <c r="D119" i="4"/>
  <c r="D53" i="4"/>
  <c r="D56" i="4"/>
  <c r="D47" i="4"/>
  <c r="E24" i="9" l="1"/>
  <c r="E9" i="9"/>
  <c r="J26" i="9"/>
  <c r="J18" i="9"/>
  <c r="J33" i="9"/>
  <c r="J25" i="9"/>
  <c r="J17" i="9"/>
  <c r="J32" i="9"/>
  <c r="J24" i="9"/>
  <c r="J16" i="9"/>
  <c r="J31" i="9"/>
  <c r="J23" i="9"/>
  <c r="J15" i="9"/>
  <c r="J21" i="9"/>
  <c r="J30" i="9"/>
  <c r="J22" i="9"/>
  <c r="J14" i="9"/>
  <c r="J28" i="9"/>
  <c r="J20" i="9"/>
  <c r="J12" i="9"/>
  <c r="J27" i="9"/>
  <c r="J19" i="9"/>
  <c r="J11" i="9"/>
  <c r="J29" i="9"/>
  <c r="J13" i="9"/>
  <c r="I55" i="9"/>
  <c r="D55" i="9"/>
  <c r="C60" i="10"/>
  <c r="H107" i="4"/>
  <c r="H114" i="4"/>
  <c r="H116" i="4"/>
  <c r="H98" i="4" l="1"/>
  <c r="H117" i="4"/>
  <c r="H99" i="4"/>
  <c r="H24" i="4"/>
  <c r="H78" i="4"/>
  <c r="D9" i="10"/>
  <c r="H124" i="4"/>
  <c r="H112" i="4"/>
  <c r="H88" i="4"/>
  <c r="H9" i="4"/>
  <c r="H8" i="4"/>
  <c r="H79" i="4"/>
  <c r="H122" i="4"/>
  <c r="H14" i="10"/>
  <c r="H37" i="4"/>
  <c r="H121" i="4"/>
  <c r="I121" i="4"/>
  <c r="I112" i="4"/>
  <c r="I9" i="4"/>
  <c r="I109" i="4"/>
  <c r="K49" i="10"/>
  <c r="H113" i="4"/>
  <c r="I108" i="4"/>
  <c r="H11" i="4"/>
  <c r="I122" i="4"/>
  <c r="I79" i="4"/>
  <c r="I100" i="4"/>
  <c r="H110" i="4"/>
  <c r="H25" i="4"/>
  <c r="H125" i="4"/>
  <c r="H86" i="4"/>
  <c r="H42" i="10"/>
  <c r="H21" i="10"/>
  <c r="I120" i="4"/>
  <c r="H109" i="4"/>
  <c r="I32" i="4"/>
  <c r="I67" i="4"/>
  <c r="K11" i="10"/>
  <c r="I23" i="4"/>
  <c r="H22" i="10"/>
  <c r="H108" i="4"/>
  <c r="H10" i="4"/>
  <c r="I126" i="4"/>
  <c r="I77" i="4"/>
  <c r="I88" i="4"/>
  <c r="I117" i="4"/>
  <c r="H67" i="4"/>
  <c r="H12" i="10"/>
  <c r="I116" i="4"/>
  <c r="H120" i="4"/>
  <c r="I110" i="4"/>
  <c r="I113" i="4"/>
  <c r="I78" i="4"/>
  <c r="K26" i="10"/>
  <c r="I98" i="4"/>
  <c r="I99" i="4"/>
  <c r="K9" i="10"/>
  <c r="H77" i="4"/>
  <c r="H24" i="10"/>
  <c r="I31" i="4"/>
  <c r="I24" i="4"/>
  <c r="H126" i="4"/>
  <c r="J126" i="4" s="1"/>
  <c r="K16" i="10"/>
  <c r="I30" i="4"/>
  <c r="H36" i="4"/>
  <c r="K45" i="10"/>
  <c r="H39" i="4"/>
  <c r="I107" i="4"/>
  <c r="I8" i="4"/>
  <c r="I114" i="4"/>
  <c r="I86" i="4"/>
  <c r="H10" i="10"/>
  <c r="I124" i="4"/>
  <c r="H100" i="4"/>
  <c r="H7" i="4"/>
  <c r="H23" i="4"/>
  <c r="H15" i="10"/>
  <c r="I125" i="4"/>
  <c r="M28" i="79" l="1"/>
  <c r="M8" i="79"/>
  <c r="M9" i="79"/>
  <c r="M9" i="72"/>
  <c r="M8" i="74"/>
  <c r="J23" i="4"/>
  <c r="J24" i="4"/>
  <c r="J110" i="4"/>
  <c r="M67" i="37"/>
  <c r="M67" i="18"/>
  <c r="M107" i="37"/>
  <c r="M32" i="37"/>
  <c r="M32" i="18"/>
  <c r="M79" i="37"/>
  <c r="M79" i="18"/>
  <c r="M124" i="37"/>
  <c r="M88" i="37"/>
  <c r="M88" i="18"/>
  <c r="M78" i="37"/>
  <c r="M78" i="18"/>
  <c r="M100" i="37"/>
  <c r="M100" i="18"/>
  <c r="M86" i="37"/>
  <c r="M122" i="37"/>
  <c r="M109" i="37"/>
  <c r="M109" i="18"/>
  <c r="M99" i="37"/>
  <c r="M99" i="18"/>
  <c r="M113" i="37"/>
  <c r="M113" i="18"/>
  <c r="M117" i="37"/>
  <c r="M117" i="18"/>
  <c r="M28" i="37"/>
  <c r="M28" i="18"/>
  <c r="M114" i="37"/>
  <c r="M98" i="18"/>
  <c r="M110" i="37"/>
  <c r="M9" i="37"/>
  <c r="M9" i="18"/>
  <c r="M31" i="37"/>
  <c r="M31" i="18"/>
  <c r="M8" i="37"/>
  <c r="M8" i="18"/>
  <c r="M24" i="37"/>
  <c r="M108" i="37"/>
  <c r="M108" i="18"/>
  <c r="M112" i="37"/>
  <c r="M112" i="18"/>
  <c r="J122" i="4"/>
  <c r="M23" i="37"/>
  <c r="M23" i="18"/>
  <c r="M121" i="37"/>
  <c r="M121" i="18"/>
  <c r="M125" i="37"/>
  <c r="M125" i="18"/>
  <c r="M30" i="37"/>
  <c r="M30" i="18"/>
  <c r="M116" i="37"/>
  <c r="M77" i="18"/>
  <c r="M120" i="37"/>
  <c r="M120" i="18"/>
  <c r="J114" i="4"/>
  <c r="M98" i="37"/>
  <c r="M97" i="37"/>
  <c r="M97" i="13"/>
  <c r="M97" i="29"/>
  <c r="M97" i="33"/>
  <c r="M77" i="37"/>
  <c r="M76" i="37"/>
  <c r="M76" i="33"/>
  <c r="M76" i="29"/>
  <c r="M76" i="13"/>
  <c r="M24" i="13"/>
  <c r="M24" i="24"/>
  <c r="M24" i="23"/>
  <c r="M24" i="33"/>
  <c r="M24" i="29"/>
  <c r="M88" i="13"/>
  <c r="M88" i="29"/>
  <c r="M88" i="23"/>
  <c r="M88" i="33"/>
  <c r="M28" i="20"/>
  <c r="M28" i="25"/>
  <c r="M28" i="23"/>
  <c r="M28" i="24"/>
  <c r="M28" i="51"/>
  <c r="M28" i="29"/>
  <c r="M28" i="16"/>
  <c r="M28" i="13"/>
  <c r="M121" i="23"/>
  <c r="M121" i="13"/>
  <c r="M121" i="29"/>
  <c r="M121" i="33"/>
  <c r="M121" i="35"/>
  <c r="M125" i="23"/>
  <c r="M125" i="13"/>
  <c r="M125" i="29"/>
  <c r="M125" i="33"/>
  <c r="M125" i="35"/>
  <c r="M124" i="13"/>
  <c r="M114" i="33"/>
  <c r="M31" i="23"/>
  <c r="M31" i="13"/>
  <c r="M31" i="24"/>
  <c r="M31" i="35"/>
  <c r="M31" i="29"/>
  <c r="M31" i="33"/>
  <c r="M78" i="23"/>
  <c r="M78" i="13"/>
  <c r="M78" i="29"/>
  <c r="M78" i="33"/>
  <c r="M113" i="23"/>
  <c r="M113" i="13"/>
  <c r="M113" i="29"/>
  <c r="M113" i="33"/>
  <c r="M113" i="35"/>
  <c r="J116" i="4"/>
  <c r="M116" i="13"/>
  <c r="M116" i="23"/>
  <c r="M116" i="29"/>
  <c r="M116" i="33"/>
  <c r="M117" i="23"/>
  <c r="M117" i="13"/>
  <c r="M117" i="29"/>
  <c r="M117" i="33"/>
  <c r="M117" i="35"/>
  <c r="M23" i="20"/>
  <c r="M23" i="23"/>
  <c r="M23" i="13"/>
  <c r="M23" i="35"/>
  <c r="M23" i="29"/>
  <c r="M23" i="33"/>
  <c r="M32" i="13"/>
  <c r="M32" i="33"/>
  <c r="M32" i="23"/>
  <c r="M32" i="29"/>
  <c r="M79" i="13"/>
  <c r="M79" i="23"/>
  <c r="M79" i="33"/>
  <c r="M79" i="29"/>
  <c r="M8" i="20"/>
  <c r="M8" i="13"/>
  <c r="M8" i="22"/>
  <c r="M8" i="24"/>
  <c r="M8" i="51"/>
  <c r="M8" i="25"/>
  <c r="M8" i="29"/>
  <c r="M8" i="33"/>
  <c r="M8" i="19"/>
  <c r="M8" i="16"/>
  <c r="M30" i="20"/>
  <c r="M30" i="13"/>
  <c r="M30" i="23"/>
  <c r="M30" i="33"/>
  <c r="M30" i="29"/>
  <c r="M30" i="35"/>
  <c r="M99" i="23"/>
  <c r="M99" i="29"/>
  <c r="M99" i="13"/>
  <c r="M99" i="33"/>
  <c r="M110" i="33"/>
  <c r="M120" i="13"/>
  <c r="M120" i="23"/>
  <c r="M120" i="29"/>
  <c r="M120" i="33"/>
  <c r="M100" i="13"/>
  <c r="M100" i="29"/>
  <c r="M100" i="33"/>
  <c r="M100" i="23"/>
  <c r="M122" i="33"/>
  <c r="M108" i="13"/>
  <c r="M108" i="23"/>
  <c r="M108" i="33"/>
  <c r="M108" i="29"/>
  <c r="M9" i="19"/>
  <c r="M9" i="25"/>
  <c r="M9" i="20"/>
  <c r="M9" i="22"/>
  <c r="M9" i="51"/>
  <c r="M9" i="13"/>
  <c r="M9" i="16"/>
  <c r="M9" i="29"/>
  <c r="M9" i="24"/>
  <c r="M9" i="33"/>
  <c r="M86" i="23"/>
  <c r="M86" i="35"/>
  <c r="M86" i="29"/>
  <c r="M86" i="13"/>
  <c r="M86" i="33"/>
  <c r="J107" i="4"/>
  <c r="M107" i="23"/>
  <c r="M107" i="13"/>
  <c r="M107" i="35"/>
  <c r="M107" i="29"/>
  <c r="M107" i="33"/>
  <c r="M98" i="13"/>
  <c r="M98" i="23"/>
  <c r="M98" i="29"/>
  <c r="M98" i="33"/>
  <c r="M77" i="13"/>
  <c r="M77" i="23"/>
  <c r="M77" i="29"/>
  <c r="M77" i="33"/>
  <c r="M126" i="33"/>
  <c r="M67" i="13"/>
  <c r="M67" i="23"/>
  <c r="M67" i="29"/>
  <c r="M67" i="33"/>
  <c r="M109" i="13"/>
  <c r="M109" i="23"/>
  <c r="M109" i="29"/>
  <c r="M109" i="35"/>
  <c r="M109" i="33"/>
  <c r="M112" i="13"/>
  <c r="M112" i="23"/>
  <c r="M112" i="33"/>
  <c r="M112" i="29"/>
  <c r="J108" i="4"/>
  <c r="M42" i="8"/>
  <c r="D42" i="9"/>
  <c r="H67" i="9"/>
  <c r="B69" i="9"/>
  <c r="M43" i="8"/>
  <c r="D43" i="9"/>
  <c r="M39" i="8"/>
  <c r="C56" i="9"/>
  <c r="H53" i="9"/>
  <c r="N45" i="8"/>
  <c r="B73" i="9"/>
  <c r="D31" i="9"/>
  <c r="D16" i="9"/>
  <c r="B57" i="9"/>
  <c r="D23" i="9"/>
  <c r="B64" i="9"/>
  <c r="M37" i="8"/>
  <c r="B46" i="9"/>
  <c r="D37" i="9"/>
  <c r="I25" i="9"/>
  <c r="H57" i="9"/>
  <c r="C51" i="9"/>
  <c r="B72" i="9"/>
  <c r="D30" i="9"/>
  <c r="M86" i="8"/>
  <c r="I21" i="9"/>
  <c r="N42" i="8"/>
  <c r="C53" i="9"/>
  <c r="C64" i="9"/>
  <c r="B62" i="9"/>
  <c r="D21" i="9"/>
  <c r="H58" i="9"/>
  <c r="N41" i="8"/>
  <c r="N40" i="8"/>
  <c r="C71" i="9"/>
  <c r="H56" i="9"/>
  <c r="N44" i="8"/>
  <c r="M45" i="8"/>
  <c r="D45" i="9"/>
  <c r="B71" i="9"/>
  <c r="I33" i="9"/>
  <c r="C52" i="9"/>
  <c r="M85" i="8"/>
  <c r="I38" i="9"/>
  <c r="H61" i="9"/>
  <c r="D44" i="9"/>
  <c r="M44" i="8"/>
  <c r="H64" i="9"/>
  <c r="I22" i="9"/>
  <c r="D15" i="9"/>
  <c r="B56" i="9"/>
  <c r="N86" i="8"/>
  <c r="B67" i="9"/>
  <c r="D26" i="9"/>
  <c r="C62" i="9"/>
  <c r="D33" i="9"/>
  <c r="D11" i="9"/>
  <c r="B52" i="9"/>
  <c r="M87" i="8"/>
  <c r="I40" i="9"/>
  <c r="H60" i="9"/>
  <c r="I28" i="9"/>
  <c r="H70" i="9"/>
  <c r="H71" i="9"/>
  <c r="N92" i="8"/>
  <c r="B51" i="9"/>
  <c r="D10" i="9"/>
  <c r="N43" i="8"/>
  <c r="C69" i="9"/>
  <c r="H66" i="9"/>
  <c r="N87" i="8"/>
  <c r="H52" i="9"/>
  <c r="C58" i="9"/>
  <c r="I42" i="9"/>
  <c r="M89" i="8"/>
  <c r="B60" i="9"/>
  <c r="D19" i="9"/>
  <c r="N89" i="8"/>
  <c r="C73" i="9"/>
  <c r="I43" i="9"/>
  <c r="M90" i="8"/>
  <c r="C70" i="9"/>
  <c r="D22" i="9"/>
  <c r="B63" i="9"/>
  <c r="C59" i="9"/>
  <c r="N91" i="8"/>
  <c r="C46" i="9"/>
  <c r="N37" i="8"/>
  <c r="M41" i="8"/>
  <c r="D41" i="9"/>
  <c r="I26" i="9"/>
  <c r="N39" i="8"/>
  <c r="B66" i="9"/>
  <c r="D25" i="9"/>
  <c r="D38" i="9"/>
  <c r="M38" i="8"/>
  <c r="N88" i="8"/>
  <c r="D29" i="9"/>
  <c r="H46" i="9"/>
  <c r="N84" i="8"/>
  <c r="C67" i="9"/>
  <c r="N38" i="8"/>
  <c r="B59" i="9"/>
  <c r="D18" i="9"/>
  <c r="C63" i="9"/>
  <c r="N85" i="8"/>
  <c r="C72" i="9"/>
  <c r="I41" i="9"/>
  <c r="M88" i="8"/>
  <c r="D12" i="9"/>
  <c r="B53" i="9"/>
  <c r="C57" i="9"/>
  <c r="I37" i="9"/>
  <c r="G46" i="9"/>
  <c r="F27" i="10" s="1"/>
  <c r="M84" i="8"/>
  <c r="C60" i="9"/>
  <c r="H69" i="9"/>
  <c r="N90" i="8"/>
  <c r="D28" i="9"/>
  <c r="B70" i="9"/>
  <c r="H59" i="9"/>
  <c r="M91" i="8"/>
  <c r="I44" i="9"/>
  <c r="H63" i="9"/>
  <c r="D20" i="9"/>
  <c r="B61" i="9"/>
  <c r="H72" i="9"/>
  <c r="C61" i="9"/>
  <c r="M92" i="8"/>
  <c r="I45" i="9"/>
  <c r="M40" i="8"/>
  <c r="D40" i="9"/>
  <c r="D27" i="9"/>
  <c r="B58" i="9"/>
  <c r="D17" i="9"/>
  <c r="I15" i="9"/>
  <c r="I29" i="9"/>
  <c r="I18" i="9"/>
  <c r="C66" i="9"/>
  <c r="I19" i="9"/>
  <c r="J109" i="4"/>
  <c r="J117" i="4"/>
  <c r="J125" i="4"/>
  <c r="J124" i="4"/>
  <c r="J120" i="4"/>
  <c r="J8" i="4"/>
  <c r="J112" i="4"/>
  <c r="J78" i="4"/>
  <c r="J9" i="4"/>
  <c r="J67" i="4"/>
  <c r="J86" i="4"/>
  <c r="J113" i="4"/>
  <c r="J88" i="4"/>
  <c r="J99" i="4"/>
  <c r="J100" i="4"/>
  <c r="J121" i="4"/>
  <c r="J77" i="4"/>
  <c r="J79" i="4"/>
  <c r="J98" i="4"/>
  <c r="K21" i="10"/>
  <c r="H75" i="4"/>
  <c r="H25" i="10"/>
  <c r="G55" i="10"/>
  <c r="H136" i="4"/>
  <c r="H96" i="4"/>
  <c r="K42" i="10"/>
  <c r="G53" i="10"/>
  <c r="H29" i="4"/>
  <c r="H89" i="4"/>
  <c r="K12" i="10"/>
  <c r="K14" i="10"/>
  <c r="K23" i="10"/>
  <c r="H111" i="4"/>
  <c r="K44" i="10"/>
  <c r="K24" i="10"/>
  <c r="G46" i="10"/>
  <c r="H43" i="10"/>
  <c r="H31" i="4"/>
  <c r="J31" i="4" s="1"/>
  <c r="H32" i="4"/>
  <c r="J32" i="4" s="1"/>
  <c r="J10" i="10"/>
  <c r="D10" i="10"/>
  <c r="J24" i="10"/>
  <c r="D24" i="10"/>
  <c r="I25" i="4"/>
  <c r="B60" i="10"/>
  <c r="D38" i="10"/>
  <c r="J38" i="10"/>
  <c r="I37" i="4"/>
  <c r="F55" i="10"/>
  <c r="H33" i="10"/>
  <c r="D23" i="10"/>
  <c r="J23" i="10"/>
  <c r="H34" i="4"/>
  <c r="H134" i="4"/>
  <c r="J14" i="10"/>
  <c r="D14" i="10"/>
  <c r="I87" i="4"/>
  <c r="J11" i="10"/>
  <c r="L11" i="10" s="1"/>
  <c r="D11" i="10"/>
  <c r="K32" i="10"/>
  <c r="C54" i="10"/>
  <c r="K15" i="10"/>
  <c r="H41" i="10"/>
  <c r="F46" i="10"/>
  <c r="D42" i="10"/>
  <c r="J42" i="10"/>
  <c r="C52" i="10"/>
  <c r="C35" i="10"/>
  <c r="K30" i="10"/>
  <c r="H23" i="10"/>
  <c r="K25" i="10"/>
  <c r="D33" i="10"/>
  <c r="B55" i="10"/>
  <c r="J33" i="10"/>
  <c r="D45" i="10"/>
  <c r="J45" i="10"/>
  <c r="L45" i="10" s="1"/>
  <c r="J16" i="10"/>
  <c r="L16" i="10" s="1"/>
  <c r="D16" i="10"/>
  <c r="I75" i="4"/>
  <c r="I137" i="4"/>
  <c r="D22" i="10"/>
  <c r="J22" i="10"/>
  <c r="G54" i="10"/>
  <c r="J31" i="10"/>
  <c r="B53" i="10"/>
  <c r="D31" i="10"/>
  <c r="J15" i="10"/>
  <c r="D15" i="10"/>
  <c r="I96" i="4"/>
  <c r="H20" i="10"/>
  <c r="K22" i="10"/>
  <c r="K10" i="10"/>
  <c r="D44" i="10"/>
  <c r="J44" i="10"/>
  <c r="I111" i="4"/>
  <c r="C55" i="10"/>
  <c r="K33" i="10"/>
  <c r="J13" i="10"/>
  <c r="D13" i="10"/>
  <c r="K13" i="10"/>
  <c r="H35" i="4"/>
  <c r="C56" i="10"/>
  <c r="K56" i="10" s="1"/>
  <c r="K34" i="10"/>
  <c r="I119" i="4"/>
  <c r="F35" i="10"/>
  <c r="F52" i="10"/>
  <c r="H30" i="10"/>
  <c r="I135" i="4"/>
  <c r="I29" i="4"/>
  <c r="H31" i="10"/>
  <c r="F53" i="10"/>
  <c r="I89" i="4"/>
  <c r="J32" i="10"/>
  <c r="D32" i="10"/>
  <c r="B54" i="10"/>
  <c r="I66" i="4"/>
  <c r="J20" i="10"/>
  <c r="D20" i="10"/>
  <c r="B56" i="10"/>
  <c r="J34" i="10"/>
  <c r="H66" i="4"/>
  <c r="H32" i="10"/>
  <c r="F54" i="10"/>
  <c r="I22" i="4"/>
  <c r="K41" i="10"/>
  <c r="C46" i="10"/>
  <c r="H119" i="4"/>
  <c r="H137" i="4"/>
  <c r="I136" i="4"/>
  <c r="H68" i="4"/>
  <c r="I68" i="4"/>
  <c r="K43" i="10"/>
  <c r="I10" i="4"/>
  <c r="H12" i="4"/>
  <c r="J26" i="10"/>
  <c r="L26" i="10" s="1"/>
  <c r="D26" i="10"/>
  <c r="I34" i="4"/>
  <c r="H9" i="10"/>
  <c r="J9" i="10"/>
  <c r="L9" i="10" s="1"/>
  <c r="J49" i="10"/>
  <c r="L49" i="10" s="1"/>
  <c r="D49" i="10"/>
  <c r="D21" i="10"/>
  <c r="J21" i="10"/>
  <c r="I39" i="4"/>
  <c r="I36" i="4"/>
  <c r="B35" i="10"/>
  <c r="J30" i="10"/>
  <c r="B52" i="10"/>
  <c r="D30" i="10"/>
  <c r="I7" i="4"/>
  <c r="K60" i="10"/>
  <c r="K38" i="10"/>
  <c r="H13" i="10"/>
  <c r="G35" i="10"/>
  <c r="G52" i="10"/>
  <c r="I35" i="4"/>
  <c r="D12" i="10"/>
  <c r="J12" i="10"/>
  <c r="I12" i="4"/>
  <c r="D43" i="10"/>
  <c r="J43" i="10"/>
  <c r="I134" i="4"/>
  <c r="I11" i="4"/>
  <c r="K20" i="10"/>
  <c r="D25" i="10"/>
  <c r="J25" i="10"/>
  <c r="D41" i="10"/>
  <c r="J41" i="10"/>
  <c r="B46" i="10"/>
  <c r="K31" i="10"/>
  <c r="C53" i="10"/>
  <c r="L41" i="9"/>
  <c r="B76" i="9" l="1"/>
  <c r="H76" i="9"/>
  <c r="J65" i="9" s="1"/>
  <c r="M22" i="79"/>
  <c r="M29" i="79"/>
  <c r="M10" i="79"/>
  <c r="M7" i="79"/>
  <c r="J9" i="9"/>
  <c r="J74" i="9"/>
  <c r="B17" i="10"/>
  <c r="L17" i="9"/>
  <c r="M38" i="9"/>
  <c r="N19" i="9"/>
  <c r="M29" i="9"/>
  <c r="N37" i="9"/>
  <c r="J50" i="9" l="1"/>
  <c r="J54" i="9"/>
  <c r="M7" i="72"/>
  <c r="M7" i="74"/>
  <c r="J41" i="9"/>
  <c r="E37" i="9"/>
  <c r="M33" i="9"/>
  <c r="L40" i="9"/>
  <c r="M27" i="9"/>
  <c r="L10" i="9"/>
  <c r="O19" i="9"/>
  <c r="N30" i="9"/>
  <c r="L33" i="9"/>
  <c r="O12" i="9"/>
  <c r="N14" i="9"/>
  <c r="N43" i="9"/>
  <c r="O23" i="9"/>
  <c r="M39" i="9"/>
  <c r="L12" i="9"/>
  <c r="L23" i="9"/>
  <c r="N28" i="9"/>
  <c r="L43" i="9"/>
  <c r="L20" i="9"/>
  <c r="N32" i="9"/>
  <c r="L42" i="9"/>
  <c r="N10" i="9"/>
  <c r="L14" i="9"/>
  <c r="N21" i="9"/>
  <c r="N16" i="9"/>
  <c r="L21" i="9"/>
  <c r="O25" i="9"/>
  <c r="O30" i="9"/>
  <c r="M37" i="9"/>
  <c r="M12" i="9"/>
  <c r="M19" i="9"/>
  <c r="O45" i="9"/>
  <c r="O33" i="9"/>
  <c r="O43" i="9"/>
  <c r="M16" i="9"/>
  <c r="M22" i="9"/>
  <c r="N22" i="9"/>
  <c r="L22" i="9"/>
  <c r="O31" i="9"/>
  <c r="N20" i="9"/>
  <c r="M25" i="9"/>
  <c r="L16" i="9"/>
  <c r="L25" i="9"/>
  <c r="L29" i="9"/>
  <c r="M11" i="9"/>
  <c r="O29" i="9"/>
  <c r="O10" i="9"/>
  <c r="M41" i="9"/>
  <c r="O42" i="9"/>
  <c r="O40" i="9"/>
  <c r="N31" i="9"/>
  <c r="O28" i="9"/>
  <c r="N39" i="9"/>
  <c r="N11" i="9"/>
  <c r="N25" i="9"/>
  <c r="L38" i="9"/>
  <c r="N41" i="9"/>
  <c r="O27" i="9"/>
  <c r="L31" i="9"/>
  <c r="L27" i="9"/>
  <c r="N33" i="9"/>
  <c r="L26" i="9"/>
  <c r="N18" i="9"/>
  <c r="O38" i="9"/>
  <c r="N40" i="9"/>
  <c r="M40" i="9"/>
  <c r="L37" i="9"/>
  <c r="M17" i="9"/>
  <c r="L45" i="9"/>
  <c r="O37" i="9"/>
  <c r="M31" i="9"/>
  <c r="M20" i="9"/>
  <c r="L11" i="9"/>
  <c r="N12" i="9"/>
  <c r="M14" i="9"/>
  <c r="O44" i="9"/>
  <c r="L30" i="9"/>
  <c r="N17" i="9"/>
  <c r="M44" i="9"/>
  <c r="O18" i="9"/>
  <c r="O39" i="9"/>
  <c r="M23" i="9"/>
  <c r="M21" i="9"/>
  <c r="L18" i="9"/>
  <c r="N44" i="9"/>
  <c r="N38" i="9"/>
  <c r="O16" i="9"/>
  <c r="M45" i="9"/>
  <c r="M10" i="9"/>
  <c r="O32" i="9"/>
  <c r="O41" i="9"/>
  <c r="N23" i="9"/>
  <c r="L44" i="9"/>
  <c r="O20" i="9"/>
  <c r="M18" i="9"/>
  <c r="N27" i="9"/>
  <c r="O17" i="9"/>
  <c r="O21" i="9"/>
  <c r="O14" i="9"/>
  <c r="N26" i="9"/>
  <c r="M28" i="9"/>
  <c r="O26" i="9"/>
  <c r="L39" i="9"/>
  <c r="N29" i="9"/>
  <c r="L28" i="9"/>
  <c r="M30" i="9"/>
  <c r="N45" i="9"/>
  <c r="M26" i="9"/>
  <c r="M42" i="9"/>
  <c r="M32" i="9"/>
  <c r="M43" i="9"/>
  <c r="N42" i="9"/>
  <c r="O22" i="9"/>
  <c r="O11" i="9"/>
  <c r="J25" i="4" l="1"/>
  <c r="M33" i="18"/>
  <c r="M33" i="35"/>
  <c r="M33" i="23"/>
  <c r="M33" i="33"/>
  <c r="M33" i="37"/>
  <c r="M33" i="29"/>
  <c r="M35" i="37"/>
  <c r="M35" i="18"/>
  <c r="M22" i="37"/>
  <c r="M22" i="18"/>
  <c r="M29" i="37"/>
  <c r="M29" i="18"/>
  <c r="M135" i="37"/>
  <c r="M37" i="37"/>
  <c r="M137" i="37"/>
  <c r="M66" i="37"/>
  <c r="M66" i="18"/>
  <c r="M111" i="37"/>
  <c r="M111" i="18"/>
  <c r="M10" i="37"/>
  <c r="M10" i="18"/>
  <c r="M136" i="37"/>
  <c r="M75" i="37"/>
  <c r="M134" i="37"/>
  <c r="M36" i="37"/>
  <c r="M12" i="37"/>
  <c r="M12" i="18"/>
  <c r="M89" i="37"/>
  <c r="M89" i="18"/>
  <c r="M87" i="37"/>
  <c r="M87" i="18"/>
  <c r="M25" i="37"/>
  <c r="M25" i="18"/>
  <c r="M11" i="37"/>
  <c r="M11" i="18"/>
  <c r="M7" i="37"/>
  <c r="M7" i="18"/>
  <c r="M34" i="37"/>
  <c r="M34" i="18"/>
  <c r="M119" i="37"/>
  <c r="M119" i="18"/>
  <c r="M68" i="37"/>
  <c r="M68" i="18"/>
  <c r="M96" i="37"/>
  <c r="L24" i="10"/>
  <c r="L14" i="10"/>
  <c r="J39" i="4"/>
  <c r="J75" i="4"/>
  <c r="J96" i="4"/>
  <c r="L15" i="10"/>
  <c r="L52" i="9"/>
  <c r="M46" i="9"/>
  <c r="M71" i="9"/>
  <c r="O70" i="9"/>
  <c r="L57" i="9"/>
  <c r="M52" i="9"/>
  <c r="M59" i="9"/>
  <c r="O59" i="9"/>
  <c r="N63" i="9"/>
  <c r="O73" i="9"/>
  <c r="O58" i="9"/>
  <c r="M63" i="9"/>
  <c r="N59" i="9"/>
  <c r="N56" i="9"/>
  <c r="O72" i="9"/>
  <c r="M70" i="9"/>
  <c r="L67" i="9"/>
  <c r="L61" i="9"/>
  <c r="L66" i="9"/>
  <c r="M75" i="9"/>
  <c r="L72" i="9"/>
  <c r="M50" i="9"/>
  <c r="M34" i="9"/>
  <c r="O57" i="9"/>
  <c r="L46" i="9"/>
  <c r="L56" i="9"/>
  <c r="O69" i="9"/>
  <c r="L51" i="9"/>
  <c r="M73" i="9"/>
  <c r="N50" i="9"/>
  <c r="N34" i="9"/>
  <c r="M64" i="9"/>
  <c r="O46" i="9"/>
  <c r="N58" i="9"/>
  <c r="O52" i="9"/>
  <c r="O51" i="9"/>
  <c r="L63" i="9"/>
  <c r="N69" i="9"/>
  <c r="N73" i="9"/>
  <c r="M66" i="9"/>
  <c r="O66" i="9"/>
  <c r="N71" i="9"/>
  <c r="O62" i="9"/>
  <c r="L64" i="9"/>
  <c r="L71" i="9"/>
  <c r="L60" i="9"/>
  <c r="N67" i="9"/>
  <c r="N57" i="9"/>
  <c r="L69" i="9"/>
  <c r="O63" i="9"/>
  <c r="O75" i="9"/>
  <c r="O71" i="9"/>
  <c r="L62" i="9"/>
  <c r="O67" i="9"/>
  <c r="N52" i="9"/>
  <c r="L75" i="9"/>
  <c r="N51" i="9"/>
  <c r="M72" i="9"/>
  <c r="N66" i="9"/>
  <c r="M57" i="9"/>
  <c r="M69" i="9"/>
  <c r="O50" i="9"/>
  <c r="O34" i="9"/>
  <c r="M61" i="9"/>
  <c r="M62" i="9"/>
  <c r="M51" i="9"/>
  <c r="N72" i="9"/>
  <c r="N53" i="9"/>
  <c r="O60" i="9"/>
  <c r="M60" i="9"/>
  <c r="L70" i="9"/>
  <c r="M56" i="9"/>
  <c r="M58" i="9"/>
  <c r="N46" i="9"/>
  <c r="N64" i="9"/>
  <c r="N60" i="9"/>
  <c r="M53" i="9"/>
  <c r="N75" i="9"/>
  <c r="N62" i="9"/>
  <c r="L34" i="9"/>
  <c r="L50" i="9"/>
  <c r="M67" i="9"/>
  <c r="L58" i="9"/>
  <c r="O61" i="9"/>
  <c r="O56" i="9"/>
  <c r="O53" i="9"/>
  <c r="N70" i="9"/>
  <c r="O64" i="9"/>
  <c r="L53" i="9"/>
  <c r="L42" i="10"/>
  <c r="J11" i="4"/>
  <c r="M11" i="13"/>
  <c r="M11" i="33"/>
  <c r="M11" i="23"/>
  <c r="M11" i="29"/>
  <c r="M11" i="35"/>
  <c r="J10" i="4"/>
  <c r="M10" i="20"/>
  <c r="M10" i="23"/>
  <c r="M10" i="13"/>
  <c r="M10" i="24"/>
  <c r="M10" i="35"/>
  <c r="M10" i="51"/>
  <c r="M10" i="16"/>
  <c r="M10" i="29"/>
  <c r="M10" i="33"/>
  <c r="M68" i="13"/>
  <c r="M68" i="23"/>
  <c r="M68" i="29"/>
  <c r="M68" i="35"/>
  <c r="M68" i="33"/>
  <c r="M136" i="26"/>
  <c r="M136" i="34"/>
  <c r="M119" i="23"/>
  <c r="M119" i="13"/>
  <c r="M119" i="35"/>
  <c r="M119" i="29"/>
  <c r="M119" i="33"/>
  <c r="M111" i="23"/>
  <c r="M111" i="35"/>
  <c r="M111" i="29"/>
  <c r="M111" i="13"/>
  <c r="M111" i="33"/>
  <c r="J7" i="4"/>
  <c r="M7" i="19"/>
  <c r="M7" i="13"/>
  <c r="M7" i="23"/>
  <c r="M7" i="22"/>
  <c r="M7" i="25"/>
  <c r="M7" i="20"/>
  <c r="M7" i="24"/>
  <c r="M7" i="29"/>
  <c r="M7" i="16"/>
  <c r="M7" i="51"/>
  <c r="M7" i="35"/>
  <c r="M7" i="33"/>
  <c r="J22" i="4"/>
  <c r="M22" i="20"/>
  <c r="M22" i="13"/>
  <c r="M22" i="24"/>
  <c r="M22" i="51"/>
  <c r="M22" i="23"/>
  <c r="M22" i="29"/>
  <c r="M22" i="35"/>
  <c r="M22" i="33"/>
  <c r="M22" i="16"/>
  <c r="M29" i="23"/>
  <c r="M29" i="13"/>
  <c r="M29" i="29"/>
  <c r="M29" i="51"/>
  <c r="M29" i="35"/>
  <c r="M29" i="24"/>
  <c r="M29" i="16"/>
  <c r="M29" i="20"/>
  <c r="M29" i="33"/>
  <c r="M137" i="26"/>
  <c r="M87" i="13"/>
  <c r="M87" i="23"/>
  <c r="M87" i="33"/>
  <c r="M87" i="29"/>
  <c r="M87" i="35"/>
  <c r="J10" i="9"/>
  <c r="J34" i="9" s="1"/>
  <c r="M35" i="13"/>
  <c r="M35" i="23"/>
  <c r="M35" i="29"/>
  <c r="M35" i="35"/>
  <c r="M35" i="33"/>
  <c r="M39" i="13"/>
  <c r="M34" i="13"/>
  <c r="M34" i="23"/>
  <c r="M34" i="29"/>
  <c r="M34" i="35"/>
  <c r="M34" i="33"/>
  <c r="M66" i="13"/>
  <c r="M66" i="35"/>
  <c r="M66" i="33"/>
  <c r="M66" i="23"/>
  <c r="M66" i="29"/>
  <c r="M89" i="13"/>
  <c r="M89" i="23"/>
  <c r="M89" i="29"/>
  <c r="M89" i="35"/>
  <c r="M89" i="33"/>
  <c r="M96" i="33"/>
  <c r="M75" i="33"/>
  <c r="J37" i="4"/>
  <c r="M37" i="13"/>
  <c r="I71" i="9"/>
  <c r="M134" i="26"/>
  <c r="M134" i="34"/>
  <c r="M12" i="13"/>
  <c r="M12" i="23"/>
  <c r="M12" i="29"/>
  <c r="M12" i="35"/>
  <c r="M12" i="33"/>
  <c r="J36" i="4"/>
  <c r="M36" i="13"/>
  <c r="L21" i="10"/>
  <c r="H53" i="10"/>
  <c r="M135" i="26"/>
  <c r="M135" i="34"/>
  <c r="M25" i="23"/>
  <c r="M25" i="13"/>
  <c r="M25" i="29"/>
  <c r="M25" i="33"/>
  <c r="L31" i="10"/>
  <c r="L22" i="10"/>
  <c r="L12" i="10"/>
  <c r="L10" i="10"/>
  <c r="I69" i="9"/>
  <c r="I66" i="9"/>
  <c r="I75" i="9"/>
  <c r="I59" i="9"/>
  <c r="I56" i="9"/>
  <c r="I34" i="9"/>
  <c r="I51" i="9"/>
  <c r="D69" i="9"/>
  <c r="D46" i="9"/>
  <c r="D51" i="9"/>
  <c r="G17" i="10"/>
  <c r="E40" i="9"/>
  <c r="E43" i="9"/>
  <c r="E38" i="9"/>
  <c r="E39" i="9"/>
  <c r="E45" i="9"/>
  <c r="E44" i="9"/>
  <c r="E42" i="9"/>
  <c r="F17" i="10"/>
  <c r="J17" i="10" s="1"/>
  <c r="E41" i="9"/>
  <c r="B27" i="10"/>
  <c r="J27" i="10" s="1"/>
  <c r="J37" i="9"/>
  <c r="J42" i="9"/>
  <c r="G27" i="10"/>
  <c r="H27" i="10" s="1"/>
  <c r="J55" i="9"/>
  <c r="C27" i="10"/>
  <c r="J43" i="9"/>
  <c r="J44" i="9"/>
  <c r="J38" i="9"/>
  <c r="J39" i="9"/>
  <c r="I46" i="9"/>
  <c r="J40" i="9"/>
  <c r="J45" i="9"/>
  <c r="J119" i="4"/>
  <c r="J137" i="4"/>
  <c r="J135" i="4"/>
  <c r="J111" i="4"/>
  <c r="J12" i="4"/>
  <c r="J66" i="4"/>
  <c r="J35" i="4"/>
  <c r="J134" i="4"/>
  <c r="J34" i="4"/>
  <c r="J136" i="4"/>
  <c r="J68" i="4"/>
  <c r="J89" i="4"/>
  <c r="J87" i="4"/>
  <c r="J29" i="4"/>
  <c r="K53" i="10"/>
  <c r="K55" i="10"/>
  <c r="L44" i="10"/>
  <c r="L23" i="10"/>
  <c r="H55" i="10"/>
  <c r="L30" i="10"/>
  <c r="G57" i="10"/>
  <c r="L32" i="10"/>
  <c r="H54" i="10"/>
  <c r="L43" i="10"/>
  <c r="K46" i="10"/>
  <c r="H46" i="10"/>
  <c r="L41" i="10"/>
  <c r="L13" i="10"/>
  <c r="L25" i="10"/>
  <c r="H30" i="4"/>
  <c r="J30" i="4" s="1"/>
  <c r="K54" i="10"/>
  <c r="L38" i="10"/>
  <c r="D46" i="10"/>
  <c r="J46" i="10"/>
  <c r="D52" i="10"/>
  <c r="J52" i="10"/>
  <c r="B57" i="10"/>
  <c r="J54" i="10"/>
  <c r="D54" i="10"/>
  <c r="F57" i="10"/>
  <c r="H52" i="10"/>
  <c r="L33" i="10"/>
  <c r="K35" i="10"/>
  <c r="L20" i="10"/>
  <c r="H35" i="10"/>
  <c r="J53" i="10"/>
  <c r="D53" i="10"/>
  <c r="D55" i="10"/>
  <c r="J55" i="10"/>
  <c r="K52" i="10"/>
  <c r="C57" i="10"/>
  <c r="J60" i="10"/>
  <c r="L60" i="10" s="1"/>
  <c r="D60" i="10"/>
  <c r="J35" i="10"/>
  <c r="D35" i="10"/>
  <c r="D56" i="10"/>
  <c r="J56" i="10"/>
  <c r="L56" i="10" s="1"/>
  <c r="L32" i="9"/>
  <c r="L19" i="9"/>
  <c r="N61" i="9" l="1"/>
  <c r="L59" i="9"/>
  <c r="L73" i="9"/>
  <c r="J73" i="9"/>
  <c r="J68" i="9"/>
  <c r="L55" i="10"/>
  <c r="M76" i="9"/>
  <c r="O76" i="9"/>
  <c r="L76" i="9"/>
  <c r="N76" i="9"/>
  <c r="L53" i="10"/>
  <c r="J46" i="9"/>
  <c r="I76" i="9"/>
  <c r="E46" i="9"/>
  <c r="H17" i="10"/>
  <c r="J59" i="9"/>
  <c r="J58" i="9"/>
  <c r="D27" i="10"/>
  <c r="K27" i="10"/>
  <c r="L27" i="10" s="1"/>
  <c r="J69" i="9"/>
  <c r="J53" i="9"/>
  <c r="J62" i="9"/>
  <c r="I62" i="9" s="1"/>
  <c r="J64" i="9"/>
  <c r="J52" i="9"/>
  <c r="I52" i="9" s="1"/>
  <c r="J60" i="9"/>
  <c r="I60" i="9" s="1"/>
  <c r="J66" i="9"/>
  <c r="J61" i="9"/>
  <c r="J67" i="9"/>
  <c r="I67" i="9" s="1"/>
  <c r="J56" i="9"/>
  <c r="J75" i="9"/>
  <c r="J72" i="9"/>
  <c r="J51" i="9"/>
  <c r="J63" i="9"/>
  <c r="I63" i="9" s="1"/>
  <c r="J57" i="9"/>
  <c r="J70" i="9"/>
  <c r="I70" i="9" s="1"/>
  <c r="J71" i="9"/>
  <c r="K57" i="10"/>
  <c r="H57" i="10"/>
  <c r="L46" i="10"/>
  <c r="L35" i="10"/>
  <c r="L54" i="10"/>
  <c r="J57" i="10"/>
  <c r="D57" i="10"/>
  <c r="L52" i="10"/>
  <c r="J76" i="9" l="1"/>
  <c r="L57" i="10"/>
  <c r="D32" i="9" l="1"/>
  <c r="N31" i="8" l="1"/>
  <c r="C74" i="9"/>
  <c r="D74" i="9" l="1"/>
  <c r="C76" i="9"/>
  <c r="E13" i="9"/>
  <c r="E27" i="9"/>
  <c r="D34" i="9"/>
  <c r="E25" i="9"/>
  <c r="E19" i="9"/>
  <c r="E15" i="9"/>
  <c r="E33" i="9"/>
  <c r="E22" i="9"/>
  <c r="E30" i="9"/>
  <c r="E16" i="9"/>
  <c r="E11" i="9"/>
  <c r="E10" i="9"/>
  <c r="E26" i="9"/>
  <c r="E14" i="9"/>
  <c r="C17" i="10"/>
  <c r="K17" i="10" s="1"/>
  <c r="L17" i="10" s="1"/>
  <c r="E28" i="9"/>
  <c r="E32" i="9"/>
  <c r="E20" i="9"/>
  <c r="E23" i="9"/>
  <c r="E18" i="9"/>
  <c r="E12" i="9"/>
  <c r="E29" i="9"/>
  <c r="E31" i="9"/>
  <c r="E17" i="9"/>
  <c r="E21" i="9"/>
  <c r="E74" i="9"/>
  <c r="E34" i="9" l="1"/>
  <c r="E54" i="9"/>
  <c r="E65" i="9"/>
  <c r="D76" i="9"/>
  <c r="E50" i="9"/>
  <c r="D17" i="10"/>
  <c r="E55" i="9"/>
  <c r="E64" i="9"/>
  <c r="D64" i="9" s="1"/>
  <c r="E75" i="9"/>
  <c r="D75" i="9" s="1"/>
  <c r="E60" i="9"/>
  <c r="D60" i="9" s="1"/>
  <c r="E67" i="9"/>
  <c r="D67" i="9" s="1"/>
  <c r="E70" i="9"/>
  <c r="D70" i="9" s="1"/>
  <c r="E58" i="9"/>
  <c r="D58" i="9" s="1"/>
  <c r="E62" i="9"/>
  <c r="D62" i="9" s="1"/>
  <c r="E53" i="9"/>
  <c r="D53" i="9" s="1"/>
  <c r="E63" i="9"/>
  <c r="D63" i="9" s="1"/>
  <c r="E52" i="9"/>
  <c r="D52" i="9" s="1"/>
  <c r="E59" i="9"/>
  <c r="D59" i="9" s="1"/>
  <c r="E51" i="9"/>
  <c r="E71" i="9"/>
  <c r="D71" i="9" s="1"/>
  <c r="E68" i="9"/>
  <c r="E56" i="9"/>
  <c r="D56" i="9" s="1"/>
  <c r="E73" i="9"/>
  <c r="D73" i="9" s="1"/>
  <c r="E61" i="9"/>
  <c r="D61" i="9" s="1"/>
  <c r="E72" i="9"/>
  <c r="D72" i="9" s="1"/>
  <c r="E57" i="9"/>
  <c r="D57" i="9" s="1"/>
  <c r="E66" i="9"/>
  <c r="D66" i="9" s="1"/>
  <c r="E69" i="9"/>
  <c r="E76"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Spørring - Data" description="Tilkobling til spørringen Data i arbeidsboken." type="5" refreshedVersion="7" background="1" refreshOnLoad="1">
    <dbPr connection="Provider=Microsoft.Mashup.OleDb.1;Data Source=$Workbook$;Location=Data;Extended Properties=&quot;&quot;" command="SELECT * FROM [Data]"/>
  </connection>
</connections>
</file>

<file path=xl/sharedStrings.xml><?xml version="1.0" encoding="utf-8"?>
<sst xmlns="http://schemas.openxmlformats.org/spreadsheetml/2006/main" count="5394" uniqueCount="438">
  <si>
    <t>Produkter uten investeringsvalg</t>
  </si>
  <si>
    <t>Produkter med investeringsvalg</t>
  </si>
  <si>
    <t>Totalt</t>
  </si>
  <si>
    <t>Endring</t>
  </si>
  <si>
    <t>i %</t>
  </si>
  <si>
    <t xml:space="preserve">                     </t>
  </si>
  <si>
    <t xml:space="preserve">      Gjeldsgruppeliv</t>
  </si>
  <si>
    <t xml:space="preserve">      Foreningsgruppeliv</t>
  </si>
  <si>
    <t xml:space="preserve">      Andre grupper</t>
  </si>
  <si>
    <t xml:space="preserve">   Ytelsesbasert</t>
  </si>
  <si>
    <t xml:space="preserve">   Innskuddsbasert</t>
  </si>
  <si>
    <t xml:space="preserve">      herav kapitaliseringsprodukt IPA+IPS</t>
  </si>
  <si>
    <t xml:space="preserve">        Inv.valg foretak</t>
  </si>
  <si>
    <t xml:space="preserve">        Inv.valg kontohaver</t>
  </si>
  <si>
    <t xml:space="preserve">    Til pensjonskasser</t>
  </si>
  <si>
    <t xml:space="preserve">    Fra pensjonskasser</t>
  </si>
  <si>
    <t>Noter til tabellene</t>
  </si>
  <si>
    <t>Gruppeliv bedrift tilsvarer tjenestegruppeliv.</t>
  </si>
  <si>
    <t>Gruppeliv privat består av foreningsgruppeliv, gjeldsgruppeliv og annet.</t>
  </si>
  <si>
    <t xml:space="preserve">Engangsbetalt alderspensjon er innskuddsbasert pensjon med dødelighetsarv. </t>
  </si>
  <si>
    <t>LOF/LOI betyr lov om foretakspensjon og lov om innskuddspensjon.</t>
  </si>
  <si>
    <t>Overførte reserver fra andre tilsvarer post 1.3 i resultatregnskapet samt overførte tilleggsavsetninger som tilsvarer post 6.6 i  resultatregnskapet.</t>
  </si>
  <si>
    <t>Flytting av en gruppelivsordning fra andre eller til andre måles i brutto årlig premie (ikke brutto forfalt premie).</t>
  </si>
  <si>
    <r>
      <t xml:space="preserve">Brutto forfalt premie </t>
    </r>
    <r>
      <rPr>
        <b/>
        <vertAlign val="superscript"/>
        <sz val="10"/>
        <rFont val="Times New Roman"/>
        <family val="1"/>
      </rPr>
      <t>1</t>
    </r>
  </si>
  <si>
    <r>
      <t xml:space="preserve">    Herav brutto risikopremie uførekapital </t>
    </r>
    <r>
      <rPr>
        <vertAlign val="superscript"/>
        <sz val="10"/>
        <rFont val="Times New Roman"/>
        <family val="1"/>
      </rPr>
      <t>2</t>
    </r>
  </si>
  <si>
    <r>
      <t xml:space="preserve">    Herav brutto risikopremie død </t>
    </r>
    <r>
      <rPr>
        <vertAlign val="superscript"/>
        <sz val="10"/>
        <rFont val="Times New Roman"/>
        <family val="1"/>
      </rPr>
      <t>2</t>
    </r>
  </si>
  <si>
    <t xml:space="preserve">   Etter tjenestepensjonsloven</t>
  </si>
  <si>
    <t>Tabell 5: Kommunale ordninger</t>
  </si>
  <si>
    <t>Tabell 1 : Individuell kapitalforsikring*</t>
  </si>
  <si>
    <t>Markeds-</t>
  </si>
  <si>
    <t>andel</t>
  </si>
  <si>
    <t>INNHOLDSFORTEGNELSE</t>
  </si>
  <si>
    <t>FIGURER</t>
  </si>
  <si>
    <t>Figur 1</t>
  </si>
  <si>
    <t>Brutto forfalt premie livprodukter - produkter uten investeringsvalg</t>
  </si>
  <si>
    <t>Figur 2</t>
  </si>
  <si>
    <t>Brutto forfalt premie livprodukter - produkter med investeringsvalg</t>
  </si>
  <si>
    <t>Figur 3</t>
  </si>
  <si>
    <t>Figur 4</t>
  </si>
  <si>
    <t>Figur 5</t>
  </si>
  <si>
    <t>Forsikringsforpliktelser livprodukter - produkter uten investeringsvalg</t>
  </si>
  <si>
    <t>Figur 6</t>
  </si>
  <si>
    <t>Forsikringsforpliktelser livprodukter - produkter med investeringsvalg</t>
  </si>
  <si>
    <t>Netto tilflytting livprodukter - produkter uten investeringsvalg</t>
  </si>
  <si>
    <t>Netto tilflytting livprodukter - produkter med investeringsvalg</t>
  </si>
  <si>
    <t>TABELLER</t>
  </si>
  <si>
    <t>MARKEDSDEL</t>
  </si>
  <si>
    <t>Tabell 1.1</t>
  </si>
  <si>
    <t>Hovedtall - produkter uten  og med investeringsvalg</t>
  </si>
  <si>
    <t>Tabell 1.2</t>
  </si>
  <si>
    <t>Hovedtall - fordelt på bransjer</t>
  </si>
  <si>
    <t>NOTER OG KOMMENTARER</t>
  </si>
  <si>
    <t>Tilbake</t>
  </si>
  <si>
    <t xml:space="preserve">Brutto forfalt premie livprodukter </t>
  </si>
  <si>
    <t>DNB Liv</t>
  </si>
  <si>
    <t>Eika Forsikring</t>
  </si>
  <si>
    <t>Frende Livsfors</t>
  </si>
  <si>
    <t>Frende Skade</t>
  </si>
  <si>
    <t>Gjensidige Fors</t>
  </si>
  <si>
    <t>Gjensidige Pensj</t>
  </si>
  <si>
    <t>Handelsb Liv</t>
  </si>
  <si>
    <t>If Skadefors</t>
  </si>
  <si>
    <t>KLP</t>
  </si>
  <si>
    <t>KLP Skadef</t>
  </si>
  <si>
    <t>Nordea Liv</t>
  </si>
  <si>
    <t>OPF</t>
  </si>
  <si>
    <t>SpareBank 1</t>
  </si>
  <si>
    <t xml:space="preserve">Storebrand </t>
  </si>
  <si>
    <t>Telenor Fors</t>
  </si>
  <si>
    <t>Tryg Fors</t>
  </si>
  <si>
    <t>SHB Liv</t>
  </si>
  <si>
    <t>Storebrand</t>
  </si>
  <si>
    <t>Forsikringsforpliktelser i livsforsikring</t>
  </si>
  <si>
    <t xml:space="preserve">Netto tilflytting </t>
  </si>
  <si>
    <t>Netto tilflytting</t>
  </si>
  <si>
    <t>Markedsdel, endelig år</t>
  </si>
  <si>
    <t>Tabell 1.1 Hovedtall</t>
  </si>
  <si>
    <t>Produkter med og uten investeringsvalg</t>
  </si>
  <si>
    <r>
      <t>Brutto forfalt premie</t>
    </r>
    <r>
      <rPr>
        <sz val="14"/>
        <rFont val="Times New Roman"/>
        <family val="1"/>
      </rPr>
      <t xml:space="preserve"> </t>
    </r>
    <r>
      <rPr>
        <vertAlign val="superscript"/>
        <sz val="14"/>
        <rFont val="Times New Roman"/>
        <family val="1"/>
      </rPr>
      <t>1)</t>
    </r>
  </si>
  <si>
    <t>%-</t>
  </si>
  <si>
    <t>Beløp i 1000  kroner</t>
  </si>
  <si>
    <t>endring</t>
  </si>
  <si>
    <t>DNB Livsforsikring</t>
  </si>
  <si>
    <t>Eika Forsikring AS</t>
  </si>
  <si>
    <t>Frende Livsforsikring</t>
  </si>
  <si>
    <t>Frende Skadeforsikring</t>
  </si>
  <si>
    <t>Gjensidige Forsikring</t>
  </si>
  <si>
    <t>Gjensidige Pensjon</t>
  </si>
  <si>
    <t>Handelsbanken Liv</t>
  </si>
  <si>
    <t>If Skadeforsikring NUF</t>
  </si>
  <si>
    <t>KLP Skadeforsikring AS</t>
  </si>
  <si>
    <t xml:space="preserve">Nordea Liv </t>
  </si>
  <si>
    <t>Oslo Pensjonsforsikring</t>
  </si>
  <si>
    <t>Storebrand Livsforsikring</t>
  </si>
  <si>
    <t>Telenor Forsikring</t>
  </si>
  <si>
    <t>Tryg Forsikring</t>
  </si>
  <si>
    <t>Totalt uten investeringsvalg</t>
  </si>
  <si>
    <t>Totalt med investeringsvalg</t>
  </si>
  <si>
    <t>Alle produkter</t>
  </si>
  <si>
    <t>Noter : Se "Noter og kommentarer"</t>
  </si>
  <si>
    <t>Tabell 1.2 Hovedtall</t>
  </si>
  <si>
    <t>Fordelt på bransjer</t>
  </si>
  <si>
    <t>Totalt alle produkter</t>
  </si>
  <si>
    <t>%</t>
  </si>
  <si>
    <t>Beløp i 1000 kr.</t>
  </si>
  <si>
    <r>
      <t xml:space="preserve">Brutto forfalt premie </t>
    </r>
    <r>
      <rPr>
        <vertAlign val="superscript"/>
        <sz val="14"/>
        <rFont val="Times New Roman"/>
        <family val="1"/>
      </rPr>
      <t>1)</t>
    </r>
  </si>
  <si>
    <t xml:space="preserve">   Individuell kapitalforsikring</t>
  </si>
  <si>
    <t xml:space="preserve">   Individuell pensjonsforsikring</t>
  </si>
  <si>
    <t xml:space="preserve">   Gruppeliv</t>
  </si>
  <si>
    <t xml:space="preserve">   Privat kollektiv pensjon</t>
  </si>
  <si>
    <t xml:space="preserve">     - herav innskuddsbasert *</t>
  </si>
  <si>
    <t xml:space="preserve">     - herav etter tjenestepensjonsloven</t>
  </si>
  <si>
    <t xml:space="preserve">   Foreningskollektiv</t>
  </si>
  <si>
    <t>Totalt brutto forfalt premie</t>
  </si>
  <si>
    <r>
      <t xml:space="preserve">     - herav innskuddsbasert </t>
    </r>
    <r>
      <rPr>
        <vertAlign val="superscript"/>
        <sz val="14"/>
        <rFont val="Times New Roman"/>
        <family val="1"/>
      </rPr>
      <t>*</t>
    </r>
  </si>
  <si>
    <t>Totalt forsikringsforpliktelser</t>
  </si>
  <si>
    <t>Totalt overførte reserver fra andre</t>
  </si>
  <si>
    <t>Totalt overførte reserver til andre</t>
  </si>
  <si>
    <t>Totalt netto overførte reserver fra andre</t>
  </si>
  <si>
    <t xml:space="preserve">* "Innskuddsbasert" er summen av "Engangsbetalt" og "Innskuddspensjon". </t>
  </si>
  <si>
    <t>** Bokført verdi, se tabell 6 i statistikken.</t>
  </si>
  <si>
    <t>DNB Livsforsikring ASA</t>
  </si>
  <si>
    <t>Eika Gruppen AS</t>
  </si>
  <si>
    <t>Frende Livsforsikring AS</t>
  </si>
  <si>
    <t>Frende Skadeforsikring AS</t>
  </si>
  <si>
    <t>Gjensidige Forsikring ASA</t>
  </si>
  <si>
    <t>Gjensidige Pensjon og Sparing</t>
  </si>
  <si>
    <t>If Skadeforsikring nuf</t>
  </si>
  <si>
    <t>Livsforsikringsselskapet Nordea Liv Norge AS</t>
  </si>
  <si>
    <t>Telenor Forsikring AS</t>
  </si>
  <si>
    <t>SpareBank 1 Forsikring AS</t>
  </si>
  <si>
    <t>Storebrand ASA</t>
  </si>
  <si>
    <t>KLP Skadeforsikring</t>
  </si>
  <si>
    <t>Selskap</t>
  </si>
  <si>
    <t>Flytting fra andre</t>
  </si>
  <si>
    <t>Flytting til andre</t>
  </si>
  <si>
    <t>Q8</t>
  </si>
  <si>
    <t>Q9</t>
  </si>
  <si>
    <t>Q10</t>
  </si>
  <si>
    <t>Q14</t>
  </si>
  <si>
    <t>Q15</t>
  </si>
  <si>
    <t>Q16</t>
  </si>
  <si>
    <t>Q7</t>
  </si>
  <si>
    <t>R7</t>
  </si>
  <si>
    <t>R8</t>
  </si>
  <si>
    <t>R9</t>
  </si>
  <si>
    <t>R10</t>
  </si>
  <si>
    <t>R14</t>
  </si>
  <si>
    <t>R15</t>
  </si>
  <si>
    <t>Q11</t>
  </si>
  <si>
    <t>Q17</t>
  </si>
  <si>
    <t>Q18</t>
  </si>
  <si>
    <t>R17</t>
  </si>
  <si>
    <t>R18</t>
  </si>
  <si>
    <t>R11</t>
  </si>
  <si>
    <t>Tabell 1.3 Hovedtall</t>
  </si>
  <si>
    <t>Aktivaposter (aggregert)</t>
  </si>
  <si>
    <t>i mill. kr</t>
  </si>
  <si>
    <t>prosentvis andel</t>
  </si>
  <si>
    <t>Selskapsporteføljen</t>
  </si>
  <si>
    <t xml:space="preserve">   Aksjer</t>
  </si>
  <si>
    <t xml:space="preserve">   Obligasjoner</t>
  </si>
  <si>
    <t xml:space="preserve">   Eiendom</t>
  </si>
  <si>
    <t xml:space="preserve">   Datterforetak m.m.</t>
  </si>
  <si>
    <t xml:space="preserve">   Utlån</t>
  </si>
  <si>
    <t xml:space="preserve">   Annet</t>
  </si>
  <si>
    <t>Kollektivporteføljen</t>
  </si>
  <si>
    <t>Investeringsvalgporteføljen</t>
  </si>
  <si>
    <t>Tallene er hentet fra tabell 6 Balanse.</t>
  </si>
  <si>
    <t>Regnskapsdel, endelig år</t>
  </si>
  <si>
    <t>Tabell 6</t>
  </si>
  <si>
    <t>Balanse</t>
  </si>
  <si>
    <t>DNB</t>
  </si>
  <si>
    <t>Frende</t>
  </si>
  <si>
    <t>Gjensidige</t>
  </si>
  <si>
    <t xml:space="preserve"> </t>
  </si>
  <si>
    <t>Oslo</t>
  </si>
  <si>
    <t>Pensjonsforsikring</t>
  </si>
  <si>
    <t>Livsforsikring</t>
  </si>
  <si>
    <t>Pensjon</t>
  </si>
  <si>
    <r>
      <t>alle livselskaper</t>
    </r>
    <r>
      <rPr>
        <b/>
        <vertAlign val="superscript"/>
        <sz val="14"/>
        <rFont val="Times New Roman"/>
        <family val="1"/>
      </rPr>
      <t xml:space="preserve"> </t>
    </r>
  </si>
  <si>
    <t>Beløp i millioner kroner</t>
  </si>
  <si>
    <t>EIENDELER</t>
  </si>
  <si>
    <t>EIENDELER I SELSKAPSPORTEFØLJEN</t>
  </si>
  <si>
    <t>2. Investeringer i selskapsporteføljen</t>
  </si>
  <si>
    <t xml:space="preserve">    2.1 Bygninger og andre faste eiendommer</t>
  </si>
  <si>
    <t xml:space="preserve">    2.2 Datterforetak, tilknyttede foretak og felleskontrollerte foretak</t>
  </si>
  <si>
    <t xml:space="preserve">    2.3 Finansielle eiendeler som måles til amortisert kost</t>
  </si>
  <si>
    <t xml:space="preserve">         2.3.1 Investeringer som holdes til forfall</t>
  </si>
  <si>
    <t xml:space="preserve">            - Obligasjoner</t>
  </si>
  <si>
    <t xml:space="preserve">         2.3.2 Utlån og fordringer</t>
  </si>
  <si>
    <t xml:space="preserve">    2.4 Finansielle eiendeler som måles til virkelig verdi</t>
  </si>
  <si>
    <t xml:space="preserve">         2.4.1 Aksjer og andeler (inkl. aksjer og andeler målt til kost)</t>
  </si>
  <si>
    <t xml:space="preserve">         2.4.2 Obligasjoner og andre verdipapirer med fast avkastning</t>
  </si>
  <si>
    <t xml:space="preserve">         2.4.3 Utlån og fordringer</t>
  </si>
  <si>
    <t xml:space="preserve">         2.4.4 Finansielle derivater</t>
  </si>
  <si>
    <t xml:space="preserve">         2.4.5 Andre finansielle eiendeler</t>
  </si>
  <si>
    <t xml:space="preserve">    2.5 Gjenforsikringsdepoter</t>
  </si>
  <si>
    <t xml:space="preserve">    Sum investeringer i selskapsporteføljen</t>
  </si>
  <si>
    <t>Annet - postene 1, 3, 4 og 5</t>
  </si>
  <si>
    <t>Sum eiendeler i selskapsporteføljen</t>
  </si>
  <si>
    <t>EIENDELER I KUNDEPORTEFØLJENE</t>
  </si>
  <si>
    <t>6. Investeringer i kollektivporteføljen</t>
  </si>
  <si>
    <t xml:space="preserve">    6.1 Bygninger og andre faste eiendommer</t>
  </si>
  <si>
    <t xml:space="preserve">    6.2 Datterforetak, tilknyttede foretak og felleskontrollerte foretak</t>
  </si>
  <si>
    <t xml:space="preserve">    6.3 Finansielle eiendeler som måles til amortisert kost</t>
  </si>
  <si>
    <t xml:space="preserve">         6.3.1 Investeringer som holdes til forfall</t>
  </si>
  <si>
    <t xml:space="preserve">         6.3.2 Utlån og fordringer</t>
  </si>
  <si>
    <t xml:space="preserve">    6.4 Finansielle eiendeler som måles til virkelig verdi</t>
  </si>
  <si>
    <t xml:space="preserve">         6.4.1 Aksjer og andeler (inkl. aksjer og andeler målt til kost)</t>
  </si>
  <si>
    <t xml:space="preserve">         6.4.2 Obligasjoner og andre verdipapirer med fast avkastning</t>
  </si>
  <si>
    <t xml:space="preserve">         6.4.3 Utlån og fordringer</t>
  </si>
  <si>
    <t xml:space="preserve">         6.4.4 Finansielle derivater</t>
  </si>
  <si>
    <t xml:space="preserve">         6.4.5 Andre finansielle eiendeler</t>
  </si>
  <si>
    <t xml:space="preserve">    Sum investeringer i kollektivporteføljen</t>
  </si>
  <si>
    <t>8. Investeringer i investeringsvalgporteføljen</t>
  </si>
  <si>
    <t xml:space="preserve">    8.1 Bygninger og andre faste eiendommer</t>
  </si>
  <si>
    <t xml:space="preserve">    8.2 Datterforetak, tilknyttede foretak og felleskontrollerte foretak</t>
  </si>
  <si>
    <t xml:space="preserve">    8.3 Finansielle eiendeler som måles til amortisert kost</t>
  </si>
  <si>
    <t xml:space="preserve">         8.3.1 Investeringer som holdes til forfall</t>
  </si>
  <si>
    <t xml:space="preserve">         8.3.2 Utlån og fordringer</t>
  </si>
  <si>
    <t xml:space="preserve">    8.4 Finansielle eiendeler som måles til virkelig verdi</t>
  </si>
  <si>
    <t xml:space="preserve">         8.4.1 Aksjer og andeler (inkl. aksjer og andeler målt til kost)</t>
  </si>
  <si>
    <t xml:space="preserve">         8.4.2 Obligasjoner og andre verdipapirer med fast avkastning</t>
  </si>
  <si>
    <t xml:space="preserve">         8.4.3 Utlån og fordringer</t>
  </si>
  <si>
    <t xml:space="preserve">         8.4.4 Finansielle derivater</t>
  </si>
  <si>
    <t xml:space="preserve">         8.4.5 Andre finansielle eiendeler</t>
  </si>
  <si>
    <t xml:space="preserve">    Sum investeringer i investeringsvalgsporteføljen</t>
  </si>
  <si>
    <t>Sum eiendeler i kundeporteføljene</t>
  </si>
  <si>
    <t>SUM EIENDELER</t>
  </si>
  <si>
    <t>EGENKAPITAL OG FORPLIKTELSER</t>
  </si>
  <si>
    <t>10. Innskutt egenkapital</t>
  </si>
  <si>
    <t>11. Opptjent egenkapital</t>
  </si>
  <si>
    <t xml:space="preserve">    11.1 Risikoutjevningsfond</t>
  </si>
  <si>
    <t>12. Ansvarlig lånekapital mv.</t>
  </si>
  <si>
    <t>13. Forsikringsforpliktelser i livsforsikring - KF</t>
  </si>
  <si>
    <t xml:space="preserve">    13.2 Tilleggsavsetninger</t>
  </si>
  <si>
    <t xml:space="preserve">    13.3 Kursreguleringsfond</t>
  </si>
  <si>
    <t xml:space="preserve">    Ufordelte overskuddsmidler til forsikringskontraktene</t>
  </si>
  <si>
    <t>Sum forsikringsforpliktelser i livsforsikring - KF</t>
  </si>
  <si>
    <t>14. Forsikringsforpliktelser i livsforsikring - SI</t>
  </si>
  <si>
    <t>Sum forsikringsforpliktelser i livsforsikring - SI</t>
  </si>
  <si>
    <t>15. Avsetninger for forpliktelser</t>
  </si>
  <si>
    <t>16. Premiedepot fra gjenforsikringsselskaper</t>
  </si>
  <si>
    <t>17. Forpliktelser</t>
  </si>
  <si>
    <t>18. Påløpte kostnader og mottatte ikke opptjente inntekter</t>
  </si>
  <si>
    <t>SUM EGENKAPTAL OG FORPLIKTELSER</t>
  </si>
  <si>
    <t>Noter: Se "Noter og kommentarer"</t>
  </si>
  <si>
    <t>KF=Kontraktsfastsatte forpliktelser</t>
  </si>
  <si>
    <t>SI=Særskilt investeringsportefølje</t>
  </si>
  <si>
    <t>REGNSKAPSDEL</t>
  </si>
  <si>
    <t>Tabell 4</t>
  </si>
  <si>
    <t>Resultatregnskap - alle produkter</t>
  </si>
  <si>
    <t>Tabell 5.1</t>
  </si>
  <si>
    <t>Resultatanalyse - Individuell kapital og individuell pensjon - alle produkter</t>
  </si>
  <si>
    <t>Tabell 5.2</t>
  </si>
  <si>
    <t>Resultatanalyse - Kollektiv pensjon - alle produkter</t>
  </si>
  <si>
    <t>Tabell 5.3</t>
  </si>
  <si>
    <t>Resultatanalyse - Gruppeliv, ulykke o.a. og total - alle produkter</t>
  </si>
  <si>
    <t>Balanse - alle produkter</t>
  </si>
  <si>
    <t>Tabell 7a</t>
  </si>
  <si>
    <t>Spesifikasjon av post 12 - forsikringsforpliktelser - produkter uten investeringsvalg</t>
  </si>
  <si>
    <t>Tabell 7b</t>
  </si>
  <si>
    <t>Spesifikasjon post 13 forsikringsforpliktelser - produkter med investeringsvalg</t>
  </si>
  <si>
    <t>Tabell 8</t>
  </si>
  <si>
    <t>Diverse nøkkeltall - produkter uten investeringsvalg</t>
  </si>
  <si>
    <t>Totalt - alle produkter</t>
  </si>
  <si>
    <t>Tabell 2: Individuell  pensjonsforsikring, herunder foreningskollektiv</t>
  </si>
  <si>
    <t>Tabell 3: Gruppelivsforsikring</t>
  </si>
  <si>
    <t>Tabell 4: Privat kollektiv pensjonsforsikring, herunder fripoliser, pensjonskapitalbevis og pensjonsbevis</t>
  </si>
  <si>
    <t>* Brutto risiokopremie for invidiuell uførepensjon fremkommer i tabell 2.</t>
  </si>
  <si>
    <r>
      <t xml:space="preserve">Brutto risikopremie for individuell uførepensjon </t>
    </r>
    <r>
      <rPr>
        <vertAlign val="superscript"/>
        <sz val="10"/>
        <rFont val="Times New Roman"/>
        <family val="1"/>
      </rPr>
      <t>3</t>
    </r>
  </si>
  <si>
    <t>Brutto risikopremie rapporteres for produkter både med og uten sparing. Risikopremie for tilknyttede dekninger, som kritisk sykdom, ulykke m.m. skal ikke tas med. For Brutto risikopremie for individuell uførepensjon, se note 3.</t>
  </si>
  <si>
    <t xml:space="preserve">Risikopremie for individuell uførepensjon blir i noen selskap regnskapsført under Individuell kapital, mens den for de fleste regnskapsføres under Individuell pensjon. Brutto risikopremie for uførepensjon er derfor ikke en heravpost for verken Individuell kapital eller Individuell pensjon, men gjelder som en heravpost samlet for disse. </t>
  </si>
  <si>
    <t xml:space="preserve">Forsikringsforpliktelser i livsforsikring tilsvarer post 13 i balansen, ekskl. post 13.3 Kursreguleringsfond for produkter uten investeringsvalg og post 14 i balansen for produkter med investeringsvalg. Gjenforsikringsandel skal ikke tas hensyn til i markedsdelen. </t>
  </si>
  <si>
    <t>Herav fripoliser med investeringsvalg betraktes som innskuddsbasert.</t>
  </si>
  <si>
    <t>Innskuddspensjon er innskuddsbasert pensjon uten dødelighetsarv.</t>
  </si>
  <si>
    <t>Herav fripoliser, herav pensjonskapitalbevis og herav pensjonsbevis omfatter også fortsettelsesforsikringer. Herav-postene er uttrekk fra hovedpostene i tabellen Privat kollektiv pensjonsforsikring, uansett om det er Innenfor LOF/LOI eller Utenfor LOF/LOI - Livrenter.</t>
  </si>
  <si>
    <t>Gjelder ikke ordninger etter lov om tjenestepensjon</t>
  </si>
  <si>
    <r>
      <t xml:space="preserve">Brutto forfalt premie - Foreningskollektiv </t>
    </r>
    <r>
      <rPr>
        <b/>
        <vertAlign val="superscript"/>
        <sz val="10"/>
        <rFont val="Times New Roman"/>
        <family val="1"/>
      </rPr>
      <t>1</t>
    </r>
  </si>
  <si>
    <t>Regnskapsdel, endelig kvartal</t>
  </si>
  <si>
    <t>Resultatregnskap</t>
  </si>
  <si>
    <t xml:space="preserve">Totalt </t>
  </si>
  <si>
    <t>norske livselskaper</t>
  </si>
  <si>
    <t>alle livselskaper</t>
  </si>
  <si>
    <t xml:space="preserve">Beløp i millioner kroner </t>
  </si>
  <si>
    <t>TEKNISK REGNSKAP FOR LIVSFORSIKRING</t>
  </si>
  <si>
    <t xml:space="preserve">    1.1 Forfalt premier, brutto</t>
  </si>
  <si>
    <t xml:space="preserve">    1.2 - Avgitte gjenforsikringspremier</t>
  </si>
  <si>
    <t xml:space="preserve">    Sum premieinntekter f.e.r.</t>
  </si>
  <si>
    <t>2. Netto inntekter fra investeringer i kollektivporteføljen</t>
  </si>
  <si>
    <t>3. Netto inntekter fra investeringer i investeringsvalgporteføljen</t>
  </si>
  <si>
    <t>4. Andre forsikringsrelaterte inntekter</t>
  </si>
  <si>
    <t>5. Erstatninger</t>
  </si>
  <si>
    <t xml:space="preserve">    5.1 Utbetalte erstatninger</t>
  </si>
  <si>
    <t>Sum erstatninger f.e.r.</t>
  </si>
  <si>
    <t>6. Resultatførte endringer i forsikringsforpliktelser - KF</t>
  </si>
  <si>
    <t xml:space="preserve">    6.2 Endring i tilleggsavsetninger</t>
  </si>
  <si>
    <t xml:space="preserve">    6.3 Endring i kursreguleringsfond</t>
  </si>
  <si>
    <t>Sum resultatførte endringer i forsikringsforpliktelser - KF</t>
  </si>
  <si>
    <t>7. Resultatførte endringer i forsikringsforpliktelser - SI</t>
  </si>
  <si>
    <t>8. Midler tilordnet forsikringskontrakter -KF</t>
  </si>
  <si>
    <t>9. Forsikringsrelaterte driftskostnader</t>
  </si>
  <si>
    <t>10. Andre forsikringsrelaterte kostnader</t>
  </si>
  <si>
    <t>11.Resultat av teknisk regnskap</t>
  </si>
  <si>
    <t>IKKE-TEKNISK REGNSKAP FOR LIVSFORSIKRING</t>
  </si>
  <si>
    <t>12. Netto inntekter fra investeringer i selskapsporteføljen</t>
  </si>
  <si>
    <t>13. Andre inntekter</t>
  </si>
  <si>
    <t>14. Forvaltningskostnader og andre kostnader knyttet til selskapsporteføljen</t>
  </si>
  <si>
    <t>15. Resultat av ikke-teknisk regnskap</t>
  </si>
  <si>
    <t>16. Resultat før skattekostnad</t>
  </si>
  <si>
    <t>17. Skattekostnader</t>
  </si>
  <si>
    <t>20. TOTALRESULTAT</t>
  </si>
  <si>
    <t>Overføringer og disponeringer</t>
  </si>
  <si>
    <t xml:space="preserve">    Overføringer</t>
  </si>
  <si>
    <t xml:space="preserve">        Mottatt konsernbidrag</t>
  </si>
  <si>
    <t xml:space="preserve">        Overført fra annen egenkapital</t>
  </si>
  <si>
    <t xml:space="preserve">    Sum overføringer</t>
  </si>
  <si>
    <t xml:space="preserve">    Disponeringer</t>
  </si>
  <si>
    <t xml:space="preserve">        Utbytte</t>
  </si>
  <si>
    <t xml:space="preserve">        Avgitt konsernbidrag</t>
  </si>
  <si>
    <t xml:space="preserve">        Overført til annen egenkapital</t>
  </si>
  <si>
    <t xml:space="preserve">    Sum disponeringer</t>
  </si>
  <si>
    <t>Sum overføringer og disponeringer</t>
  </si>
  <si>
    <t>Diverse nøkkeltall</t>
  </si>
  <si>
    <t>7. Gjenforsikringsandel av forsikringsforpliktelser i kollektivporteføljen</t>
  </si>
  <si>
    <t>9. Gjenforsikringsandel av forsikringsforpliktelser i investeringsvalgporteføljen</t>
  </si>
  <si>
    <t xml:space="preserve">Med kommunal kollektiv pensjon menes kollektive pensjonsordninger som definert i lov om forsikringsvirksomhet § 4-1 og § 4-2.   </t>
  </si>
  <si>
    <t>Tabell 1.3</t>
  </si>
  <si>
    <t>Hovedtall - aktivaposter</t>
  </si>
  <si>
    <t>Skjema total MA</t>
  </si>
  <si>
    <t>Tall pr. selskap - alle produkter</t>
  </si>
  <si>
    <t>Selskapsnavn</t>
  </si>
  <si>
    <t>Kursreguleringsfond</t>
  </si>
  <si>
    <t xml:space="preserve">   Etter tjenestepensjonsloven - Uførepensjon</t>
  </si>
  <si>
    <t xml:space="preserve">   Etter tjenestepensjonsloven - Alderspensjon</t>
  </si>
  <si>
    <t xml:space="preserve">  Etter tjenestepensjonsloven - Uførepensjon</t>
  </si>
  <si>
    <t xml:space="preserve">  Etter tjenestepensjonsloven - Alderspensjon</t>
  </si>
  <si>
    <t>Brutto forfalt premie tilsvarer post 1.1 i resultatregnskapet, jf. forskrift til årsregnskap for livsforsikringsfortak.</t>
  </si>
  <si>
    <t>Overførte reserver til andre tilsvarer post 5.2 i resultatregnskapet.</t>
  </si>
  <si>
    <r>
      <t xml:space="preserve">   Kommunal kollektiv pensjon </t>
    </r>
    <r>
      <rPr>
        <vertAlign val="superscript"/>
        <sz val="14"/>
        <rFont val="Times New Roman"/>
        <family val="1"/>
      </rPr>
      <t>15)</t>
    </r>
  </si>
  <si>
    <r>
      <t xml:space="preserve">Forsikringsforpliktelser </t>
    </r>
    <r>
      <rPr>
        <vertAlign val="superscript"/>
        <sz val="14"/>
        <rFont val="Times New Roman"/>
        <family val="1"/>
      </rPr>
      <t>4)</t>
    </r>
  </si>
  <si>
    <r>
      <t xml:space="preserve">Overførte reserver fra andre </t>
    </r>
    <r>
      <rPr>
        <vertAlign val="superscript"/>
        <sz val="14"/>
        <rFont val="Times New Roman"/>
        <family val="1"/>
      </rPr>
      <t>5)</t>
    </r>
  </si>
  <si>
    <r>
      <t xml:space="preserve">Flytting fra andre </t>
    </r>
    <r>
      <rPr>
        <vertAlign val="superscript"/>
        <sz val="14"/>
        <rFont val="Times New Roman"/>
        <family val="1"/>
      </rPr>
      <t>9)</t>
    </r>
  </si>
  <si>
    <r>
      <t xml:space="preserve">Overførte reserver til andre </t>
    </r>
    <r>
      <rPr>
        <vertAlign val="superscript"/>
        <sz val="14"/>
        <rFont val="Times New Roman"/>
        <family val="1"/>
      </rPr>
      <t>6)</t>
    </r>
  </si>
  <si>
    <r>
      <t xml:space="preserve">Flytting til andre </t>
    </r>
    <r>
      <rPr>
        <vertAlign val="superscript"/>
        <sz val="14"/>
        <rFont val="Times New Roman"/>
        <family val="1"/>
      </rPr>
      <t>9)</t>
    </r>
  </si>
  <si>
    <r>
      <t xml:space="preserve">Netto overførte reserver fra andre </t>
    </r>
    <r>
      <rPr>
        <b/>
        <vertAlign val="superscript"/>
        <sz val="14"/>
        <rFont val="Times New Roman"/>
        <family val="1"/>
      </rPr>
      <t>9)</t>
    </r>
  </si>
  <si>
    <r>
      <t xml:space="preserve">Netto flytting fra andre </t>
    </r>
    <r>
      <rPr>
        <vertAlign val="superscript"/>
        <sz val="14"/>
        <rFont val="Times New Roman"/>
        <family val="1"/>
      </rPr>
      <t>9)</t>
    </r>
  </si>
  <si>
    <t>Livrenter, IPA og IPS er individuelle pensjonsspareavtaler etter skattereglene (kun i årsstatistikken / 4.kvartal). IPS forsikring etablert før 1.11.2017 defineres som IPS forsikring 2008, etter lov om individuell pensjonsordning vedtatt i 2008. Nye ordningen for skattefavorisert individuell pensjonssparing fra 1. november 2017 defineres som IPS forsikring.</t>
  </si>
  <si>
    <t>Protector Forsikring</t>
  </si>
  <si>
    <r>
      <t xml:space="preserve">Forsikringsforpliktelser </t>
    </r>
    <r>
      <rPr>
        <b/>
        <vertAlign val="superscript"/>
        <sz val="10"/>
        <rFont val="Times New Roman"/>
        <family val="1"/>
      </rPr>
      <t>4</t>
    </r>
  </si>
  <si>
    <r>
      <t xml:space="preserve">Overførte reserver fra andre </t>
    </r>
    <r>
      <rPr>
        <b/>
        <vertAlign val="superscript"/>
        <sz val="10"/>
        <rFont val="Times New Roman"/>
        <family val="1"/>
      </rPr>
      <t>5</t>
    </r>
  </si>
  <si>
    <r>
      <t>Overførte reserver til andre</t>
    </r>
    <r>
      <rPr>
        <b/>
        <vertAlign val="superscript"/>
        <sz val="10"/>
        <rFont val="Times New Roman"/>
        <family val="1"/>
      </rPr>
      <t xml:space="preserve"> 6</t>
    </r>
  </si>
  <si>
    <r>
      <t xml:space="preserve">    Livrenter </t>
    </r>
    <r>
      <rPr>
        <vertAlign val="superscript"/>
        <sz val="10"/>
        <rFont val="Times New Roman"/>
        <family val="1"/>
      </rPr>
      <t>10</t>
    </r>
  </si>
  <si>
    <r>
      <t xml:space="preserve">    IPA </t>
    </r>
    <r>
      <rPr>
        <vertAlign val="superscript"/>
        <sz val="10"/>
        <rFont val="Times New Roman"/>
        <family val="1"/>
      </rPr>
      <t>10</t>
    </r>
  </si>
  <si>
    <r>
      <t xml:space="preserve">    IPS 2008 </t>
    </r>
    <r>
      <rPr>
        <vertAlign val="superscript"/>
        <sz val="10"/>
        <rFont val="Times New Roman"/>
        <family val="1"/>
      </rPr>
      <t>10</t>
    </r>
  </si>
  <si>
    <r>
      <t xml:space="preserve">    IPS </t>
    </r>
    <r>
      <rPr>
        <vertAlign val="superscript"/>
        <sz val="10"/>
        <rFont val="Times New Roman"/>
        <family val="1"/>
      </rPr>
      <t>10</t>
    </r>
  </si>
  <si>
    <r>
      <t xml:space="preserve">Forsikringsforpliktelser </t>
    </r>
    <r>
      <rPr>
        <b/>
        <vertAlign val="superscript"/>
        <sz val="10"/>
        <rFont val="Times New Roman"/>
        <family val="1"/>
      </rPr>
      <t>6</t>
    </r>
  </si>
  <si>
    <r>
      <t xml:space="preserve">Forsikringsforpliktelser  - Foreningskollektiv </t>
    </r>
    <r>
      <rPr>
        <b/>
        <vertAlign val="superscript"/>
        <sz val="10"/>
        <rFont val="Times New Roman"/>
        <family val="1"/>
      </rPr>
      <t>4</t>
    </r>
  </si>
  <si>
    <r>
      <t xml:space="preserve">Overførte reserver fra andre - Foreningskollektiv </t>
    </r>
    <r>
      <rPr>
        <b/>
        <vertAlign val="superscript"/>
        <sz val="10"/>
        <rFont val="Times New Roman"/>
        <family val="1"/>
      </rPr>
      <t>5</t>
    </r>
  </si>
  <si>
    <r>
      <t xml:space="preserve">Overførte reserver til andre - Foreningskollektiv </t>
    </r>
    <r>
      <rPr>
        <b/>
        <vertAlign val="superscript"/>
        <sz val="10"/>
        <rFont val="Times New Roman"/>
        <family val="1"/>
      </rPr>
      <t>6</t>
    </r>
  </si>
  <si>
    <r>
      <t xml:space="preserve">    Bedrift </t>
    </r>
    <r>
      <rPr>
        <vertAlign val="superscript"/>
        <sz val="10"/>
        <rFont val="Times New Roman"/>
        <family val="1"/>
      </rPr>
      <t>7</t>
    </r>
  </si>
  <si>
    <r>
      <t xml:space="preserve">    Privat </t>
    </r>
    <r>
      <rPr>
        <vertAlign val="superscript"/>
        <sz val="10"/>
        <rFont val="Times New Roman"/>
        <family val="1"/>
      </rPr>
      <t>8</t>
    </r>
  </si>
  <si>
    <r>
      <t xml:space="preserve">Flytting fra andre </t>
    </r>
    <r>
      <rPr>
        <b/>
        <vertAlign val="superscript"/>
        <sz val="10"/>
        <rFont val="Times New Roman"/>
        <family val="1"/>
      </rPr>
      <t>9</t>
    </r>
  </si>
  <si>
    <r>
      <t xml:space="preserve">Flytting til andre </t>
    </r>
    <r>
      <rPr>
        <b/>
        <vertAlign val="superscript"/>
        <sz val="10"/>
        <rFont val="Times New Roman"/>
        <family val="1"/>
      </rPr>
      <t>9</t>
    </r>
  </si>
  <si>
    <r>
      <t xml:space="preserve">      Engangsbetalt </t>
    </r>
    <r>
      <rPr>
        <vertAlign val="superscript"/>
        <sz val="10"/>
        <rFont val="Times New Roman"/>
        <family val="1"/>
      </rPr>
      <t>11</t>
    </r>
  </si>
  <si>
    <r>
      <t xml:space="preserve">      Innskuddspensjon </t>
    </r>
    <r>
      <rPr>
        <vertAlign val="superscript"/>
        <sz val="10"/>
        <rFont val="Times New Roman"/>
        <family val="1"/>
      </rPr>
      <t>12</t>
    </r>
  </si>
  <si>
    <r>
      <t xml:space="preserve">  Innenfor LOF/LOI </t>
    </r>
    <r>
      <rPr>
        <vertAlign val="superscript"/>
        <sz val="10"/>
        <rFont val="Times New Roman"/>
        <family val="1"/>
      </rPr>
      <t>13</t>
    </r>
  </si>
  <si>
    <r>
      <t xml:space="preserve">  Utenfor LOF/LOI - Livrenter </t>
    </r>
    <r>
      <rPr>
        <vertAlign val="superscript"/>
        <sz val="10"/>
        <rFont val="Times New Roman"/>
        <family val="1"/>
      </rPr>
      <t>13,17</t>
    </r>
  </si>
  <si>
    <r>
      <t xml:space="preserve">  Herav fripoliser </t>
    </r>
    <r>
      <rPr>
        <vertAlign val="superscript"/>
        <sz val="10"/>
        <rFont val="Times New Roman"/>
        <family val="1"/>
      </rPr>
      <t>14,16</t>
    </r>
  </si>
  <si>
    <r>
      <t xml:space="preserve">  Herav pensjonsbevis</t>
    </r>
    <r>
      <rPr>
        <vertAlign val="superscript"/>
        <sz val="10"/>
        <rFont val="Times New Roman"/>
        <family val="1"/>
      </rPr>
      <t>14</t>
    </r>
  </si>
  <si>
    <r>
      <t xml:space="preserve">   Herav fripoliser </t>
    </r>
    <r>
      <rPr>
        <vertAlign val="superscript"/>
        <sz val="10"/>
        <rFont val="Times New Roman"/>
        <family val="1"/>
      </rPr>
      <t>14,16</t>
    </r>
  </si>
  <si>
    <r>
      <t xml:space="preserve">Brutto forfalt premie </t>
    </r>
    <r>
      <rPr>
        <b/>
        <vertAlign val="superscript"/>
        <sz val="10"/>
        <rFont val="Times New Roman"/>
        <family val="1"/>
      </rPr>
      <t>1, 15</t>
    </r>
  </si>
  <si>
    <r>
      <t xml:space="preserve">Forsikringsforpliktelser </t>
    </r>
    <r>
      <rPr>
        <b/>
        <vertAlign val="superscript"/>
        <sz val="10"/>
        <rFont val="Times New Roman"/>
        <family val="1"/>
      </rPr>
      <t>4, 15</t>
    </r>
  </si>
  <si>
    <r>
      <t xml:space="preserve">Overførte reserver fra andre </t>
    </r>
    <r>
      <rPr>
        <b/>
        <vertAlign val="superscript"/>
        <sz val="10"/>
        <rFont val="Times New Roman"/>
        <family val="1"/>
      </rPr>
      <t>5, 15</t>
    </r>
  </si>
  <si>
    <r>
      <t>Overførte reserver til andre</t>
    </r>
    <r>
      <rPr>
        <b/>
        <vertAlign val="superscript"/>
        <sz val="10"/>
        <rFont val="Times New Roman"/>
        <family val="1"/>
      </rPr>
      <t xml:space="preserve"> 6, 15</t>
    </r>
  </si>
  <si>
    <r>
      <t xml:space="preserve">  Herav fripoliser </t>
    </r>
    <r>
      <rPr>
        <vertAlign val="superscript"/>
        <sz val="10"/>
        <rFont val="Times New Roman"/>
        <family val="1"/>
      </rPr>
      <t>14</t>
    </r>
  </si>
  <si>
    <r>
      <t xml:space="preserve">Forsikringsforpliktelser </t>
    </r>
    <r>
      <rPr>
        <b/>
        <vertAlign val="superscript"/>
        <sz val="10"/>
        <rFont val="Times New Roman"/>
        <family val="1"/>
      </rPr>
      <t>5, 15</t>
    </r>
  </si>
  <si>
    <r>
      <t>Forsikringsforpliktelser</t>
    </r>
    <r>
      <rPr>
        <sz val="14"/>
        <rFont val="Times New Roman"/>
        <family val="1"/>
      </rPr>
      <t xml:space="preserve"> </t>
    </r>
    <r>
      <rPr>
        <vertAlign val="superscript"/>
        <sz val="14"/>
        <rFont val="Times New Roman"/>
        <family val="1"/>
      </rPr>
      <t>4)</t>
    </r>
  </si>
  <si>
    <t>Protector Fors</t>
  </si>
  <si>
    <t xml:space="preserve">    13.1 Premiereserve mv.</t>
  </si>
  <si>
    <t xml:space="preserve">    14.1 Premiekapital mv.</t>
  </si>
  <si>
    <t xml:space="preserve">    14.2 Tilleggsavsetninger</t>
  </si>
  <si>
    <t>Fremtind Livsforsikring</t>
  </si>
  <si>
    <t>Fremtind</t>
  </si>
  <si>
    <t>Fremtind Livsfors</t>
  </si>
  <si>
    <t>Landkreditt Fors.</t>
  </si>
  <si>
    <t>Fremtind Liv</t>
  </si>
  <si>
    <t>Avkastningstall (%)</t>
  </si>
  <si>
    <r>
      <t>Kapitalavkastning I hittil i år</t>
    </r>
    <r>
      <rPr>
        <vertAlign val="superscript"/>
        <sz val="14"/>
        <rFont val="Times New Roman"/>
        <family val="1"/>
      </rPr>
      <t xml:space="preserve"> </t>
    </r>
  </si>
  <si>
    <t>Kapitalavkastning II hittil i år</t>
  </si>
  <si>
    <r>
      <t xml:space="preserve">Soliditetskapital </t>
    </r>
    <r>
      <rPr>
        <sz val="14"/>
        <rFont val="Times New Roman"/>
        <family val="1"/>
      </rPr>
      <t>(%)</t>
    </r>
  </si>
  <si>
    <t>Mer/mindre-verdier</t>
  </si>
  <si>
    <t>Landkreditt Forsikring</t>
  </si>
  <si>
    <t>WaterCircles Fors.</t>
  </si>
  <si>
    <t>WaterCicles Fors.</t>
  </si>
  <si>
    <t>WaterCircles Forsikring</t>
  </si>
  <si>
    <t>Landkreditt Fors</t>
  </si>
  <si>
    <t>Codan Forsikring</t>
  </si>
  <si>
    <t>Euro Accident</t>
  </si>
  <si>
    <t xml:space="preserve">   Innskuddsbasert (inkl. EPK)</t>
  </si>
  <si>
    <t>Forsikring</t>
  </si>
  <si>
    <t>SpareBank 1 Forsikring</t>
  </si>
  <si>
    <t>Ly Forsikring</t>
  </si>
  <si>
    <t>Youplus Livsforsikring</t>
  </si>
  <si>
    <t>Youplus</t>
  </si>
  <si>
    <t>Youplus Livsf</t>
  </si>
  <si>
    <t>Postene Herav pensjonskapitalbevis omfatter pensjonskapitalbevis innenfor og utenfor Egen pensjonskonto. Med pensjonskapitalbevis innenfor Egen pensjonskonto menes passiv kapital. Se for øvrig note 14.</t>
  </si>
  <si>
    <r>
      <t xml:space="preserve">  Herav pensjonskapitalbevis innenfor og utenfor EPK</t>
    </r>
    <r>
      <rPr>
        <vertAlign val="superscript"/>
        <sz val="10"/>
        <rFont val="Times New Roman"/>
        <family val="1"/>
      </rPr>
      <t>14) 18)</t>
    </r>
  </si>
  <si>
    <t xml:space="preserve">    1.3 Overføring av premiereserve og pensjonskapital mv. fra andre selskap/kasser</t>
  </si>
  <si>
    <t xml:space="preserve">    5.2 Overføring av premiereserve, pensjonskapital mv., tilleggsavsetninger og bufferfond til andre selskap/kasser</t>
  </si>
  <si>
    <t xml:space="preserve">    6.1 Endring i premiereserve mv.</t>
  </si>
  <si>
    <t xml:space="preserve">    6.4 Endring i bufferfond</t>
  </si>
  <si>
    <t xml:space="preserve">    6.5 Endring i premiefond, innskuddsfond og fond for regulering av pensjoner mv.</t>
  </si>
  <si>
    <t xml:space="preserve">    6.6 Endring i tekniske avsetninger for skadeforsikringsvirksomhet</t>
  </si>
  <si>
    <t xml:space="preserve">    6.7 Overføring av tilleggsavsetninger og bufferfond fra andre fors.selskap/pensj.kasser</t>
  </si>
  <si>
    <t>18. Resultat før andre inntekter og kostnader</t>
  </si>
  <si>
    <t>19. Andre inntekter og kostnader</t>
  </si>
  <si>
    <t xml:space="preserve">    13.4 Bufferfond</t>
  </si>
  <si>
    <t xml:space="preserve">    13.5 Premiefond, innskuddsfond og ford for regulering av pensjoner mv.</t>
  </si>
  <si>
    <t xml:space="preserve">    13.6 Andre tekniske avsetninger for skadeforsikringsvirksomheten</t>
  </si>
  <si>
    <t xml:space="preserve">    14.3 Bufferfond</t>
  </si>
  <si>
    <t xml:space="preserve">    14.4 Premiefond, innskuddsfond og fond for regulering av pensjoner mv.</t>
  </si>
  <si>
    <t>Bufferfond</t>
  </si>
  <si>
    <t>1. Premieinntekter</t>
  </si>
  <si>
    <t>Storebrand Danica</t>
  </si>
  <si>
    <t/>
  </si>
  <si>
    <t>30.09.</t>
  </si>
  <si>
    <t>30.9.</t>
  </si>
  <si>
    <t>Figur 1  Brutto forfalt premie livprodukter  -  produkter uten investeringsvalg pr. 30.09.</t>
  </si>
  <si>
    <t>Figur 2  Brutto forfalt premie livprodukter  -  produkter med investeringsvalg pr. 30.09.</t>
  </si>
  <si>
    <t>Figur 3  Forsikringsforpliktelser i livsforsikring  -  produkter uten investeringsvalg pr. 30.09.</t>
  </si>
  <si>
    <t>Figur 4  Forsikringsforpliktelser i livsforsikring -  produkter med investeringsvalg pr. 30.09.</t>
  </si>
  <si>
    <t>Figur 5  Netto tilflytting livprodukter  -  produkter uten investeringsvalg pr. 30.09.</t>
  </si>
  <si>
    <t>Figur 6  Netto tilflytting livprodukter  -  produkter med investeringsvalg pr. 30.09.</t>
  </si>
  <si>
    <t>SpareBank 1 Fors</t>
  </si>
  <si>
    <t>Storebrand Danica P</t>
  </si>
  <si>
    <t>Storebrand Danica Pensjon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</si>
</sst>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0.0"/>
    <numFmt numFmtId="166" formatCode="_ * #,##0_ ;_ * \-#,##0_ ;_ * &quot;-&quot;??_ ;_ @_ "/>
    <numFmt numFmtId="167" formatCode="dd/mm/yy;@"/>
    <numFmt numFmtId="168" formatCode="0;\-0;;@"/>
    <numFmt numFmtId="169" formatCode="0.0"/>
    <numFmt numFmtId="170" formatCode="#,##0_ ;\-#,##0\ "/>
    <numFmt numFmtId="171" formatCode="_ * #,##0_ ;_ * \-#,##0_ ;_ * &quot;&quot;??_ ;_ @_ "/>
    <numFmt numFmtId="172" formatCode="_ * #,##0.0_ ;_ * \-#,##0.0_ ;_ * &quot;&quot;??_ ;_ @_ "/>
    <numFmt numFmtId="173" formatCode="d/m/yyyy;@"/>
  </numFmts>
  <fonts count="7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Times New Roman"/>
      <family val="1"/>
    </font>
    <font>
      <sz val="12"/>
      <name val="Times New Roman"/>
      <family val="1"/>
    </font>
    <font>
      <b/>
      <sz val="10"/>
      <name val="Times New Roman"/>
      <family val="1"/>
    </font>
    <font>
      <b/>
      <sz val="9"/>
      <name val="Times New Roman"/>
      <family val="1"/>
    </font>
    <font>
      <sz val="10"/>
      <name val="Times New Roman"/>
      <family val="1"/>
    </font>
    <font>
      <sz val="10"/>
      <color rgb="FFFF0000"/>
      <name val="Times New Roman"/>
      <family val="1"/>
    </font>
    <font>
      <sz val="10"/>
      <name val="Arial"/>
      <family val="2"/>
    </font>
    <font>
      <b/>
      <vertAlign val="superscript"/>
      <sz val="10"/>
      <name val="Times New Roman"/>
      <family val="1"/>
    </font>
    <font>
      <sz val="12"/>
      <color rgb="FFFF0000"/>
      <name val="Times New Roman"/>
      <family val="1"/>
    </font>
    <font>
      <sz val="10"/>
      <color theme="1"/>
      <name val="Times New Roman"/>
      <family val="1"/>
    </font>
    <font>
      <i/>
      <sz val="10"/>
      <name val="Times New Roman"/>
      <family val="1"/>
    </font>
    <font>
      <vertAlign val="superscript"/>
      <sz val="10"/>
      <name val="Times New Roman"/>
      <family val="1"/>
    </font>
    <font>
      <sz val="10"/>
      <name val="Arial"/>
      <family val="2"/>
    </font>
    <font>
      <sz val="10"/>
      <color indexed="23"/>
      <name val="Arial"/>
      <family val="2"/>
    </font>
    <font>
      <sz val="18"/>
      <color indexed="23"/>
      <name val="Times New Roman"/>
      <family val="1"/>
    </font>
    <font>
      <b/>
      <sz val="28"/>
      <color rgb="FF3B6E8F"/>
      <name val="Cambria"/>
      <family val="1"/>
      <scheme val="major"/>
    </font>
    <font>
      <b/>
      <sz val="26"/>
      <color rgb="FF3B6E8F"/>
      <name val="Cambria"/>
      <family val="1"/>
      <scheme val="major"/>
    </font>
    <font>
      <sz val="14"/>
      <name val="Times New Roman"/>
      <family val="1"/>
    </font>
    <font>
      <sz val="12"/>
      <name val="Arial"/>
      <family val="2"/>
    </font>
    <font>
      <sz val="20"/>
      <color theme="1"/>
      <name val="Calibri"/>
      <family val="2"/>
      <scheme val="minor"/>
    </font>
    <font>
      <sz val="14"/>
      <color theme="1"/>
      <name val="Calibri"/>
      <family val="2"/>
      <scheme val="minor"/>
    </font>
    <font>
      <b/>
      <sz val="28"/>
      <color rgb="FF54758C"/>
      <name val="Arial"/>
      <family val="2"/>
    </font>
    <font>
      <sz val="26"/>
      <color rgb="FF54758C"/>
      <name val="Arial"/>
      <family val="2"/>
    </font>
    <font>
      <sz val="14"/>
      <name val="Arial"/>
      <family val="2"/>
    </font>
    <font>
      <sz val="14"/>
      <color indexed="23"/>
      <name val="Times New Roman"/>
      <family val="1"/>
    </font>
    <font>
      <sz val="20"/>
      <name val="Arial"/>
      <family val="2"/>
    </font>
    <font>
      <sz val="18"/>
      <name val="Times New Roman"/>
      <family val="1"/>
    </font>
    <font>
      <sz val="18"/>
      <name val="Arial"/>
      <family val="2"/>
    </font>
    <font>
      <b/>
      <sz val="16"/>
      <name val="Times New Roman"/>
      <family val="1"/>
    </font>
    <font>
      <sz val="16"/>
      <name val="Times New Roman"/>
      <family val="1"/>
    </font>
    <font>
      <u/>
      <sz val="10"/>
      <color indexed="12"/>
      <name val="Arial"/>
      <family val="2"/>
    </font>
    <font>
      <sz val="20"/>
      <name val="Times New Roman"/>
      <family val="1"/>
    </font>
    <font>
      <b/>
      <sz val="14"/>
      <name val="Times New Roman"/>
      <family val="1"/>
    </font>
    <font>
      <sz val="14"/>
      <color rgb="FFFF0000"/>
      <name val="Times New Roman"/>
      <family val="1"/>
    </font>
    <font>
      <vertAlign val="superscript"/>
      <sz val="14"/>
      <name val="Times New Roman"/>
      <family val="1"/>
    </font>
    <font>
      <b/>
      <i/>
      <sz val="12"/>
      <color indexed="63"/>
      <name val="Times New Roman"/>
      <family val="1"/>
    </font>
    <font>
      <b/>
      <sz val="10"/>
      <name val="Arial"/>
      <family val="2"/>
    </font>
    <font>
      <b/>
      <i/>
      <sz val="12"/>
      <name val="Times New Roman"/>
      <family val="1"/>
    </font>
    <font>
      <sz val="14"/>
      <color theme="1"/>
      <name val="Times New Roman"/>
      <family val="1"/>
    </font>
    <font>
      <sz val="14"/>
      <color rgb="FFFF0000"/>
      <name val="Arial"/>
      <family val="2"/>
    </font>
    <font>
      <b/>
      <sz val="14"/>
      <name val="Arial"/>
      <family val="2"/>
    </font>
    <font>
      <b/>
      <vertAlign val="superscript"/>
      <sz val="14"/>
      <name val="Times New Roman"/>
      <family val="1"/>
    </font>
    <font>
      <sz val="11"/>
      <name val="Calibri"/>
      <family val="2"/>
      <scheme val="minor"/>
    </font>
    <font>
      <b/>
      <sz val="10"/>
      <color rgb="FFFF0000"/>
      <name val="Times New Roman"/>
      <family val="1"/>
    </font>
    <font>
      <b/>
      <sz val="16"/>
      <color indexed="10"/>
      <name val="Times New Roman"/>
      <family val="1"/>
    </font>
    <font>
      <b/>
      <sz val="14"/>
      <color indexed="8"/>
      <name val="Times New Roman"/>
      <family val="1"/>
    </font>
    <font>
      <b/>
      <sz val="10"/>
      <color indexed="8"/>
      <name val="Times New Roman"/>
      <family val="1"/>
    </font>
    <font>
      <b/>
      <sz val="14"/>
      <color indexed="63"/>
      <name val="Times New Roman"/>
      <family val="1"/>
    </font>
    <font>
      <sz val="14"/>
      <color indexed="10"/>
      <name val="Times New Roman"/>
      <family val="1"/>
    </font>
    <font>
      <b/>
      <sz val="14"/>
      <color indexed="10"/>
      <name val="Times New Roman"/>
      <family val="1"/>
    </font>
    <font>
      <sz val="12"/>
      <color indexed="10"/>
      <name val="Times New Roman"/>
      <family val="1"/>
    </font>
    <font>
      <sz val="20"/>
      <color rgb="FFFF0000"/>
      <name val="Times New Roman"/>
      <family val="1"/>
    </font>
    <font>
      <sz val="20"/>
      <color rgb="FFFF0000"/>
      <name val="Arial"/>
      <family val="2"/>
    </font>
    <font>
      <sz val="16"/>
      <color theme="1"/>
      <name val="Times New Roman"/>
      <family val="1"/>
    </font>
    <font>
      <b/>
      <sz val="10"/>
      <color theme="1"/>
      <name val="Times New Roman"/>
      <family val="1"/>
    </font>
    <font>
      <sz val="12"/>
      <color theme="1"/>
      <name val="Times New Roman"/>
      <family val="1"/>
    </font>
    <font>
      <b/>
      <sz val="14"/>
      <color rgb="FFFF0000"/>
      <name val="Times New Roman"/>
      <family val="1"/>
    </font>
    <font>
      <u/>
      <sz val="12"/>
      <name val="Times New Roman"/>
      <family val="1"/>
    </font>
    <font>
      <sz val="10"/>
      <color theme="0"/>
      <name val="Times New Roman"/>
      <family val="1"/>
    </font>
    <font>
      <b/>
      <sz val="14"/>
      <color theme="1"/>
      <name val="Times New Roman"/>
      <family val="1"/>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rgb="FFFFFFCC"/>
      </patternFill>
    </fill>
    <fill>
      <patternFill patternType="solid">
        <fgColor theme="7" tint="0.59999389629810485"/>
        <bgColor indexed="65"/>
      </patternFill>
    </fill>
    <fill>
      <patternFill patternType="solid">
        <fgColor theme="5" tint="0.79998168889431442"/>
        <bgColor indexed="65"/>
      </patternFill>
    </fill>
    <fill>
      <patternFill patternType="solid">
        <fgColor theme="2"/>
        <bgColor indexed="64"/>
      </patternFill>
    </fill>
    <fill>
      <patternFill patternType="solid">
        <fgColor rgb="FFFFFF00"/>
        <bgColor indexed="64"/>
      </patternFill>
    </fill>
    <fill>
      <patternFill patternType="solid">
        <fgColor indexed="9"/>
        <bgColor indexed="9"/>
      </patternFill>
    </fill>
  </fills>
  <borders count="17">
    <border>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s>
  <cellStyleXfs count="852">
    <xf numFmtId="0" fontId="0" fillId="0" borderId="0"/>
    <xf numFmtId="0" fontId="20" fillId="0" borderId="0"/>
    <xf numFmtId="164" fontId="26" fillId="0" borderId="0" applyFont="0" applyFill="0" applyBorder="0" applyAlignment="0" applyProtection="0"/>
    <xf numFmtId="0" fontId="44" fillId="0" borderId="0" applyNumberFormat="0" applyFill="0" applyBorder="0" applyAlignment="0" applyProtection="0">
      <alignment vertical="top"/>
      <protection locked="0"/>
    </xf>
    <xf numFmtId="0" fontId="13" fillId="0" borderId="0"/>
    <xf numFmtId="0" fontId="20" fillId="0" borderId="0"/>
    <xf numFmtId="0" fontId="12" fillId="0" borderId="0"/>
    <xf numFmtId="0" fontId="20" fillId="0" borderId="0"/>
    <xf numFmtId="0" fontId="11" fillId="0" borderId="0"/>
    <xf numFmtId="0" fontId="20" fillId="0" borderId="0"/>
    <xf numFmtId="0" fontId="26" fillId="0" borderId="0"/>
    <xf numFmtId="0" fontId="11" fillId="0" borderId="0"/>
    <xf numFmtId="0" fontId="20"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11" fillId="0" borderId="0" applyFont="0" applyFill="0" applyBorder="0" applyAlignment="0" applyProtection="0"/>
    <xf numFmtId="164" fontId="20" fillId="0" borderId="0" applyFont="0" applyFill="0" applyBorder="0" applyAlignment="0" applyProtection="0"/>
    <xf numFmtId="0" fontId="11" fillId="0" borderId="0"/>
    <xf numFmtId="0" fontId="20" fillId="0" borderId="0"/>
    <xf numFmtId="0" fontId="20" fillId="0" borderId="0"/>
    <xf numFmtId="164" fontId="20"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20"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6" borderId="0" applyNumberFormat="0" applyBorder="0" applyAlignment="0" applyProtection="0"/>
    <xf numFmtId="0" fontId="20" fillId="0" borderId="0"/>
    <xf numFmtId="164" fontId="20"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20"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20" fillId="0" borderId="0"/>
    <xf numFmtId="164" fontId="20"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6" borderId="0" applyNumberFormat="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20" fillId="5" borderId="16" applyNumberFormat="0" applyFont="0" applyAlignment="0" applyProtection="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164" fontId="26" fillId="0" borderId="0" applyFont="0" applyFill="0" applyBorder="0" applyAlignment="0" applyProtection="0"/>
    <xf numFmtId="0" fontId="11" fillId="0" borderId="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6" borderId="0" applyNumberFormat="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6" borderId="0" applyNumberFormat="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6" borderId="0" applyNumberFormat="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6" borderId="0" applyNumberFormat="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6" borderId="0" applyNumberFormat="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6" borderId="0" applyNumberFormat="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6"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6"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6"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6"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6" borderId="0" applyNumberFormat="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6" borderId="0" applyNumberFormat="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6" borderId="0" applyNumberFormat="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6" borderId="0" applyNumberFormat="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3" fillId="0" borderId="0"/>
    <xf numFmtId="0" fontId="3"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3" fillId="0" borderId="0" applyFont="0" applyFill="0" applyBorder="0" applyAlignment="0" applyProtection="0"/>
    <xf numFmtId="164" fontId="20" fillId="0" borderId="0" applyFont="0" applyFill="0" applyBorder="0" applyAlignment="0" applyProtection="0"/>
    <xf numFmtId="0" fontId="3" fillId="0" borderId="0"/>
    <xf numFmtId="164" fontId="20"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6" borderId="0" applyNumberFormat="0" applyBorder="0" applyAlignment="0" applyProtection="0"/>
    <xf numFmtId="164" fontId="20"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164" fontId="20"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6" borderId="0" applyNumberFormat="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2" fillId="7" borderId="0" applyNumberFormat="0" applyBorder="0" applyAlignment="0" applyProtection="0"/>
    <xf numFmtId="0" fontId="15" fillId="0" borderId="0"/>
    <xf numFmtId="171" fontId="16" fillId="0" borderId="7" applyFont="0" applyFill="0" applyBorder="0" applyAlignment="0" applyProtection="0">
      <alignment horizontal="right"/>
    </xf>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1" fillId="0" borderId="0"/>
    <xf numFmtId="0" fontId="20" fillId="0" borderId="0"/>
  </cellStyleXfs>
  <cellXfs count="756">
    <xf numFmtId="0" fontId="0" fillId="0" borderId="0" xfId="0"/>
    <xf numFmtId="0" fontId="18" fillId="0" borderId="0" xfId="1" applyFont="1"/>
    <xf numFmtId="0" fontId="24" fillId="0" borderId="0" xfId="1" applyFont="1"/>
    <xf numFmtId="0" fontId="18" fillId="0" borderId="0" xfId="1" applyFont="1" applyFill="1"/>
    <xf numFmtId="0" fontId="18" fillId="0" borderId="0" xfId="1" applyFont="1" applyBorder="1"/>
    <xf numFmtId="49" fontId="18" fillId="0" borderId="0" xfId="1" applyNumberFormat="1" applyFont="1" applyFill="1" applyBorder="1" applyAlignment="1">
      <alignment horizontal="center"/>
    </xf>
    <xf numFmtId="165" fontId="18" fillId="0" borderId="0" xfId="1" applyNumberFormat="1" applyFont="1" applyFill="1" applyBorder="1"/>
    <xf numFmtId="0" fontId="18" fillId="0" borderId="0" xfId="1" applyFont="1" applyFill="1" applyBorder="1"/>
    <xf numFmtId="0" fontId="18" fillId="0" borderId="0" xfId="1" applyFont="1" applyFill="1" applyAlignment="1">
      <alignment horizontal="left"/>
    </xf>
    <xf numFmtId="165" fontId="16" fillId="3" borderId="5" xfId="1" applyNumberFormat="1" applyFont="1" applyFill="1" applyBorder="1" applyAlignment="1">
      <alignment horizontal="right"/>
    </xf>
    <xf numFmtId="0" fontId="18" fillId="0" borderId="6" xfId="1" applyFont="1" applyBorder="1"/>
    <xf numFmtId="165" fontId="16" fillId="3" borderId="2" xfId="1" applyNumberFormat="1" applyFont="1" applyFill="1" applyBorder="1" applyAlignment="1">
      <alignment horizontal="right"/>
    </xf>
    <xf numFmtId="0" fontId="16" fillId="0" borderId="4" xfId="1" applyFont="1" applyBorder="1"/>
    <xf numFmtId="0" fontId="16" fillId="0" borderId="3" xfId="1" applyFont="1" applyBorder="1"/>
    <xf numFmtId="0" fontId="16" fillId="0" borderId="7" xfId="1" applyFont="1" applyBorder="1"/>
    <xf numFmtId="0" fontId="16" fillId="0" borderId="6" xfId="1" applyFont="1" applyBorder="1" applyAlignment="1">
      <alignment horizontal="center"/>
    </xf>
    <xf numFmtId="0" fontId="16" fillId="0" borderId="11" xfId="1" applyFont="1" applyBorder="1" applyAlignment="1">
      <alignment horizontal="center"/>
    </xf>
    <xf numFmtId="0" fontId="16" fillId="0" borderId="5" xfId="1" applyFont="1" applyBorder="1" applyAlignment="1">
      <alignment horizontal="center"/>
    </xf>
    <xf numFmtId="0" fontId="16" fillId="0" borderId="11" xfId="1" applyFont="1" applyBorder="1"/>
    <xf numFmtId="0" fontId="18" fillId="0" borderId="3" xfId="1" applyFont="1" applyBorder="1"/>
    <xf numFmtId="165" fontId="18" fillId="3" borderId="6" xfId="1" applyNumberFormat="1" applyFont="1" applyFill="1" applyBorder="1" applyAlignment="1">
      <alignment horizontal="right"/>
    </xf>
    <xf numFmtId="165" fontId="18" fillId="3" borderId="3" xfId="1" applyNumberFormat="1" applyFont="1" applyFill="1" applyBorder="1" applyAlignment="1">
      <alignment horizontal="right"/>
    </xf>
    <xf numFmtId="165" fontId="16" fillId="3" borderId="3" xfId="1" applyNumberFormat="1" applyFont="1" applyFill="1" applyBorder="1" applyAlignment="1">
      <alignment horizontal="right"/>
    </xf>
    <xf numFmtId="165" fontId="18" fillId="0" borderId="0" xfId="1" applyNumberFormat="1" applyFont="1" applyBorder="1"/>
    <xf numFmtId="3" fontId="18" fillId="0" borderId="0" xfId="1" applyNumberFormat="1" applyFont="1" applyBorder="1"/>
    <xf numFmtId="165" fontId="18" fillId="3" borderId="2" xfId="1" applyNumberFormat="1" applyFont="1" applyFill="1" applyBorder="1" applyAlignment="1">
      <alignment horizontal="right"/>
    </xf>
    <xf numFmtId="0" fontId="15" fillId="0" borderId="0" xfId="1" applyFont="1"/>
    <xf numFmtId="0" fontId="22" fillId="0" borderId="0" xfId="1" applyFont="1"/>
    <xf numFmtId="0" fontId="15" fillId="0" borderId="0" xfId="1" applyFont="1" applyFill="1"/>
    <xf numFmtId="0" fontId="15" fillId="0" borderId="0" xfId="1" applyFont="1" applyFill="1" applyBorder="1"/>
    <xf numFmtId="165" fontId="16" fillId="0" borderId="0" xfId="1" applyNumberFormat="1" applyFont="1" applyFill="1" applyBorder="1" applyAlignment="1">
      <alignment horizontal="right"/>
    </xf>
    <xf numFmtId="3" fontId="18" fillId="0" borderId="0" xfId="1" applyNumberFormat="1" applyFont="1" applyFill="1" applyBorder="1" applyAlignment="1">
      <alignment horizontal="center"/>
    </xf>
    <xf numFmtId="165" fontId="18" fillId="0" borderId="0" xfId="1" applyNumberFormat="1" applyFont="1" applyFill="1" applyBorder="1" applyAlignment="1">
      <alignment horizontal="right"/>
    </xf>
    <xf numFmtId="49" fontId="18" fillId="0" borderId="0" xfId="1" applyNumberFormat="1" applyFont="1" applyFill="1" applyBorder="1" applyAlignment="1">
      <alignment horizontal="right"/>
    </xf>
    <xf numFmtId="165" fontId="16" fillId="3" borderId="6" xfId="1" applyNumberFormat="1" applyFont="1" applyFill="1" applyBorder="1" applyAlignment="1">
      <alignment horizontal="right"/>
    </xf>
    <xf numFmtId="3" fontId="18" fillId="0" borderId="0" xfId="1" quotePrefix="1" applyNumberFormat="1" applyFont="1" applyFill="1" applyBorder="1" applyAlignment="1">
      <alignment horizontal="center"/>
    </xf>
    <xf numFmtId="0" fontId="18" fillId="0" borderId="3" xfId="1" applyFont="1" applyFill="1" applyBorder="1"/>
    <xf numFmtId="0" fontId="16" fillId="0" borderId="3" xfId="1" applyFont="1" applyFill="1" applyBorder="1"/>
    <xf numFmtId="0" fontId="16" fillId="0" borderId="0" xfId="1" applyFont="1" applyFill="1" applyBorder="1" applyAlignment="1">
      <alignment horizontal="center"/>
    </xf>
    <xf numFmtId="0" fontId="16" fillId="0" borderId="6" xfId="1" applyFont="1" applyBorder="1"/>
    <xf numFmtId="14" fontId="17" fillId="0" borderId="0" xfId="1" applyNumberFormat="1" applyFont="1" applyFill="1" applyBorder="1" applyAlignment="1">
      <alignment horizontal="center"/>
    </xf>
    <xf numFmtId="0" fontId="16" fillId="0" borderId="0" xfId="1" applyFont="1"/>
    <xf numFmtId="3" fontId="18" fillId="0" borderId="3" xfId="1" applyNumberFormat="1" applyFont="1" applyFill="1" applyBorder="1" applyAlignment="1">
      <alignment horizontal="right"/>
    </xf>
    <xf numFmtId="3" fontId="18" fillId="0" borderId="6" xfId="1" applyNumberFormat="1" applyFont="1" applyFill="1" applyBorder="1" applyAlignment="1">
      <alignment horizontal="right"/>
    </xf>
    <xf numFmtId="0" fontId="18" fillId="0" borderId="6" xfId="1" applyFont="1" applyFill="1" applyBorder="1"/>
    <xf numFmtId="0" fontId="16" fillId="0" borderId="0" xfId="1" applyFont="1" applyBorder="1"/>
    <xf numFmtId="3" fontId="19" fillId="0" borderId="0" xfId="1" applyNumberFormat="1" applyFont="1" applyFill="1" applyBorder="1" applyAlignment="1">
      <alignment horizontal="right"/>
    </xf>
    <xf numFmtId="0" fontId="18" fillId="0" borderId="4" xfId="1" applyFont="1" applyFill="1" applyBorder="1"/>
    <xf numFmtId="0" fontId="18" fillId="0" borderId="0" xfId="1" applyFont="1" applyFill="1" applyAlignment="1">
      <alignment horizontal="right"/>
    </xf>
    <xf numFmtId="0" fontId="20" fillId="0" borderId="0" xfId="1"/>
    <xf numFmtId="0" fontId="27" fillId="0" borderId="0" xfId="1" applyFont="1"/>
    <xf numFmtId="0" fontId="0" fillId="0" borderId="0" xfId="1" applyFont="1"/>
    <xf numFmtId="0" fontId="28" fillId="0" borderId="0" xfId="1" applyFont="1" applyAlignment="1">
      <alignment horizontal="right"/>
    </xf>
    <xf numFmtId="0" fontId="29" fillId="0" borderId="0" xfId="1" applyFont="1" applyAlignment="1">
      <alignment horizontal="left"/>
    </xf>
    <xf numFmtId="0" fontId="30" fillId="0" borderId="0" xfId="1" applyFont="1" applyAlignment="1">
      <alignment horizontal="left"/>
    </xf>
    <xf numFmtId="0" fontId="31" fillId="0" borderId="0" xfId="1" applyFont="1" applyAlignment="1">
      <alignment horizontal="left"/>
    </xf>
    <xf numFmtId="0" fontId="32" fillId="0" borderId="0" xfId="1" applyFont="1" applyAlignment="1">
      <alignment horizontal="right"/>
    </xf>
    <xf numFmtId="0" fontId="20" fillId="0" borderId="0" xfId="1" applyAlignment="1">
      <alignment horizontal="right"/>
    </xf>
    <xf numFmtId="0" fontId="33" fillId="0" borderId="0" xfId="1" applyFont="1" applyAlignment="1">
      <alignment horizontal="left"/>
    </xf>
    <xf numFmtId="14" fontId="34" fillId="0" borderId="0" xfId="1" applyNumberFormat="1" applyFont="1" applyAlignment="1">
      <alignment horizontal="left"/>
    </xf>
    <xf numFmtId="0" fontId="34" fillId="0" borderId="0" xfId="1" applyFont="1" applyAlignment="1">
      <alignment horizontal="left"/>
    </xf>
    <xf numFmtId="0" fontId="35" fillId="0" borderId="0" xfId="1" applyFont="1" applyAlignment="1">
      <alignment vertical="center"/>
    </xf>
    <xf numFmtId="0" fontId="36" fillId="0" borderId="0" xfId="1" applyFont="1" applyAlignment="1">
      <alignment vertical="center"/>
    </xf>
    <xf numFmtId="0" fontId="37" fillId="0" borderId="0" xfId="1" applyFont="1"/>
    <xf numFmtId="14" fontId="38" fillId="0" borderId="0" xfId="1" applyNumberFormat="1" applyFont="1"/>
    <xf numFmtId="0" fontId="39" fillId="0" borderId="0" xfId="0" applyFont="1"/>
    <xf numFmtId="0" fontId="40" fillId="0" borderId="0" xfId="0" applyFont="1"/>
    <xf numFmtId="0" fontId="41" fillId="0" borderId="0" xfId="0" applyFont="1"/>
    <xf numFmtId="0" fontId="43" fillId="0" borderId="0" xfId="0" applyFont="1"/>
    <xf numFmtId="0" fontId="43" fillId="0" borderId="0" xfId="3" applyFont="1" applyAlignment="1" applyProtection="1"/>
    <xf numFmtId="0" fontId="45" fillId="0" borderId="0" xfId="0" applyFont="1"/>
    <xf numFmtId="0" fontId="18" fillId="0" borderId="0" xfId="3" applyFont="1" applyFill="1" applyAlignment="1" applyProtection="1"/>
    <xf numFmtId="0" fontId="31" fillId="0" borderId="0" xfId="0" applyFont="1"/>
    <xf numFmtId="0" fontId="46" fillId="0" borderId="0" xfId="0" applyFont="1"/>
    <xf numFmtId="0" fontId="47" fillId="0" borderId="0" xfId="0" applyFont="1"/>
    <xf numFmtId="3" fontId="31" fillId="0" borderId="0" xfId="0" applyNumberFormat="1" applyFont="1"/>
    <xf numFmtId="3" fontId="31" fillId="0" borderId="0" xfId="0" applyNumberFormat="1" applyFont="1" applyFill="1"/>
    <xf numFmtId="0" fontId="31" fillId="0" borderId="0" xfId="0" applyFont="1" applyFill="1"/>
    <xf numFmtId="0" fontId="42" fillId="0" borderId="0" xfId="0" applyFont="1"/>
    <xf numFmtId="0" fontId="37" fillId="0" borderId="0" xfId="0" applyFont="1"/>
    <xf numFmtId="14" fontId="14" fillId="0" borderId="13" xfId="0" applyNumberFormat="1" applyFont="1" applyFill="1" applyBorder="1" applyAlignment="1">
      <alignment horizontal="left"/>
    </xf>
    <xf numFmtId="0" fontId="31" fillId="0" borderId="10" xfId="0" applyFont="1" applyBorder="1"/>
    <xf numFmtId="0" fontId="31" fillId="0" borderId="8" xfId="0" applyFont="1" applyBorder="1"/>
    <xf numFmtId="0" fontId="31" fillId="0" borderId="9" xfId="0" applyFont="1" applyBorder="1"/>
    <xf numFmtId="0" fontId="31" fillId="0" borderId="3" xfId="0" applyFont="1" applyBorder="1"/>
    <xf numFmtId="0" fontId="18" fillId="0" borderId="0" xfId="0" applyFont="1"/>
    <xf numFmtId="3" fontId="46" fillId="0" borderId="7" xfId="0" applyNumberFormat="1" applyFont="1" applyFill="1" applyBorder="1"/>
    <xf numFmtId="0" fontId="46" fillId="0" borderId="0" xfId="0" applyFont="1" applyBorder="1" applyAlignment="1">
      <alignment horizontal="center"/>
    </xf>
    <xf numFmtId="0" fontId="46" fillId="0" borderId="3" xfId="0" applyFont="1" applyBorder="1" applyAlignment="1">
      <alignment horizontal="center"/>
    </xf>
    <xf numFmtId="3" fontId="46" fillId="0" borderId="3" xfId="0" applyNumberFormat="1" applyFont="1" applyFill="1" applyBorder="1"/>
    <xf numFmtId="0" fontId="16" fillId="0" borderId="4" xfId="0" applyFont="1" applyBorder="1" applyAlignment="1">
      <alignment horizontal="center"/>
    </xf>
    <xf numFmtId="0" fontId="16" fillId="0" borderId="1" xfId="0" applyFont="1" applyBorder="1" applyAlignment="1">
      <alignment horizontal="center"/>
    </xf>
    <xf numFmtId="0" fontId="16" fillId="0" borderId="7" xfId="0" applyFont="1" applyBorder="1" applyAlignment="1">
      <alignment horizontal="center"/>
    </xf>
    <xf numFmtId="0" fontId="16" fillId="0" borderId="3" xfId="0" applyFont="1" applyBorder="1" applyAlignment="1">
      <alignment horizontal="center"/>
    </xf>
    <xf numFmtId="3" fontId="49" fillId="4" borderId="6" xfId="0" applyNumberFormat="1" applyFont="1" applyFill="1" applyBorder="1"/>
    <xf numFmtId="0" fontId="14" fillId="0" borderId="11" xfId="0" applyFont="1" applyBorder="1" applyAlignment="1">
      <alignment horizontal="center"/>
    </xf>
    <xf numFmtId="0" fontId="16" fillId="0" borderId="11" xfId="0" applyFont="1" applyBorder="1" applyAlignment="1">
      <alignment horizontal="center"/>
    </xf>
    <xf numFmtId="0" fontId="16" fillId="0" borderId="6" xfId="0" applyFont="1" applyBorder="1" applyAlignment="1">
      <alignment horizontal="center"/>
    </xf>
    <xf numFmtId="0" fontId="16" fillId="0" borderId="0" xfId="0" applyFont="1" applyBorder="1" applyAlignment="1">
      <alignment horizontal="center"/>
    </xf>
    <xf numFmtId="0" fontId="46" fillId="0" borderId="3" xfId="0" applyFont="1" applyBorder="1"/>
    <xf numFmtId="0" fontId="31" fillId="0" borderId="1" xfId="0" applyFont="1" applyBorder="1"/>
    <xf numFmtId="3" fontId="31" fillId="0" borderId="4" xfId="0" applyNumberFormat="1" applyFont="1" applyBorder="1"/>
    <xf numFmtId="3" fontId="31" fillId="0" borderId="4" xfId="0" applyNumberFormat="1" applyFont="1" applyBorder="1" applyAlignment="1">
      <alignment horizontal="right"/>
    </xf>
    <xf numFmtId="3" fontId="31" fillId="0" borderId="4" xfId="0" applyNumberFormat="1" applyFont="1" applyFill="1" applyBorder="1"/>
    <xf numFmtId="3" fontId="31" fillId="0" borderId="4" xfId="0" applyNumberFormat="1" applyFont="1" applyFill="1" applyBorder="1" applyAlignment="1">
      <alignment horizontal="right"/>
    </xf>
    <xf numFmtId="0" fontId="31" fillId="0" borderId="3" xfId="0" applyFont="1" applyFill="1" applyBorder="1"/>
    <xf numFmtId="0" fontId="31" fillId="0" borderId="4" xfId="0" applyFont="1" applyFill="1" applyBorder="1"/>
    <xf numFmtId="3" fontId="46" fillId="0" borderId="4" xfId="0" applyNumberFormat="1" applyFont="1" applyBorder="1"/>
    <xf numFmtId="3" fontId="46" fillId="0" borderId="4" xfId="0" applyNumberFormat="1" applyFont="1" applyBorder="1" applyAlignment="1">
      <alignment horizontal="right"/>
    </xf>
    <xf numFmtId="0" fontId="16" fillId="0" borderId="0" xfId="0" applyFont="1"/>
    <xf numFmtId="0" fontId="31" fillId="0" borderId="0" xfId="0" applyFont="1" applyBorder="1"/>
    <xf numFmtId="0" fontId="46" fillId="0" borderId="6" xfId="0" applyFont="1" applyBorder="1"/>
    <xf numFmtId="3" fontId="46" fillId="0" borderId="11" xfId="0" applyNumberFormat="1" applyFont="1" applyBorder="1"/>
    <xf numFmtId="3" fontId="46" fillId="0" borderId="11" xfId="0" applyNumberFormat="1" applyFont="1" applyBorder="1" applyAlignment="1">
      <alignment horizontal="right"/>
    </xf>
    <xf numFmtId="0" fontId="31" fillId="0" borderId="0" xfId="0" applyFont="1" applyAlignment="1">
      <alignment horizontal="left"/>
    </xf>
    <xf numFmtId="0" fontId="46" fillId="0" borderId="0" xfId="0" applyFont="1" applyAlignment="1">
      <alignment horizontal="left"/>
    </xf>
    <xf numFmtId="0" fontId="31" fillId="0" borderId="14" xfId="0" applyFont="1" applyBorder="1"/>
    <xf numFmtId="0" fontId="31" fillId="0" borderId="15" xfId="0" applyFont="1" applyBorder="1"/>
    <xf numFmtId="167" fontId="46" fillId="0" borderId="7" xfId="0" applyNumberFormat="1" applyFont="1" applyBorder="1" applyAlignment="1">
      <alignment horizontal="left"/>
    </xf>
    <xf numFmtId="0" fontId="46" fillId="0" borderId="2" xfId="0" applyFont="1" applyBorder="1" applyAlignment="1">
      <alignment horizontal="center"/>
    </xf>
    <xf numFmtId="167" fontId="46" fillId="0" borderId="3" xfId="0" applyNumberFormat="1" applyFont="1" applyBorder="1" applyAlignment="1">
      <alignment horizontal="left"/>
    </xf>
    <xf numFmtId="0" fontId="46" fillId="0" borderId="4" xfId="0" applyFont="1" applyBorder="1" applyAlignment="1">
      <alignment horizontal="center"/>
    </xf>
    <xf numFmtId="0" fontId="46" fillId="0" borderId="1" xfId="0" applyFont="1" applyBorder="1" applyAlignment="1">
      <alignment horizontal="center"/>
    </xf>
    <xf numFmtId="0" fontId="16" fillId="0" borderId="2" xfId="0" applyFont="1" applyBorder="1" applyAlignment="1">
      <alignment horizontal="center"/>
    </xf>
    <xf numFmtId="167" fontId="51" fillId="0" borderId="6" xfId="0" applyNumberFormat="1" applyFont="1" applyBorder="1" applyAlignment="1">
      <alignment horizontal="left"/>
    </xf>
    <xf numFmtId="0" fontId="14" fillId="0" borderId="6" xfId="0" applyFont="1" applyBorder="1" applyAlignment="1">
      <alignment horizontal="center"/>
    </xf>
    <xf numFmtId="0" fontId="16" fillId="0" borderId="12" xfId="0" applyFont="1" applyBorder="1" applyAlignment="1">
      <alignment horizontal="center"/>
    </xf>
    <xf numFmtId="3" fontId="31" fillId="0" borderId="1" xfId="0" applyNumberFormat="1" applyFont="1" applyBorder="1"/>
    <xf numFmtId="3" fontId="31" fillId="0" borderId="2" xfId="0" applyNumberFormat="1" applyFont="1" applyBorder="1"/>
    <xf numFmtId="3" fontId="52" fillId="0" borderId="4" xfId="0" applyNumberFormat="1" applyFont="1" applyFill="1" applyBorder="1" applyAlignment="1">
      <alignment horizontal="right"/>
    </xf>
    <xf numFmtId="0" fontId="47" fillId="0" borderId="0" xfId="0" applyFont="1" applyFill="1"/>
    <xf numFmtId="0" fontId="53" fillId="0" borderId="0" xfId="0" applyFont="1" applyFill="1"/>
    <xf numFmtId="3" fontId="54" fillId="0" borderId="0" xfId="0" applyNumberFormat="1" applyFont="1"/>
    <xf numFmtId="0" fontId="54" fillId="0" borderId="0" xfId="0" applyFont="1"/>
    <xf numFmtId="0" fontId="54" fillId="0" borderId="0" xfId="0" applyFont="1" applyFill="1"/>
    <xf numFmtId="0" fontId="46" fillId="0" borderId="4" xfId="0" applyFont="1" applyBorder="1"/>
    <xf numFmtId="3" fontId="46" fillId="0" borderId="0" xfId="0" applyNumberFormat="1" applyFont="1" applyBorder="1" applyAlignment="1">
      <alignment horizontal="right"/>
    </xf>
    <xf numFmtId="3" fontId="31" fillId="0" borderId="0" xfId="0" applyNumberFormat="1" applyFont="1" applyBorder="1"/>
    <xf numFmtId="3" fontId="16" fillId="0" borderId="4" xfId="1" applyNumberFormat="1" applyFont="1" applyBorder="1"/>
    <xf numFmtId="0" fontId="0" fillId="0" borderId="0" xfId="0"/>
    <xf numFmtId="3" fontId="15" fillId="0" borderId="0" xfId="1" applyNumberFormat="1" applyFont="1" applyFill="1" applyBorder="1"/>
    <xf numFmtId="3" fontId="16" fillId="0" borderId="0" xfId="1" applyNumberFormat="1" applyFont="1"/>
    <xf numFmtId="3" fontId="16" fillId="0" borderId="1" xfId="1" applyNumberFormat="1" applyFont="1" applyBorder="1"/>
    <xf numFmtId="3" fontId="18" fillId="0" borderId="0" xfId="1" applyNumberFormat="1" applyFont="1" applyFill="1" applyBorder="1" applyAlignment="1">
      <alignment horizontal="right"/>
    </xf>
    <xf numFmtId="3" fontId="18" fillId="0" borderId="0" xfId="1" applyNumberFormat="1" applyFont="1" applyFill="1" applyBorder="1"/>
    <xf numFmtId="3" fontId="14" fillId="0" borderId="0" xfId="1" applyNumberFormat="1" applyFont="1"/>
    <xf numFmtId="3" fontId="18" fillId="0" borderId="0" xfId="1" applyNumberFormat="1" applyFont="1" applyFill="1"/>
    <xf numFmtId="3" fontId="18" fillId="0" borderId="0" xfId="1" applyNumberFormat="1" applyFont="1"/>
    <xf numFmtId="3" fontId="16" fillId="0" borderId="5" xfId="1" applyNumberFormat="1" applyFont="1" applyBorder="1" applyAlignment="1">
      <alignment horizontal="center"/>
    </xf>
    <xf numFmtId="3" fontId="22" fillId="0" borderId="0" xfId="1" applyNumberFormat="1" applyFont="1"/>
    <xf numFmtId="3" fontId="17" fillId="0" borderId="4" xfId="1" applyNumberFormat="1" applyFont="1" applyBorder="1" applyAlignment="1">
      <alignment horizontal="center"/>
    </xf>
    <xf numFmtId="3" fontId="18" fillId="0" borderId="4" xfId="1" applyNumberFormat="1" applyFont="1" applyFill="1" applyBorder="1"/>
    <xf numFmtId="3" fontId="15" fillId="0" borderId="0" xfId="1" applyNumberFormat="1" applyFont="1" applyFill="1"/>
    <xf numFmtId="3" fontId="18" fillId="0" borderId="0" xfId="1" applyNumberFormat="1" applyFont="1" applyAlignment="1">
      <alignment horizontal="left"/>
    </xf>
    <xf numFmtId="3" fontId="16" fillId="0" borderId="6" xfId="1" applyNumberFormat="1" applyFont="1" applyBorder="1" applyAlignment="1">
      <alignment horizontal="center"/>
    </xf>
    <xf numFmtId="3" fontId="15" fillId="0" borderId="0" xfId="1" applyNumberFormat="1" applyFont="1"/>
    <xf numFmtId="3" fontId="16" fillId="0" borderId="3" xfId="1" applyNumberFormat="1" applyFont="1" applyBorder="1"/>
    <xf numFmtId="3" fontId="16" fillId="0" borderId="0" xfId="1" applyNumberFormat="1" applyFont="1" applyFill="1" applyBorder="1" applyAlignment="1">
      <alignment horizontal="right"/>
    </xf>
    <xf numFmtId="3" fontId="16" fillId="3" borderId="2" xfId="1" applyNumberFormat="1" applyFont="1" applyFill="1" applyBorder="1" applyAlignment="1">
      <alignment horizontal="right"/>
    </xf>
    <xf numFmtId="3" fontId="16" fillId="0" borderId="11" xfId="1" applyNumberFormat="1" applyFont="1" applyBorder="1" applyAlignment="1">
      <alignment horizontal="center"/>
    </xf>
    <xf numFmtId="3" fontId="16" fillId="0" borderId="7" xfId="1" applyNumberFormat="1" applyFont="1" applyBorder="1" applyAlignment="1">
      <alignment horizontal="center"/>
    </xf>
    <xf numFmtId="3" fontId="14" fillId="0" borderId="12" xfId="1" applyNumberFormat="1" applyFont="1" applyBorder="1"/>
    <xf numFmtId="3" fontId="18" fillId="0" borderId="0" xfId="1" applyNumberFormat="1" applyFont="1" applyFill="1" applyAlignment="1">
      <alignment horizontal="left"/>
    </xf>
    <xf numFmtId="3" fontId="14" fillId="0" borderId="0" xfId="1" applyNumberFormat="1" applyFont="1" applyBorder="1"/>
    <xf numFmtId="3" fontId="18" fillId="3" borderId="3" xfId="1" applyNumberFormat="1" applyFont="1" applyFill="1" applyBorder="1" applyAlignment="1">
      <alignment horizontal="right"/>
    </xf>
    <xf numFmtId="3" fontId="18" fillId="3" borderId="6" xfId="1" applyNumberFormat="1" applyFont="1" applyFill="1" applyBorder="1" applyAlignment="1">
      <alignment horizontal="right"/>
    </xf>
    <xf numFmtId="3" fontId="16" fillId="0" borderId="0" xfId="1" applyNumberFormat="1" applyFont="1" applyBorder="1"/>
    <xf numFmtId="3" fontId="16" fillId="3" borderId="6" xfId="1" applyNumberFormat="1" applyFont="1" applyFill="1" applyBorder="1" applyAlignment="1">
      <alignment horizontal="right"/>
    </xf>
    <xf numFmtId="3" fontId="16" fillId="3" borderId="5" xfId="1" applyNumberFormat="1" applyFont="1" applyFill="1" applyBorder="1" applyAlignment="1">
      <alignment horizontal="right"/>
    </xf>
    <xf numFmtId="3" fontId="16" fillId="3" borderId="3" xfId="1" applyNumberFormat="1" applyFont="1" applyFill="1" applyBorder="1" applyAlignment="1">
      <alignment horizontal="right"/>
    </xf>
    <xf numFmtId="3" fontId="18" fillId="0" borderId="10" xfId="1" applyNumberFormat="1" applyFont="1" applyBorder="1" applyAlignment="1">
      <alignment horizontal="left"/>
    </xf>
    <xf numFmtId="3" fontId="16" fillId="0" borderId="0" xfId="1" applyNumberFormat="1" applyFont="1" applyFill="1" applyBorder="1" applyAlignment="1">
      <alignment horizontal="center"/>
    </xf>
    <xf numFmtId="3" fontId="18" fillId="3" borderId="2" xfId="1" applyNumberFormat="1" applyFont="1" applyFill="1" applyBorder="1" applyAlignment="1">
      <alignment horizontal="right"/>
    </xf>
    <xf numFmtId="3" fontId="31" fillId="0" borderId="3" xfId="0" applyNumberFormat="1" applyFont="1" applyBorder="1"/>
    <xf numFmtId="3" fontId="31" fillId="0" borderId="3" xfId="0" applyNumberFormat="1" applyFont="1" applyFill="1" applyBorder="1"/>
    <xf numFmtId="3" fontId="46" fillId="0" borderId="3" xfId="0" applyNumberFormat="1" applyFont="1" applyBorder="1"/>
    <xf numFmtId="3" fontId="46" fillId="0" borderId="0" xfId="0" applyNumberFormat="1" applyFont="1" applyBorder="1"/>
    <xf numFmtId="3" fontId="46" fillId="0" borderId="6" xfId="0" applyNumberFormat="1" applyFont="1" applyBorder="1"/>
    <xf numFmtId="3" fontId="31" fillId="0" borderId="0" xfId="0" applyNumberFormat="1" applyFont="1" applyBorder="1" applyAlignment="1">
      <alignment horizontal="right"/>
    </xf>
    <xf numFmtId="3" fontId="52" fillId="0" borderId="0" xfId="0" applyNumberFormat="1" applyFont="1" applyFill="1" applyBorder="1" applyAlignment="1">
      <alignment horizontal="right"/>
    </xf>
    <xf numFmtId="0" fontId="14" fillId="0" borderId="4" xfId="0" applyFont="1" applyBorder="1" applyAlignment="1">
      <alignment horizontal="center"/>
    </xf>
    <xf numFmtId="0" fontId="14" fillId="0" borderId="3" xfId="0" applyFont="1" applyBorder="1" applyAlignment="1">
      <alignment horizontal="center"/>
    </xf>
    <xf numFmtId="0" fontId="31" fillId="0" borderId="0" xfId="0" applyFont="1" applyFill="1" applyBorder="1"/>
    <xf numFmtId="3" fontId="18" fillId="2" borderId="3" xfId="1" applyNumberFormat="1" applyFont="1" applyFill="1" applyBorder="1" applyAlignment="1">
      <alignment horizontal="right"/>
    </xf>
    <xf numFmtId="0" fontId="18" fillId="0" borderId="0" xfId="0" applyFont="1" applyFill="1" applyBorder="1"/>
    <xf numFmtId="3" fontId="23" fillId="0" borderId="4" xfId="1" applyNumberFormat="1" applyFont="1" applyFill="1" applyBorder="1" applyAlignment="1">
      <alignment horizontal="right"/>
    </xf>
    <xf numFmtId="3" fontId="23" fillId="0" borderId="3" xfId="1" applyNumberFormat="1" applyFont="1" applyFill="1" applyBorder="1" applyAlignment="1">
      <alignment horizontal="right"/>
    </xf>
    <xf numFmtId="3" fontId="18" fillId="0" borderId="4" xfId="1" quotePrefix="1" applyNumberFormat="1" applyFont="1" applyFill="1" applyBorder="1" applyAlignment="1">
      <alignment horizontal="right"/>
    </xf>
    <xf numFmtId="167" fontId="46" fillId="0" borderId="4" xfId="0" applyNumberFormat="1" applyFont="1" applyBorder="1" applyAlignment="1">
      <alignment horizontal="left"/>
    </xf>
    <xf numFmtId="0" fontId="31" fillId="0" borderId="4" xfId="0" applyFont="1" applyBorder="1"/>
    <xf numFmtId="0" fontId="52" fillId="0" borderId="4" xfId="0" applyFont="1" applyFill="1" applyBorder="1"/>
    <xf numFmtId="0" fontId="46" fillId="0" borderId="11" xfId="0" applyFont="1" applyBorder="1"/>
    <xf numFmtId="3" fontId="31" fillId="0" borderId="3" xfId="0" applyNumberFormat="1" applyFont="1" applyBorder="1" applyAlignment="1">
      <alignment horizontal="right"/>
    </xf>
    <xf numFmtId="3" fontId="52" fillId="0" borderId="3" xfId="0" applyNumberFormat="1" applyFont="1" applyFill="1" applyBorder="1" applyAlignment="1">
      <alignment horizontal="right"/>
    </xf>
    <xf numFmtId="3" fontId="46" fillId="0" borderId="3" xfId="0" applyNumberFormat="1" applyFont="1" applyBorder="1" applyAlignment="1">
      <alignment horizontal="right"/>
    </xf>
    <xf numFmtId="3" fontId="46" fillId="0" borderId="6" xfId="0" applyNumberFormat="1" applyFont="1" applyBorder="1" applyAlignment="1">
      <alignment horizontal="right"/>
    </xf>
    <xf numFmtId="0" fontId="37" fillId="0" borderId="4" xfId="0" applyFont="1" applyBorder="1" applyAlignment="1">
      <alignment horizontal="right"/>
    </xf>
    <xf numFmtId="3" fontId="31" fillId="0" borderId="7" xfId="0" applyNumberFormat="1" applyFont="1" applyBorder="1" applyAlignment="1">
      <alignment horizontal="right"/>
    </xf>
    <xf numFmtId="3" fontId="31" fillId="0" borderId="14" xfId="0" applyNumberFormat="1" applyFont="1" applyBorder="1" applyAlignment="1">
      <alignment horizontal="right"/>
    </xf>
    <xf numFmtId="0" fontId="37" fillId="0" borderId="3" xfId="0" applyFont="1" applyBorder="1" applyAlignment="1">
      <alignment horizontal="right"/>
    </xf>
    <xf numFmtId="3" fontId="31" fillId="0" borderId="6" xfId="0" applyNumberFormat="1" applyFont="1" applyBorder="1" applyAlignment="1">
      <alignment horizontal="right"/>
    </xf>
    <xf numFmtId="3" fontId="16" fillId="0" borderId="0" xfId="0" applyNumberFormat="1" applyFont="1"/>
    <xf numFmtId="3" fontId="16" fillId="0" borderId="4" xfId="1" applyNumberFormat="1" applyFont="1" applyBorder="1" applyAlignment="1">
      <alignment horizontal="center"/>
    </xf>
    <xf numFmtId="3" fontId="18" fillId="0" borderId="0" xfId="0" applyNumberFormat="1" applyFont="1" applyBorder="1"/>
    <xf numFmtId="3" fontId="18" fillId="0" borderId="0" xfId="0" applyNumberFormat="1" applyFont="1"/>
    <xf numFmtId="3" fontId="16" fillId="0" borderId="0" xfId="0" applyNumberFormat="1" applyFont="1" applyBorder="1"/>
    <xf numFmtId="3" fontId="18" fillId="0" borderId="0" xfId="0" applyNumberFormat="1" applyFont="1" applyFill="1" applyBorder="1"/>
    <xf numFmtId="0" fontId="18" fillId="8" borderId="1" xfId="0" applyFont="1" applyFill="1" applyBorder="1"/>
    <xf numFmtId="0" fontId="18" fillId="8" borderId="15" xfId="0" applyFont="1" applyFill="1" applyBorder="1"/>
    <xf numFmtId="0" fontId="18" fillId="8" borderId="14" xfId="0" applyFont="1" applyFill="1" applyBorder="1"/>
    <xf numFmtId="0" fontId="16" fillId="8" borderId="1" xfId="0" applyFont="1" applyFill="1" applyBorder="1" applyAlignment="1">
      <alignment horizontal="center"/>
    </xf>
    <xf numFmtId="0" fontId="16" fillId="8" borderId="15" xfId="0" applyFont="1" applyFill="1" applyBorder="1" applyAlignment="1">
      <alignment horizontal="center"/>
    </xf>
    <xf numFmtId="0" fontId="16" fillId="8" borderId="14" xfId="0" applyFont="1" applyFill="1" applyBorder="1" applyAlignment="1">
      <alignment horizontal="center"/>
    </xf>
    <xf numFmtId="0" fontId="16" fillId="8" borderId="11" xfId="0" applyFont="1" applyFill="1" applyBorder="1" applyAlignment="1">
      <alignment horizontal="center"/>
    </xf>
    <xf numFmtId="0" fontId="16" fillId="8" borderId="5" xfId="0" applyFont="1" applyFill="1" applyBorder="1" applyAlignment="1">
      <alignment horizontal="center"/>
    </xf>
    <xf numFmtId="0" fontId="16" fillId="8" borderId="12" xfId="0" applyFont="1" applyFill="1" applyBorder="1" applyAlignment="1">
      <alignment horizontal="center"/>
    </xf>
    <xf numFmtId="0" fontId="16" fillId="8" borderId="3" xfId="0" applyFont="1" applyFill="1" applyBorder="1"/>
    <xf numFmtId="3" fontId="18" fillId="8" borderId="2" xfId="0" applyNumberFormat="1" applyFont="1" applyFill="1" applyBorder="1"/>
    <xf numFmtId="3" fontId="18" fillId="8" borderId="7" xfId="0" applyNumberFormat="1" applyFont="1" applyFill="1" applyBorder="1"/>
    <xf numFmtId="3" fontId="18" fillId="8" borderId="3" xfId="0" applyNumberFormat="1" applyFont="1" applyFill="1" applyBorder="1"/>
    <xf numFmtId="0" fontId="16" fillId="8" borderId="3" xfId="0" applyFont="1" applyFill="1" applyBorder="1" applyAlignment="1">
      <alignment horizontal="center"/>
    </xf>
    <xf numFmtId="0" fontId="16" fillId="8" borderId="2" xfId="0" applyFont="1" applyFill="1" applyBorder="1" applyAlignment="1">
      <alignment horizontal="center"/>
    </xf>
    <xf numFmtId="0" fontId="18" fillId="8" borderId="2" xfId="0" applyFont="1" applyFill="1" applyBorder="1"/>
    <xf numFmtId="0" fontId="18" fillId="8" borderId="3" xfId="0" applyFont="1" applyFill="1" applyBorder="1"/>
    <xf numFmtId="3" fontId="18" fillId="8" borderId="2" xfId="2" applyNumberFormat="1" applyFont="1" applyFill="1" applyBorder="1"/>
    <xf numFmtId="3" fontId="16" fillId="8" borderId="6" xfId="0" applyNumberFormat="1" applyFont="1" applyFill="1" applyBorder="1"/>
    <xf numFmtId="3" fontId="16" fillId="8" borderId="5" xfId="0" applyNumberFormat="1" applyFont="1" applyFill="1" applyBorder="1"/>
    <xf numFmtId="3" fontId="31" fillId="0" borderId="2" xfId="0" quotePrefix="1" applyNumberFormat="1" applyFont="1" applyBorder="1" applyAlignment="1">
      <alignment horizontal="right"/>
    </xf>
    <xf numFmtId="0" fontId="37" fillId="0" borderId="1" xfId="0" applyFont="1" applyBorder="1" applyAlignment="1">
      <alignment horizontal="right"/>
    </xf>
    <xf numFmtId="3" fontId="31" fillId="0" borderId="3" xfId="0" quotePrefix="1" applyNumberFormat="1" applyFont="1" applyBorder="1" applyAlignment="1">
      <alignment horizontal="right"/>
    </xf>
    <xf numFmtId="3" fontId="18" fillId="0" borderId="2" xfId="1" applyNumberFormat="1" applyFont="1" applyFill="1" applyBorder="1" applyAlignment="1">
      <alignment horizontal="right"/>
    </xf>
    <xf numFmtId="3" fontId="18" fillId="2" borderId="2" xfId="1" applyNumberFormat="1" applyFont="1" applyFill="1" applyBorder="1" applyAlignment="1">
      <alignment horizontal="right"/>
    </xf>
    <xf numFmtId="3" fontId="16" fillId="0" borderId="3" xfId="1" applyNumberFormat="1" applyFont="1" applyFill="1" applyBorder="1" applyAlignment="1">
      <alignment horizontal="right"/>
    </xf>
    <xf numFmtId="3" fontId="18" fillId="0" borderId="2" xfId="1" quotePrefix="1" applyNumberFormat="1" applyFont="1" applyFill="1" applyBorder="1" applyAlignment="1">
      <alignment horizontal="right"/>
    </xf>
    <xf numFmtId="3" fontId="18" fillId="0" borderId="6" xfId="1" quotePrefix="1" applyNumberFormat="1" applyFont="1" applyFill="1" applyBorder="1" applyAlignment="1">
      <alignment horizontal="right"/>
    </xf>
    <xf numFmtId="3" fontId="18" fillId="0" borderId="5" xfId="1" quotePrefix="1" applyNumberFormat="1" applyFont="1" applyFill="1" applyBorder="1" applyAlignment="1">
      <alignment horizontal="right"/>
    </xf>
    <xf numFmtId="3" fontId="18" fillId="3" borderId="0" xfId="1" applyNumberFormat="1" applyFont="1" applyFill="1" applyBorder="1" applyAlignment="1">
      <alignment horizontal="right"/>
    </xf>
    <xf numFmtId="165" fontId="56" fillId="7" borderId="3" xfId="844" applyNumberFormat="1" applyFont="1" applyBorder="1" applyAlignment="1">
      <alignment horizontal="right"/>
    </xf>
    <xf numFmtId="3" fontId="46" fillId="0" borderId="2" xfId="0" applyNumberFormat="1" applyFont="1" applyBorder="1"/>
    <xf numFmtId="3" fontId="14" fillId="0" borderId="9" xfId="1" applyNumberFormat="1" applyFont="1" applyBorder="1" applyAlignment="1">
      <alignment horizontal="center"/>
    </xf>
    <xf numFmtId="3" fontId="17" fillId="0" borderId="6" xfId="1" applyNumberFormat="1" applyFont="1" applyBorder="1" applyAlignment="1">
      <alignment horizontal="center"/>
    </xf>
    <xf numFmtId="3" fontId="16" fillId="0" borderId="3" xfId="1" applyNumberFormat="1" applyFont="1" applyBorder="1" applyAlignment="1">
      <alignment horizontal="center"/>
    </xf>
    <xf numFmtId="3" fontId="16" fillId="0" borderId="2" xfId="1" applyNumberFormat="1" applyFont="1" applyBorder="1" applyAlignment="1">
      <alignment horizontal="center"/>
    </xf>
    <xf numFmtId="3" fontId="14" fillId="0" borderId="1" xfId="1" applyNumberFormat="1" applyFont="1" applyBorder="1"/>
    <xf numFmtId="0" fontId="18" fillId="0" borderId="6" xfId="0" applyFont="1" applyBorder="1"/>
    <xf numFmtId="0" fontId="16" fillId="0" borderId="3" xfId="1" applyFont="1" applyBorder="1" applyAlignment="1">
      <alignment horizontal="center"/>
    </xf>
    <xf numFmtId="0" fontId="18" fillId="0" borderId="5" xfId="1" applyFont="1" applyFill="1" applyBorder="1"/>
    <xf numFmtId="0" fontId="18" fillId="0" borderId="9" xfId="1" applyFont="1" applyFill="1" applyBorder="1"/>
    <xf numFmtId="168" fontId="18" fillId="0" borderId="0" xfId="1" applyNumberFormat="1" applyFont="1" applyFill="1" applyBorder="1" applyAlignment="1">
      <alignment horizontal="center"/>
    </xf>
    <xf numFmtId="168" fontId="18" fillId="3" borderId="3" xfId="1" applyNumberFormat="1" applyFont="1" applyFill="1" applyBorder="1" applyAlignment="1">
      <alignment horizontal="right"/>
    </xf>
    <xf numFmtId="168" fontId="18" fillId="3" borderId="6" xfId="1" applyNumberFormat="1" applyFont="1" applyFill="1" applyBorder="1" applyAlignment="1">
      <alignment horizontal="right"/>
    </xf>
    <xf numFmtId="0" fontId="46" fillId="0" borderId="0" xfId="0" applyFont="1" applyBorder="1"/>
    <xf numFmtId="0" fontId="46" fillId="0" borderId="7" xfId="0" applyFont="1" applyBorder="1"/>
    <xf numFmtId="14" fontId="14" fillId="0" borderId="6" xfId="0" applyNumberFormat="1" applyFont="1" applyFill="1" applyBorder="1" applyAlignment="1">
      <alignment horizontal="left"/>
    </xf>
    <xf numFmtId="14" fontId="14" fillId="0" borderId="3" xfId="0" applyNumberFormat="1" applyFont="1" applyFill="1" applyBorder="1" applyAlignment="1">
      <alignment horizontal="center"/>
    </xf>
    <xf numFmtId="167" fontId="16" fillId="0" borderId="4" xfId="0" applyNumberFormat="1" applyFont="1" applyBorder="1" applyAlignment="1">
      <alignment horizontal="center"/>
    </xf>
    <xf numFmtId="167" fontId="16" fillId="0" borderId="11" xfId="0" applyNumberFormat="1" applyFont="1" applyBorder="1" applyAlignment="1">
      <alignment horizontal="center"/>
    </xf>
    <xf numFmtId="0" fontId="16" fillId="0" borderId="5" xfId="0" applyFont="1" applyBorder="1" applyAlignment="1">
      <alignment horizontal="center"/>
    </xf>
    <xf numFmtId="165" fontId="46" fillId="0" borderId="4" xfId="0" applyNumberFormat="1" applyFont="1" applyBorder="1" applyAlignment="1">
      <alignment horizontal="right"/>
    </xf>
    <xf numFmtId="165" fontId="46" fillId="0" borderId="3" xfId="0" applyNumberFormat="1" applyFont="1" applyBorder="1" applyAlignment="1">
      <alignment horizontal="right"/>
    </xf>
    <xf numFmtId="165" fontId="31" fillId="0" borderId="4" xfId="0" applyNumberFormat="1" applyFont="1" applyBorder="1" applyAlignment="1">
      <alignment horizontal="right"/>
    </xf>
    <xf numFmtId="165" fontId="31" fillId="0" borderId="3" xfId="0" applyNumberFormat="1" applyFont="1" applyBorder="1" applyAlignment="1">
      <alignment horizontal="right"/>
    </xf>
    <xf numFmtId="165" fontId="31" fillId="0" borderId="4" xfId="0" applyNumberFormat="1" applyFont="1" applyFill="1" applyBorder="1" applyAlignment="1">
      <alignment horizontal="right"/>
    </xf>
    <xf numFmtId="0" fontId="31" fillId="0" borderId="11" xfId="0" applyFont="1" applyBorder="1"/>
    <xf numFmtId="3" fontId="31" fillId="0" borderId="11" xfId="0" applyNumberFormat="1" applyFont="1" applyBorder="1"/>
    <xf numFmtId="165" fontId="31" fillId="0" borderId="11" xfId="0" applyNumberFormat="1" applyFont="1" applyBorder="1" applyAlignment="1">
      <alignment horizontal="right"/>
    </xf>
    <xf numFmtId="165" fontId="31" fillId="0" borderId="6" xfId="0" applyNumberFormat="1" applyFont="1" applyBorder="1" applyAlignment="1">
      <alignment horizontal="right"/>
    </xf>
    <xf numFmtId="3" fontId="46" fillId="0" borderId="3" xfId="0" applyNumberFormat="1" applyFont="1" applyFill="1" applyBorder="1" applyAlignment="1">
      <alignment horizontal="right"/>
    </xf>
    <xf numFmtId="0" fontId="43" fillId="9" borderId="0" xfId="0" applyFont="1" applyFill="1"/>
    <xf numFmtId="0" fontId="67" fillId="0" borderId="0" xfId="3" applyFont="1" applyAlignment="1" applyProtection="1"/>
    <xf numFmtId="0" fontId="42" fillId="0" borderId="0" xfId="0" applyFont="1" applyFill="1" applyAlignment="1">
      <alignment horizontal="center"/>
    </xf>
    <xf numFmtId="3" fontId="16" fillId="0" borderId="6" xfId="1" applyNumberFormat="1" applyFont="1" applyFill="1" applyBorder="1" applyAlignment="1">
      <alignment horizontal="right"/>
    </xf>
    <xf numFmtId="3" fontId="68" fillId="0" borderId="4" xfId="1" applyNumberFormat="1" applyFont="1" applyFill="1" applyBorder="1" applyAlignment="1">
      <alignment horizontal="right"/>
    </xf>
    <xf numFmtId="3" fontId="68" fillId="0" borderId="3" xfId="1" applyNumberFormat="1" applyFont="1" applyFill="1" applyBorder="1" applyAlignment="1">
      <alignment horizontal="right"/>
    </xf>
    <xf numFmtId="3" fontId="68" fillId="0" borderId="11" xfId="1" applyNumberFormat="1" applyFont="1" applyFill="1" applyBorder="1" applyAlignment="1">
      <alignment horizontal="right"/>
    </xf>
    <xf numFmtId="3" fontId="68" fillId="0" borderId="6" xfId="1" applyNumberFormat="1" applyFont="1" applyFill="1" applyBorder="1" applyAlignment="1">
      <alignment horizontal="right"/>
    </xf>
    <xf numFmtId="3" fontId="18" fillId="0" borderId="3" xfId="2" applyNumberFormat="1" applyFont="1" applyFill="1" applyBorder="1" applyAlignment="1">
      <alignment horizontal="right"/>
    </xf>
    <xf numFmtId="3" fontId="18" fillId="0" borderId="4" xfId="2" applyNumberFormat="1" applyFont="1" applyFill="1" applyBorder="1" applyAlignment="1">
      <alignment horizontal="right"/>
    </xf>
    <xf numFmtId="3" fontId="18" fillId="0" borderId="6" xfId="2" applyNumberFormat="1" applyFont="1" applyFill="1" applyBorder="1" applyAlignment="1">
      <alignment horizontal="right"/>
    </xf>
    <xf numFmtId="3" fontId="18" fillId="0" borderId="11" xfId="2" applyNumberFormat="1" applyFont="1" applyFill="1" applyBorder="1" applyAlignment="1">
      <alignment horizontal="right"/>
    </xf>
    <xf numFmtId="3" fontId="18" fillId="2" borderId="3" xfId="2" applyNumberFormat="1" applyFont="1" applyFill="1" applyBorder="1" applyAlignment="1">
      <alignment horizontal="right"/>
    </xf>
    <xf numFmtId="3" fontId="18" fillId="2" borderId="4" xfId="2" applyNumberFormat="1" applyFont="1" applyFill="1" applyBorder="1" applyAlignment="1">
      <alignment horizontal="right"/>
    </xf>
    <xf numFmtId="3" fontId="18" fillId="0" borderId="4" xfId="1" applyNumberFormat="1" applyFont="1" applyFill="1" applyBorder="1" applyAlignment="1">
      <alignment horizontal="right"/>
    </xf>
    <xf numFmtId="3" fontId="18" fillId="0" borderId="11" xfId="1" applyNumberFormat="1" applyFont="1" applyFill="1" applyBorder="1" applyAlignment="1">
      <alignment horizontal="right"/>
    </xf>
    <xf numFmtId="3" fontId="18" fillId="2" borderId="0" xfId="1" applyNumberFormat="1" applyFont="1" applyFill="1" applyBorder="1" applyAlignment="1">
      <alignment horizontal="right"/>
    </xf>
    <xf numFmtId="3" fontId="18" fillId="0" borderId="3" xfId="2" applyNumberFormat="1" applyFont="1" applyBorder="1" applyAlignment="1">
      <alignment horizontal="right"/>
    </xf>
    <xf numFmtId="3" fontId="23" fillId="0" borderId="2" xfId="1" applyNumberFormat="1" applyFont="1" applyFill="1" applyBorder="1" applyAlignment="1">
      <alignment horizontal="right"/>
    </xf>
    <xf numFmtId="3" fontId="23" fillId="0" borderId="0" xfId="1" applyNumberFormat="1" applyFont="1" applyFill="1" applyBorder="1" applyAlignment="1">
      <alignment horizontal="right"/>
    </xf>
    <xf numFmtId="3" fontId="18" fillId="0" borderId="3" xfId="2" applyNumberFormat="1" applyFont="1" applyBorder="1" applyAlignment="1">
      <alignment horizontal="left"/>
    </xf>
    <xf numFmtId="0" fontId="14" fillId="0" borderId="0" xfId="1" applyFont="1" applyBorder="1" applyAlignment="1">
      <alignment horizontal="center"/>
    </xf>
    <xf numFmtId="0" fontId="14" fillId="0" borderId="0" xfId="1" applyFont="1" applyFill="1" applyBorder="1" applyAlignment="1">
      <alignment horizontal="center"/>
    </xf>
    <xf numFmtId="3" fontId="14" fillId="0" borderId="0" xfId="1" applyNumberFormat="1" applyFont="1" applyBorder="1" applyAlignment="1">
      <alignment horizontal="center"/>
    </xf>
    <xf numFmtId="3" fontId="16" fillId="0" borderId="10" xfId="1" applyNumberFormat="1" applyFont="1" applyBorder="1" applyAlignment="1">
      <alignment horizontal="center"/>
    </xf>
    <xf numFmtId="3" fontId="16" fillId="0" borderId="8" xfId="1" applyNumberFormat="1" applyFont="1" applyBorder="1" applyAlignment="1">
      <alignment horizontal="center"/>
    </xf>
    <xf numFmtId="3" fontId="14" fillId="0" borderId="0" xfId="1" applyNumberFormat="1" applyFont="1" applyFill="1" applyBorder="1" applyAlignment="1">
      <alignment horizontal="center"/>
    </xf>
    <xf numFmtId="3" fontId="14" fillId="0" borderId="12" xfId="1" applyNumberFormat="1" applyFont="1" applyBorder="1" applyAlignment="1">
      <alignment horizontal="center"/>
    </xf>
    <xf numFmtId="3" fontId="16" fillId="0" borderId="9" xfId="1" applyNumberFormat="1" applyFont="1" applyBorder="1" applyAlignment="1">
      <alignment horizontal="center"/>
    </xf>
    <xf numFmtId="3" fontId="16" fillId="0" borderId="1" xfId="1" applyNumberFormat="1" applyFont="1" applyBorder="1" applyAlignment="1">
      <alignment horizontal="center"/>
    </xf>
    <xf numFmtId="3" fontId="16" fillId="0" borderId="7" xfId="2" applyNumberFormat="1" applyFont="1" applyFill="1" applyBorder="1" applyAlignment="1">
      <alignment horizontal="right"/>
    </xf>
    <xf numFmtId="3" fontId="16" fillId="0" borderId="1" xfId="2" applyNumberFormat="1" applyFont="1" applyFill="1" applyBorder="1" applyAlignment="1">
      <alignment horizontal="right"/>
    </xf>
    <xf numFmtId="3" fontId="16" fillId="0" borderId="2" xfId="1" applyNumberFormat="1" applyFont="1" applyFill="1" applyBorder="1" applyAlignment="1">
      <alignment horizontal="right"/>
    </xf>
    <xf numFmtId="3" fontId="16" fillId="0" borderId="4" xfId="1" applyNumberFormat="1" applyFont="1" applyFill="1" applyBorder="1" applyAlignment="1">
      <alignment horizontal="right"/>
    </xf>
    <xf numFmtId="3" fontId="16" fillId="0" borderId="3" xfId="2" applyNumberFormat="1" applyFont="1" applyFill="1" applyBorder="1" applyAlignment="1">
      <alignment horizontal="right"/>
    </xf>
    <xf numFmtId="3" fontId="16" fillId="0" borderId="4" xfId="2" applyNumberFormat="1" applyFont="1" applyFill="1" applyBorder="1" applyAlignment="1">
      <alignment horizontal="right"/>
    </xf>
    <xf numFmtId="3" fontId="16" fillId="0" borderId="6" xfId="2" applyNumberFormat="1" applyFont="1" applyFill="1" applyBorder="1" applyAlignment="1">
      <alignment horizontal="right"/>
    </xf>
    <xf numFmtId="3" fontId="16" fillId="0" borderId="11" xfId="2" applyNumberFormat="1" applyFont="1" applyFill="1" applyBorder="1" applyAlignment="1">
      <alignment horizontal="right"/>
    </xf>
    <xf numFmtId="3" fontId="16" fillId="0" borderId="5" xfId="1" applyNumberFormat="1" applyFont="1" applyFill="1" applyBorder="1" applyAlignment="1">
      <alignment horizontal="right"/>
    </xf>
    <xf numFmtId="3" fontId="16" fillId="0" borderId="11" xfId="1" applyNumberFormat="1" applyFont="1" applyFill="1" applyBorder="1" applyAlignment="1">
      <alignment horizontal="right"/>
    </xf>
    <xf numFmtId="3" fontId="16" fillId="0" borderId="7" xfId="1" applyNumberFormat="1" applyFont="1" applyFill="1" applyBorder="1" applyAlignment="1">
      <alignment horizontal="right"/>
    </xf>
    <xf numFmtId="3" fontId="16" fillId="0" borderId="1" xfId="1" applyNumberFormat="1" applyFont="1" applyFill="1" applyBorder="1" applyAlignment="1">
      <alignment horizontal="right"/>
    </xf>
    <xf numFmtId="3" fontId="16" fillId="0" borderId="15" xfId="1" applyNumberFormat="1" applyFont="1" applyFill="1" applyBorder="1" applyAlignment="1">
      <alignment horizontal="right"/>
    </xf>
    <xf numFmtId="3" fontId="16" fillId="2" borderId="2" xfId="1" applyNumberFormat="1" applyFont="1" applyFill="1" applyBorder="1" applyAlignment="1">
      <alignment horizontal="right"/>
    </xf>
    <xf numFmtId="3" fontId="16" fillId="2" borderId="0" xfId="1" applyNumberFormat="1" applyFont="1" applyFill="1" applyBorder="1" applyAlignment="1">
      <alignment horizontal="right"/>
    </xf>
    <xf numFmtId="3" fontId="16" fillId="2" borderId="4" xfId="1" applyNumberFormat="1" applyFont="1" applyFill="1" applyBorder="1" applyAlignment="1">
      <alignment horizontal="right"/>
    </xf>
    <xf numFmtId="3" fontId="16" fillId="2" borderId="5" xfId="1" applyNumberFormat="1" applyFont="1" applyFill="1" applyBorder="1" applyAlignment="1">
      <alignment horizontal="right"/>
    </xf>
    <xf numFmtId="3" fontId="16" fillId="2" borderId="11" xfId="1" applyNumberFormat="1" applyFont="1" applyFill="1" applyBorder="1" applyAlignment="1">
      <alignment horizontal="right"/>
    </xf>
    <xf numFmtId="3" fontId="16" fillId="2" borderId="3" xfId="1" applyNumberFormat="1" applyFont="1" applyFill="1" applyBorder="1" applyAlignment="1">
      <alignment horizontal="right"/>
    </xf>
    <xf numFmtId="3" fontId="16" fillId="2" borderId="6" xfId="1" applyNumberFormat="1" applyFont="1" applyFill="1" applyBorder="1" applyAlignment="1">
      <alignment horizontal="right"/>
    </xf>
    <xf numFmtId="14" fontId="17" fillId="0" borderId="10" xfId="1" applyNumberFormat="1" applyFont="1" applyBorder="1" applyAlignment="1"/>
    <xf numFmtId="0" fontId="0" fillId="0" borderId="8" xfId="0" applyBorder="1" applyAlignment="1"/>
    <xf numFmtId="3" fontId="16" fillId="0" borderId="2" xfId="1" quotePrefix="1" applyNumberFormat="1" applyFont="1" applyFill="1" applyBorder="1" applyAlignment="1">
      <alignment horizontal="right"/>
    </xf>
    <xf numFmtId="0" fontId="57" fillId="0" borderId="0" xfId="1" applyFont="1" applyFill="1"/>
    <xf numFmtId="0" fontId="15" fillId="0" borderId="0" xfId="1" applyFont="1" applyFill="1" applyAlignment="1">
      <alignment horizontal="right" vertical="top"/>
    </xf>
    <xf numFmtId="0" fontId="15" fillId="0" borderId="0" xfId="1" applyFont="1" applyAlignment="1">
      <alignment vertical="top" wrapText="1"/>
    </xf>
    <xf numFmtId="0" fontId="15" fillId="0" borderId="0" xfId="1" applyFont="1" applyFill="1" applyAlignment="1">
      <alignment horizontal="right"/>
    </xf>
    <xf numFmtId="0" fontId="15" fillId="0" borderId="0" xfId="1" applyFont="1" applyFill="1" applyAlignment="1">
      <alignment vertical="top" wrapText="1"/>
    </xf>
    <xf numFmtId="0" fontId="24" fillId="0" borderId="0" xfId="1" applyFont="1" applyFill="1"/>
    <xf numFmtId="0" fontId="15" fillId="0" borderId="0" xfId="1" applyFont="1" applyFill="1" applyAlignment="1">
      <alignment wrapText="1"/>
    </xf>
    <xf numFmtId="0" fontId="14" fillId="0" borderId="0" xfId="1" applyFont="1" applyFill="1" applyAlignment="1">
      <alignment horizontal="left"/>
    </xf>
    <xf numFmtId="3" fontId="31" fillId="4" borderId="3" xfId="0" applyNumberFormat="1" applyFont="1" applyFill="1" applyBorder="1" applyAlignment="1" applyProtection="1">
      <alignment horizontal="right"/>
      <protection locked="0"/>
    </xf>
    <xf numFmtId="0" fontId="69" fillId="0" borderId="0" xfId="0" applyFont="1" applyAlignment="1">
      <alignment horizontal="left" vertical="center" readingOrder="1"/>
    </xf>
    <xf numFmtId="0" fontId="18" fillId="0" borderId="0" xfId="1" applyFont="1" applyFill="1" applyBorder="1" applyAlignment="1">
      <alignment horizontal="left"/>
    </xf>
    <xf numFmtId="0" fontId="71" fillId="0" borderId="0" xfId="1" applyFont="1" applyFill="1" applyAlignment="1">
      <alignment horizontal="left"/>
    </xf>
    <xf numFmtId="0" fontId="19" fillId="0" borderId="0" xfId="1" applyFont="1" applyFill="1"/>
    <xf numFmtId="0" fontId="43" fillId="9" borderId="0" xfId="3" applyFont="1" applyFill="1" applyAlignment="1" applyProtection="1"/>
    <xf numFmtId="0" fontId="65" fillId="0" borderId="0" xfId="0" applyFont="1" applyFill="1"/>
    <xf numFmtId="0" fontId="66" fillId="0" borderId="0" xfId="0" applyFont="1" applyFill="1"/>
    <xf numFmtId="0" fontId="43" fillId="0" borderId="0" xfId="0" applyFont="1" applyFill="1"/>
    <xf numFmtId="0" fontId="41" fillId="0" borderId="0" xfId="0" applyFont="1" applyFill="1"/>
    <xf numFmtId="0" fontId="39" fillId="0" borderId="0" xfId="0" applyFont="1" applyFill="1"/>
    <xf numFmtId="0" fontId="43" fillId="0" borderId="0" xfId="3" applyFont="1" applyFill="1" applyAlignment="1" applyProtection="1"/>
    <xf numFmtId="3" fontId="16" fillId="3" borderId="7" xfId="1" applyNumberFormat="1" applyFont="1" applyFill="1" applyBorder="1" applyAlignment="1">
      <alignment horizontal="right"/>
    </xf>
    <xf numFmtId="0" fontId="72" fillId="0" borderId="0" xfId="1" applyFont="1" applyBorder="1" applyAlignment="1">
      <alignment horizontal="left"/>
    </xf>
    <xf numFmtId="3" fontId="68" fillId="0" borderId="2" xfId="1" applyNumberFormat="1" applyFont="1" applyFill="1" applyBorder="1" applyAlignment="1">
      <alignment horizontal="right"/>
    </xf>
    <xf numFmtId="3" fontId="60" fillId="0" borderId="2" xfId="1" applyNumberFormat="1" applyFont="1" applyFill="1" applyBorder="1" applyAlignment="1">
      <alignment horizontal="right"/>
    </xf>
    <xf numFmtId="3" fontId="16" fillId="0" borderId="10" xfId="1" applyNumberFormat="1" applyFont="1" applyBorder="1" applyAlignment="1">
      <alignment horizontal="center"/>
    </xf>
    <xf numFmtId="3" fontId="16" fillId="0" borderId="8" xfId="1" applyNumberFormat="1" applyFont="1" applyBorder="1" applyAlignment="1">
      <alignment horizontal="center"/>
    </xf>
    <xf numFmtId="3" fontId="16" fillId="0" borderId="9" xfId="1" applyNumberFormat="1" applyFont="1" applyBorder="1" applyAlignment="1">
      <alignment horizontal="center"/>
    </xf>
    <xf numFmtId="3" fontId="14" fillId="0" borderId="12" xfId="1" applyNumberFormat="1" applyFont="1" applyBorder="1" applyAlignment="1">
      <alignment horizontal="center"/>
    </xf>
    <xf numFmtId="3" fontId="14" fillId="0" borderId="0" xfId="1" applyNumberFormat="1" applyFont="1" applyBorder="1" applyAlignment="1">
      <alignment horizontal="center"/>
    </xf>
    <xf numFmtId="3" fontId="14" fillId="0" borderId="0" xfId="1" applyNumberFormat="1" applyFont="1" applyFill="1" applyBorder="1" applyAlignment="1">
      <alignment horizontal="center"/>
    </xf>
    <xf numFmtId="3" fontId="14" fillId="0" borderId="14" xfId="1" applyNumberFormat="1" applyFont="1" applyFill="1" applyBorder="1" applyAlignment="1">
      <alignment horizontal="center"/>
    </xf>
    <xf numFmtId="171" fontId="16" fillId="0" borderId="7" xfId="846" applyFont="1" applyFill="1" applyBorder="1" applyAlignment="1">
      <alignment horizontal="right"/>
    </xf>
    <xf numFmtId="171" fontId="16" fillId="0" borderId="1" xfId="846" applyFont="1" applyFill="1" applyBorder="1" applyAlignment="1">
      <alignment horizontal="right"/>
    </xf>
    <xf numFmtId="171" fontId="18" fillId="0" borderId="3" xfId="846" applyFont="1" applyBorder="1" applyAlignment="1">
      <alignment horizontal="right"/>
    </xf>
    <xf numFmtId="171" fontId="18" fillId="0" borderId="3" xfId="846" applyFont="1" applyFill="1" applyBorder="1" applyAlignment="1">
      <alignment horizontal="right"/>
    </xf>
    <xf numFmtId="171" fontId="18" fillId="0" borderId="4" xfId="846" applyFont="1" applyFill="1" applyBorder="1" applyAlignment="1">
      <alignment horizontal="right"/>
    </xf>
    <xf numFmtId="171" fontId="16" fillId="0" borderId="3" xfId="846" applyFont="1" applyFill="1" applyBorder="1" applyAlignment="1">
      <alignment horizontal="right"/>
    </xf>
    <xf numFmtId="171" fontId="16" fillId="0" borderId="4" xfId="846" applyFont="1" applyFill="1" applyBorder="1" applyAlignment="1">
      <alignment horizontal="right"/>
    </xf>
    <xf numFmtId="171" fontId="16" fillId="0" borderId="6" xfId="846" applyFont="1" applyFill="1" applyBorder="1" applyAlignment="1">
      <alignment horizontal="right"/>
    </xf>
    <xf numFmtId="171" fontId="16" fillId="0" borderId="11" xfId="846" applyFont="1" applyFill="1" applyBorder="1" applyAlignment="1">
      <alignment horizontal="right"/>
    </xf>
    <xf numFmtId="171" fontId="18" fillId="3" borderId="7" xfId="846" applyFont="1" applyFill="1" applyBorder="1" applyAlignment="1">
      <alignment horizontal="right"/>
    </xf>
    <xf numFmtId="171" fontId="18" fillId="3" borderId="2" xfId="846" applyFont="1" applyFill="1" applyBorder="1" applyAlignment="1">
      <alignment horizontal="right"/>
    </xf>
    <xf numFmtId="171" fontId="16" fillId="0" borderId="2" xfId="846" applyFont="1" applyFill="1" applyBorder="1" applyAlignment="1">
      <alignment horizontal="right"/>
    </xf>
    <xf numFmtId="171" fontId="18" fillId="3" borderId="3" xfId="846" applyFont="1" applyFill="1" applyBorder="1" applyAlignment="1">
      <alignment horizontal="right"/>
    </xf>
    <xf numFmtId="171" fontId="18" fillId="2" borderId="3" xfId="846" applyFont="1" applyFill="1" applyBorder="1" applyAlignment="1">
      <alignment horizontal="right"/>
    </xf>
    <xf numFmtId="171" fontId="18" fillId="2" borderId="4" xfId="846" applyFont="1" applyFill="1" applyBorder="1" applyAlignment="1">
      <alignment horizontal="right"/>
    </xf>
    <xf numFmtId="171" fontId="18" fillId="0" borderId="2" xfId="846" applyFont="1" applyFill="1" applyBorder="1" applyAlignment="1">
      <alignment horizontal="right"/>
    </xf>
    <xf numFmtId="171" fontId="18" fillId="3" borderId="6" xfId="846" applyFont="1" applyFill="1" applyBorder="1" applyAlignment="1">
      <alignment horizontal="right"/>
    </xf>
    <xf numFmtId="171" fontId="16" fillId="0" borderId="5" xfId="846" applyFont="1" applyFill="1" applyBorder="1" applyAlignment="1">
      <alignment horizontal="right"/>
    </xf>
    <xf numFmtId="171" fontId="16" fillId="0" borderId="15" xfId="846" applyFont="1" applyFill="1" applyBorder="1" applyAlignment="1">
      <alignment horizontal="right"/>
    </xf>
    <xf numFmtId="171" fontId="16" fillId="2" borderId="2" xfId="846" applyFont="1" applyFill="1" applyBorder="1" applyAlignment="1">
      <alignment horizontal="right"/>
    </xf>
    <xf numFmtId="171" fontId="16" fillId="2" borderId="0" xfId="846" applyFont="1" applyFill="1" applyBorder="1" applyAlignment="1">
      <alignment horizontal="right"/>
    </xf>
    <xf numFmtId="171" fontId="16" fillId="2" borderId="4" xfId="846" applyFont="1" applyFill="1" applyBorder="1" applyAlignment="1">
      <alignment horizontal="right"/>
    </xf>
    <xf numFmtId="171" fontId="16" fillId="2" borderId="5" xfId="846" applyFont="1" applyFill="1" applyBorder="1" applyAlignment="1">
      <alignment horizontal="right"/>
    </xf>
    <xf numFmtId="171" fontId="16" fillId="2" borderId="11" xfId="846" applyFont="1" applyFill="1" applyBorder="1" applyAlignment="1">
      <alignment horizontal="right"/>
    </xf>
    <xf numFmtId="171" fontId="18" fillId="0" borderId="6" xfId="846" applyFont="1" applyFill="1" applyBorder="1" applyAlignment="1">
      <alignment horizontal="right"/>
    </xf>
    <xf numFmtId="171" fontId="18" fillId="0" borderId="11" xfId="846" applyFont="1" applyFill="1" applyBorder="1" applyAlignment="1">
      <alignment horizontal="right"/>
    </xf>
    <xf numFmtId="171" fontId="68" fillId="0" borderId="2" xfId="846" applyFont="1" applyFill="1" applyBorder="1" applyAlignment="1">
      <alignment horizontal="right"/>
    </xf>
    <xf numFmtId="171" fontId="18" fillId="0" borderId="0" xfId="846" applyFont="1" applyFill="1" applyBorder="1" applyAlignment="1">
      <alignment horizontal="right"/>
    </xf>
    <xf numFmtId="171" fontId="23" fillId="0" borderId="2" xfId="846" applyFont="1" applyFill="1" applyBorder="1" applyAlignment="1">
      <alignment horizontal="right"/>
    </xf>
    <xf numFmtId="171" fontId="23" fillId="0" borderId="0" xfId="846" applyFont="1" applyFill="1" applyBorder="1" applyAlignment="1">
      <alignment horizontal="right"/>
    </xf>
    <xf numFmtId="171" fontId="18" fillId="2" borderId="2" xfId="846" applyFont="1" applyFill="1" applyBorder="1" applyAlignment="1">
      <alignment horizontal="right"/>
    </xf>
    <xf numFmtId="171" fontId="18" fillId="2" borderId="0" xfId="846" applyFont="1" applyFill="1" applyBorder="1" applyAlignment="1">
      <alignment horizontal="right"/>
    </xf>
    <xf numFmtId="171" fontId="16" fillId="0" borderId="0" xfId="846" applyFont="1" applyFill="1" applyBorder="1" applyAlignment="1">
      <alignment horizontal="right"/>
    </xf>
    <xf numFmtId="171" fontId="18" fillId="3" borderId="5" xfId="846" applyFont="1" applyFill="1" applyBorder="1" applyAlignment="1">
      <alignment horizontal="right"/>
    </xf>
    <xf numFmtId="171" fontId="18" fillId="3" borderId="1" xfId="846" applyFont="1" applyFill="1" applyBorder="1" applyAlignment="1">
      <alignment horizontal="right"/>
    </xf>
    <xf numFmtId="171" fontId="18" fillId="3" borderId="4" xfId="846" applyFont="1" applyFill="1" applyBorder="1" applyAlignment="1">
      <alignment horizontal="right"/>
    </xf>
    <xf numFmtId="171" fontId="18" fillId="3" borderId="11" xfId="846" applyFont="1" applyFill="1" applyBorder="1" applyAlignment="1">
      <alignment horizontal="right"/>
    </xf>
    <xf numFmtId="3" fontId="14" fillId="0" borderId="12" xfId="1" applyNumberFormat="1" applyFont="1" applyBorder="1" applyAlignment="1">
      <alignment horizontal="center"/>
    </xf>
    <xf numFmtId="3" fontId="16" fillId="0" borderId="10" xfId="1" applyNumberFormat="1" applyFont="1" applyBorder="1" applyAlignment="1">
      <alignment horizontal="center"/>
    </xf>
    <xf numFmtId="3" fontId="16" fillId="0" borderId="8" xfId="1" applyNumberFormat="1" applyFont="1" applyBorder="1" applyAlignment="1">
      <alignment horizontal="center"/>
    </xf>
    <xf numFmtId="3" fontId="14" fillId="0" borderId="0" xfId="1" applyNumberFormat="1" applyFont="1" applyBorder="1" applyAlignment="1">
      <alignment horizontal="center"/>
    </xf>
    <xf numFmtId="3" fontId="14" fillId="0" borderId="0" xfId="1" applyNumberFormat="1" applyFont="1" applyFill="1" applyBorder="1" applyAlignment="1">
      <alignment horizontal="center"/>
    </xf>
    <xf numFmtId="3" fontId="16" fillId="0" borderId="9" xfId="1" applyNumberFormat="1" applyFont="1" applyBorder="1" applyAlignment="1">
      <alignment horizontal="center"/>
    </xf>
    <xf numFmtId="165" fontId="31" fillId="0" borderId="3" xfId="0" applyNumberFormat="1" applyFont="1" applyBorder="1"/>
    <xf numFmtId="165" fontId="46" fillId="0" borderId="3" xfId="0" applyNumberFormat="1" applyFont="1" applyBorder="1"/>
    <xf numFmtId="165" fontId="31" fillId="0" borderId="3" xfId="0" applyNumberFormat="1" applyFont="1" applyFill="1" applyBorder="1"/>
    <xf numFmtId="165" fontId="46" fillId="0" borderId="6" xfId="0" applyNumberFormat="1" applyFont="1" applyBorder="1"/>
    <xf numFmtId="172" fontId="18" fillId="3" borderId="2" xfId="846" applyNumberFormat="1" applyFont="1" applyFill="1" applyBorder="1" applyAlignment="1">
      <alignment horizontal="right"/>
    </xf>
    <xf numFmtId="172" fontId="18" fillId="3" borderId="3" xfId="846" applyNumberFormat="1" applyFont="1" applyFill="1" applyBorder="1" applyAlignment="1">
      <alignment horizontal="right"/>
    </xf>
    <xf numFmtId="172" fontId="18" fillId="3" borderId="6" xfId="846" applyNumberFormat="1" applyFont="1" applyFill="1" applyBorder="1" applyAlignment="1">
      <alignment horizontal="right"/>
    </xf>
    <xf numFmtId="165" fontId="16" fillId="0" borderId="6" xfId="1" applyNumberFormat="1" applyFont="1" applyBorder="1" applyAlignment="1">
      <alignment horizontal="center"/>
    </xf>
    <xf numFmtId="165" fontId="18" fillId="3" borderId="0" xfId="1" applyNumberFormat="1" applyFont="1" applyFill="1" applyBorder="1" applyAlignment="1">
      <alignment horizontal="right"/>
    </xf>
    <xf numFmtId="165" fontId="18" fillId="3" borderId="5" xfId="1" applyNumberFormat="1" applyFont="1" applyFill="1" applyBorder="1" applyAlignment="1">
      <alignment horizontal="right"/>
    </xf>
    <xf numFmtId="0" fontId="18" fillId="0" borderId="4" xfId="1" applyFont="1" applyBorder="1"/>
    <xf numFmtId="0" fontId="16" fillId="0" borderId="0" xfId="1" applyFont="1" applyFill="1"/>
    <xf numFmtId="49" fontId="16" fillId="0" borderId="0" xfId="1" applyNumberFormat="1" applyFont="1" applyFill="1" applyBorder="1" applyAlignment="1">
      <alignment horizontal="right"/>
    </xf>
    <xf numFmtId="49" fontId="16" fillId="0" borderId="0" xfId="1" applyNumberFormat="1" applyFont="1" applyFill="1" applyBorder="1" applyAlignment="1">
      <alignment horizontal="center"/>
    </xf>
    <xf numFmtId="3" fontId="16" fillId="0" borderId="0" xfId="1" quotePrefix="1" applyNumberFormat="1" applyFont="1" applyFill="1" applyBorder="1" applyAlignment="1">
      <alignment horizontal="center"/>
    </xf>
    <xf numFmtId="171" fontId="16" fillId="3" borderId="7" xfId="846" applyFont="1" applyFill="1" applyBorder="1" applyAlignment="1">
      <alignment horizontal="right"/>
    </xf>
    <xf numFmtId="172" fontId="16" fillId="3" borderId="2" xfId="846" applyNumberFormat="1" applyFont="1" applyFill="1" applyBorder="1" applyAlignment="1">
      <alignment horizontal="right"/>
    </xf>
    <xf numFmtId="3" fontId="16" fillId="0" borderId="0" xfId="1" applyNumberFormat="1" applyFont="1" applyFill="1"/>
    <xf numFmtId="168" fontId="16" fillId="3" borderId="7" xfId="1" applyNumberFormat="1" applyFont="1" applyFill="1" applyBorder="1" applyAlignment="1">
      <alignment horizontal="right"/>
    </xf>
    <xf numFmtId="168" fontId="16" fillId="3" borderId="3" xfId="1" applyNumberFormat="1" applyFont="1" applyFill="1" applyBorder="1" applyAlignment="1">
      <alignment horizontal="right"/>
    </xf>
    <xf numFmtId="168" fontId="16" fillId="3" borderId="6" xfId="1" applyNumberFormat="1" applyFont="1" applyFill="1" applyBorder="1" applyAlignment="1">
      <alignment horizontal="right"/>
    </xf>
    <xf numFmtId="3" fontId="16" fillId="3" borderId="0" xfId="1" applyNumberFormat="1" applyFont="1" applyFill="1" applyBorder="1" applyAlignment="1">
      <alignment horizontal="right"/>
    </xf>
    <xf numFmtId="3" fontId="16" fillId="3" borderId="1" xfId="1" applyNumberFormat="1" applyFont="1" applyFill="1" applyBorder="1" applyAlignment="1">
      <alignment horizontal="right"/>
    </xf>
    <xf numFmtId="3" fontId="16" fillId="3" borderId="4" xfId="1" applyNumberFormat="1" applyFont="1" applyFill="1" applyBorder="1" applyAlignment="1">
      <alignment horizontal="right"/>
    </xf>
    <xf numFmtId="3" fontId="16" fillId="3" borderId="11" xfId="1" applyNumberFormat="1" applyFont="1" applyFill="1" applyBorder="1" applyAlignment="1">
      <alignment horizontal="right"/>
    </xf>
    <xf numFmtId="165" fontId="16" fillId="3" borderId="0" xfId="1" applyNumberFormat="1" applyFont="1" applyFill="1" applyBorder="1" applyAlignment="1">
      <alignment horizontal="right"/>
    </xf>
    <xf numFmtId="0" fontId="14" fillId="0" borderId="0" xfId="1" applyFont="1" applyBorder="1" applyAlignment="1">
      <alignment horizontal="center"/>
    </xf>
    <xf numFmtId="3" fontId="61" fillId="4" borderId="3" xfId="0" applyNumberFormat="1" applyFont="1" applyFill="1" applyBorder="1" applyAlignment="1" applyProtection="1">
      <alignment horizontal="right"/>
      <protection locked="0"/>
    </xf>
    <xf numFmtId="3" fontId="31" fillId="4" borderId="4" xfId="0" applyNumberFormat="1" applyFont="1" applyFill="1" applyBorder="1" applyAlignment="1" applyProtection="1">
      <alignment horizontal="right"/>
      <protection locked="0"/>
    </xf>
    <xf numFmtId="3" fontId="31" fillId="4" borderId="4" xfId="847" applyNumberFormat="1" applyFont="1" applyFill="1" applyBorder="1" applyAlignment="1" applyProtection="1">
      <alignment horizontal="right"/>
      <protection locked="0"/>
    </xf>
    <xf numFmtId="3" fontId="46" fillId="4" borderId="3" xfId="0" applyNumberFormat="1" applyFont="1" applyFill="1" applyBorder="1" applyAlignment="1" applyProtection="1">
      <alignment horizontal="right"/>
      <protection locked="0"/>
    </xf>
    <xf numFmtId="3" fontId="46" fillId="0" borderId="3" xfId="0" applyNumberFormat="1" applyFont="1" applyBorder="1" applyAlignment="1" applyProtection="1">
      <alignment horizontal="right"/>
      <protection locked="0"/>
    </xf>
    <xf numFmtId="3" fontId="31" fillId="0" borderId="3" xfId="0" applyNumberFormat="1" applyFont="1" applyBorder="1" applyAlignment="1" applyProtection="1">
      <alignment horizontal="right"/>
      <protection locked="0"/>
    </xf>
    <xf numFmtId="3" fontId="31" fillId="4" borderId="3" xfId="845" applyNumberFormat="1" applyFont="1" applyFill="1" applyBorder="1" applyAlignment="1" applyProtection="1">
      <alignment horizontal="right"/>
      <protection locked="0"/>
    </xf>
    <xf numFmtId="3" fontId="46" fillId="4" borderId="4" xfId="0" applyNumberFormat="1" applyFont="1" applyFill="1" applyBorder="1" applyAlignment="1" applyProtection="1">
      <alignment horizontal="right"/>
      <protection locked="0"/>
    </xf>
    <xf numFmtId="3" fontId="46" fillId="4" borderId="3" xfId="845" applyNumberFormat="1" applyFont="1" applyFill="1" applyBorder="1" applyAlignment="1" applyProtection="1">
      <alignment horizontal="right"/>
      <protection locked="0"/>
    </xf>
    <xf numFmtId="3" fontId="46" fillId="0" borderId="6" xfId="0" applyNumberFormat="1" applyFont="1" applyBorder="1" applyAlignment="1" applyProtection="1">
      <alignment horizontal="right"/>
      <protection locked="0"/>
    </xf>
    <xf numFmtId="3" fontId="46" fillId="4" borderId="6" xfId="0" applyNumberFormat="1" applyFont="1" applyFill="1" applyBorder="1" applyAlignment="1" applyProtection="1">
      <alignment horizontal="right"/>
      <protection locked="0"/>
    </xf>
    <xf numFmtId="3" fontId="46" fillId="4" borderId="6" xfId="845" applyNumberFormat="1" applyFont="1" applyFill="1" applyBorder="1" applyAlignment="1" applyProtection="1">
      <alignment horizontal="right"/>
      <protection locked="0"/>
    </xf>
    <xf numFmtId="3" fontId="51" fillId="4" borderId="11" xfId="0" applyNumberFormat="1" applyFont="1" applyFill="1" applyBorder="1" applyProtection="1">
      <protection locked="0"/>
    </xf>
    <xf numFmtId="169" fontId="16" fillId="0" borderId="6" xfId="0" applyNumberFormat="1" applyFont="1" applyFill="1" applyBorder="1" applyAlignment="1" applyProtection="1">
      <alignment horizontal="center"/>
      <protection locked="0"/>
    </xf>
    <xf numFmtId="3" fontId="61" fillId="4" borderId="4" xfId="0" applyNumberFormat="1" applyFont="1" applyFill="1" applyBorder="1" applyProtection="1">
      <protection locked="0"/>
    </xf>
    <xf numFmtId="3" fontId="46" fillId="4" borderId="4" xfId="0" applyNumberFormat="1" applyFont="1" applyFill="1" applyBorder="1" applyProtection="1">
      <protection locked="0"/>
    </xf>
    <xf numFmtId="0" fontId="31" fillId="0" borderId="0" xfId="0" applyFont="1" applyProtection="1">
      <protection locked="0"/>
    </xf>
    <xf numFmtId="0" fontId="0" fillId="0" borderId="0" xfId="0" applyProtection="1">
      <protection locked="0"/>
    </xf>
    <xf numFmtId="0" fontId="20" fillId="0" borderId="0" xfId="0" applyFont="1" applyProtection="1">
      <protection locked="0"/>
    </xf>
    <xf numFmtId="0" fontId="62" fillId="0" borderId="0" xfId="0" applyFont="1" applyProtection="1">
      <protection locked="0"/>
    </xf>
    <xf numFmtId="0" fontId="42" fillId="0" borderId="0" xfId="0" applyFont="1" applyProtection="1">
      <protection locked="0"/>
    </xf>
    <xf numFmtId="0" fontId="18" fillId="0" borderId="0" xfId="3" applyFont="1" applyFill="1" applyAlignment="1" applyProtection="1">
      <protection locked="0"/>
    </xf>
    <xf numFmtId="0" fontId="58" fillId="0" borderId="0" xfId="0" applyFont="1" applyProtection="1">
      <protection locked="0"/>
    </xf>
    <xf numFmtId="3" fontId="59" fillId="4" borderId="12" xfId="0" applyNumberFormat="1" applyFont="1" applyFill="1" applyBorder="1" applyProtection="1">
      <protection locked="0"/>
    </xf>
    <xf numFmtId="3" fontId="60" fillId="4" borderId="0" xfId="0" applyNumberFormat="1" applyFont="1" applyFill="1" applyBorder="1" applyProtection="1">
      <protection locked="0"/>
    </xf>
    <xf numFmtId="14" fontId="14" fillId="0" borderId="7" xfId="0" applyNumberFormat="1" applyFont="1" applyFill="1" applyBorder="1" applyAlignment="1" applyProtection="1">
      <alignment horizontal="left"/>
      <protection locked="0"/>
    </xf>
    <xf numFmtId="3" fontId="14" fillId="0" borderId="8" xfId="0" quotePrefix="1" applyNumberFormat="1" applyFont="1" applyFill="1" applyBorder="1" applyProtection="1">
      <protection locked="0"/>
    </xf>
    <xf numFmtId="3" fontId="14" fillId="0" borderId="9" xfId="0" quotePrefix="1" applyNumberFormat="1" applyFont="1" applyFill="1" applyBorder="1" applyProtection="1">
      <protection locked="0"/>
    </xf>
    <xf numFmtId="3" fontId="14" fillId="0" borderId="10" xfId="0" quotePrefix="1" applyNumberFormat="1" applyFont="1" applyFill="1" applyBorder="1" applyProtection="1">
      <protection locked="0"/>
    </xf>
    <xf numFmtId="0" fontId="18" fillId="0" borderId="8" xfId="0" applyFont="1" applyBorder="1" applyProtection="1">
      <protection locked="0"/>
    </xf>
    <xf numFmtId="0" fontId="18" fillId="0" borderId="10" xfId="0" applyFont="1" applyBorder="1" applyProtection="1">
      <protection locked="0"/>
    </xf>
    <xf numFmtId="0" fontId="18" fillId="0" borderId="9" xfId="0" applyFont="1" applyBorder="1" applyProtection="1">
      <protection locked="0"/>
    </xf>
    <xf numFmtId="0" fontId="18" fillId="4" borderId="0" xfId="0" applyFont="1" applyFill="1" applyBorder="1" applyProtection="1">
      <protection locked="0"/>
    </xf>
    <xf numFmtId="3" fontId="46" fillId="0" borderId="1" xfId="0" applyNumberFormat="1" applyFont="1" applyFill="1" applyBorder="1" applyProtection="1">
      <protection locked="0"/>
    </xf>
    <xf numFmtId="0" fontId="46" fillId="4" borderId="0" xfId="0" applyNumberFormat="1" applyFont="1" applyFill="1" applyBorder="1" applyAlignment="1" applyProtection="1">
      <alignment horizontal="center"/>
      <protection locked="0"/>
    </xf>
    <xf numFmtId="3" fontId="46" fillId="0" borderId="4" xfId="0" applyNumberFormat="1" applyFont="1" applyFill="1" applyBorder="1" applyProtection="1">
      <protection locked="0"/>
    </xf>
    <xf numFmtId="0" fontId="16" fillId="0" borderId="7" xfId="0" applyNumberFormat="1" applyFont="1" applyFill="1" applyBorder="1" applyAlignment="1" applyProtection="1">
      <alignment horizontal="center"/>
      <protection locked="0"/>
    </xf>
    <xf numFmtId="169" fontId="14" fillId="4" borderId="0" xfId="0" applyNumberFormat="1" applyFont="1" applyFill="1" applyBorder="1" applyAlignment="1" applyProtection="1">
      <alignment horizontal="center"/>
      <protection locked="0"/>
    </xf>
    <xf numFmtId="0" fontId="14" fillId="4" borderId="0" xfId="0" applyNumberFormat="1" applyFont="1" applyFill="1" applyBorder="1" applyAlignment="1" applyProtection="1">
      <alignment horizontal="center"/>
      <protection locked="0"/>
    </xf>
    <xf numFmtId="0" fontId="50" fillId="0" borderId="0" xfId="0" applyFont="1" applyProtection="1">
      <protection locked="0"/>
    </xf>
    <xf numFmtId="0" fontId="15" fillId="0" borderId="0" xfId="0" applyFont="1" applyProtection="1">
      <protection locked="0"/>
    </xf>
    <xf numFmtId="0" fontId="64" fillId="0" borderId="0" xfId="0" applyFont="1" applyProtection="1">
      <protection locked="0"/>
    </xf>
    <xf numFmtId="0" fontId="42" fillId="0" borderId="0" xfId="1" applyFont="1" applyProtection="1">
      <protection locked="0"/>
    </xf>
    <xf numFmtId="0" fontId="58" fillId="0" borderId="0" xfId="1" applyFont="1" applyProtection="1">
      <protection locked="0"/>
    </xf>
    <xf numFmtId="0" fontId="20" fillId="0" borderId="0" xfId="1" applyProtection="1">
      <protection locked="0"/>
    </xf>
    <xf numFmtId="0" fontId="20" fillId="0" borderId="0" xfId="1" applyFont="1" applyProtection="1">
      <protection locked="0"/>
    </xf>
    <xf numFmtId="3" fontId="46" fillId="4" borderId="0" xfId="1" applyNumberFormat="1" applyFont="1" applyFill="1" applyProtection="1">
      <protection locked="0"/>
    </xf>
    <xf numFmtId="3" fontId="16" fillId="4" borderId="0" xfId="1" applyNumberFormat="1" applyFont="1" applyFill="1" applyProtection="1">
      <protection locked="0"/>
    </xf>
    <xf numFmtId="3" fontId="14" fillId="0" borderId="8" xfId="1" quotePrefix="1" applyNumberFormat="1" applyFont="1" applyFill="1" applyBorder="1" applyAlignment="1" applyProtection="1">
      <alignment horizontal="center"/>
      <protection locked="0"/>
    </xf>
    <xf numFmtId="3" fontId="14" fillId="0" borderId="9" xfId="1" quotePrefix="1" applyNumberFormat="1" applyFont="1" applyFill="1" applyBorder="1" applyAlignment="1" applyProtection="1">
      <alignment horizontal="center"/>
      <protection locked="0"/>
    </xf>
    <xf numFmtId="3" fontId="14" fillId="0" borderId="10" xfId="1" quotePrefix="1" applyNumberFormat="1" applyFont="1" applyFill="1" applyBorder="1" applyAlignment="1" applyProtection="1">
      <alignment horizontal="center"/>
      <protection locked="0"/>
    </xf>
    <xf numFmtId="0" fontId="18" fillId="0" borderId="8" xfId="1" applyFont="1" applyBorder="1" applyProtection="1">
      <protection locked="0"/>
    </xf>
    <xf numFmtId="0" fontId="18" fillId="0" borderId="10" xfId="1" applyFont="1" applyBorder="1" applyProtection="1">
      <protection locked="0"/>
    </xf>
    <xf numFmtId="0" fontId="18" fillId="0" borderId="9" xfId="1" applyFont="1" applyBorder="1" applyProtection="1">
      <protection locked="0"/>
    </xf>
    <xf numFmtId="0" fontId="18" fillId="4" borderId="10" xfId="1" applyFont="1" applyFill="1" applyBorder="1" applyProtection="1">
      <protection locked="0"/>
    </xf>
    <xf numFmtId="0" fontId="18" fillId="4" borderId="8" xfId="1" applyFont="1" applyFill="1" applyBorder="1" applyProtection="1">
      <protection locked="0"/>
    </xf>
    <xf numFmtId="0" fontId="18" fillId="4" borderId="9" xfId="1" applyFont="1" applyFill="1" applyBorder="1" applyProtection="1">
      <protection locked="0"/>
    </xf>
    <xf numFmtId="0" fontId="20" fillId="0" borderId="9" xfId="1" applyFont="1" applyBorder="1" applyProtection="1">
      <protection locked="0"/>
    </xf>
    <xf numFmtId="3" fontId="46" fillId="0" borderId="1" xfId="1" applyNumberFormat="1" applyFont="1" applyFill="1" applyBorder="1" applyProtection="1">
      <protection locked="0"/>
    </xf>
    <xf numFmtId="3" fontId="31" fillId="4" borderId="1" xfId="15" applyNumberFormat="1" applyFont="1" applyFill="1" applyBorder="1" applyAlignment="1" applyProtection="1">
      <alignment horizontal="right"/>
      <protection locked="0"/>
    </xf>
    <xf numFmtId="3" fontId="31" fillId="4" borderId="4" xfId="15" applyNumberFormat="1" applyFont="1" applyFill="1" applyBorder="1" applyAlignment="1" applyProtection="1">
      <alignment horizontal="right"/>
      <protection locked="0"/>
    </xf>
    <xf numFmtId="166" fontId="31" fillId="0" borderId="3" xfId="847" applyNumberFormat="1" applyFont="1" applyBorder="1" applyAlignment="1" applyProtection="1">
      <alignment horizontal="right"/>
      <protection locked="0"/>
    </xf>
    <xf numFmtId="170" fontId="31" fillId="0" borderId="3" xfId="847" applyNumberFormat="1" applyFont="1" applyBorder="1" applyAlignment="1" applyProtection="1">
      <alignment horizontal="right"/>
      <protection locked="0"/>
    </xf>
    <xf numFmtId="166" fontId="31" fillId="4" borderId="4" xfId="847" applyNumberFormat="1" applyFont="1" applyFill="1" applyBorder="1" applyAlignment="1" applyProtection="1">
      <alignment horizontal="right"/>
      <protection locked="0"/>
    </xf>
    <xf numFmtId="166" fontId="31" fillId="4" borderId="3" xfId="847" applyNumberFormat="1" applyFont="1" applyFill="1" applyBorder="1" applyAlignment="1" applyProtection="1">
      <alignment horizontal="right"/>
      <protection locked="0"/>
    </xf>
    <xf numFmtId="3" fontId="46" fillId="4" borderId="4" xfId="15" applyNumberFormat="1" applyFont="1" applyFill="1" applyBorder="1" applyAlignment="1" applyProtection="1">
      <alignment horizontal="right"/>
      <protection locked="0"/>
    </xf>
    <xf numFmtId="3" fontId="46" fillId="4" borderId="11" xfId="15" applyNumberFormat="1" applyFont="1" applyFill="1" applyBorder="1" applyAlignment="1" applyProtection="1">
      <alignment horizontal="right"/>
      <protection locked="0"/>
    </xf>
    <xf numFmtId="3" fontId="16" fillId="0" borderId="10" xfId="1" applyNumberFormat="1" applyFont="1" applyBorder="1" applyAlignment="1">
      <alignment horizontal="center"/>
    </xf>
    <xf numFmtId="3" fontId="16" fillId="0" borderId="8" xfId="1" applyNumberFormat="1" applyFont="1" applyBorder="1" applyAlignment="1">
      <alignment horizontal="center"/>
    </xf>
    <xf numFmtId="3" fontId="16" fillId="0" borderId="9" xfId="1" applyNumberFormat="1" applyFont="1" applyBorder="1" applyAlignment="1">
      <alignment horizontal="center"/>
    </xf>
    <xf numFmtId="3" fontId="14" fillId="0" borderId="0" xfId="1" applyNumberFormat="1" applyFont="1" applyBorder="1" applyAlignment="1">
      <alignment horizontal="center"/>
    </xf>
    <xf numFmtId="3" fontId="14" fillId="0" borderId="12" xfId="1" applyNumberFormat="1" applyFont="1" applyBorder="1" applyAlignment="1">
      <alignment horizontal="center"/>
    </xf>
    <xf numFmtId="3" fontId="14" fillId="0" borderId="0" xfId="1" applyNumberFormat="1" applyFont="1" applyFill="1" applyBorder="1" applyAlignment="1">
      <alignment horizontal="center"/>
    </xf>
    <xf numFmtId="0" fontId="18" fillId="0" borderId="6" xfId="0" applyFont="1" applyFill="1" applyBorder="1"/>
    <xf numFmtId="3" fontId="18" fillId="0" borderId="3" xfId="847" applyNumberFormat="1" applyFont="1" applyBorder="1" applyAlignment="1">
      <alignment horizontal="left"/>
    </xf>
    <xf numFmtId="0" fontId="16" fillId="0" borderId="6" xfId="1" applyFont="1" applyFill="1" applyBorder="1"/>
    <xf numFmtId="3" fontId="18" fillId="0" borderId="3" xfId="847" applyNumberFormat="1" applyFont="1" applyFill="1" applyBorder="1" applyAlignment="1">
      <alignment horizontal="left"/>
    </xf>
    <xf numFmtId="0" fontId="16" fillId="0" borderId="4" xfId="1" applyFont="1" applyFill="1" applyBorder="1"/>
    <xf numFmtId="0" fontId="16" fillId="0" borderId="11" xfId="1" applyFont="1" applyFill="1" applyBorder="1"/>
    <xf numFmtId="0" fontId="46" fillId="2" borderId="3" xfId="0" applyFont="1" applyFill="1" applyBorder="1" applyProtection="1">
      <protection locked="0"/>
    </xf>
    <xf numFmtId="0" fontId="46" fillId="2" borderId="6" xfId="0" applyFont="1" applyFill="1" applyBorder="1" applyProtection="1">
      <protection locked="0"/>
    </xf>
    <xf numFmtId="3" fontId="31" fillId="4" borderId="1" xfId="0" applyNumberFormat="1" applyFont="1" applyFill="1" applyBorder="1" applyAlignment="1" applyProtection="1">
      <alignment horizontal="right"/>
      <protection locked="0"/>
    </xf>
    <xf numFmtId="0" fontId="31" fillId="0" borderId="3" xfId="0" applyFont="1" applyBorder="1" applyAlignment="1" applyProtection="1">
      <alignment horizontal="right"/>
      <protection locked="0"/>
    </xf>
    <xf numFmtId="3" fontId="31" fillId="4" borderId="7" xfId="0" applyNumberFormat="1" applyFont="1" applyFill="1" applyBorder="1" applyAlignment="1" applyProtection="1">
      <alignment horizontal="right"/>
      <protection locked="0"/>
    </xf>
    <xf numFmtId="1" fontId="31" fillId="0" borderId="3" xfId="0" applyNumberFormat="1" applyFont="1" applyBorder="1" applyAlignment="1" applyProtection="1">
      <alignment horizontal="right"/>
      <protection locked="0"/>
    </xf>
    <xf numFmtId="0" fontId="31" fillId="0" borderId="0" xfId="7" applyFont="1" applyProtection="1">
      <protection locked="0"/>
    </xf>
    <xf numFmtId="4" fontId="31" fillId="4" borderId="4" xfId="7" applyNumberFormat="1" applyFont="1" applyFill="1" applyBorder="1" applyAlignment="1" applyProtection="1">
      <alignment horizontal="right"/>
      <protection locked="0"/>
    </xf>
    <xf numFmtId="3" fontId="31" fillId="4" borderId="4" xfId="7" applyNumberFormat="1" applyFont="1" applyFill="1" applyBorder="1" applyAlignment="1" applyProtection="1">
      <alignment horizontal="right"/>
      <protection locked="0"/>
    </xf>
    <xf numFmtId="3" fontId="31" fillId="4" borderId="11" xfId="7" applyNumberFormat="1" applyFont="1" applyFill="1" applyBorder="1" applyAlignment="1" applyProtection="1">
      <alignment horizontal="right"/>
      <protection locked="0"/>
    </xf>
    <xf numFmtId="171" fontId="16" fillId="0" borderId="3" xfId="846" applyFont="1" applyBorder="1" applyAlignment="1">
      <alignment horizontal="right"/>
    </xf>
    <xf numFmtId="3" fontId="16" fillId="0" borderId="10" xfId="1" applyNumberFormat="1" applyFont="1" applyBorder="1" applyAlignment="1">
      <alignment horizontal="center"/>
    </xf>
    <xf numFmtId="3" fontId="16" fillId="0" borderId="8" xfId="1" applyNumberFormat="1" applyFont="1" applyBorder="1" applyAlignment="1">
      <alignment horizontal="center"/>
    </xf>
    <xf numFmtId="3" fontId="16" fillId="0" borderId="9" xfId="1" applyNumberFormat="1" applyFont="1" applyBorder="1" applyAlignment="1">
      <alignment horizontal="center"/>
    </xf>
    <xf numFmtId="3" fontId="14" fillId="0" borderId="12" xfId="1" applyNumberFormat="1" applyFont="1" applyBorder="1" applyAlignment="1">
      <alignment horizontal="center"/>
    </xf>
    <xf numFmtId="3" fontId="14" fillId="0" borderId="0" xfId="1" applyNumberFormat="1" applyFont="1" applyBorder="1" applyAlignment="1">
      <alignment horizontal="center"/>
    </xf>
    <xf numFmtId="3" fontId="14" fillId="0" borderId="0" xfId="1" applyNumberFormat="1" applyFont="1" applyFill="1" applyBorder="1" applyAlignment="1">
      <alignment horizontal="center"/>
    </xf>
    <xf numFmtId="3" fontId="31" fillId="0" borderId="4" xfId="0" applyNumberFormat="1" applyFont="1" applyBorder="1" applyAlignment="1" applyProtection="1">
      <alignment horizontal="right"/>
      <protection locked="0"/>
    </xf>
    <xf numFmtId="0" fontId="42" fillId="0" borderId="0" xfId="7" applyFont="1" applyProtection="1">
      <protection locked="0"/>
    </xf>
    <xf numFmtId="0" fontId="18" fillId="0" borderId="0" xfId="3" applyFont="1" applyAlignment="1">
      <protection locked="0"/>
    </xf>
    <xf numFmtId="0" fontId="20" fillId="0" borderId="0" xfId="7" applyProtection="1">
      <protection locked="0"/>
    </xf>
    <xf numFmtId="3" fontId="59" fillId="4" borderId="0" xfId="7" applyNumberFormat="1" applyFont="1" applyFill="1" applyProtection="1">
      <protection locked="0"/>
    </xf>
    <xf numFmtId="14" fontId="14" fillId="0" borderId="7" xfId="7" applyNumberFormat="1" applyFont="1" applyBorder="1" applyAlignment="1" applyProtection="1">
      <alignment horizontal="left"/>
      <protection locked="0"/>
    </xf>
    <xf numFmtId="0" fontId="18" fillId="0" borderId="10" xfId="7" applyFont="1" applyBorder="1" applyProtection="1">
      <protection locked="0"/>
    </xf>
    <xf numFmtId="0" fontId="18" fillId="0" borderId="8" xfId="7" applyFont="1" applyBorder="1" applyProtection="1">
      <protection locked="0"/>
    </xf>
    <xf numFmtId="0" fontId="18" fillId="0" borderId="9" xfId="7" applyFont="1" applyBorder="1" applyProtection="1">
      <protection locked="0"/>
    </xf>
    <xf numFmtId="0" fontId="70" fillId="0" borderId="8" xfId="7" applyFont="1" applyBorder="1" applyAlignment="1" applyProtection="1">
      <alignment horizontal="center"/>
      <protection locked="0"/>
    </xf>
    <xf numFmtId="0" fontId="18" fillId="4" borderId="0" xfId="7" applyFont="1" applyFill="1" applyProtection="1">
      <protection locked="0"/>
    </xf>
    <xf numFmtId="3" fontId="46" fillId="0" borderId="1" xfId="7" applyNumberFormat="1" applyFont="1" applyBorder="1" applyProtection="1">
      <protection locked="0"/>
    </xf>
    <xf numFmtId="0" fontId="46" fillId="4" borderId="0" xfId="7" applyFont="1" applyFill="1" applyAlignment="1" applyProtection="1">
      <alignment horizontal="center"/>
      <protection locked="0"/>
    </xf>
    <xf numFmtId="3" fontId="46" fillId="0" borderId="4" xfId="7" applyNumberFormat="1" applyFont="1" applyBorder="1" applyProtection="1">
      <protection locked="0"/>
    </xf>
    <xf numFmtId="0" fontId="16" fillId="0" borderId="1" xfId="7" applyFont="1" applyBorder="1" applyAlignment="1" applyProtection="1">
      <alignment horizontal="center"/>
      <protection locked="0"/>
    </xf>
    <xf numFmtId="0" fontId="16" fillId="0" borderId="7" xfId="7" applyFont="1" applyBorder="1" applyAlignment="1" applyProtection="1">
      <alignment horizontal="center"/>
      <protection locked="0"/>
    </xf>
    <xf numFmtId="3" fontId="51" fillId="4" borderId="11" xfId="7" applyNumberFormat="1" applyFont="1" applyFill="1" applyBorder="1" applyProtection="1">
      <protection locked="0"/>
    </xf>
    <xf numFmtId="0" fontId="14" fillId="0" borderId="6" xfId="7" applyFont="1" applyBorder="1" applyAlignment="1" applyProtection="1">
      <alignment horizontal="center"/>
      <protection locked="0"/>
    </xf>
    <xf numFmtId="169" fontId="16" fillId="0" borderId="6" xfId="7" applyNumberFormat="1" applyFont="1" applyBorder="1" applyAlignment="1" applyProtection="1">
      <alignment horizontal="center"/>
      <protection locked="0"/>
    </xf>
    <xf numFmtId="169" fontId="14" fillId="4" borderId="0" xfId="7" applyNumberFormat="1" applyFont="1" applyFill="1" applyAlignment="1" applyProtection="1">
      <alignment horizontal="center"/>
      <protection locked="0"/>
    </xf>
    <xf numFmtId="0" fontId="14" fillId="4" borderId="0" xfId="7" applyFont="1" applyFill="1" applyAlignment="1" applyProtection="1">
      <alignment horizontal="center"/>
      <protection locked="0"/>
    </xf>
    <xf numFmtId="0" fontId="46" fillId="0" borderId="7" xfId="7" applyFont="1" applyBorder="1" applyProtection="1">
      <protection locked="0"/>
    </xf>
    <xf numFmtId="4" fontId="31" fillId="4" borderId="7" xfId="7" applyNumberFormat="1" applyFont="1" applyFill="1" applyBorder="1" applyAlignment="1" applyProtection="1">
      <alignment horizontal="right"/>
      <protection locked="0"/>
    </xf>
    <xf numFmtId="0" fontId="31" fillId="0" borderId="3" xfId="7" applyFont="1" applyBorder="1" applyProtection="1">
      <protection locked="0"/>
    </xf>
    <xf numFmtId="0" fontId="31" fillId="0" borderId="6" xfId="7" applyFont="1" applyBorder="1" applyProtection="1">
      <protection locked="0"/>
    </xf>
    <xf numFmtId="0" fontId="14" fillId="0" borderId="6" xfId="0" applyFont="1" applyBorder="1" applyAlignment="1" applyProtection="1">
      <alignment horizontal="center"/>
      <protection locked="0"/>
    </xf>
    <xf numFmtId="0" fontId="14" fillId="0" borderId="11" xfId="0" applyFont="1" applyBorder="1" applyAlignment="1" applyProtection="1">
      <alignment horizontal="center"/>
      <protection locked="0"/>
    </xf>
    <xf numFmtId="3" fontId="31" fillId="4" borderId="0" xfId="0" applyNumberFormat="1" applyFont="1" applyFill="1" applyAlignment="1" applyProtection="1">
      <alignment horizontal="right"/>
      <protection locked="0"/>
    </xf>
    <xf numFmtId="4" fontId="31" fillId="4" borderId="3" xfId="7" applyNumberFormat="1" applyFont="1" applyFill="1" applyBorder="1" applyAlignment="1" applyProtection="1">
      <alignment horizontal="right"/>
      <protection locked="0"/>
    </xf>
    <xf numFmtId="3" fontId="31" fillId="4" borderId="3" xfId="7" applyNumberFormat="1" applyFont="1" applyFill="1" applyBorder="1" applyAlignment="1" applyProtection="1">
      <alignment horizontal="right"/>
      <protection locked="0"/>
    </xf>
    <xf numFmtId="3" fontId="31" fillId="4" borderId="6" xfId="7" applyNumberFormat="1" applyFont="1" applyFill="1" applyBorder="1" applyAlignment="1" applyProtection="1">
      <alignment horizontal="right"/>
      <protection locked="0"/>
    </xf>
    <xf numFmtId="3" fontId="31" fillId="0" borderId="4" xfId="847" applyNumberFormat="1" applyFont="1" applyFill="1" applyBorder="1" applyAlignment="1" applyProtection="1">
      <alignment horizontal="right"/>
      <protection locked="0"/>
    </xf>
    <xf numFmtId="165" fontId="31" fillId="4" borderId="6" xfId="7" applyNumberFormat="1" applyFont="1" applyFill="1" applyBorder="1" applyAlignment="1" applyProtection="1">
      <alignment horizontal="right"/>
      <protection locked="0"/>
    </xf>
    <xf numFmtId="0" fontId="57" fillId="0" borderId="0" xfId="0" applyFont="1" applyFill="1"/>
    <xf numFmtId="4" fontId="31" fillId="0" borderId="3" xfId="7" applyNumberFormat="1" applyFont="1" applyBorder="1" applyAlignment="1" applyProtection="1">
      <alignment horizontal="right"/>
      <protection locked="0"/>
    </xf>
    <xf numFmtId="3" fontId="14" fillId="0" borderId="12" xfId="1" applyNumberFormat="1" applyFont="1" applyBorder="1" applyAlignment="1">
      <alignment horizontal="center"/>
    </xf>
    <xf numFmtId="3" fontId="16" fillId="0" borderId="10" xfId="1" applyNumberFormat="1" applyFont="1" applyBorder="1" applyAlignment="1">
      <alignment horizontal="center"/>
    </xf>
    <xf numFmtId="3" fontId="16" fillId="0" borderId="8" xfId="1" applyNumberFormat="1" applyFont="1" applyBorder="1" applyAlignment="1">
      <alignment horizontal="center"/>
    </xf>
    <xf numFmtId="3" fontId="16" fillId="0" borderId="9" xfId="1" applyNumberFormat="1" applyFont="1" applyBorder="1" applyAlignment="1">
      <alignment horizontal="center"/>
    </xf>
    <xf numFmtId="3" fontId="14" fillId="0" borderId="0" xfId="1" applyNumberFormat="1" applyFont="1" applyBorder="1" applyAlignment="1">
      <alignment horizontal="center"/>
    </xf>
    <xf numFmtId="3" fontId="14" fillId="0" borderId="0" xfId="1" applyNumberFormat="1" applyFont="1" applyFill="1" applyBorder="1" applyAlignment="1">
      <alignment horizontal="center"/>
    </xf>
    <xf numFmtId="0" fontId="46" fillId="4" borderId="0" xfId="7" applyFont="1" applyFill="1" applyAlignment="1" applyProtection="1">
      <alignment horizontal="center"/>
      <protection locked="0"/>
    </xf>
    <xf numFmtId="3" fontId="14" fillId="0" borderId="12" xfId="1" applyNumberFormat="1" applyFont="1" applyBorder="1" applyAlignment="1">
      <alignment horizontal="center"/>
    </xf>
    <xf numFmtId="3" fontId="16" fillId="0" borderId="10" xfId="1" applyNumberFormat="1" applyFont="1" applyBorder="1" applyAlignment="1">
      <alignment horizontal="center"/>
    </xf>
    <xf numFmtId="3" fontId="16" fillId="0" borderId="8" xfId="1" applyNumberFormat="1" applyFont="1" applyBorder="1" applyAlignment="1">
      <alignment horizontal="center"/>
    </xf>
    <xf numFmtId="3" fontId="16" fillId="0" borderId="9" xfId="1" applyNumberFormat="1" applyFont="1" applyBorder="1" applyAlignment="1">
      <alignment horizontal="center"/>
    </xf>
    <xf numFmtId="3" fontId="14" fillId="0" borderId="0" xfId="1" applyNumberFormat="1" applyFont="1" applyBorder="1" applyAlignment="1">
      <alignment horizontal="center"/>
    </xf>
    <xf numFmtId="3" fontId="14" fillId="0" borderId="0" xfId="1" applyNumberFormat="1" applyFont="1" applyFill="1" applyBorder="1" applyAlignment="1">
      <alignment horizontal="center"/>
    </xf>
    <xf numFmtId="3" fontId="14" fillId="0" borderId="12" xfId="1" applyNumberFormat="1" applyFont="1" applyBorder="1" applyAlignment="1">
      <alignment horizontal="center"/>
    </xf>
    <xf numFmtId="3" fontId="16" fillId="0" borderId="10" xfId="1" applyNumberFormat="1" applyFont="1" applyBorder="1" applyAlignment="1">
      <alignment horizontal="center"/>
    </xf>
    <xf numFmtId="3" fontId="16" fillId="0" borderId="8" xfId="1" applyNumberFormat="1" applyFont="1" applyBorder="1" applyAlignment="1">
      <alignment horizontal="center"/>
    </xf>
    <xf numFmtId="3" fontId="16" fillId="0" borderId="9" xfId="1" applyNumberFormat="1" applyFont="1" applyBorder="1" applyAlignment="1">
      <alignment horizontal="center"/>
    </xf>
    <xf numFmtId="3" fontId="14" fillId="0" borderId="0" xfId="1" applyNumberFormat="1" applyFont="1" applyBorder="1" applyAlignment="1">
      <alignment horizontal="center"/>
    </xf>
    <xf numFmtId="3" fontId="14" fillId="0" borderId="0" xfId="1" applyNumberFormat="1" applyFont="1" applyFill="1" applyBorder="1" applyAlignment="1">
      <alignment horizontal="center"/>
    </xf>
    <xf numFmtId="0" fontId="15" fillId="0" borderId="0" xfId="7" applyFont="1" applyAlignment="1">
      <alignment horizontal="right" vertical="top"/>
    </xf>
    <xf numFmtId="0" fontId="15" fillId="0" borderId="0" xfId="7" applyFont="1" applyAlignment="1">
      <alignment horizontal="right"/>
    </xf>
    <xf numFmtId="0" fontId="31" fillId="0" borderId="4" xfId="0" applyFont="1" applyBorder="1" applyProtection="1">
      <protection locked="0"/>
    </xf>
    <xf numFmtId="3" fontId="46" fillId="0" borderId="1" xfId="0" applyNumberFormat="1" applyFont="1" applyBorder="1" applyProtection="1">
      <protection locked="0"/>
    </xf>
    <xf numFmtId="3" fontId="46" fillId="0" borderId="4" xfId="0" applyNumberFormat="1" applyFont="1" applyBorder="1" applyProtection="1">
      <protection locked="0"/>
    </xf>
    <xf numFmtId="0" fontId="16" fillId="0" borderId="7" xfId="0" applyFont="1" applyBorder="1" applyAlignment="1" applyProtection="1">
      <alignment horizontal="center"/>
      <protection locked="0"/>
    </xf>
    <xf numFmtId="3" fontId="51" fillId="4" borderId="6" xfId="0" applyNumberFormat="1" applyFont="1" applyFill="1" applyBorder="1" applyProtection="1">
      <protection locked="0"/>
    </xf>
    <xf numFmtId="169" fontId="16" fillId="0" borderId="6" xfId="0" applyNumberFormat="1" applyFont="1" applyBorder="1" applyAlignment="1" applyProtection="1">
      <alignment horizontal="center"/>
      <protection locked="0"/>
    </xf>
    <xf numFmtId="3" fontId="31" fillId="4" borderId="1" xfId="0" applyNumberFormat="1" applyFont="1" applyFill="1" applyBorder="1" applyAlignment="1">
      <alignment horizontal="right"/>
    </xf>
    <xf numFmtId="0" fontId="31" fillId="4" borderId="7" xfId="0" applyFont="1" applyFill="1" applyBorder="1" applyAlignment="1" applyProtection="1">
      <alignment horizontal="right"/>
      <protection locked="0"/>
    </xf>
    <xf numFmtId="3" fontId="31" fillId="4" borderId="4" xfId="0" applyNumberFormat="1" applyFont="1" applyFill="1" applyBorder="1" applyAlignment="1">
      <alignment horizontal="right"/>
    </xf>
    <xf numFmtId="3" fontId="31" fillId="4" borderId="4" xfId="15" applyNumberFormat="1" applyFont="1" applyFill="1" applyBorder="1" applyAlignment="1" applyProtection="1">
      <alignment horizontal="right"/>
    </xf>
    <xf numFmtId="3" fontId="31" fillId="4" borderId="3" xfId="0" applyNumberFormat="1" applyFont="1" applyFill="1" applyBorder="1" applyAlignment="1">
      <alignment horizontal="right"/>
    </xf>
    <xf numFmtId="0" fontId="31" fillId="4" borderId="3" xfId="0" applyFont="1" applyFill="1" applyBorder="1" applyAlignment="1" applyProtection="1">
      <alignment horizontal="right"/>
      <protection locked="0"/>
    </xf>
    <xf numFmtId="1" fontId="31" fillId="0" borderId="3" xfId="0" applyNumberFormat="1" applyFont="1" applyBorder="1" applyAlignment="1">
      <alignment horizontal="right"/>
    </xf>
    <xf numFmtId="0" fontId="31" fillId="0" borderId="3" xfId="0" applyFont="1" applyBorder="1" applyAlignment="1">
      <alignment horizontal="right"/>
    </xf>
    <xf numFmtId="166" fontId="31" fillId="0" borderId="3" xfId="847" applyNumberFormat="1" applyFont="1" applyBorder="1" applyAlignment="1" applyProtection="1">
      <alignment horizontal="right"/>
    </xf>
    <xf numFmtId="3" fontId="31" fillId="10" borderId="3" xfId="0" applyNumberFormat="1" applyFont="1" applyFill="1" applyBorder="1" applyAlignment="1" applyProtection="1">
      <alignment horizontal="right"/>
      <protection locked="0"/>
    </xf>
    <xf numFmtId="170" fontId="31" fillId="0" borderId="3" xfId="847" applyNumberFormat="1" applyFont="1" applyBorder="1" applyAlignment="1" applyProtection="1">
      <alignment horizontal="right"/>
    </xf>
    <xf numFmtId="166" fontId="31" fillId="4" borderId="4" xfId="847" applyNumberFormat="1" applyFont="1" applyFill="1" applyBorder="1" applyAlignment="1" applyProtection="1">
      <alignment horizontal="right"/>
    </xf>
    <xf numFmtId="166" fontId="31" fillId="4" borderId="3" xfId="847" applyNumberFormat="1" applyFont="1" applyFill="1" applyBorder="1" applyAlignment="1" applyProtection="1">
      <alignment horizontal="right"/>
    </xf>
    <xf numFmtId="0" fontId="46" fillId="0" borderId="11" xfId="0" applyFont="1" applyBorder="1" applyProtection="1">
      <protection locked="0"/>
    </xf>
    <xf numFmtId="0" fontId="46" fillId="0" borderId="4" xfId="0" applyFont="1" applyBorder="1" applyProtection="1">
      <protection locked="0"/>
    </xf>
    <xf numFmtId="3" fontId="46" fillId="4" borderId="4" xfId="15" applyNumberFormat="1" applyFont="1" applyFill="1" applyBorder="1" applyAlignment="1" applyProtection="1">
      <alignment horizontal="right"/>
    </xf>
    <xf numFmtId="3" fontId="46" fillId="4" borderId="7" xfId="0" applyNumberFormat="1" applyFont="1" applyFill="1" applyBorder="1" applyAlignment="1" applyProtection="1">
      <alignment horizontal="right"/>
      <protection locked="0"/>
    </xf>
    <xf numFmtId="0" fontId="46" fillId="4" borderId="7" xfId="0" applyFont="1" applyFill="1" applyBorder="1" applyAlignment="1" applyProtection="1">
      <alignment horizontal="right"/>
      <protection locked="0"/>
    </xf>
    <xf numFmtId="0" fontId="46" fillId="4" borderId="15" xfId="0" applyFont="1" applyFill="1" applyBorder="1" applyAlignment="1" applyProtection="1">
      <alignment horizontal="right"/>
      <protection locked="0"/>
    </xf>
    <xf numFmtId="0" fontId="50" fillId="0" borderId="7" xfId="0" applyFont="1" applyBorder="1" applyAlignment="1" applyProtection="1">
      <alignment horizontal="right"/>
      <protection locked="0"/>
    </xf>
    <xf numFmtId="0" fontId="46" fillId="4" borderId="3" xfId="0" applyFont="1" applyFill="1" applyBorder="1" applyAlignment="1" applyProtection="1">
      <alignment horizontal="right"/>
      <protection locked="0"/>
    </xf>
    <xf numFmtId="0" fontId="46" fillId="4" borderId="2" xfId="0" applyFont="1" applyFill="1" applyBorder="1" applyAlignment="1" applyProtection="1">
      <alignment horizontal="right"/>
      <protection locked="0"/>
    </xf>
    <xf numFmtId="0" fontId="50" fillId="0" borderId="3" xfId="0" applyFont="1" applyBorder="1" applyAlignment="1" applyProtection="1">
      <alignment horizontal="right"/>
      <protection locked="0"/>
    </xf>
    <xf numFmtId="0" fontId="31" fillId="4" borderId="2" xfId="0" applyFont="1" applyFill="1" applyBorder="1" applyAlignment="1" applyProtection="1">
      <alignment horizontal="right"/>
      <protection locked="0"/>
    </xf>
    <xf numFmtId="3" fontId="31" fillId="4" borderId="2" xfId="0" applyNumberFormat="1" applyFont="1" applyFill="1" applyBorder="1" applyAlignment="1" applyProtection="1">
      <alignment horizontal="right"/>
      <protection locked="0"/>
    </xf>
    <xf numFmtId="3" fontId="46" fillId="4" borderId="2" xfId="0" applyNumberFormat="1" applyFont="1" applyFill="1" applyBorder="1" applyAlignment="1" applyProtection="1">
      <alignment horizontal="right"/>
      <protection locked="0"/>
    </xf>
    <xf numFmtId="0" fontId="46" fillId="0" borderId="0" xfId="0" applyFont="1" applyProtection="1">
      <protection locked="0"/>
    </xf>
    <xf numFmtId="3" fontId="46" fillId="4" borderId="11" xfId="15" applyNumberFormat="1" applyFont="1" applyFill="1" applyBorder="1" applyAlignment="1" applyProtection="1">
      <alignment horizontal="right"/>
    </xf>
    <xf numFmtId="0" fontId="46" fillId="4" borderId="6" xfId="0" applyFont="1" applyFill="1" applyBorder="1" applyAlignment="1" applyProtection="1">
      <alignment horizontal="right"/>
      <protection locked="0"/>
    </xf>
    <xf numFmtId="0" fontId="46" fillId="4" borderId="5" xfId="0" applyFont="1" applyFill="1" applyBorder="1" applyAlignment="1" applyProtection="1">
      <alignment horizontal="right"/>
      <protection locked="0"/>
    </xf>
    <xf numFmtId="0" fontId="46" fillId="0" borderId="6" xfId="0" applyFont="1" applyBorder="1" applyAlignment="1" applyProtection="1">
      <alignment horizontal="right"/>
      <protection locked="0"/>
    </xf>
    <xf numFmtId="0" fontId="46" fillId="0" borderId="7" xfId="0" applyFont="1" applyBorder="1" applyProtection="1">
      <protection locked="0"/>
    </xf>
    <xf numFmtId="3" fontId="46" fillId="4" borderId="1" xfId="15" applyNumberFormat="1" applyFont="1" applyFill="1" applyBorder="1" applyAlignment="1" applyProtection="1">
      <alignment horizontal="right"/>
      <protection locked="0"/>
    </xf>
    <xf numFmtId="3" fontId="46" fillId="4" borderId="1" xfId="0" applyNumberFormat="1" applyFont="1" applyFill="1" applyBorder="1" applyAlignment="1" applyProtection="1">
      <alignment horizontal="right"/>
      <protection locked="0"/>
    </xf>
    <xf numFmtId="0" fontId="46" fillId="4" borderId="1" xfId="0" applyFont="1" applyFill="1" applyBorder="1" applyAlignment="1" applyProtection="1">
      <alignment horizontal="right"/>
      <protection locked="0"/>
    </xf>
    <xf numFmtId="0" fontId="46" fillId="0" borderId="7" xfId="0" applyFont="1" applyBorder="1" applyAlignment="1" applyProtection="1">
      <alignment horizontal="right"/>
      <protection locked="0"/>
    </xf>
    <xf numFmtId="0" fontId="31" fillId="2" borderId="3" xfId="0" applyFont="1" applyFill="1" applyBorder="1" applyProtection="1">
      <protection locked="0"/>
    </xf>
    <xf numFmtId="0" fontId="31" fillId="2" borderId="6" xfId="0" applyFont="1" applyFill="1" applyBorder="1" applyProtection="1">
      <protection locked="0"/>
    </xf>
    <xf numFmtId="3" fontId="61" fillId="4" borderId="3" xfId="0" applyNumberFormat="1" applyFont="1" applyFill="1" applyBorder="1" applyAlignment="1">
      <alignment horizontal="right"/>
    </xf>
    <xf numFmtId="3" fontId="31" fillId="4" borderId="4" xfId="847" applyNumberFormat="1" applyFont="1" applyFill="1" applyBorder="1" applyAlignment="1" applyProtection="1">
      <alignment horizontal="right"/>
    </xf>
    <xf numFmtId="3" fontId="46" fillId="4" borderId="3" xfId="0" applyNumberFormat="1" applyFont="1" applyFill="1" applyBorder="1" applyAlignment="1">
      <alignment horizontal="right"/>
    </xf>
    <xf numFmtId="3" fontId="31" fillId="0" borderId="4" xfId="847" applyNumberFormat="1" applyFont="1" applyFill="1" applyBorder="1" applyAlignment="1" applyProtection="1">
      <alignment horizontal="right"/>
    </xf>
    <xf numFmtId="0" fontId="31" fillId="0" borderId="3" xfId="0" applyFont="1" applyBorder="1" applyProtection="1">
      <protection locked="0"/>
    </xf>
    <xf numFmtId="3" fontId="31" fillId="0" borderId="3" xfId="845" applyNumberFormat="1" applyFont="1" applyBorder="1" applyAlignment="1" applyProtection="1">
      <alignment horizontal="right"/>
      <protection locked="0"/>
    </xf>
    <xf numFmtId="0" fontId="20" fillId="0" borderId="3" xfId="0" applyFont="1" applyBorder="1" applyProtection="1">
      <protection locked="0"/>
    </xf>
    <xf numFmtId="3" fontId="31" fillId="0" borderId="0" xfId="0" applyNumberFormat="1" applyFont="1" applyProtection="1">
      <protection locked="0"/>
    </xf>
    <xf numFmtId="3" fontId="63" fillId="0" borderId="0" xfId="0" applyNumberFormat="1" applyFont="1" applyProtection="1">
      <protection locked="0"/>
    </xf>
    <xf numFmtId="0" fontId="46" fillId="0" borderId="1" xfId="0" applyFont="1" applyFill="1" applyBorder="1" applyAlignment="1" applyProtection="1">
      <alignment horizontal="center"/>
      <protection locked="0"/>
    </xf>
    <xf numFmtId="0" fontId="46" fillId="0" borderId="14" xfId="0" applyFont="1" applyFill="1" applyBorder="1" applyAlignment="1" applyProtection="1">
      <alignment horizontal="center"/>
      <protection locked="0"/>
    </xf>
    <xf numFmtId="0" fontId="46" fillId="0" borderId="15" xfId="0" applyFont="1" applyFill="1" applyBorder="1" applyAlignment="1" applyProtection="1">
      <alignment horizontal="center"/>
      <protection locked="0"/>
    </xf>
    <xf numFmtId="3" fontId="31" fillId="0" borderId="3" xfId="851" applyNumberFormat="1" applyFont="1" applyBorder="1"/>
    <xf numFmtId="0" fontId="46" fillId="0" borderId="1" xfId="0" applyNumberFormat="1" applyFont="1" applyFill="1" applyBorder="1" applyAlignment="1" applyProtection="1">
      <alignment horizontal="center"/>
      <protection locked="0"/>
    </xf>
    <xf numFmtId="0" fontId="46" fillId="0" borderId="14" xfId="0" applyNumberFormat="1" applyFont="1" applyFill="1" applyBorder="1" applyAlignment="1" applyProtection="1">
      <alignment horizontal="center"/>
      <protection locked="0"/>
    </xf>
    <xf numFmtId="0" fontId="46" fillId="0" borderId="15" xfId="0" applyNumberFormat="1" applyFont="1" applyFill="1" applyBorder="1" applyAlignment="1" applyProtection="1">
      <alignment horizontal="center"/>
      <protection locked="0"/>
    </xf>
    <xf numFmtId="0" fontId="46" fillId="0" borderId="1" xfId="7" applyFont="1" applyFill="1" applyBorder="1" applyAlignment="1" applyProtection="1">
      <alignment horizontal="center"/>
      <protection locked="0"/>
    </xf>
    <xf numFmtId="0" fontId="46" fillId="0" borderId="14" xfId="7" applyFont="1" applyFill="1" applyBorder="1" applyAlignment="1" applyProtection="1">
      <alignment horizontal="center"/>
      <protection locked="0"/>
    </xf>
    <xf numFmtId="0" fontId="46" fillId="0" borderId="15" xfId="7" applyFont="1" applyFill="1" applyBorder="1" applyAlignment="1" applyProtection="1">
      <alignment horizontal="center"/>
      <protection locked="0"/>
    </xf>
    <xf numFmtId="0" fontId="46" fillId="0" borderId="1" xfId="0" applyFont="1" applyFill="1" applyBorder="1" applyAlignment="1" applyProtection="1">
      <alignment horizontal="center"/>
      <protection locked="0"/>
    </xf>
    <xf numFmtId="0" fontId="46" fillId="0" borderId="14" xfId="0" applyFont="1" applyFill="1" applyBorder="1" applyAlignment="1" applyProtection="1">
      <alignment horizontal="center"/>
      <protection locked="0"/>
    </xf>
    <xf numFmtId="0" fontId="46" fillId="0" borderId="15" xfId="0" applyFont="1" applyFill="1" applyBorder="1" applyAlignment="1" applyProtection="1">
      <alignment horizontal="center"/>
      <protection locked="0"/>
    </xf>
    <xf numFmtId="0" fontId="46" fillId="0" borderId="1" xfId="0" applyNumberFormat="1" applyFont="1" applyFill="1" applyBorder="1" applyAlignment="1" applyProtection="1">
      <alignment horizontal="center"/>
      <protection locked="0"/>
    </xf>
    <xf numFmtId="0" fontId="46" fillId="0" borderId="14" xfId="0" applyNumberFormat="1" applyFont="1" applyFill="1" applyBorder="1" applyAlignment="1" applyProtection="1">
      <alignment horizontal="center"/>
      <protection locked="0"/>
    </xf>
    <xf numFmtId="0" fontId="46" fillId="0" borderId="15" xfId="0" applyNumberFormat="1" applyFont="1" applyFill="1" applyBorder="1" applyAlignment="1" applyProtection="1">
      <alignment horizontal="center"/>
      <protection locked="0"/>
    </xf>
    <xf numFmtId="166" fontId="31" fillId="0" borderId="3" xfId="847" applyNumberFormat="1" applyFont="1" applyFill="1" applyBorder="1" applyAlignment="1" applyProtection="1">
      <alignment horizontal="right"/>
    </xf>
    <xf numFmtId="3" fontId="31" fillId="0" borderId="4" xfId="15" applyNumberFormat="1" applyFont="1" applyFill="1" applyBorder="1" applyAlignment="1" applyProtection="1">
      <alignment horizontal="right"/>
      <protection locked="0"/>
    </xf>
    <xf numFmtId="3" fontId="46" fillId="0" borderId="4" xfId="15" applyNumberFormat="1" applyFont="1" applyFill="1" applyBorder="1" applyAlignment="1" applyProtection="1">
      <alignment horizontal="right"/>
      <protection locked="0"/>
    </xf>
    <xf numFmtId="3" fontId="46" fillId="0" borderId="11" xfId="15" applyNumberFormat="1" applyFont="1" applyFill="1" applyBorder="1" applyAlignment="1" applyProtection="1">
      <alignment horizontal="right"/>
      <protection locked="0"/>
    </xf>
    <xf numFmtId="4" fontId="31" fillId="4" borderId="4" xfId="7" quotePrefix="1" applyNumberFormat="1" applyFont="1" applyFill="1" applyBorder="1" applyAlignment="1" applyProtection="1">
      <alignment horizontal="right"/>
      <protection locked="0"/>
    </xf>
    <xf numFmtId="0" fontId="18" fillId="0" borderId="0" xfId="0" applyFont="1" applyFill="1" applyBorder="1" applyProtection="1">
      <protection locked="0"/>
    </xf>
    <xf numFmtId="0" fontId="46" fillId="0" borderId="0" xfId="0" applyNumberFormat="1" applyFont="1" applyFill="1" applyBorder="1" applyAlignment="1" applyProtection="1">
      <protection locked="0"/>
    </xf>
    <xf numFmtId="0" fontId="46" fillId="0" borderId="0" xfId="0" applyNumberFormat="1" applyFont="1" applyFill="1" applyBorder="1" applyAlignment="1" applyProtection="1">
      <alignment horizontal="center"/>
      <protection locked="0"/>
    </xf>
    <xf numFmtId="0" fontId="18" fillId="0" borderId="10" xfId="0" applyFont="1" applyFill="1" applyBorder="1" applyProtection="1">
      <protection locked="0"/>
    </xf>
    <xf numFmtId="0" fontId="18" fillId="0" borderId="8" xfId="0" applyFont="1" applyFill="1" applyBorder="1" applyProtection="1">
      <protection locked="0"/>
    </xf>
    <xf numFmtId="0" fontId="18" fillId="0" borderId="9" xfId="0" applyFont="1" applyFill="1" applyBorder="1" applyProtection="1">
      <protection locked="0"/>
    </xf>
    <xf numFmtId="3" fontId="46" fillId="0" borderId="11" xfId="0" applyNumberFormat="1" applyFont="1" applyBorder="1" applyAlignment="1" applyProtection="1">
      <alignment horizontal="right"/>
      <protection locked="0"/>
    </xf>
    <xf numFmtId="0" fontId="14" fillId="0" borderId="6" xfId="0" applyFont="1" applyFill="1" applyBorder="1" applyAlignment="1" applyProtection="1">
      <alignment horizontal="center"/>
      <protection locked="0"/>
    </xf>
    <xf numFmtId="3" fontId="61" fillId="0" borderId="3" xfId="0" applyNumberFormat="1" applyFont="1" applyFill="1" applyBorder="1" applyAlignment="1">
      <alignment horizontal="right"/>
    </xf>
    <xf numFmtId="3" fontId="61" fillId="0" borderId="3" xfId="0" applyNumberFormat="1" applyFont="1" applyFill="1" applyBorder="1" applyAlignment="1" applyProtection="1">
      <alignment horizontal="right"/>
      <protection locked="0"/>
    </xf>
    <xf numFmtId="3" fontId="46" fillId="0" borderId="3" xfId="0" applyNumberFormat="1" applyFont="1" applyFill="1" applyBorder="1" applyAlignment="1" applyProtection="1">
      <alignment horizontal="right"/>
      <protection locked="0"/>
    </xf>
    <xf numFmtId="3" fontId="31" fillId="0" borderId="3" xfId="0" applyNumberFormat="1" applyFont="1" applyFill="1" applyBorder="1" applyAlignment="1">
      <alignment horizontal="right"/>
    </xf>
    <xf numFmtId="3" fontId="31" fillId="0" borderId="3" xfId="0" applyNumberFormat="1" applyFont="1" applyFill="1" applyBorder="1" applyAlignment="1" applyProtection="1">
      <alignment horizontal="right"/>
      <protection locked="0"/>
    </xf>
    <xf numFmtId="3" fontId="31" fillId="0" borderId="4" xfId="0" applyNumberFormat="1" applyFont="1" applyFill="1" applyBorder="1" applyAlignment="1" applyProtection="1">
      <alignment horizontal="right"/>
      <protection locked="0"/>
    </xf>
    <xf numFmtId="0" fontId="46" fillId="0" borderId="1" xfId="0" applyNumberFormat="1" applyFont="1" applyFill="1" applyBorder="1" applyAlignment="1" applyProtection="1">
      <alignment horizontal="center"/>
      <protection locked="0"/>
    </xf>
    <xf numFmtId="0" fontId="46" fillId="0" borderId="14" xfId="0" applyNumberFormat="1" applyFont="1" applyFill="1" applyBorder="1" applyAlignment="1" applyProtection="1">
      <alignment horizontal="center"/>
      <protection locked="0"/>
    </xf>
    <xf numFmtId="0" fontId="46" fillId="0" borderId="15" xfId="0" applyNumberFormat="1" applyFont="1" applyFill="1" applyBorder="1" applyAlignment="1" applyProtection="1">
      <alignment horizontal="center"/>
      <protection locked="0"/>
    </xf>
    <xf numFmtId="0" fontId="46" fillId="0" borderId="1" xfId="7" applyFont="1" applyFill="1" applyBorder="1" applyAlignment="1" applyProtection="1">
      <alignment horizontal="center"/>
      <protection locked="0"/>
    </xf>
    <xf numFmtId="0" fontId="46" fillId="0" borderId="14" xfId="7" applyFont="1" applyFill="1" applyBorder="1" applyAlignment="1" applyProtection="1">
      <alignment horizontal="center"/>
      <protection locked="0"/>
    </xf>
    <xf numFmtId="0" fontId="46" fillId="0" borderId="15" xfId="7" applyFont="1" applyFill="1" applyBorder="1" applyAlignment="1" applyProtection="1">
      <alignment horizontal="center"/>
      <protection locked="0"/>
    </xf>
    <xf numFmtId="172" fontId="23" fillId="3" borderId="2" xfId="846" applyNumberFormat="1" applyFont="1" applyFill="1" applyBorder="1" applyAlignment="1">
      <alignment horizontal="right"/>
    </xf>
    <xf numFmtId="0" fontId="18" fillId="0" borderId="3" xfId="0" applyFont="1" applyBorder="1"/>
    <xf numFmtId="3" fontId="18" fillId="0" borderId="8" xfId="1" applyNumberFormat="1" applyFont="1" applyFill="1" applyBorder="1"/>
    <xf numFmtId="3" fontId="16" fillId="0" borderId="6" xfId="1" applyNumberFormat="1" applyFont="1" applyFill="1" applyBorder="1"/>
    <xf numFmtId="3" fontId="16" fillId="0" borderId="11" xfId="1" applyNumberFormat="1" applyFont="1" applyFill="1" applyBorder="1"/>
    <xf numFmtId="173" fontId="17" fillId="0" borderId="4" xfId="1" applyNumberFormat="1" applyFont="1" applyBorder="1" applyAlignment="1">
      <alignment horizontal="center"/>
    </xf>
    <xf numFmtId="173" fontId="17" fillId="0" borderId="0" xfId="1" applyNumberFormat="1" applyFont="1" applyBorder="1" applyAlignment="1">
      <alignment horizontal="center"/>
    </xf>
    <xf numFmtId="3" fontId="16" fillId="0" borderId="0" xfId="1" applyNumberFormat="1" applyFont="1" applyBorder="1" applyAlignment="1">
      <alignment horizontal="center"/>
    </xf>
    <xf numFmtId="3" fontId="17" fillId="0" borderId="0" xfId="1" applyNumberFormat="1" applyFont="1" applyBorder="1" applyAlignment="1">
      <alignment horizontal="center"/>
    </xf>
    <xf numFmtId="165" fontId="18" fillId="3" borderId="4" xfId="1" applyNumberFormat="1" applyFont="1" applyFill="1" applyBorder="1" applyAlignment="1">
      <alignment horizontal="right"/>
    </xf>
    <xf numFmtId="3" fontId="46" fillId="0" borderId="4" xfId="0" applyNumberFormat="1" applyFont="1" applyBorder="1" applyAlignment="1" applyProtection="1">
      <alignment horizontal="right"/>
      <protection locked="0"/>
    </xf>
    <xf numFmtId="3" fontId="46" fillId="0" borderId="4" xfId="0" applyNumberFormat="1" applyFont="1" applyFill="1" applyBorder="1"/>
    <xf numFmtId="0" fontId="16" fillId="0" borderId="3" xfId="0" applyFont="1" applyBorder="1" applyAlignment="1" applyProtection="1">
      <alignment horizontal="center"/>
      <protection locked="0"/>
    </xf>
    <xf numFmtId="3" fontId="31" fillId="4" borderId="6" xfId="0" applyNumberFormat="1" applyFont="1" applyFill="1" applyBorder="1" applyAlignment="1" applyProtection="1">
      <alignment horizontal="right"/>
      <protection locked="0"/>
    </xf>
    <xf numFmtId="14" fontId="31" fillId="0" borderId="0" xfId="1" applyNumberFormat="1" applyFont="1" applyAlignment="1">
      <alignment horizontal="center"/>
    </xf>
    <xf numFmtId="0" fontId="16" fillId="8" borderId="0" xfId="0" applyFont="1" applyFill="1" applyBorder="1" applyAlignment="1">
      <alignment horizontal="center"/>
    </xf>
    <xf numFmtId="0" fontId="16" fillId="8" borderId="2" xfId="0" applyFont="1" applyFill="1" applyBorder="1" applyAlignment="1">
      <alignment horizontal="center"/>
    </xf>
    <xf numFmtId="0" fontId="46" fillId="0" borderId="12" xfId="0" applyFont="1" applyBorder="1" applyAlignment="1">
      <alignment horizontal="left"/>
    </xf>
    <xf numFmtId="0" fontId="46" fillId="0" borderId="10" xfId="0" applyFont="1" applyBorder="1" applyAlignment="1">
      <alignment horizontal="center"/>
    </xf>
    <xf numFmtId="0" fontId="46" fillId="0" borderId="8" xfId="0" applyFont="1" applyBorder="1" applyAlignment="1">
      <alignment horizontal="center"/>
    </xf>
    <xf numFmtId="0" fontId="46" fillId="0" borderId="9" xfId="0" applyFont="1" applyBorder="1" applyAlignment="1">
      <alignment horizontal="center"/>
    </xf>
    <xf numFmtId="0" fontId="16" fillId="8" borderId="4" xfId="0" applyFont="1" applyFill="1" applyBorder="1" applyAlignment="1">
      <alignment horizontal="center"/>
    </xf>
    <xf numFmtId="0" fontId="46" fillId="0" borderId="14" xfId="0" applyFont="1" applyBorder="1" applyAlignment="1">
      <alignment horizontal="center"/>
    </xf>
    <xf numFmtId="0" fontId="46" fillId="0" borderId="15" xfId="0" applyFont="1" applyBorder="1" applyAlignment="1">
      <alignment horizontal="center"/>
    </xf>
    <xf numFmtId="0" fontId="46" fillId="0" borderId="1" xfId="0" applyFont="1" applyBorder="1" applyAlignment="1">
      <alignment horizontal="center"/>
    </xf>
    <xf numFmtId="14" fontId="14" fillId="0" borderId="11" xfId="0" applyNumberFormat="1" applyFont="1" applyFill="1" applyBorder="1" applyAlignment="1">
      <alignment horizontal="center"/>
    </xf>
    <xf numFmtId="14" fontId="14" fillId="0" borderId="12" xfId="0" applyNumberFormat="1" applyFont="1" applyFill="1" applyBorder="1" applyAlignment="1">
      <alignment horizontal="center"/>
    </xf>
    <xf numFmtId="14" fontId="14" fillId="0" borderId="5" xfId="0" applyNumberFormat="1" applyFont="1" applyFill="1" applyBorder="1" applyAlignment="1">
      <alignment horizontal="center"/>
    </xf>
    <xf numFmtId="3" fontId="46" fillId="0" borderId="11" xfId="0" applyNumberFormat="1" applyFont="1" applyBorder="1" applyAlignment="1">
      <alignment horizontal="center"/>
    </xf>
    <xf numFmtId="3" fontId="46" fillId="0" borderId="12" xfId="0" applyNumberFormat="1" applyFont="1" applyBorder="1" applyAlignment="1">
      <alignment horizontal="center"/>
    </xf>
    <xf numFmtId="3" fontId="46" fillId="0" borderId="5" xfId="0" applyNumberFormat="1" applyFont="1" applyBorder="1" applyAlignment="1">
      <alignment horizontal="center"/>
    </xf>
    <xf numFmtId="0" fontId="16" fillId="0" borderId="10" xfId="1" applyFont="1" applyBorder="1" applyAlignment="1">
      <alignment horizontal="center"/>
    </xf>
    <xf numFmtId="0" fontId="16" fillId="0" borderId="8" xfId="1" applyFont="1" applyBorder="1" applyAlignment="1">
      <alignment horizontal="center"/>
    </xf>
    <xf numFmtId="0" fontId="16" fillId="0" borderId="9" xfId="1" applyFont="1" applyBorder="1" applyAlignment="1">
      <alignment horizontal="center"/>
    </xf>
    <xf numFmtId="0" fontId="14" fillId="0" borderId="0" xfId="1" applyFont="1" applyBorder="1" applyAlignment="1">
      <alignment horizontal="center"/>
    </xf>
    <xf numFmtId="0" fontId="14" fillId="0" borderId="0" xfId="1" applyFont="1" applyFill="1" applyBorder="1" applyAlignment="1">
      <alignment horizontal="center"/>
    </xf>
    <xf numFmtId="3" fontId="14" fillId="0" borderId="0" xfId="1" applyNumberFormat="1" applyFont="1" applyBorder="1" applyAlignment="1">
      <alignment horizontal="center"/>
    </xf>
    <xf numFmtId="3" fontId="16" fillId="0" borderId="10" xfId="1" applyNumberFormat="1" applyFont="1" applyBorder="1" applyAlignment="1">
      <alignment horizontal="center"/>
    </xf>
    <xf numFmtId="3" fontId="16" fillId="0" borderId="8" xfId="1" applyNumberFormat="1" applyFont="1" applyBorder="1" applyAlignment="1">
      <alignment horizontal="center"/>
    </xf>
    <xf numFmtId="3" fontId="14" fillId="0" borderId="12" xfId="1" applyNumberFormat="1" applyFont="1" applyBorder="1" applyAlignment="1">
      <alignment horizontal="center"/>
    </xf>
    <xf numFmtId="3" fontId="14" fillId="0" borderId="14" xfId="1" applyNumberFormat="1" applyFont="1" applyFill="1" applyBorder="1" applyAlignment="1">
      <alignment horizontal="center"/>
    </xf>
    <xf numFmtId="3" fontId="14" fillId="0" borderId="0" xfId="1" applyNumberFormat="1" applyFont="1" applyFill="1" applyBorder="1" applyAlignment="1">
      <alignment horizontal="center"/>
    </xf>
    <xf numFmtId="3" fontId="16" fillId="0" borderId="9" xfId="1" applyNumberFormat="1" applyFont="1" applyBorder="1" applyAlignment="1">
      <alignment horizontal="center"/>
    </xf>
    <xf numFmtId="0" fontId="46" fillId="0" borderId="1" xfId="0" applyFont="1" applyBorder="1" applyAlignment="1" applyProtection="1">
      <alignment horizontal="center"/>
      <protection locked="0"/>
    </xf>
    <xf numFmtId="0" fontId="46" fillId="0" borderId="14" xfId="0" applyFont="1" applyBorder="1" applyAlignment="1" applyProtection="1">
      <alignment horizontal="center"/>
      <protection locked="0"/>
    </xf>
    <xf numFmtId="0" fontId="46" fillId="0" borderId="15" xfId="0" applyFont="1" applyBorder="1" applyAlignment="1" applyProtection="1">
      <alignment horizontal="center"/>
      <protection locked="0"/>
    </xf>
    <xf numFmtId="0" fontId="46" fillId="0" borderId="11" xfId="0" applyFont="1" applyBorder="1" applyAlignment="1" applyProtection="1">
      <alignment horizontal="center"/>
      <protection locked="0"/>
    </xf>
    <xf numFmtId="0" fontId="46" fillId="0" borderId="12" xfId="0" applyFont="1" applyBorder="1" applyAlignment="1" applyProtection="1">
      <alignment horizontal="center"/>
      <protection locked="0"/>
    </xf>
    <xf numFmtId="0" fontId="46" fillId="0" borderId="5" xfId="0" applyFont="1" applyBorder="1" applyAlignment="1" applyProtection="1">
      <alignment horizontal="center"/>
      <protection locked="0"/>
    </xf>
    <xf numFmtId="0" fontId="46" fillId="0" borderId="1" xfId="0" applyFont="1" applyFill="1" applyBorder="1" applyAlignment="1" applyProtection="1">
      <alignment horizontal="center"/>
      <protection locked="0"/>
    </xf>
    <xf numFmtId="0" fontId="46" fillId="0" borderId="14" xfId="0" applyFont="1" applyFill="1" applyBorder="1" applyAlignment="1" applyProtection="1">
      <alignment horizontal="center"/>
      <protection locked="0"/>
    </xf>
    <xf numFmtId="0" fontId="46" fillId="0" borderId="15" xfId="0" applyFont="1" applyFill="1" applyBorder="1" applyAlignment="1" applyProtection="1">
      <alignment horizontal="center"/>
      <protection locked="0"/>
    </xf>
    <xf numFmtId="0" fontId="46" fillId="0" borderId="11" xfId="0" applyFont="1" applyFill="1" applyBorder="1" applyAlignment="1" applyProtection="1">
      <alignment horizontal="center"/>
      <protection locked="0"/>
    </xf>
    <xf numFmtId="0" fontId="46" fillId="0" borderId="12" xfId="0" applyFont="1" applyFill="1" applyBorder="1" applyAlignment="1" applyProtection="1">
      <alignment horizontal="center"/>
      <protection locked="0"/>
    </xf>
    <xf numFmtId="0" fontId="46" fillId="0" borderId="5" xfId="0" applyFont="1" applyFill="1" applyBorder="1" applyAlignment="1" applyProtection="1">
      <alignment horizontal="center"/>
      <protection locked="0"/>
    </xf>
    <xf numFmtId="0" fontId="46" fillId="0" borderId="1" xfId="0" applyNumberFormat="1" applyFont="1" applyFill="1" applyBorder="1" applyAlignment="1" applyProtection="1">
      <alignment horizontal="center"/>
      <protection locked="0"/>
    </xf>
    <xf numFmtId="0" fontId="46" fillId="0" borderId="14" xfId="0" applyNumberFormat="1" applyFont="1" applyFill="1" applyBorder="1" applyAlignment="1" applyProtection="1">
      <alignment horizontal="center"/>
      <protection locked="0"/>
    </xf>
    <xf numFmtId="0" fontId="46" fillId="0" borderId="15" xfId="0" applyNumberFormat="1" applyFont="1" applyFill="1" applyBorder="1" applyAlignment="1" applyProtection="1">
      <alignment horizontal="center"/>
      <protection locked="0"/>
    </xf>
    <xf numFmtId="0" fontId="46" fillId="4" borderId="0" xfId="0" applyNumberFormat="1" applyFont="1" applyFill="1" applyBorder="1" applyAlignment="1" applyProtection="1">
      <alignment horizontal="center"/>
      <protection locked="0"/>
    </xf>
    <xf numFmtId="0" fontId="46" fillId="0" borderId="11" xfId="0" applyNumberFormat="1" applyFont="1" applyFill="1" applyBorder="1" applyAlignment="1" applyProtection="1">
      <alignment horizontal="center"/>
      <protection locked="0"/>
    </xf>
    <xf numFmtId="0" fontId="46" fillId="0" borderId="12" xfId="0" applyNumberFormat="1" applyFont="1" applyFill="1" applyBorder="1" applyAlignment="1" applyProtection="1">
      <alignment horizontal="center"/>
      <protection locked="0"/>
    </xf>
    <xf numFmtId="0" fontId="46" fillId="0" borderId="5" xfId="0" applyNumberFormat="1" applyFont="1" applyFill="1" applyBorder="1" applyAlignment="1" applyProtection="1">
      <alignment horizontal="center"/>
      <protection locked="0"/>
    </xf>
    <xf numFmtId="0" fontId="73" fillId="0" borderId="1" xfId="0" applyNumberFormat="1" applyFont="1" applyFill="1" applyBorder="1" applyAlignment="1" applyProtection="1">
      <alignment horizontal="center"/>
      <protection locked="0"/>
    </xf>
    <xf numFmtId="0" fontId="73" fillId="0" borderId="14" xfId="0" applyNumberFormat="1" applyFont="1" applyFill="1" applyBorder="1" applyAlignment="1" applyProtection="1">
      <alignment horizontal="center"/>
      <protection locked="0"/>
    </xf>
    <xf numFmtId="0" fontId="73" fillId="0" borderId="15" xfId="0" applyNumberFormat="1" applyFont="1" applyFill="1" applyBorder="1" applyAlignment="1" applyProtection="1">
      <alignment horizontal="center"/>
      <protection locked="0"/>
    </xf>
    <xf numFmtId="0" fontId="73" fillId="0" borderId="11" xfId="0" applyNumberFormat="1" applyFont="1" applyFill="1" applyBorder="1" applyAlignment="1" applyProtection="1">
      <alignment horizontal="center"/>
      <protection locked="0"/>
    </xf>
    <xf numFmtId="0" fontId="73" fillId="0" borderId="12" xfId="0" applyNumberFormat="1" applyFont="1" applyFill="1" applyBorder="1" applyAlignment="1" applyProtection="1">
      <alignment horizontal="center"/>
      <protection locked="0"/>
    </xf>
    <xf numFmtId="0" fontId="73" fillId="0" borderId="5" xfId="0" applyNumberFormat="1" applyFont="1" applyFill="1" applyBorder="1" applyAlignment="1" applyProtection="1">
      <alignment horizontal="center"/>
      <protection locked="0"/>
    </xf>
    <xf numFmtId="0" fontId="46" fillId="0" borderId="1" xfId="1" applyNumberFormat="1" applyFont="1" applyFill="1" applyBorder="1" applyAlignment="1" applyProtection="1">
      <alignment horizontal="center"/>
      <protection locked="0"/>
    </xf>
    <xf numFmtId="0" fontId="46" fillId="0" borderId="14" xfId="1" applyNumberFormat="1" applyFont="1" applyFill="1" applyBorder="1" applyAlignment="1" applyProtection="1">
      <alignment horizontal="center"/>
      <protection locked="0"/>
    </xf>
    <xf numFmtId="0" fontId="46" fillId="0" borderId="15" xfId="1" applyNumberFormat="1" applyFont="1" applyFill="1" applyBorder="1" applyAlignment="1" applyProtection="1">
      <alignment horizontal="center"/>
      <protection locked="0"/>
    </xf>
    <xf numFmtId="0" fontId="46" fillId="0" borderId="11" xfId="1" applyNumberFormat="1" applyFont="1" applyFill="1" applyBorder="1" applyAlignment="1" applyProtection="1">
      <alignment horizontal="center"/>
      <protection locked="0"/>
    </xf>
    <xf numFmtId="0" fontId="46" fillId="0" borderId="12" xfId="1" applyNumberFormat="1" applyFont="1" applyFill="1" applyBorder="1" applyAlignment="1" applyProtection="1">
      <alignment horizontal="center"/>
      <protection locked="0"/>
    </xf>
    <xf numFmtId="0" fontId="46" fillId="0" borderId="5" xfId="1" applyNumberFormat="1" applyFont="1" applyFill="1" applyBorder="1" applyAlignment="1" applyProtection="1">
      <alignment horizontal="center"/>
      <protection locked="0"/>
    </xf>
    <xf numFmtId="0" fontId="46" fillId="0" borderId="1" xfId="7" applyFont="1" applyFill="1" applyBorder="1" applyAlignment="1" applyProtection="1">
      <alignment horizontal="center"/>
      <protection locked="0"/>
    </xf>
    <xf numFmtId="0" fontId="46" fillId="0" borderId="14" xfId="7" applyFont="1" applyFill="1" applyBorder="1" applyAlignment="1" applyProtection="1">
      <alignment horizontal="center"/>
      <protection locked="0"/>
    </xf>
    <xf numFmtId="0" fontId="46" fillId="0" borderId="15" xfId="7" applyFont="1" applyFill="1" applyBorder="1" applyAlignment="1" applyProtection="1">
      <alignment horizontal="center"/>
      <protection locked="0"/>
    </xf>
    <xf numFmtId="0" fontId="46" fillId="0" borderId="11" xfId="7" applyFont="1" applyFill="1" applyBorder="1" applyAlignment="1" applyProtection="1">
      <alignment horizontal="center"/>
      <protection locked="0"/>
    </xf>
    <xf numFmtId="0" fontId="46" fillId="0" borderId="12" xfId="7" applyFont="1" applyFill="1" applyBorder="1" applyAlignment="1" applyProtection="1">
      <alignment horizontal="center"/>
      <protection locked="0"/>
    </xf>
    <xf numFmtId="0" fontId="46" fillId="0" borderId="5" xfId="7" applyFont="1" applyFill="1" applyBorder="1" applyAlignment="1" applyProtection="1">
      <alignment horizontal="center"/>
      <protection locked="0"/>
    </xf>
    <xf numFmtId="0" fontId="46" fillId="4" borderId="0" xfId="7" applyFont="1" applyFill="1" applyAlignment="1" applyProtection="1">
      <alignment horizontal="center"/>
      <protection locked="0"/>
    </xf>
    <xf numFmtId="0" fontId="46" fillId="0" borderId="11" xfId="7" applyFont="1" applyBorder="1" applyAlignment="1" applyProtection="1">
      <alignment horizontal="center"/>
      <protection locked="0"/>
    </xf>
    <xf numFmtId="0" fontId="46" fillId="0" borderId="12" xfId="7" applyFont="1" applyBorder="1" applyAlignment="1" applyProtection="1">
      <alignment horizontal="center"/>
      <protection locked="0"/>
    </xf>
    <xf numFmtId="0" fontId="46" fillId="0" borderId="5" xfId="7" applyFont="1" applyBorder="1" applyAlignment="1" applyProtection="1">
      <alignment horizontal="center"/>
      <protection locked="0"/>
    </xf>
    <xf numFmtId="0" fontId="46" fillId="0" borderId="1" xfId="7" applyFont="1" applyBorder="1" applyAlignment="1" applyProtection="1">
      <alignment horizontal="center"/>
      <protection locked="0"/>
    </xf>
    <xf numFmtId="0" fontId="46" fillId="0" borderId="14" xfId="7" applyFont="1" applyBorder="1" applyAlignment="1" applyProtection="1">
      <alignment horizontal="center"/>
      <protection locked="0"/>
    </xf>
    <xf numFmtId="0" fontId="46" fillId="0" borderId="15" xfId="7" applyFont="1" applyBorder="1" applyAlignment="1" applyProtection="1">
      <alignment horizontal="center"/>
      <protection locked="0"/>
    </xf>
    <xf numFmtId="0" fontId="69" fillId="0" borderId="0" xfId="0" applyFont="1" applyAlignment="1">
      <alignment horizontal="left" vertical="top" wrapText="1" readingOrder="1"/>
    </xf>
  </cellXfs>
  <cellStyles count="852">
    <cellStyle name="20 % – uthevingsfarge 2" xfId="844" builtinId="34"/>
    <cellStyle name="40% - uthevingsfarge 4 2" xfId="38" xr:uid="{00000000-0005-0000-0000-000001000000}"/>
    <cellStyle name="40% - uthevingsfarge 4 2 10" xfId="771" xr:uid="{00000000-0005-0000-0000-000002000000}"/>
    <cellStyle name="40% - uthevingsfarge 4 2 2" xfId="80" xr:uid="{00000000-0005-0000-0000-000003000000}"/>
    <cellStyle name="40% - uthevingsfarge 4 2 2 2" xfId="173" xr:uid="{00000000-0005-0000-0000-000004000000}"/>
    <cellStyle name="40% - uthevingsfarge 4 2 2 3" xfId="263" xr:uid="{00000000-0005-0000-0000-000005000000}"/>
    <cellStyle name="40% - uthevingsfarge 4 2 2 4" xfId="353" xr:uid="{00000000-0005-0000-0000-000006000000}"/>
    <cellStyle name="40% - uthevingsfarge 4 2 2 5" xfId="443" xr:uid="{00000000-0005-0000-0000-000007000000}"/>
    <cellStyle name="40% - uthevingsfarge 4 2 2 6" xfId="533" xr:uid="{00000000-0005-0000-0000-000008000000}"/>
    <cellStyle name="40% - uthevingsfarge 4 2 2 7" xfId="623" xr:uid="{00000000-0005-0000-0000-000009000000}"/>
    <cellStyle name="40% - uthevingsfarge 4 2 2 8" xfId="713" xr:uid="{00000000-0005-0000-0000-00000A000000}"/>
    <cellStyle name="40% - uthevingsfarge 4 2 2 9" xfId="810" xr:uid="{00000000-0005-0000-0000-00000B000000}"/>
    <cellStyle name="40% - uthevingsfarge 4 2 3" xfId="136" xr:uid="{00000000-0005-0000-0000-00000C000000}"/>
    <cellStyle name="40% - uthevingsfarge 4 2 4" xfId="226" xr:uid="{00000000-0005-0000-0000-00000D000000}"/>
    <cellStyle name="40% - uthevingsfarge 4 2 5" xfId="316" xr:uid="{00000000-0005-0000-0000-00000E000000}"/>
    <cellStyle name="40% - uthevingsfarge 4 2 6" xfId="406" xr:uid="{00000000-0005-0000-0000-00000F000000}"/>
    <cellStyle name="40% - uthevingsfarge 4 2 7" xfId="496" xr:uid="{00000000-0005-0000-0000-000010000000}"/>
    <cellStyle name="40% - uthevingsfarge 4 2 8" xfId="586" xr:uid="{00000000-0005-0000-0000-000011000000}"/>
    <cellStyle name="40% - uthevingsfarge 4 2 9" xfId="676" xr:uid="{00000000-0005-0000-0000-000012000000}"/>
    <cellStyle name="Hyperkobling" xfId="3" builtinId="8"/>
    <cellStyle name="Komma" xfId="2" builtinId="3"/>
    <cellStyle name="Komma 2" xfId="847" xr:uid="{00000000-0005-0000-0000-000015000000}"/>
    <cellStyle name="Komma 2 3" xfId="849" xr:uid="{0D7BB789-C0BC-4F58-B366-11FD845789ED}"/>
    <cellStyle name="Merknad 2" xfId="94" xr:uid="{00000000-0005-0000-0000-000016000000}"/>
    <cellStyle name="Normal" xfId="0" builtinId="0"/>
    <cellStyle name="Normal 10" xfId="31" xr:uid="{00000000-0005-0000-0000-000018000000}"/>
    <cellStyle name="Normal 10 10" xfId="670" xr:uid="{00000000-0005-0000-0000-000019000000}"/>
    <cellStyle name="Normal 10 11" xfId="765" xr:uid="{00000000-0005-0000-0000-00001A000000}"/>
    <cellStyle name="Normal 10 2" xfId="53" xr:uid="{00000000-0005-0000-0000-00001B000000}"/>
    <cellStyle name="Normal 10 2 10" xfId="785" xr:uid="{00000000-0005-0000-0000-00001C000000}"/>
    <cellStyle name="Normal 10 2 2" xfId="93" xr:uid="{00000000-0005-0000-0000-00001D000000}"/>
    <cellStyle name="Normal 10 2 2 10" xfId="823" xr:uid="{00000000-0005-0000-0000-00001E000000}"/>
    <cellStyle name="Normal 10 2 2 2" xfId="6" xr:uid="{00000000-0005-0000-0000-00001F000000}"/>
    <cellStyle name="Normal 10 2 2 2 2" xfId="116" xr:uid="{00000000-0005-0000-0000-000020000000}"/>
    <cellStyle name="Normal 10 2 2 3" xfId="186" xr:uid="{00000000-0005-0000-0000-000021000000}"/>
    <cellStyle name="Normal 10 2 2 4" xfId="276" xr:uid="{00000000-0005-0000-0000-000022000000}"/>
    <cellStyle name="Normal 10 2 2 5" xfId="366" xr:uid="{00000000-0005-0000-0000-000023000000}"/>
    <cellStyle name="Normal 10 2 2 6" xfId="456" xr:uid="{00000000-0005-0000-0000-000024000000}"/>
    <cellStyle name="Normal 10 2 2 7" xfId="546" xr:uid="{00000000-0005-0000-0000-000025000000}"/>
    <cellStyle name="Normal 10 2 2 8" xfId="636" xr:uid="{00000000-0005-0000-0000-000026000000}"/>
    <cellStyle name="Normal 10 2 2 9" xfId="726" xr:uid="{00000000-0005-0000-0000-000027000000}"/>
    <cellStyle name="Normal 10 2 3" xfId="149" xr:uid="{00000000-0005-0000-0000-000028000000}"/>
    <cellStyle name="Normal 10 2 4" xfId="239" xr:uid="{00000000-0005-0000-0000-000029000000}"/>
    <cellStyle name="Normal 10 2 5" xfId="329" xr:uid="{00000000-0005-0000-0000-00002A000000}"/>
    <cellStyle name="Normal 10 2 6" xfId="419" xr:uid="{00000000-0005-0000-0000-00002B000000}"/>
    <cellStyle name="Normal 10 2 7" xfId="509" xr:uid="{00000000-0005-0000-0000-00002C000000}"/>
    <cellStyle name="Normal 10 2 8" xfId="599" xr:uid="{00000000-0005-0000-0000-00002D000000}"/>
    <cellStyle name="Normal 10 2 9" xfId="689" xr:uid="{00000000-0005-0000-0000-00002E000000}"/>
    <cellStyle name="Normal 10 3" xfId="74" xr:uid="{00000000-0005-0000-0000-00002F000000}"/>
    <cellStyle name="Normal 10 3 2" xfId="167" xr:uid="{00000000-0005-0000-0000-000030000000}"/>
    <cellStyle name="Normal 10 3 3" xfId="257" xr:uid="{00000000-0005-0000-0000-000031000000}"/>
    <cellStyle name="Normal 10 3 4" xfId="347" xr:uid="{00000000-0005-0000-0000-000032000000}"/>
    <cellStyle name="Normal 10 3 5" xfId="437" xr:uid="{00000000-0005-0000-0000-000033000000}"/>
    <cellStyle name="Normal 10 3 6" xfId="527" xr:uid="{00000000-0005-0000-0000-000034000000}"/>
    <cellStyle name="Normal 10 3 7" xfId="617" xr:uid="{00000000-0005-0000-0000-000035000000}"/>
    <cellStyle name="Normal 10 3 8" xfId="707" xr:uid="{00000000-0005-0000-0000-000036000000}"/>
    <cellStyle name="Normal 10 3 9" xfId="804" xr:uid="{00000000-0005-0000-0000-000037000000}"/>
    <cellStyle name="Normal 10 4" xfId="130" xr:uid="{00000000-0005-0000-0000-000038000000}"/>
    <cellStyle name="Normal 10 5" xfId="220" xr:uid="{00000000-0005-0000-0000-000039000000}"/>
    <cellStyle name="Normal 10 6" xfId="310" xr:uid="{00000000-0005-0000-0000-00003A000000}"/>
    <cellStyle name="Normal 10 7" xfId="400" xr:uid="{00000000-0005-0000-0000-00003B000000}"/>
    <cellStyle name="Normal 10 8" xfId="490" xr:uid="{00000000-0005-0000-0000-00003C000000}"/>
    <cellStyle name="Normal 10 9" xfId="580" xr:uid="{00000000-0005-0000-0000-00003D000000}"/>
    <cellStyle name="Normal 11" xfId="35" xr:uid="{00000000-0005-0000-0000-00003E000000}"/>
    <cellStyle name="Normal 11 10" xfId="673" xr:uid="{00000000-0005-0000-0000-00003F000000}"/>
    <cellStyle name="Normal 11 11" xfId="768" xr:uid="{00000000-0005-0000-0000-000040000000}"/>
    <cellStyle name="Normal 11 2" xfId="57" xr:uid="{00000000-0005-0000-0000-000041000000}"/>
    <cellStyle name="Normal 11 2 10" xfId="788" xr:uid="{00000000-0005-0000-0000-000042000000}"/>
    <cellStyle name="Normal 11 2 2" xfId="97" xr:uid="{00000000-0005-0000-0000-000043000000}"/>
    <cellStyle name="Normal 11 2 2 2" xfId="189" xr:uid="{00000000-0005-0000-0000-000044000000}"/>
    <cellStyle name="Normal 11 2 2 3" xfId="279" xr:uid="{00000000-0005-0000-0000-000045000000}"/>
    <cellStyle name="Normal 11 2 2 4" xfId="369" xr:uid="{00000000-0005-0000-0000-000046000000}"/>
    <cellStyle name="Normal 11 2 2 5" xfId="459" xr:uid="{00000000-0005-0000-0000-000047000000}"/>
    <cellStyle name="Normal 11 2 2 6" xfId="549" xr:uid="{00000000-0005-0000-0000-000048000000}"/>
    <cellStyle name="Normal 11 2 2 7" xfId="639" xr:uid="{00000000-0005-0000-0000-000049000000}"/>
    <cellStyle name="Normal 11 2 2 8" xfId="729" xr:uid="{00000000-0005-0000-0000-00004A000000}"/>
    <cellStyle name="Normal 11 2 2 9" xfId="826" xr:uid="{00000000-0005-0000-0000-00004B000000}"/>
    <cellStyle name="Normal 11 2 3" xfId="152" xr:uid="{00000000-0005-0000-0000-00004C000000}"/>
    <cellStyle name="Normal 11 2 4" xfId="242" xr:uid="{00000000-0005-0000-0000-00004D000000}"/>
    <cellStyle name="Normal 11 2 5" xfId="332" xr:uid="{00000000-0005-0000-0000-00004E000000}"/>
    <cellStyle name="Normal 11 2 6" xfId="422" xr:uid="{00000000-0005-0000-0000-00004F000000}"/>
    <cellStyle name="Normal 11 2 7" xfId="512" xr:uid="{00000000-0005-0000-0000-000050000000}"/>
    <cellStyle name="Normal 11 2 8" xfId="602" xr:uid="{00000000-0005-0000-0000-000051000000}"/>
    <cellStyle name="Normal 11 2 9" xfId="692" xr:uid="{00000000-0005-0000-0000-000052000000}"/>
    <cellStyle name="Normal 11 3" xfId="77" xr:uid="{00000000-0005-0000-0000-000053000000}"/>
    <cellStyle name="Normal 11 3 2" xfId="170" xr:uid="{00000000-0005-0000-0000-000054000000}"/>
    <cellStyle name="Normal 11 3 3" xfId="260" xr:uid="{00000000-0005-0000-0000-000055000000}"/>
    <cellStyle name="Normal 11 3 4" xfId="350" xr:uid="{00000000-0005-0000-0000-000056000000}"/>
    <cellStyle name="Normal 11 3 5" xfId="440" xr:uid="{00000000-0005-0000-0000-000057000000}"/>
    <cellStyle name="Normal 11 3 6" xfId="530" xr:uid="{00000000-0005-0000-0000-000058000000}"/>
    <cellStyle name="Normal 11 3 7" xfId="620" xr:uid="{00000000-0005-0000-0000-000059000000}"/>
    <cellStyle name="Normal 11 3 8" xfId="710" xr:uid="{00000000-0005-0000-0000-00005A000000}"/>
    <cellStyle name="Normal 11 3 9" xfId="807" xr:uid="{00000000-0005-0000-0000-00005B000000}"/>
    <cellStyle name="Normal 11 4" xfId="133" xr:uid="{00000000-0005-0000-0000-00005C000000}"/>
    <cellStyle name="Normal 11 5" xfId="223" xr:uid="{00000000-0005-0000-0000-00005D000000}"/>
    <cellStyle name="Normal 11 6" xfId="313" xr:uid="{00000000-0005-0000-0000-00005E000000}"/>
    <cellStyle name="Normal 11 7" xfId="403" xr:uid="{00000000-0005-0000-0000-00005F000000}"/>
    <cellStyle name="Normal 11 8" xfId="493" xr:uid="{00000000-0005-0000-0000-000060000000}"/>
    <cellStyle name="Normal 11 9" xfId="583" xr:uid="{00000000-0005-0000-0000-000061000000}"/>
    <cellStyle name="Normal 12" xfId="100" xr:uid="{00000000-0005-0000-0000-000062000000}"/>
    <cellStyle name="Normal 12 2" xfId="192" xr:uid="{00000000-0005-0000-0000-000063000000}"/>
    <cellStyle name="Normal 12 3" xfId="282" xr:uid="{00000000-0005-0000-0000-000064000000}"/>
    <cellStyle name="Normal 12 4" xfId="372" xr:uid="{00000000-0005-0000-0000-000065000000}"/>
    <cellStyle name="Normal 12 5" xfId="462" xr:uid="{00000000-0005-0000-0000-000066000000}"/>
    <cellStyle name="Normal 12 6" xfId="552" xr:uid="{00000000-0005-0000-0000-000067000000}"/>
    <cellStyle name="Normal 12 7" xfId="642" xr:uid="{00000000-0005-0000-0000-000068000000}"/>
    <cellStyle name="Normal 12 8" xfId="732" xr:uid="{00000000-0005-0000-0000-000069000000}"/>
    <cellStyle name="Normal 12 9" xfId="829" xr:uid="{00000000-0005-0000-0000-00006A000000}"/>
    <cellStyle name="Normal 13" xfId="103" xr:uid="{00000000-0005-0000-0000-00006B000000}"/>
    <cellStyle name="Normal 13 2" xfId="195" xr:uid="{00000000-0005-0000-0000-00006C000000}"/>
    <cellStyle name="Normal 13 3" xfId="285" xr:uid="{00000000-0005-0000-0000-00006D000000}"/>
    <cellStyle name="Normal 13 4" xfId="375" xr:uid="{00000000-0005-0000-0000-00006E000000}"/>
    <cellStyle name="Normal 13 5" xfId="465" xr:uid="{00000000-0005-0000-0000-00006F000000}"/>
    <cellStyle name="Normal 13 6" xfId="555" xr:uid="{00000000-0005-0000-0000-000070000000}"/>
    <cellStyle name="Normal 13 7" xfId="645" xr:uid="{00000000-0005-0000-0000-000071000000}"/>
    <cellStyle name="Normal 13 8" xfId="735" xr:uid="{00000000-0005-0000-0000-000072000000}"/>
    <cellStyle name="Normal 13 9" xfId="832" xr:uid="{00000000-0005-0000-0000-000073000000}"/>
    <cellStyle name="Normal 14" xfId="106" xr:uid="{00000000-0005-0000-0000-000074000000}"/>
    <cellStyle name="Normal 14 2" xfId="198" xr:uid="{00000000-0005-0000-0000-000075000000}"/>
    <cellStyle name="Normal 14 2 2 2" xfId="851" xr:uid="{74225CEC-3D7E-4B5B-92AB-3CE59E735AFE}"/>
    <cellStyle name="Normal 14 3" xfId="288" xr:uid="{00000000-0005-0000-0000-000076000000}"/>
    <cellStyle name="Normal 14 4" xfId="378" xr:uid="{00000000-0005-0000-0000-000077000000}"/>
    <cellStyle name="Normal 14 5" xfId="468" xr:uid="{00000000-0005-0000-0000-000078000000}"/>
    <cellStyle name="Normal 14 6" xfId="558" xr:uid="{00000000-0005-0000-0000-000079000000}"/>
    <cellStyle name="Normal 14 7" xfId="648" xr:uid="{00000000-0005-0000-0000-00007A000000}"/>
    <cellStyle name="Normal 14 8" xfId="738" xr:uid="{00000000-0005-0000-0000-00007B000000}"/>
    <cellStyle name="Normal 14 9" xfId="835" xr:uid="{00000000-0005-0000-0000-00007C000000}"/>
    <cellStyle name="Normal 15" xfId="109" xr:uid="{00000000-0005-0000-0000-00007D000000}"/>
    <cellStyle name="Normal 15 2" xfId="201" xr:uid="{00000000-0005-0000-0000-00007E000000}"/>
    <cellStyle name="Normal 15 3" xfId="291" xr:uid="{00000000-0005-0000-0000-00007F000000}"/>
    <cellStyle name="Normal 15 4" xfId="381" xr:uid="{00000000-0005-0000-0000-000080000000}"/>
    <cellStyle name="Normal 15 5" xfId="471" xr:uid="{00000000-0005-0000-0000-000081000000}"/>
    <cellStyle name="Normal 15 6" xfId="561" xr:uid="{00000000-0005-0000-0000-000082000000}"/>
    <cellStyle name="Normal 15 7" xfId="651" xr:uid="{00000000-0005-0000-0000-000083000000}"/>
    <cellStyle name="Normal 15 8" xfId="741" xr:uid="{00000000-0005-0000-0000-000084000000}"/>
    <cellStyle name="Normal 15 9" xfId="838" xr:uid="{00000000-0005-0000-0000-000085000000}"/>
    <cellStyle name="Normal 16" xfId="112" xr:uid="{00000000-0005-0000-0000-000086000000}"/>
    <cellStyle name="Normal 16 2" xfId="204" xr:uid="{00000000-0005-0000-0000-000087000000}"/>
    <cellStyle name="Normal 16 3" xfId="294" xr:uid="{00000000-0005-0000-0000-000088000000}"/>
    <cellStyle name="Normal 16 4" xfId="384" xr:uid="{00000000-0005-0000-0000-000089000000}"/>
    <cellStyle name="Normal 16 5" xfId="474" xr:uid="{00000000-0005-0000-0000-00008A000000}"/>
    <cellStyle name="Normal 16 6" xfId="564" xr:uid="{00000000-0005-0000-0000-00008B000000}"/>
    <cellStyle name="Normal 16 7" xfId="654" xr:uid="{00000000-0005-0000-0000-00008C000000}"/>
    <cellStyle name="Normal 16 8" xfId="744" xr:uid="{00000000-0005-0000-0000-00008D000000}"/>
    <cellStyle name="Normal 16 9" xfId="841" xr:uid="{00000000-0005-0000-0000-00008E000000}"/>
    <cellStyle name="Normal 17" xfId="8" xr:uid="{00000000-0005-0000-0000-00008F000000}"/>
    <cellStyle name="Normal 18" xfId="10" xr:uid="{00000000-0005-0000-0000-000090000000}"/>
    <cellStyle name="Normal 19" xfId="117" xr:uid="{00000000-0005-0000-0000-000091000000}"/>
    <cellStyle name="Normal 2" xfId="1" xr:uid="{00000000-0005-0000-0000-000092000000}"/>
    <cellStyle name="Normal 2 2" xfId="7" xr:uid="{00000000-0005-0000-0000-000093000000}"/>
    <cellStyle name="Normal 2 3" xfId="20" xr:uid="{00000000-0005-0000-0000-000094000000}"/>
    <cellStyle name="Normal 2 4" xfId="39" xr:uid="{00000000-0005-0000-0000-000095000000}"/>
    <cellStyle name="Normal 2 5" xfId="60" xr:uid="{00000000-0005-0000-0000-000096000000}"/>
    <cellStyle name="Normal 20" xfId="207" xr:uid="{00000000-0005-0000-0000-000097000000}"/>
    <cellStyle name="Normal 21" xfId="297" xr:uid="{00000000-0005-0000-0000-000098000000}"/>
    <cellStyle name="Normal 22" xfId="387" xr:uid="{00000000-0005-0000-0000-000099000000}"/>
    <cellStyle name="Normal 23" xfId="477" xr:uid="{00000000-0005-0000-0000-00009A000000}"/>
    <cellStyle name="Normal 24" xfId="567" xr:uid="{00000000-0005-0000-0000-00009B000000}"/>
    <cellStyle name="Normal 25" xfId="657" xr:uid="{00000000-0005-0000-0000-00009C000000}"/>
    <cellStyle name="Normal 26" xfId="747" xr:uid="{00000000-0005-0000-0000-00009D000000}"/>
    <cellStyle name="Normal 27" xfId="850" xr:uid="{ED50C316-25E5-4ED7-8355-A3104735F1B2}"/>
    <cellStyle name="Normal 3" xfId="4" xr:uid="{00000000-0005-0000-0000-00009E000000}"/>
    <cellStyle name="Normal 3 10" xfId="104" xr:uid="{00000000-0005-0000-0000-00009F000000}"/>
    <cellStyle name="Normal 3 10 2" xfId="196" xr:uid="{00000000-0005-0000-0000-0000A0000000}"/>
    <cellStyle name="Normal 3 10 3" xfId="286" xr:uid="{00000000-0005-0000-0000-0000A1000000}"/>
    <cellStyle name="Normal 3 10 4" xfId="376" xr:uid="{00000000-0005-0000-0000-0000A2000000}"/>
    <cellStyle name="Normal 3 10 5" xfId="466" xr:uid="{00000000-0005-0000-0000-0000A3000000}"/>
    <cellStyle name="Normal 3 10 6" xfId="556" xr:uid="{00000000-0005-0000-0000-0000A4000000}"/>
    <cellStyle name="Normal 3 10 7" xfId="646" xr:uid="{00000000-0005-0000-0000-0000A5000000}"/>
    <cellStyle name="Normal 3 10 8" xfId="736" xr:uid="{00000000-0005-0000-0000-0000A6000000}"/>
    <cellStyle name="Normal 3 10 9" xfId="833" xr:uid="{00000000-0005-0000-0000-0000A7000000}"/>
    <cellStyle name="Normal 3 11" xfId="107" xr:uid="{00000000-0005-0000-0000-0000A8000000}"/>
    <cellStyle name="Normal 3 11 2" xfId="199" xr:uid="{00000000-0005-0000-0000-0000A9000000}"/>
    <cellStyle name="Normal 3 11 3" xfId="289" xr:uid="{00000000-0005-0000-0000-0000AA000000}"/>
    <cellStyle name="Normal 3 11 4" xfId="379" xr:uid="{00000000-0005-0000-0000-0000AB000000}"/>
    <cellStyle name="Normal 3 11 5" xfId="469" xr:uid="{00000000-0005-0000-0000-0000AC000000}"/>
    <cellStyle name="Normal 3 11 6" xfId="559" xr:uid="{00000000-0005-0000-0000-0000AD000000}"/>
    <cellStyle name="Normal 3 11 7" xfId="649" xr:uid="{00000000-0005-0000-0000-0000AE000000}"/>
    <cellStyle name="Normal 3 11 8" xfId="739" xr:uid="{00000000-0005-0000-0000-0000AF000000}"/>
    <cellStyle name="Normal 3 11 9" xfId="836" xr:uid="{00000000-0005-0000-0000-0000B0000000}"/>
    <cellStyle name="Normal 3 12" xfId="110" xr:uid="{00000000-0005-0000-0000-0000B1000000}"/>
    <cellStyle name="Normal 3 12 2" xfId="202" xr:uid="{00000000-0005-0000-0000-0000B2000000}"/>
    <cellStyle name="Normal 3 12 3" xfId="292" xr:uid="{00000000-0005-0000-0000-0000B3000000}"/>
    <cellStyle name="Normal 3 12 4" xfId="382" xr:uid="{00000000-0005-0000-0000-0000B4000000}"/>
    <cellStyle name="Normal 3 12 5" xfId="472" xr:uid="{00000000-0005-0000-0000-0000B5000000}"/>
    <cellStyle name="Normal 3 12 6" xfId="562" xr:uid="{00000000-0005-0000-0000-0000B6000000}"/>
    <cellStyle name="Normal 3 12 7" xfId="652" xr:uid="{00000000-0005-0000-0000-0000B7000000}"/>
    <cellStyle name="Normal 3 12 8" xfId="742" xr:uid="{00000000-0005-0000-0000-0000B8000000}"/>
    <cellStyle name="Normal 3 12 9" xfId="839" xr:uid="{00000000-0005-0000-0000-0000B9000000}"/>
    <cellStyle name="Normal 3 13" xfId="113" xr:uid="{00000000-0005-0000-0000-0000BA000000}"/>
    <cellStyle name="Normal 3 13 2" xfId="205" xr:uid="{00000000-0005-0000-0000-0000BB000000}"/>
    <cellStyle name="Normal 3 13 3" xfId="295" xr:uid="{00000000-0005-0000-0000-0000BC000000}"/>
    <cellStyle name="Normal 3 13 4" xfId="385" xr:uid="{00000000-0005-0000-0000-0000BD000000}"/>
    <cellStyle name="Normal 3 13 5" xfId="475" xr:uid="{00000000-0005-0000-0000-0000BE000000}"/>
    <cellStyle name="Normal 3 13 6" xfId="565" xr:uid="{00000000-0005-0000-0000-0000BF000000}"/>
    <cellStyle name="Normal 3 13 7" xfId="655" xr:uid="{00000000-0005-0000-0000-0000C0000000}"/>
    <cellStyle name="Normal 3 13 8" xfId="745" xr:uid="{00000000-0005-0000-0000-0000C1000000}"/>
    <cellStyle name="Normal 3 13 9" xfId="842" xr:uid="{00000000-0005-0000-0000-0000C2000000}"/>
    <cellStyle name="Normal 3 14" xfId="11" xr:uid="{00000000-0005-0000-0000-0000C3000000}"/>
    <cellStyle name="Normal 3 15" xfId="118" xr:uid="{00000000-0005-0000-0000-0000C4000000}"/>
    <cellStyle name="Normal 3 16" xfId="208" xr:uid="{00000000-0005-0000-0000-0000C5000000}"/>
    <cellStyle name="Normal 3 17" xfId="298" xr:uid="{00000000-0005-0000-0000-0000C6000000}"/>
    <cellStyle name="Normal 3 18" xfId="388" xr:uid="{00000000-0005-0000-0000-0000C7000000}"/>
    <cellStyle name="Normal 3 19" xfId="478" xr:uid="{00000000-0005-0000-0000-0000C8000000}"/>
    <cellStyle name="Normal 3 2" xfId="23" xr:uid="{00000000-0005-0000-0000-0000C9000000}"/>
    <cellStyle name="Normal 3 2 10" xfId="662" xr:uid="{00000000-0005-0000-0000-0000CA000000}"/>
    <cellStyle name="Normal 3 2 11" xfId="757" xr:uid="{00000000-0005-0000-0000-0000CB000000}"/>
    <cellStyle name="Normal 3 2 2" xfId="45" xr:uid="{00000000-0005-0000-0000-0000CC000000}"/>
    <cellStyle name="Normal 3 2 2 10" xfId="777" xr:uid="{00000000-0005-0000-0000-0000CD000000}"/>
    <cellStyle name="Normal 3 2 2 2" xfId="85" xr:uid="{00000000-0005-0000-0000-0000CE000000}"/>
    <cellStyle name="Normal 3 2 2 2 2" xfId="178" xr:uid="{00000000-0005-0000-0000-0000CF000000}"/>
    <cellStyle name="Normal 3 2 2 2 3" xfId="268" xr:uid="{00000000-0005-0000-0000-0000D0000000}"/>
    <cellStyle name="Normal 3 2 2 2 4" xfId="358" xr:uid="{00000000-0005-0000-0000-0000D1000000}"/>
    <cellStyle name="Normal 3 2 2 2 5" xfId="448" xr:uid="{00000000-0005-0000-0000-0000D2000000}"/>
    <cellStyle name="Normal 3 2 2 2 6" xfId="538" xr:uid="{00000000-0005-0000-0000-0000D3000000}"/>
    <cellStyle name="Normal 3 2 2 2 7" xfId="628" xr:uid="{00000000-0005-0000-0000-0000D4000000}"/>
    <cellStyle name="Normal 3 2 2 2 8" xfId="718" xr:uid="{00000000-0005-0000-0000-0000D5000000}"/>
    <cellStyle name="Normal 3 2 2 2 9" xfId="815" xr:uid="{00000000-0005-0000-0000-0000D6000000}"/>
    <cellStyle name="Normal 3 2 2 3" xfId="141" xr:uid="{00000000-0005-0000-0000-0000D7000000}"/>
    <cellStyle name="Normal 3 2 2 4" xfId="231" xr:uid="{00000000-0005-0000-0000-0000D8000000}"/>
    <cellStyle name="Normal 3 2 2 5" xfId="321" xr:uid="{00000000-0005-0000-0000-0000D9000000}"/>
    <cellStyle name="Normal 3 2 2 6" xfId="411" xr:uid="{00000000-0005-0000-0000-0000DA000000}"/>
    <cellStyle name="Normal 3 2 2 7" xfId="501" xr:uid="{00000000-0005-0000-0000-0000DB000000}"/>
    <cellStyle name="Normal 3 2 2 8" xfId="591" xr:uid="{00000000-0005-0000-0000-0000DC000000}"/>
    <cellStyle name="Normal 3 2 2 9" xfId="681" xr:uid="{00000000-0005-0000-0000-0000DD000000}"/>
    <cellStyle name="Normal 3 2 3" xfId="66" xr:uid="{00000000-0005-0000-0000-0000DE000000}"/>
    <cellStyle name="Normal 3 2 3 2" xfId="159" xr:uid="{00000000-0005-0000-0000-0000DF000000}"/>
    <cellStyle name="Normal 3 2 3 3" xfId="249" xr:uid="{00000000-0005-0000-0000-0000E0000000}"/>
    <cellStyle name="Normal 3 2 3 4" xfId="339" xr:uid="{00000000-0005-0000-0000-0000E1000000}"/>
    <cellStyle name="Normal 3 2 3 5" xfId="429" xr:uid="{00000000-0005-0000-0000-0000E2000000}"/>
    <cellStyle name="Normal 3 2 3 6" xfId="519" xr:uid="{00000000-0005-0000-0000-0000E3000000}"/>
    <cellStyle name="Normal 3 2 3 7" xfId="609" xr:uid="{00000000-0005-0000-0000-0000E4000000}"/>
    <cellStyle name="Normal 3 2 3 8" xfId="699" xr:uid="{00000000-0005-0000-0000-0000E5000000}"/>
    <cellStyle name="Normal 3 2 3 9" xfId="796" xr:uid="{00000000-0005-0000-0000-0000E6000000}"/>
    <cellStyle name="Normal 3 2 4" xfId="122" xr:uid="{00000000-0005-0000-0000-0000E7000000}"/>
    <cellStyle name="Normal 3 2 5" xfId="212" xr:uid="{00000000-0005-0000-0000-0000E8000000}"/>
    <cellStyle name="Normal 3 2 6" xfId="302" xr:uid="{00000000-0005-0000-0000-0000E9000000}"/>
    <cellStyle name="Normal 3 2 7" xfId="392" xr:uid="{00000000-0005-0000-0000-0000EA000000}"/>
    <cellStyle name="Normal 3 2 8" xfId="482" xr:uid="{00000000-0005-0000-0000-0000EB000000}"/>
    <cellStyle name="Normal 3 2 9" xfId="572" xr:uid="{00000000-0005-0000-0000-0000EC000000}"/>
    <cellStyle name="Normal 3 20" xfId="568" xr:uid="{00000000-0005-0000-0000-0000ED000000}"/>
    <cellStyle name="Normal 3 21" xfId="658" xr:uid="{00000000-0005-0000-0000-0000EE000000}"/>
    <cellStyle name="Normal 3 22" xfId="748" xr:uid="{00000000-0005-0000-0000-0000EF000000}"/>
    <cellStyle name="Normal 3 3" xfId="26" xr:uid="{00000000-0005-0000-0000-0000F0000000}"/>
    <cellStyle name="Normal 3 3 10" xfId="665" xr:uid="{00000000-0005-0000-0000-0000F1000000}"/>
    <cellStyle name="Normal 3 3 11" xfId="760" xr:uid="{00000000-0005-0000-0000-0000F2000000}"/>
    <cellStyle name="Normal 3 3 2" xfId="48" xr:uid="{00000000-0005-0000-0000-0000F3000000}"/>
    <cellStyle name="Normal 3 3 2 10" xfId="780" xr:uid="{00000000-0005-0000-0000-0000F4000000}"/>
    <cellStyle name="Normal 3 3 2 2" xfId="88" xr:uid="{00000000-0005-0000-0000-0000F5000000}"/>
    <cellStyle name="Normal 3 3 2 2 2" xfId="181" xr:uid="{00000000-0005-0000-0000-0000F6000000}"/>
    <cellStyle name="Normal 3 3 2 2 3" xfId="271" xr:uid="{00000000-0005-0000-0000-0000F7000000}"/>
    <cellStyle name="Normal 3 3 2 2 4" xfId="361" xr:uid="{00000000-0005-0000-0000-0000F8000000}"/>
    <cellStyle name="Normal 3 3 2 2 5" xfId="451" xr:uid="{00000000-0005-0000-0000-0000F9000000}"/>
    <cellStyle name="Normal 3 3 2 2 6" xfId="541" xr:uid="{00000000-0005-0000-0000-0000FA000000}"/>
    <cellStyle name="Normal 3 3 2 2 7" xfId="631" xr:uid="{00000000-0005-0000-0000-0000FB000000}"/>
    <cellStyle name="Normal 3 3 2 2 8" xfId="721" xr:uid="{00000000-0005-0000-0000-0000FC000000}"/>
    <cellStyle name="Normal 3 3 2 2 9" xfId="818" xr:uid="{00000000-0005-0000-0000-0000FD000000}"/>
    <cellStyle name="Normal 3 3 2 3" xfId="144" xr:uid="{00000000-0005-0000-0000-0000FE000000}"/>
    <cellStyle name="Normal 3 3 2 4" xfId="234" xr:uid="{00000000-0005-0000-0000-0000FF000000}"/>
    <cellStyle name="Normal 3 3 2 5" xfId="324" xr:uid="{00000000-0005-0000-0000-000000010000}"/>
    <cellStyle name="Normal 3 3 2 6" xfId="414" xr:uid="{00000000-0005-0000-0000-000001010000}"/>
    <cellStyle name="Normal 3 3 2 7" xfId="504" xr:uid="{00000000-0005-0000-0000-000002010000}"/>
    <cellStyle name="Normal 3 3 2 8" xfId="594" xr:uid="{00000000-0005-0000-0000-000003010000}"/>
    <cellStyle name="Normal 3 3 2 9" xfId="684" xr:uid="{00000000-0005-0000-0000-000004010000}"/>
    <cellStyle name="Normal 3 3 3" xfId="69" xr:uid="{00000000-0005-0000-0000-000005010000}"/>
    <cellStyle name="Normal 3 3 3 2" xfId="162" xr:uid="{00000000-0005-0000-0000-000006010000}"/>
    <cellStyle name="Normal 3 3 3 3" xfId="252" xr:uid="{00000000-0005-0000-0000-000007010000}"/>
    <cellStyle name="Normal 3 3 3 4" xfId="342" xr:uid="{00000000-0005-0000-0000-000008010000}"/>
    <cellStyle name="Normal 3 3 3 5" xfId="432" xr:uid="{00000000-0005-0000-0000-000009010000}"/>
    <cellStyle name="Normal 3 3 3 6" xfId="522" xr:uid="{00000000-0005-0000-0000-00000A010000}"/>
    <cellStyle name="Normal 3 3 3 7" xfId="612" xr:uid="{00000000-0005-0000-0000-00000B010000}"/>
    <cellStyle name="Normal 3 3 3 8" xfId="702" xr:uid="{00000000-0005-0000-0000-00000C010000}"/>
    <cellStyle name="Normal 3 3 3 9" xfId="799" xr:uid="{00000000-0005-0000-0000-00000D010000}"/>
    <cellStyle name="Normal 3 3 4" xfId="125" xr:uid="{00000000-0005-0000-0000-00000E010000}"/>
    <cellStyle name="Normal 3 3 5" xfId="215" xr:uid="{00000000-0005-0000-0000-00000F010000}"/>
    <cellStyle name="Normal 3 3 6" xfId="305" xr:uid="{00000000-0005-0000-0000-000010010000}"/>
    <cellStyle name="Normal 3 3 7" xfId="395" xr:uid="{00000000-0005-0000-0000-000011010000}"/>
    <cellStyle name="Normal 3 3 8" xfId="485" xr:uid="{00000000-0005-0000-0000-000012010000}"/>
    <cellStyle name="Normal 3 3 9" xfId="575" xr:uid="{00000000-0005-0000-0000-000013010000}"/>
    <cellStyle name="Normal 3 4" xfId="29" xr:uid="{00000000-0005-0000-0000-000014010000}"/>
    <cellStyle name="Normal 3 4 10" xfId="668" xr:uid="{00000000-0005-0000-0000-000015010000}"/>
    <cellStyle name="Normal 3 4 11" xfId="763" xr:uid="{00000000-0005-0000-0000-000016010000}"/>
    <cellStyle name="Normal 3 4 2" xfId="51" xr:uid="{00000000-0005-0000-0000-000017010000}"/>
    <cellStyle name="Normal 3 4 2 10" xfId="783" xr:uid="{00000000-0005-0000-0000-000018010000}"/>
    <cellStyle name="Normal 3 4 2 2" xfId="91" xr:uid="{00000000-0005-0000-0000-000019010000}"/>
    <cellStyle name="Normal 3 4 2 2 2" xfId="184" xr:uid="{00000000-0005-0000-0000-00001A010000}"/>
    <cellStyle name="Normal 3 4 2 2 3" xfId="274" xr:uid="{00000000-0005-0000-0000-00001B010000}"/>
    <cellStyle name="Normal 3 4 2 2 4" xfId="364" xr:uid="{00000000-0005-0000-0000-00001C010000}"/>
    <cellStyle name="Normal 3 4 2 2 5" xfId="454" xr:uid="{00000000-0005-0000-0000-00001D010000}"/>
    <cellStyle name="Normal 3 4 2 2 6" xfId="544" xr:uid="{00000000-0005-0000-0000-00001E010000}"/>
    <cellStyle name="Normal 3 4 2 2 7" xfId="634" xr:uid="{00000000-0005-0000-0000-00001F010000}"/>
    <cellStyle name="Normal 3 4 2 2 8" xfId="724" xr:uid="{00000000-0005-0000-0000-000020010000}"/>
    <cellStyle name="Normal 3 4 2 2 9" xfId="821" xr:uid="{00000000-0005-0000-0000-000021010000}"/>
    <cellStyle name="Normal 3 4 2 3" xfId="147" xr:uid="{00000000-0005-0000-0000-000022010000}"/>
    <cellStyle name="Normal 3 4 2 4" xfId="237" xr:uid="{00000000-0005-0000-0000-000023010000}"/>
    <cellStyle name="Normal 3 4 2 5" xfId="327" xr:uid="{00000000-0005-0000-0000-000024010000}"/>
    <cellStyle name="Normal 3 4 2 6" xfId="417" xr:uid="{00000000-0005-0000-0000-000025010000}"/>
    <cellStyle name="Normal 3 4 2 7" xfId="507" xr:uid="{00000000-0005-0000-0000-000026010000}"/>
    <cellStyle name="Normal 3 4 2 8" xfId="597" xr:uid="{00000000-0005-0000-0000-000027010000}"/>
    <cellStyle name="Normal 3 4 2 9" xfId="687" xr:uid="{00000000-0005-0000-0000-000028010000}"/>
    <cellStyle name="Normal 3 4 3" xfId="72" xr:uid="{00000000-0005-0000-0000-000029010000}"/>
    <cellStyle name="Normal 3 4 3 2" xfId="165" xr:uid="{00000000-0005-0000-0000-00002A010000}"/>
    <cellStyle name="Normal 3 4 3 3" xfId="255" xr:uid="{00000000-0005-0000-0000-00002B010000}"/>
    <cellStyle name="Normal 3 4 3 4" xfId="345" xr:uid="{00000000-0005-0000-0000-00002C010000}"/>
    <cellStyle name="Normal 3 4 3 5" xfId="435" xr:uid="{00000000-0005-0000-0000-00002D010000}"/>
    <cellStyle name="Normal 3 4 3 6" xfId="525" xr:uid="{00000000-0005-0000-0000-00002E010000}"/>
    <cellStyle name="Normal 3 4 3 7" xfId="615" xr:uid="{00000000-0005-0000-0000-00002F010000}"/>
    <cellStyle name="Normal 3 4 3 8" xfId="705" xr:uid="{00000000-0005-0000-0000-000030010000}"/>
    <cellStyle name="Normal 3 4 3 9" xfId="802" xr:uid="{00000000-0005-0000-0000-000031010000}"/>
    <cellStyle name="Normal 3 4 4" xfId="128" xr:uid="{00000000-0005-0000-0000-000032010000}"/>
    <cellStyle name="Normal 3 4 5" xfId="218" xr:uid="{00000000-0005-0000-0000-000033010000}"/>
    <cellStyle name="Normal 3 4 6" xfId="308" xr:uid="{00000000-0005-0000-0000-000034010000}"/>
    <cellStyle name="Normal 3 4 7" xfId="398" xr:uid="{00000000-0005-0000-0000-000035010000}"/>
    <cellStyle name="Normal 3 4 8" xfId="488" xr:uid="{00000000-0005-0000-0000-000036010000}"/>
    <cellStyle name="Normal 3 4 9" xfId="578" xr:uid="{00000000-0005-0000-0000-000037010000}"/>
    <cellStyle name="Normal 3 5" xfId="33" xr:uid="{00000000-0005-0000-0000-000038010000}"/>
    <cellStyle name="Normal 3 5 10" xfId="671" xr:uid="{00000000-0005-0000-0000-000039010000}"/>
    <cellStyle name="Normal 3 5 11" xfId="766" xr:uid="{00000000-0005-0000-0000-00003A010000}"/>
    <cellStyle name="Normal 3 5 2" xfId="55" xr:uid="{00000000-0005-0000-0000-00003B010000}"/>
    <cellStyle name="Normal 3 5 2 10" xfId="786" xr:uid="{00000000-0005-0000-0000-00003C010000}"/>
    <cellStyle name="Normal 3 5 2 2" xfId="95" xr:uid="{00000000-0005-0000-0000-00003D010000}"/>
    <cellStyle name="Normal 3 5 2 2 2" xfId="187" xr:uid="{00000000-0005-0000-0000-00003E010000}"/>
    <cellStyle name="Normal 3 5 2 2 3" xfId="277" xr:uid="{00000000-0005-0000-0000-00003F010000}"/>
    <cellStyle name="Normal 3 5 2 2 4" xfId="367" xr:uid="{00000000-0005-0000-0000-000040010000}"/>
    <cellStyle name="Normal 3 5 2 2 5" xfId="457" xr:uid="{00000000-0005-0000-0000-000041010000}"/>
    <cellStyle name="Normal 3 5 2 2 6" xfId="547" xr:uid="{00000000-0005-0000-0000-000042010000}"/>
    <cellStyle name="Normal 3 5 2 2 7" xfId="637" xr:uid="{00000000-0005-0000-0000-000043010000}"/>
    <cellStyle name="Normal 3 5 2 2 8" xfId="727" xr:uid="{00000000-0005-0000-0000-000044010000}"/>
    <cellStyle name="Normal 3 5 2 2 9" xfId="824" xr:uid="{00000000-0005-0000-0000-000045010000}"/>
    <cellStyle name="Normal 3 5 2 3" xfId="150" xr:uid="{00000000-0005-0000-0000-000046010000}"/>
    <cellStyle name="Normal 3 5 2 4" xfId="240" xr:uid="{00000000-0005-0000-0000-000047010000}"/>
    <cellStyle name="Normal 3 5 2 5" xfId="330" xr:uid="{00000000-0005-0000-0000-000048010000}"/>
    <cellStyle name="Normal 3 5 2 6" xfId="420" xr:uid="{00000000-0005-0000-0000-000049010000}"/>
    <cellStyle name="Normal 3 5 2 7" xfId="510" xr:uid="{00000000-0005-0000-0000-00004A010000}"/>
    <cellStyle name="Normal 3 5 2 8" xfId="600" xr:uid="{00000000-0005-0000-0000-00004B010000}"/>
    <cellStyle name="Normal 3 5 2 9" xfId="690" xr:uid="{00000000-0005-0000-0000-00004C010000}"/>
    <cellStyle name="Normal 3 5 3" xfId="75" xr:uid="{00000000-0005-0000-0000-00004D010000}"/>
    <cellStyle name="Normal 3 5 3 2" xfId="168" xr:uid="{00000000-0005-0000-0000-00004E010000}"/>
    <cellStyle name="Normal 3 5 3 3" xfId="258" xr:uid="{00000000-0005-0000-0000-00004F010000}"/>
    <cellStyle name="Normal 3 5 3 4" xfId="348" xr:uid="{00000000-0005-0000-0000-000050010000}"/>
    <cellStyle name="Normal 3 5 3 5" xfId="438" xr:uid="{00000000-0005-0000-0000-000051010000}"/>
    <cellStyle name="Normal 3 5 3 6" xfId="528" xr:uid="{00000000-0005-0000-0000-000052010000}"/>
    <cellStyle name="Normal 3 5 3 7" xfId="618" xr:uid="{00000000-0005-0000-0000-000053010000}"/>
    <cellStyle name="Normal 3 5 3 8" xfId="708" xr:uid="{00000000-0005-0000-0000-000054010000}"/>
    <cellStyle name="Normal 3 5 3 9" xfId="805" xr:uid="{00000000-0005-0000-0000-000055010000}"/>
    <cellStyle name="Normal 3 5 4" xfId="131" xr:uid="{00000000-0005-0000-0000-000056010000}"/>
    <cellStyle name="Normal 3 5 5" xfId="221" xr:uid="{00000000-0005-0000-0000-000057010000}"/>
    <cellStyle name="Normal 3 5 6" xfId="311" xr:uid="{00000000-0005-0000-0000-000058010000}"/>
    <cellStyle name="Normal 3 5 7" xfId="401" xr:uid="{00000000-0005-0000-0000-000059010000}"/>
    <cellStyle name="Normal 3 5 8" xfId="491" xr:uid="{00000000-0005-0000-0000-00005A010000}"/>
    <cellStyle name="Normal 3 5 9" xfId="581" xr:uid="{00000000-0005-0000-0000-00005B010000}"/>
    <cellStyle name="Normal 3 6" xfId="36" xr:uid="{00000000-0005-0000-0000-00005C010000}"/>
    <cellStyle name="Normal 3 6 10" xfId="674" xr:uid="{00000000-0005-0000-0000-00005D010000}"/>
    <cellStyle name="Normal 3 6 11" xfId="769" xr:uid="{00000000-0005-0000-0000-00005E010000}"/>
    <cellStyle name="Normal 3 6 2" xfId="58" xr:uid="{00000000-0005-0000-0000-00005F010000}"/>
    <cellStyle name="Normal 3 6 2 10" xfId="789" xr:uid="{00000000-0005-0000-0000-000060010000}"/>
    <cellStyle name="Normal 3 6 2 2" xfId="98" xr:uid="{00000000-0005-0000-0000-000061010000}"/>
    <cellStyle name="Normal 3 6 2 2 2" xfId="190" xr:uid="{00000000-0005-0000-0000-000062010000}"/>
    <cellStyle name="Normal 3 6 2 2 3" xfId="280" xr:uid="{00000000-0005-0000-0000-000063010000}"/>
    <cellStyle name="Normal 3 6 2 2 4" xfId="370" xr:uid="{00000000-0005-0000-0000-000064010000}"/>
    <cellStyle name="Normal 3 6 2 2 5" xfId="460" xr:uid="{00000000-0005-0000-0000-000065010000}"/>
    <cellStyle name="Normal 3 6 2 2 6" xfId="550" xr:uid="{00000000-0005-0000-0000-000066010000}"/>
    <cellStyle name="Normal 3 6 2 2 7" xfId="640" xr:uid="{00000000-0005-0000-0000-000067010000}"/>
    <cellStyle name="Normal 3 6 2 2 8" xfId="730" xr:uid="{00000000-0005-0000-0000-000068010000}"/>
    <cellStyle name="Normal 3 6 2 2 9" xfId="827" xr:uid="{00000000-0005-0000-0000-000069010000}"/>
    <cellStyle name="Normal 3 6 2 3" xfId="153" xr:uid="{00000000-0005-0000-0000-00006A010000}"/>
    <cellStyle name="Normal 3 6 2 4" xfId="243" xr:uid="{00000000-0005-0000-0000-00006B010000}"/>
    <cellStyle name="Normal 3 6 2 5" xfId="333" xr:uid="{00000000-0005-0000-0000-00006C010000}"/>
    <cellStyle name="Normal 3 6 2 6" xfId="423" xr:uid="{00000000-0005-0000-0000-00006D010000}"/>
    <cellStyle name="Normal 3 6 2 7" xfId="513" xr:uid="{00000000-0005-0000-0000-00006E010000}"/>
    <cellStyle name="Normal 3 6 2 8" xfId="603" xr:uid="{00000000-0005-0000-0000-00006F010000}"/>
    <cellStyle name="Normal 3 6 2 9" xfId="693" xr:uid="{00000000-0005-0000-0000-000070010000}"/>
    <cellStyle name="Normal 3 6 3" xfId="78" xr:uid="{00000000-0005-0000-0000-000071010000}"/>
    <cellStyle name="Normal 3 6 3 2" xfId="171" xr:uid="{00000000-0005-0000-0000-000072010000}"/>
    <cellStyle name="Normal 3 6 3 3" xfId="261" xr:uid="{00000000-0005-0000-0000-000073010000}"/>
    <cellStyle name="Normal 3 6 3 4" xfId="351" xr:uid="{00000000-0005-0000-0000-000074010000}"/>
    <cellStyle name="Normal 3 6 3 5" xfId="441" xr:uid="{00000000-0005-0000-0000-000075010000}"/>
    <cellStyle name="Normal 3 6 3 6" xfId="531" xr:uid="{00000000-0005-0000-0000-000076010000}"/>
    <cellStyle name="Normal 3 6 3 7" xfId="621" xr:uid="{00000000-0005-0000-0000-000077010000}"/>
    <cellStyle name="Normal 3 6 3 8" xfId="711" xr:uid="{00000000-0005-0000-0000-000078010000}"/>
    <cellStyle name="Normal 3 6 3 9" xfId="808" xr:uid="{00000000-0005-0000-0000-000079010000}"/>
    <cellStyle name="Normal 3 6 4" xfId="134" xr:uid="{00000000-0005-0000-0000-00007A010000}"/>
    <cellStyle name="Normal 3 6 5" xfId="224" xr:uid="{00000000-0005-0000-0000-00007B010000}"/>
    <cellStyle name="Normal 3 6 6" xfId="314" xr:uid="{00000000-0005-0000-0000-00007C010000}"/>
    <cellStyle name="Normal 3 6 7" xfId="404" xr:uid="{00000000-0005-0000-0000-00007D010000}"/>
    <cellStyle name="Normal 3 6 8" xfId="494" xr:uid="{00000000-0005-0000-0000-00007E010000}"/>
    <cellStyle name="Normal 3 6 9" xfId="584" xr:uid="{00000000-0005-0000-0000-00007F010000}"/>
    <cellStyle name="Normal 3 7" xfId="42" xr:uid="{00000000-0005-0000-0000-000080010000}"/>
    <cellStyle name="Normal 3 7 10" xfId="774" xr:uid="{00000000-0005-0000-0000-000081010000}"/>
    <cellStyle name="Normal 3 7 2" xfId="82" xr:uid="{00000000-0005-0000-0000-000082010000}"/>
    <cellStyle name="Normal 3 7 2 2" xfId="175" xr:uid="{00000000-0005-0000-0000-000083010000}"/>
    <cellStyle name="Normal 3 7 2 3" xfId="265" xr:uid="{00000000-0005-0000-0000-000084010000}"/>
    <cellStyle name="Normal 3 7 2 4" xfId="355" xr:uid="{00000000-0005-0000-0000-000085010000}"/>
    <cellStyle name="Normal 3 7 2 5" xfId="445" xr:uid="{00000000-0005-0000-0000-000086010000}"/>
    <cellStyle name="Normal 3 7 2 6" xfId="535" xr:uid="{00000000-0005-0000-0000-000087010000}"/>
    <cellStyle name="Normal 3 7 2 7" xfId="625" xr:uid="{00000000-0005-0000-0000-000088010000}"/>
    <cellStyle name="Normal 3 7 2 8" xfId="715" xr:uid="{00000000-0005-0000-0000-000089010000}"/>
    <cellStyle name="Normal 3 7 2 9" xfId="812" xr:uid="{00000000-0005-0000-0000-00008A010000}"/>
    <cellStyle name="Normal 3 7 3" xfId="138" xr:uid="{00000000-0005-0000-0000-00008B010000}"/>
    <cellStyle name="Normal 3 7 4" xfId="228" xr:uid="{00000000-0005-0000-0000-00008C010000}"/>
    <cellStyle name="Normal 3 7 5" xfId="318" xr:uid="{00000000-0005-0000-0000-00008D010000}"/>
    <cellStyle name="Normal 3 7 6" xfId="408" xr:uid="{00000000-0005-0000-0000-00008E010000}"/>
    <cellStyle name="Normal 3 7 7" xfId="498" xr:uid="{00000000-0005-0000-0000-00008F010000}"/>
    <cellStyle name="Normal 3 7 8" xfId="588" xr:uid="{00000000-0005-0000-0000-000090010000}"/>
    <cellStyle name="Normal 3 7 9" xfId="678" xr:uid="{00000000-0005-0000-0000-000091010000}"/>
    <cellStyle name="Normal 3 8" xfId="63" xr:uid="{00000000-0005-0000-0000-000092010000}"/>
    <cellStyle name="Normal 3 8 2" xfId="156" xr:uid="{00000000-0005-0000-0000-000093010000}"/>
    <cellStyle name="Normal 3 8 3" xfId="246" xr:uid="{00000000-0005-0000-0000-000094010000}"/>
    <cellStyle name="Normal 3 8 4" xfId="336" xr:uid="{00000000-0005-0000-0000-000095010000}"/>
    <cellStyle name="Normal 3 8 5" xfId="426" xr:uid="{00000000-0005-0000-0000-000096010000}"/>
    <cellStyle name="Normal 3 8 6" xfId="516" xr:uid="{00000000-0005-0000-0000-000097010000}"/>
    <cellStyle name="Normal 3 8 7" xfId="606" xr:uid="{00000000-0005-0000-0000-000098010000}"/>
    <cellStyle name="Normal 3 8 8" xfId="696" xr:uid="{00000000-0005-0000-0000-000099010000}"/>
    <cellStyle name="Normal 3 8 9" xfId="793" xr:uid="{00000000-0005-0000-0000-00009A010000}"/>
    <cellStyle name="Normal 3 9" xfId="101" xr:uid="{00000000-0005-0000-0000-00009B010000}"/>
    <cellStyle name="Normal 3 9 2" xfId="193" xr:uid="{00000000-0005-0000-0000-00009C010000}"/>
    <cellStyle name="Normal 3 9 3" xfId="283" xr:uid="{00000000-0005-0000-0000-00009D010000}"/>
    <cellStyle name="Normal 3 9 4" xfId="373" xr:uid="{00000000-0005-0000-0000-00009E010000}"/>
    <cellStyle name="Normal 3 9 5" xfId="463" xr:uid="{00000000-0005-0000-0000-00009F010000}"/>
    <cellStyle name="Normal 3 9 6" xfId="553" xr:uid="{00000000-0005-0000-0000-0000A0010000}"/>
    <cellStyle name="Normal 3 9 7" xfId="643" xr:uid="{00000000-0005-0000-0000-0000A1010000}"/>
    <cellStyle name="Normal 3 9 8" xfId="733" xr:uid="{00000000-0005-0000-0000-0000A2010000}"/>
    <cellStyle name="Normal 3 9 9" xfId="830" xr:uid="{00000000-0005-0000-0000-0000A3010000}"/>
    <cellStyle name="Normal 4" xfId="12" xr:uid="{00000000-0005-0000-0000-0000A4010000}"/>
    <cellStyle name="Normal 5" xfId="9" xr:uid="{00000000-0005-0000-0000-0000A5010000}"/>
    <cellStyle name="Normal 5 2" xfId="5" xr:uid="{00000000-0005-0000-0000-0000A6010000}"/>
    <cellStyle name="Normal 5 3" xfId="32" xr:uid="{00000000-0005-0000-0000-0000A7010000}"/>
    <cellStyle name="Normal 5 3 2" xfId="54" xr:uid="{00000000-0005-0000-0000-0000A8010000}"/>
    <cellStyle name="Normal 5 4" xfId="19" xr:uid="{00000000-0005-0000-0000-0000A9010000}"/>
    <cellStyle name="Normal 6" xfId="18" xr:uid="{00000000-0005-0000-0000-0000AA010000}"/>
    <cellStyle name="Normal 6 10" xfId="660" xr:uid="{00000000-0005-0000-0000-0000AB010000}"/>
    <cellStyle name="Normal 6 11" xfId="754" xr:uid="{00000000-0005-0000-0000-0000AC010000}"/>
    <cellStyle name="Normal 6 2" xfId="41" xr:uid="{00000000-0005-0000-0000-0000AD010000}"/>
    <cellStyle name="Normal 6 2 10" xfId="773" xr:uid="{00000000-0005-0000-0000-0000AE010000}"/>
    <cellStyle name="Normal 6 2 2" xfId="81" xr:uid="{00000000-0005-0000-0000-0000AF010000}"/>
    <cellStyle name="Normal 6 2 2 2" xfId="174" xr:uid="{00000000-0005-0000-0000-0000B0010000}"/>
    <cellStyle name="Normal 6 2 2 3" xfId="264" xr:uid="{00000000-0005-0000-0000-0000B1010000}"/>
    <cellStyle name="Normal 6 2 2 4" xfId="354" xr:uid="{00000000-0005-0000-0000-0000B2010000}"/>
    <cellStyle name="Normal 6 2 2 5" xfId="444" xr:uid="{00000000-0005-0000-0000-0000B3010000}"/>
    <cellStyle name="Normal 6 2 2 6" xfId="534" xr:uid="{00000000-0005-0000-0000-0000B4010000}"/>
    <cellStyle name="Normal 6 2 2 7" xfId="624" xr:uid="{00000000-0005-0000-0000-0000B5010000}"/>
    <cellStyle name="Normal 6 2 2 8" xfId="714" xr:uid="{00000000-0005-0000-0000-0000B6010000}"/>
    <cellStyle name="Normal 6 2 2 9" xfId="811" xr:uid="{00000000-0005-0000-0000-0000B7010000}"/>
    <cellStyle name="Normal 6 2 3" xfId="137" xr:uid="{00000000-0005-0000-0000-0000B8010000}"/>
    <cellStyle name="Normal 6 2 4" xfId="227" xr:uid="{00000000-0005-0000-0000-0000B9010000}"/>
    <cellStyle name="Normal 6 2 5" xfId="317" xr:uid="{00000000-0005-0000-0000-0000BA010000}"/>
    <cellStyle name="Normal 6 2 6" xfId="407" xr:uid="{00000000-0005-0000-0000-0000BB010000}"/>
    <cellStyle name="Normal 6 2 7" xfId="497" xr:uid="{00000000-0005-0000-0000-0000BC010000}"/>
    <cellStyle name="Normal 6 2 8" xfId="587" xr:uid="{00000000-0005-0000-0000-0000BD010000}"/>
    <cellStyle name="Normal 6 2 9" xfId="677" xr:uid="{00000000-0005-0000-0000-0000BE010000}"/>
    <cellStyle name="Normal 6 3" xfId="62" xr:uid="{00000000-0005-0000-0000-0000BF010000}"/>
    <cellStyle name="Normal 6 3 2" xfId="155" xr:uid="{00000000-0005-0000-0000-0000C0010000}"/>
    <cellStyle name="Normal 6 3 3" xfId="245" xr:uid="{00000000-0005-0000-0000-0000C1010000}"/>
    <cellStyle name="Normal 6 3 4" xfId="335" xr:uid="{00000000-0005-0000-0000-0000C2010000}"/>
    <cellStyle name="Normal 6 3 5" xfId="425" xr:uid="{00000000-0005-0000-0000-0000C3010000}"/>
    <cellStyle name="Normal 6 3 6" xfId="515" xr:uid="{00000000-0005-0000-0000-0000C4010000}"/>
    <cellStyle name="Normal 6 3 7" xfId="605" xr:uid="{00000000-0005-0000-0000-0000C5010000}"/>
    <cellStyle name="Normal 6 3 8" xfId="695" xr:uid="{00000000-0005-0000-0000-0000C6010000}"/>
    <cellStyle name="Normal 6 3 9" xfId="792" xr:uid="{00000000-0005-0000-0000-0000C7010000}"/>
    <cellStyle name="Normal 6 4" xfId="120" xr:uid="{00000000-0005-0000-0000-0000C8010000}"/>
    <cellStyle name="Normal 6 5" xfId="210" xr:uid="{00000000-0005-0000-0000-0000C9010000}"/>
    <cellStyle name="Normal 6 6" xfId="300" xr:uid="{00000000-0005-0000-0000-0000CA010000}"/>
    <cellStyle name="Normal 6 7" xfId="390" xr:uid="{00000000-0005-0000-0000-0000CB010000}"/>
    <cellStyle name="Normal 6 8" xfId="480" xr:uid="{00000000-0005-0000-0000-0000CC010000}"/>
    <cellStyle name="Normal 6 9" xfId="570" xr:uid="{00000000-0005-0000-0000-0000CD010000}"/>
    <cellStyle name="Normal 7" xfId="22" xr:uid="{00000000-0005-0000-0000-0000CE010000}"/>
    <cellStyle name="Normal 7 10" xfId="661" xr:uid="{00000000-0005-0000-0000-0000CF010000}"/>
    <cellStyle name="Normal 7 11" xfId="756" xr:uid="{00000000-0005-0000-0000-0000D0010000}"/>
    <cellStyle name="Normal 7 2" xfId="44" xr:uid="{00000000-0005-0000-0000-0000D1010000}"/>
    <cellStyle name="Normal 7 2 10" xfId="776" xr:uid="{00000000-0005-0000-0000-0000D2010000}"/>
    <cellStyle name="Normal 7 2 2" xfId="84" xr:uid="{00000000-0005-0000-0000-0000D3010000}"/>
    <cellStyle name="Normal 7 2 2 2" xfId="177" xr:uid="{00000000-0005-0000-0000-0000D4010000}"/>
    <cellStyle name="Normal 7 2 2 3" xfId="267" xr:uid="{00000000-0005-0000-0000-0000D5010000}"/>
    <cellStyle name="Normal 7 2 2 4" xfId="357" xr:uid="{00000000-0005-0000-0000-0000D6010000}"/>
    <cellStyle name="Normal 7 2 2 5" xfId="447" xr:uid="{00000000-0005-0000-0000-0000D7010000}"/>
    <cellStyle name="Normal 7 2 2 6" xfId="537" xr:uid="{00000000-0005-0000-0000-0000D8010000}"/>
    <cellStyle name="Normal 7 2 2 7" xfId="627" xr:uid="{00000000-0005-0000-0000-0000D9010000}"/>
    <cellStyle name="Normal 7 2 2 8" xfId="717" xr:uid="{00000000-0005-0000-0000-0000DA010000}"/>
    <cellStyle name="Normal 7 2 2 9" xfId="814" xr:uid="{00000000-0005-0000-0000-0000DB010000}"/>
    <cellStyle name="Normal 7 2 3" xfId="140" xr:uid="{00000000-0005-0000-0000-0000DC010000}"/>
    <cellStyle name="Normal 7 2 4" xfId="230" xr:uid="{00000000-0005-0000-0000-0000DD010000}"/>
    <cellStyle name="Normal 7 2 5" xfId="320" xr:uid="{00000000-0005-0000-0000-0000DE010000}"/>
    <cellStyle name="Normal 7 2 6" xfId="410" xr:uid="{00000000-0005-0000-0000-0000DF010000}"/>
    <cellStyle name="Normal 7 2 7" xfId="500" xr:uid="{00000000-0005-0000-0000-0000E0010000}"/>
    <cellStyle name="Normal 7 2 8" xfId="590" xr:uid="{00000000-0005-0000-0000-0000E1010000}"/>
    <cellStyle name="Normal 7 2 9" xfId="680" xr:uid="{00000000-0005-0000-0000-0000E2010000}"/>
    <cellStyle name="Normal 7 3" xfId="65" xr:uid="{00000000-0005-0000-0000-0000E3010000}"/>
    <cellStyle name="Normal 7 3 2" xfId="158" xr:uid="{00000000-0005-0000-0000-0000E4010000}"/>
    <cellStyle name="Normal 7 3 3" xfId="248" xr:uid="{00000000-0005-0000-0000-0000E5010000}"/>
    <cellStyle name="Normal 7 3 4" xfId="338" xr:uid="{00000000-0005-0000-0000-0000E6010000}"/>
    <cellStyle name="Normal 7 3 5" xfId="428" xr:uid="{00000000-0005-0000-0000-0000E7010000}"/>
    <cellStyle name="Normal 7 3 6" xfId="518" xr:uid="{00000000-0005-0000-0000-0000E8010000}"/>
    <cellStyle name="Normal 7 3 7" xfId="608" xr:uid="{00000000-0005-0000-0000-0000E9010000}"/>
    <cellStyle name="Normal 7 3 8" xfId="698" xr:uid="{00000000-0005-0000-0000-0000EA010000}"/>
    <cellStyle name="Normal 7 3 9" xfId="795" xr:uid="{00000000-0005-0000-0000-0000EB010000}"/>
    <cellStyle name="Normal 7 4" xfId="121" xr:uid="{00000000-0005-0000-0000-0000EC010000}"/>
    <cellStyle name="Normal 7 5" xfId="211" xr:uid="{00000000-0005-0000-0000-0000ED010000}"/>
    <cellStyle name="Normal 7 6" xfId="301" xr:uid="{00000000-0005-0000-0000-0000EE010000}"/>
    <cellStyle name="Normal 7 7" xfId="391" xr:uid="{00000000-0005-0000-0000-0000EF010000}"/>
    <cellStyle name="Normal 7 8" xfId="481" xr:uid="{00000000-0005-0000-0000-0000F0010000}"/>
    <cellStyle name="Normal 7 9" xfId="571" xr:uid="{00000000-0005-0000-0000-0000F1010000}"/>
    <cellStyle name="Normal 8" xfId="25" xr:uid="{00000000-0005-0000-0000-0000F2010000}"/>
    <cellStyle name="Normal 8 10" xfId="664" xr:uid="{00000000-0005-0000-0000-0000F3010000}"/>
    <cellStyle name="Normal 8 11" xfId="759" xr:uid="{00000000-0005-0000-0000-0000F4010000}"/>
    <cellStyle name="Normal 8 2" xfId="47" xr:uid="{00000000-0005-0000-0000-0000F5010000}"/>
    <cellStyle name="Normal 8 2 10" xfId="779" xr:uid="{00000000-0005-0000-0000-0000F6010000}"/>
    <cellStyle name="Normal 8 2 2" xfId="87" xr:uid="{00000000-0005-0000-0000-0000F7010000}"/>
    <cellStyle name="Normal 8 2 2 2" xfId="180" xr:uid="{00000000-0005-0000-0000-0000F8010000}"/>
    <cellStyle name="Normal 8 2 2 3" xfId="270" xr:uid="{00000000-0005-0000-0000-0000F9010000}"/>
    <cellStyle name="Normal 8 2 2 4" xfId="360" xr:uid="{00000000-0005-0000-0000-0000FA010000}"/>
    <cellStyle name="Normal 8 2 2 5" xfId="450" xr:uid="{00000000-0005-0000-0000-0000FB010000}"/>
    <cellStyle name="Normal 8 2 2 6" xfId="540" xr:uid="{00000000-0005-0000-0000-0000FC010000}"/>
    <cellStyle name="Normal 8 2 2 7" xfId="630" xr:uid="{00000000-0005-0000-0000-0000FD010000}"/>
    <cellStyle name="Normal 8 2 2 8" xfId="720" xr:uid="{00000000-0005-0000-0000-0000FE010000}"/>
    <cellStyle name="Normal 8 2 2 9" xfId="817" xr:uid="{00000000-0005-0000-0000-0000FF010000}"/>
    <cellStyle name="Normal 8 2 3" xfId="143" xr:uid="{00000000-0005-0000-0000-000000020000}"/>
    <cellStyle name="Normal 8 2 4" xfId="233" xr:uid="{00000000-0005-0000-0000-000001020000}"/>
    <cellStyle name="Normal 8 2 5" xfId="323" xr:uid="{00000000-0005-0000-0000-000002020000}"/>
    <cellStyle name="Normal 8 2 6" xfId="413" xr:uid="{00000000-0005-0000-0000-000003020000}"/>
    <cellStyle name="Normal 8 2 7" xfId="503" xr:uid="{00000000-0005-0000-0000-000004020000}"/>
    <cellStyle name="Normal 8 2 8" xfId="593" xr:uid="{00000000-0005-0000-0000-000005020000}"/>
    <cellStyle name="Normal 8 2 9" xfId="683" xr:uid="{00000000-0005-0000-0000-000006020000}"/>
    <cellStyle name="Normal 8 3" xfId="68" xr:uid="{00000000-0005-0000-0000-000007020000}"/>
    <cellStyle name="Normal 8 3 2" xfId="161" xr:uid="{00000000-0005-0000-0000-000008020000}"/>
    <cellStyle name="Normal 8 3 3" xfId="251" xr:uid="{00000000-0005-0000-0000-000009020000}"/>
    <cellStyle name="Normal 8 3 4" xfId="341" xr:uid="{00000000-0005-0000-0000-00000A020000}"/>
    <cellStyle name="Normal 8 3 5" xfId="431" xr:uid="{00000000-0005-0000-0000-00000B020000}"/>
    <cellStyle name="Normal 8 3 6" xfId="521" xr:uid="{00000000-0005-0000-0000-00000C020000}"/>
    <cellStyle name="Normal 8 3 7" xfId="611" xr:uid="{00000000-0005-0000-0000-00000D020000}"/>
    <cellStyle name="Normal 8 3 8" xfId="701" xr:uid="{00000000-0005-0000-0000-00000E020000}"/>
    <cellStyle name="Normal 8 3 9" xfId="798" xr:uid="{00000000-0005-0000-0000-00000F020000}"/>
    <cellStyle name="Normal 8 4" xfId="124" xr:uid="{00000000-0005-0000-0000-000010020000}"/>
    <cellStyle name="Normal 8 5" xfId="214" xr:uid="{00000000-0005-0000-0000-000011020000}"/>
    <cellStyle name="Normal 8 6" xfId="304" xr:uid="{00000000-0005-0000-0000-000012020000}"/>
    <cellStyle name="Normal 8 7" xfId="394" xr:uid="{00000000-0005-0000-0000-000013020000}"/>
    <cellStyle name="Normal 8 8" xfId="484" xr:uid="{00000000-0005-0000-0000-000014020000}"/>
    <cellStyle name="Normal 8 9" xfId="574" xr:uid="{00000000-0005-0000-0000-000015020000}"/>
    <cellStyle name="Normal 9" xfId="28" xr:uid="{00000000-0005-0000-0000-000016020000}"/>
    <cellStyle name="Normal 9 10" xfId="667" xr:uid="{00000000-0005-0000-0000-000017020000}"/>
    <cellStyle name="Normal 9 11" xfId="762" xr:uid="{00000000-0005-0000-0000-000018020000}"/>
    <cellStyle name="Normal 9 2" xfId="50" xr:uid="{00000000-0005-0000-0000-000019020000}"/>
    <cellStyle name="Normal 9 2 10" xfId="782" xr:uid="{00000000-0005-0000-0000-00001A020000}"/>
    <cellStyle name="Normal 9 2 2" xfId="90" xr:uid="{00000000-0005-0000-0000-00001B020000}"/>
    <cellStyle name="Normal 9 2 2 2" xfId="183" xr:uid="{00000000-0005-0000-0000-00001C020000}"/>
    <cellStyle name="Normal 9 2 2 3" xfId="273" xr:uid="{00000000-0005-0000-0000-00001D020000}"/>
    <cellStyle name="Normal 9 2 2 4" xfId="363" xr:uid="{00000000-0005-0000-0000-00001E020000}"/>
    <cellStyle name="Normal 9 2 2 5" xfId="453" xr:uid="{00000000-0005-0000-0000-00001F020000}"/>
    <cellStyle name="Normal 9 2 2 6" xfId="543" xr:uid="{00000000-0005-0000-0000-000020020000}"/>
    <cellStyle name="Normal 9 2 2 7" xfId="633" xr:uid="{00000000-0005-0000-0000-000021020000}"/>
    <cellStyle name="Normal 9 2 2 8" xfId="723" xr:uid="{00000000-0005-0000-0000-000022020000}"/>
    <cellStyle name="Normal 9 2 2 9" xfId="820" xr:uid="{00000000-0005-0000-0000-000023020000}"/>
    <cellStyle name="Normal 9 2 3" xfId="146" xr:uid="{00000000-0005-0000-0000-000024020000}"/>
    <cellStyle name="Normal 9 2 4" xfId="236" xr:uid="{00000000-0005-0000-0000-000025020000}"/>
    <cellStyle name="Normal 9 2 5" xfId="326" xr:uid="{00000000-0005-0000-0000-000026020000}"/>
    <cellStyle name="Normal 9 2 6" xfId="416" xr:uid="{00000000-0005-0000-0000-000027020000}"/>
    <cellStyle name="Normal 9 2 7" xfId="506" xr:uid="{00000000-0005-0000-0000-000028020000}"/>
    <cellStyle name="Normal 9 2 8" xfId="596" xr:uid="{00000000-0005-0000-0000-000029020000}"/>
    <cellStyle name="Normal 9 2 9" xfId="686" xr:uid="{00000000-0005-0000-0000-00002A020000}"/>
    <cellStyle name="Normal 9 3" xfId="71" xr:uid="{00000000-0005-0000-0000-00002B020000}"/>
    <cellStyle name="Normal 9 3 2" xfId="164" xr:uid="{00000000-0005-0000-0000-00002C020000}"/>
    <cellStyle name="Normal 9 3 3" xfId="254" xr:uid="{00000000-0005-0000-0000-00002D020000}"/>
    <cellStyle name="Normal 9 3 4" xfId="344" xr:uid="{00000000-0005-0000-0000-00002E020000}"/>
    <cellStyle name="Normal 9 3 5" xfId="434" xr:uid="{00000000-0005-0000-0000-00002F020000}"/>
    <cellStyle name="Normal 9 3 6" xfId="524" xr:uid="{00000000-0005-0000-0000-000030020000}"/>
    <cellStyle name="Normal 9 3 7" xfId="614" xr:uid="{00000000-0005-0000-0000-000031020000}"/>
    <cellStyle name="Normal 9 3 8" xfId="704" xr:uid="{00000000-0005-0000-0000-000032020000}"/>
    <cellStyle name="Normal 9 3 9" xfId="801" xr:uid="{00000000-0005-0000-0000-000033020000}"/>
    <cellStyle name="Normal 9 4" xfId="127" xr:uid="{00000000-0005-0000-0000-000034020000}"/>
    <cellStyle name="Normal 9 5" xfId="217" xr:uid="{00000000-0005-0000-0000-000035020000}"/>
    <cellStyle name="Normal 9 6" xfId="307" xr:uid="{00000000-0005-0000-0000-000036020000}"/>
    <cellStyle name="Normal 9 7" xfId="397" xr:uid="{00000000-0005-0000-0000-000037020000}"/>
    <cellStyle name="Normal 9 8" xfId="487" xr:uid="{00000000-0005-0000-0000-000038020000}"/>
    <cellStyle name="Normal 9 9" xfId="577" xr:uid="{00000000-0005-0000-0000-000039020000}"/>
    <cellStyle name="Normal_Forslag" xfId="845" xr:uid="{00000000-0005-0000-0000-00003A020000}"/>
    <cellStyle name="Tusenskille 2" xfId="14" xr:uid="{00000000-0005-0000-0000-00003C020000}"/>
    <cellStyle name="Tusenskille 2 2" xfId="15" xr:uid="{00000000-0005-0000-0000-00003D020000}"/>
    <cellStyle name="Tusenskille 2 2 2" xfId="751" xr:uid="{00000000-0005-0000-0000-00003E020000}"/>
    <cellStyle name="Tusenskille 2 2 3" xfId="848" xr:uid="{F77FA10F-B946-43D0-BDB2-55CEFCE8EA1F}"/>
    <cellStyle name="Tusenskille 2 3" xfId="21" xr:uid="{00000000-0005-0000-0000-00003F020000}"/>
    <cellStyle name="Tusenskille 2 3 2" xfId="755" xr:uid="{00000000-0005-0000-0000-000040020000}"/>
    <cellStyle name="Tusenskille 2 4" xfId="40" xr:uid="{00000000-0005-0000-0000-000041020000}"/>
    <cellStyle name="Tusenskille 2 4 2" xfId="772" xr:uid="{00000000-0005-0000-0000-000042020000}"/>
    <cellStyle name="Tusenskille 2 5" xfId="61" xr:uid="{00000000-0005-0000-0000-000043020000}"/>
    <cellStyle name="Tusenskille 2 5 2" xfId="791" xr:uid="{00000000-0005-0000-0000-000044020000}"/>
    <cellStyle name="Tusenskille 2 6" xfId="750" xr:uid="{00000000-0005-0000-0000-000045020000}"/>
    <cellStyle name="Tusenskille 3" xfId="16" xr:uid="{00000000-0005-0000-0000-000046020000}"/>
    <cellStyle name="Tusenskille 3 10" xfId="105" xr:uid="{00000000-0005-0000-0000-000047020000}"/>
    <cellStyle name="Tusenskille 3 10 2" xfId="197" xr:uid="{00000000-0005-0000-0000-000048020000}"/>
    <cellStyle name="Tusenskille 3 10 3" xfId="287" xr:uid="{00000000-0005-0000-0000-000049020000}"/>
    <cellStyle name="Tusenskille 3 10 4" xfId="377" xr:uid="{00000000-0005-0000-0000-00004A020000}"/>
    <cellStyle name="Tusenskille 3 10 5" xfId="467" xr:uid="{00000000-0005-0000-0000-00004B020000}"/>
    <cellStyle name="Tusenskille 3 10 6" xfId="557" xr:uid="{00000000-0005-0000-0000-00004C020000}"/>
    <cellStyle name="Tusenskille 3 10 7" xfId="647" xr:uid="{00000000-0005-0000-0000-00004D020000}"/>
    <cellStyle name="Tusenskille 3 10 8" xfId="737" xr:uid="{00000000-0005-0000-0000-00004E020000}"/>
    <cellStyle name="Tusenskille 3 10 9" xfId="834" xr:uid="{00000000-0005-0000-0000-00004F020000}"/>
    <cellStyle name="Tusenskille 3 11" xfId="108" xr:uid="{00000000-0005-0000-0000-000050020000}"/>
    <cellStyle name="Tusenskille 3 11 2" xfId="200" xr:uid="{00000000-0005-0000-0000-000051020000}"/>
    <cellStyle name="Tusenskille 3 11 3" xfId="290" xr:uid="{00000000-0005-0000-0000-000052020000}"/>
    <cellStyle name="Tusenskille 3 11 4" xfId="380" xr:uid="{00000000-0005-0000-0000-000053020000}"/>
    <cellStyle name="Tusenskille 3 11 5" xfId="470" xr:uid="{00000000-0005-0000-0000-000054020000}"/>
    <cellStyle name="Tusenskille 3 11 6" xfId="560" xr:uid="{00000000-0005-0000-0000-000055020000}"/>
    <cellStyle name="Tusenskille 3 11 7" xfId="650" xr:uid="{00000000-0005-0000-0000-000056020000}"/>
    <cellStyle name="Tusenskille 3 11 8" xfId="740" xr:uid="{00000000-0005-0000-0000-000057020000}"/>
    <cellStyle name="Tusenskille 3 11 9" xfId="837" xr:uid="{00000000-0005-0000-0000-000058020000}"/>
    <cellStyle name="Tusenskille 3 12" xfId="111" xr:uid="{00000000-0005-0000-0000-000059020000}"/>
    <cellStyle name="Tusenskille 3 12 2" xfId="203" xr:uid="{00000000-0005-0000-0000-00005A020000}"/>
    <cellStyle name="Tusenskille 3 12 3" xfId="293" xr:uid="{00000000-0005-0000-0000-00005B020000}"/>
    <cellStyle name="Tusenskille 3 12 4" xfId="383" xr:uid="{00000000-0005-0000-0000-00005C020000}"/>
    <cellStyle name="Tusenskille 3 12 5" xfId="473" xr:uid="{00000000-0005-0000-0000-00005D020000}"/>
    <cellStyle name="Tusenskille 3 12 6" xfId="563" xr:uid="{00000000-0005-0000-0000-00005E020000}"/>
    <cellStyle name="Tusenskille 3 12 7" xfId="653" xr:uid="{00000000-0005-0000-0000-00005F020000}"/>
    <cellStyle name="Tusenskille 3 12 8" xfId="743" xr:uid="{00000000-0005-0000-0000-000060020000}"/>
    <cellStyle name="Tusenskille 3 12 9" xfId="840" xr:uid="{00000000-0005-0000-0000-000061020000}"/>
    <cellStyle name="Tusenskille 3 13" xfId="114" xr:uid="{00000000-0005-0000-0000-000062020000}"/>
    <cellStyle name="Tusenskille 3 13 2" xfId="206" xr:uid="{00000000-0005-0000-0000-000063020000}"/>
    <cellStyle name="Tusenskille 3 13 3" xfId="296" xr:uid="{00000000-0005-0000-0000-000064020000}"/>
    <cellStyle name="Tusenskille 3 13 4" xfId="386" xr:uid="{00000000-0005-0000-0000-000065020000}"/>
    <cellStyle name="Tusenskille 3 13 5" xfId="476" xr:uid="{00000000-0005-0000-0000-000066020000}"/>
    <cellStyle name="Tusenskille 3 13 6" xfId="566" xr:uid="{00000000-0005-0000-0000-000067020000}"/>
    <cellStyle name="Tusenskille 3 13 7" xfId="656" xr:uid="{00000000-0005-0000-0000-000068020000}"/>
    <cellStyle name="Tusenskille 3 13 8" xfId="746" xr:uid="{00000000-0005-0000-0000-000069020000}"/>
    <cellStyle name="Tusenskille 3 13 9" xfId="843" xr:uid="{00000000-0005-0000-0000-00006A020000}"/>
    <cellStyle name="Tusenskille 3 14" xfId="119" xr:uid="{00000000-0005-0000-0000-00006B020000}"/>
    <cellStyle name="Tusenskille 3 15" xfId="209" xr:uid="{00000000-0005-0000-0000-00006C020000}"/>
    <cellStyle name="Tusenskille 3 16" xfId="299" xr:uid="{00000000-0005-0000-0000-00006D020000}"/>
    <cellStyle name="Tusenskille 3 17" xfId="389" xr:uid="{00000000-0005-0000-0000-00006E020000}"/>
    <cellStyle name="Tusenskille 3 18" xfId="479" xr:uid="{00000000-0005-0000-0000-00006F020000}"/>
    <cellStyle name="Tusenskille 3 19" xfId="569" xr:uid="{00000000-0005-0000-0000-000070020000}"/>
    <cellStyle name="Tusenskille 3 2" xfId="24" xr:uid="{00000000-0005-0000-0000-000071020000}"/>
    <cellStyle name="Tusenskille 3 2 10" xfId="663" xr:uid="{00000000-0005-0000-0000-000072020000}"/>
    <cellStyle name="Tusenskille 3 2 11" xfId="758" xr:uid="{00000000-0005-0000-0000-000073020000}"/>
    <cellStyle name="Tusenskille 3 2 2" xfId="46" xr:uid="{00000000-0005-0000-0000-000074020000}"/>
    <cellStyle name="Tusenskille 3 2 2 10" xfId="778" xr:uid="{00000000-0005-0000-0000-000075020000}"/>
    <cellStyle name="Tusenskille 3 2 2 2" xfId="86" xr:uid="{00000000-0005-0000-0000-000076020000}"/>
    <cellStyle name="Tusenskille 3 2 2 2 2" xfId="179" xr:uid="{00000000-0005-0000-0000-000077020000}"/>
    <cellStyle name="Tusenskille 3 2 2 2 3" xfId="269" xr:uid="{00000000-0005-0000-0000-000078020000}"/>
    <cellStyle name="Tusenskille 3 2 2 2 4" xfId="359" xr:uid="{00000000-0005-0000-0000-000079020000}"/>
    <cellStyle name="Tusenskille 3 2 2 2 5" xfId="449" xr:uid="{00000000-0005-0000-0000-00007A020000}"/>
    <cellStyle name="Tusenskille 3 2 2 2 6" xfId="539" xr:uid="{00000000-0005-0000-0000-00007B020000}"/>
    <cellStyle name="Tusenskille 3 2 2 2 7" xfId="629" xr:uid="{00000000-0005-0000-0000-00007C020000}"/>
    <cellStyle name="Tusenskille 3 2 2 2 8" xfId="719" xr:uid="{00000000-0005-0000-0000-00007D020000}"/>
    <cellStyle name="Tusenskille 3 2 2 2 9" xfId="816" xr:uid="{00000000-0005-0000-0000-00007E020000}"/>
    <cellStyle name="Tusenskille 3 2 2 3" xfId="142" xr:uid="{00000000-0005-0000-0000-00007F020000}"/>
    <cellStyle name="Tusenskille 3 2 2 4" xfId="232" xr:uid="{00000000-0005-0000-0000-000080020000}"/>
    <cellStyle name="Tusenskille 3 2 2 5" xfId="322" xr:uid="{00000000-0005-0000-0000-000081020000}"/>
    <cellStyle name="Tusenskille 3 2 2 6" xfId="412" xr:uid="{00000000-0005-0000-0000-000082020000}"/>
    <cellStyle name="Tusenskille 3 2 2 7" xfId="502" xr:uid="{00000000-0005-0000-0000-000083020000}"/>
    <cellStyle name="Tusenskille 3 2 2 8" xfId="592" xr:uid="{00000000-0005-0000-0000-000084020000}"/>
    <cellStyle name="Tusenskille 3 2 2 9" xfId="682" xr:uid="{00000000-0005-0000-0000-000085020000}"/>
    <cellStyle name="Tusenskille 3 2 3" xfId="67" xr:uid="{00000000-0005-0000-0000-000086020000}"/>
    <cellStyle name="Tusenskille 3 2 3 2" xfId="160" xr:uid="{00000000-0005-0000-0000-000087020000}"/>
    <cellStyle name="Tusenskille 3 2 3 3" xfId="250" xr:uid="{00000000-0005-0000-0000-000088020000}"/>
    <cellStyle name="Tusenskille 3 2 3 4" xfId="340" xr:uid="{00000000-0005-0000-0000-000089020000}"/>
    <cellStyle name="Tusenskille 3 2 3 5" xfId="430" xr:uid="{00000000-0005-0000-0000-00008A020000}"/>
    <cellStyle name="Tusenskille 3 2 3 6" xfId="520" xr:uid="{00000000-0005-0000-0000-00008B020000}"/>
    <cellStyle name="Tusenskille 3 2 3 7" xfId="610" xr:uid="{00000000-0005-0000-0000-00008C020000}"/>
    <cellStyle name="Tusenskille 3 2 3 8" xfId="700" xr:uid="{00000000-0005-0000-0000-00008D020000}"/>
    <cellStyle name="Tusenskille 3 2 3 9" xfId="797" xr:uid="{00000000-0005-0000-0000-00008E020000}"/>
    <cellStyle name="Tusenskille 3 2 4" xfId="123" xr:uid="{00000000-0005-0000-0000-00008F020000}"/>
    <cellStyle name="Tusenskille 3 2 5" xfId="213" xr:uid="{00000000-0005-0000-0000-000090020000}"/>
    <cellStyle name="Tusenskille 3 2 6" xfId="303" xr:uid="{00000000-0005-0000-0000-000091020000}"/>
    <cellStyle name="Tusenskille 3 2 7" xfId="393" xr:uid="{00000000-0005-0000-0000-000092020000}"/>
    <cellStyle name="Tusenskille 3 2 8" xfId="483" xr:uid="{00000000-0005-0000-0000-000093020000}"/>
    <cellStyle name="Tusenskille 3 2 9" xfId="573" xr:uid="{00000000-0005-0000-0000-000094020000}"/>
    <cellStyle name="Tusenskille 3 20" xfId="659" xr:uid="{00000000-0005-0000-0000-000095020000}"/>
    <cellStyle name="Tusenskille 3 21" xfId="752" xr:uid="{00000000-0005-0000-0000-000096020000}"/>
    <cellStyle name="Tusenskille 3 3" xfId="27" xr:uid="{00000000-0005-0000-0000-000097020000}"/>
    <cellStyle name="Tusenskille 3 3 10" xfId="666" xr:uid="{00000000-0005-0000-0000-000098020000}"/>
    <cellStyle name="Tusenskille 3 3 11" xfId="761" xr:uid="{00000000-0005-0000-0000-000099020000}"/>
    <cellStyle name="Tusenskille 3 3 2" xfId="49" xr:uid="{00000000-0005-0000-0000-00009A020000}"/>
    <cellStyle name="Tusenskille 3 3 2 10" xfId="781" xr:uid="{00000000-0005-0000-0000-00009B020000}"/>
    <cellStyle name="Tusenskille 3 3 2 2" xfId="89" xr:uid="{00000000-0005-0000-0000-00009C020000}"/>
    <cellStyle name="Tusenskille 3 3 2 2 2" xfId="182" xr:uid="{00000000-0005-0000-0000-00009D020000}"/>
    <cellStyle name="Tusenskille 3 3 2 2 3" xfId="272" xr:uid="{00000000-0005-0000-0000-00009E020000}"/>
    <cellStyle name="Tusenskille 3 3 2 2 4" xfId="362" xr:uid="{00000000-0005-0000-0000-00009F020000}"/>
    <cellStyle name="Tusenskille 3 3 2 2 5" xfId="452" xr:uid="{00000000-0005-0000-0000-0000A0020000}"/>
    <cellStyle name="Tusenskille 3 3 2 2 6" xfId="542" xr:uid="{00000000-0005-0000-0000-0000A1020000}"/>
    <cellStyle name="Tusenskille 3 3 2 2 7" xfId="632" xr:uid="{00000000-0005-0000-0000-0000A2020000}"/>
    <cellStyle name="Tusenskille 3 3 2 2 8" xfId="722" xr:uid="{00000000-0005-0000-0000-0000A3020000}"/>
    <cellStyle name="Tusenskille 3 3 2 2 9" xfId="819" xr:uid="{00000000-0005-0000-0000-0000A4020000}"/>
    <cellStyle name="Tusenskille 3 3 2 3" xfId="145" xr:uid="{00000000-0005-0000-0000-0000A5020000}"/>
    <cellStyle name="Tusenskille 3 3 2 4" xfId="235" xr:uid="{00000000-0005-0000-0000-0000A6020000}"/>
    <cellStyle name="Tusenskille 3 3 2 5" xfId="325" xr:uid="{00000000-0005-0000-0000-0000A7020000}"/>
    <cellStyle name="Tusenskille 3 3 2 6" xfId="415" xr:uid="{00000000-0005-0000-0000-0000A8020000}"/>
    <cellStyle name="Tusenskille 3 3 2 7" xfId="505" xr:uid="{00000000-0005-0000-0000-0000A9020000}"/>
    <cellStyle name="Tusenskille 3 3 2 8" xfId="595" xr:uid="{00000000-0005-0000-0000-0000AA020000}"/>
    <cellStyle name="Tusenskille 3 3 2 9" xfId="685" xr:uid="{00000000-0005-0000-0000-0000AB020000}"/>
    <cellStyle name="Tusenskille 3 3 3" xfId="70" xr:uid="{00000000-0005-0000-0000-0000AC020000}"/>
    <cellStyle name="Tusenskille 3 3 3 2" xfId="163" xr:uid="{00000000-0005-0000-0000-0000AD020000}"/>
    <cellStyle name="Tusenskille 3 3 3 3" xfId="253" xr:uid="{00000000-0005-0000-0000-0000AE020000}"/>
    <cellStyle name="Tusenskille 3 3 3 4" xfId="343" xr:uid="{00000000-0005-0000-0000-0000AF020000}"/>
    <cellStyle name="Tusenskille 3 3 3 5" xfId="433" xr:uid="{00000000-0005-0000-0000-0000B0020000}"/>
    <cellStyle name="Tusenskille 3 3 3 6" xfId="523" xr:uid="{00000000-0005-0000-0000-0000B1020000}"/>
    <cellStyle name="Tusenskille 3 3 3 7" xfId="613" xr:uid="{00000000-0005-0000-0000-0000B2020000}"/>
    <cellStyle name="Tusenskille 3 3 3 8" xfId="703" xr:uid="{00000000-0005-0000-0000-0000B3020000}"/>
    <cellStyle name="Tusenskille 3 3 3 9" xfId="800" xr:uid="{00000000-0005-0000-0000-0000B4020000}"/>
    <cellStyle name="Tusenskille 3 3 4" xfId="126" xr:uid="{00000000-0005-0000-0000-0000B5020000}"/>
    <cellStyle name="Tusenskille 3 3 5" xfId="216" xr:uid="{00000000-0005-0000-0000-0000B6020000}"/>
    <cellStyle name="Tusenskille 3 3 6" xfId="306" xr:uid="{00000000-0005-0000-0000-0000B7020000}"/>
    <cellStyle name="Tusenskille 3 3 7" xfId="396" xr:uid="{00000000-0005-0000-0000-0000B8020000}"/>
    <cellStyle name="Tusenskille 3 3 8" xfId="486" xr:uid="{00000000-0005-0000-0000-0000B9020000}"/>
    <cellStyle name="Tusenskille 3 3 9" xfId="576" xr:uid="{00000000-0005-0000-0000-0000BA020000}"/>
    <cellStyle name="Tusenskille 3 4" xfId="30" xr:uid="{00000000-0005-0000-0000-0000BB020000}"/>
    <cellStyle name="Tusenskille 3 4 10" xfId="669" xr:uid="{00000000-0005-0000-0000-0000BC020000}"/>
    <cellStyle name="Tusenskille 3 4 11" xfId="764" xr:uid="{00000000-0005-0000-0000-0000BD020000}"/>
    <cellStyle name="Tusenskille 3 4 2" xfId="52" xr:uid="{00000000-0005-0000-0000-0000BE020000}"/>
    <cellStyle name="Tusenskille 3 4 2 10" xfId="784" xr:uid="{00000000-0005-0000-0000-0000BF020000}"/>
    <cellStyle name="Tusenskille 3 4 2 2" xfId="92" xr:uid="{00000000-0005-0000-0000-0000C0020000}"/>
    <cellStyle name="Tusenskille 3 4 2 2 2" xfId="185" xr:uid="{00000000-0005-0000-0000-0000C1020000}"/>
    <cellStyle name="Tusenskille 3 4 2 2 3" xfId="275" xr:uid="{00000000-0005-0000-0000-0000C2020000}"/>
    <cellStyle name="Tusenskille 3 4 2 2 4" xfId="365" xr:uid="{00000000-0005-0000-0000-0000C3020000}"/>
    <cellStyle name="Tusenskille 3 4 2 2 5" xfId="455" xr:uid="{00000000-0005-0000-0000-0000C4020000}"/>
    <cellStyle name="Tusenskille 3 4 2 2 6" xfId="545" xr:uid="{00000000-0005-0000-0000-0000C5020000}"/>
    <cellStyle name="Tusenskille 3 4 2 2 7" xfId="635" xr:uid="{00000000-0005-0000-0000-0000C6020000}"/>
    <cellStyle name="Tusenskille 3 4 2 2 8" xfId="725" xr:uid="{00000000-0005-0000-0000-0000C7020000}"/>
    <cellStyle name="Tusenskille 3 4 2 2 9" xfId="822" xr:uid="{00000000-0005-0000-0000-0000C8020000}"/>
    <cellStyle name="Tusenskille 3 4 2 3" xfId="148" xr:uid="{00000000-0005-0000-0000-0000C9020000}"/>
    <cellStyle name="Tusenskille 3 4 2 4" xfId="238" xr:uid="{00000000-0005-0000-0000-0000CA020000}"/>
    <cellStyle name="Tusenskille 3 4 2 5" xfId="328" xr:uid="{00000000-0005-0000-0000-0000CB020000}"/>
    <cellStyle name="Tusenskille 3 4 2 6" xfId="418" xr:uid="{00000000-0005-0000-0000-0000CC020000}"/>
    <cellStyle name="Tusenskille 3 4 2 7" xfId="508" xr:uid="{00000000-0005-0000-0000-0000CD020000}"/>
    <cellStyle name="Tusenskille 3 4 2 8" xfId="598" xr:uid="{00000000-0005-0000-0000-0000CE020000}"/>
    <cellStyle name="Tusenskille 3 4 2 9" xfId="688" xr:uid="{00000000-0005-0000-0000-0000CF020000}"/>
    <cellStyle name="Tusenskille 3 4 3" xfId="73" xr:uid="{00000000-0005-0000-0000-0000D0020000}"/>
    <cellStyle name="Tusenskille 3 4 3 2" xfId="166" xr:uid="{00000000-0005-0000-0000-0000D1020000}"/>
    <cellStyle name="Tusenskille 3 4 3 3" xfId="256" xr:uid="{00000000-0005-0000-0000-0000D2020000}"/>
    <cellStyle name="Tusenskille 3 4 3 4" xfId="346" xr:uid="{00000000-0005-0000-0000-0000D3020000}"/>
    <cellStyle name="Tusenskille 3 4 3 5" xfId="436" xr:uid="{00000000-0005-0000-0000-0000D4020000}"/>
    <cellStyle name="Tusenskille 3 4 3 6" xfId="526" xr:uid="{00000000-0005-0000-0000-0000D5020000}"/>
    <cellStyle name="Tusenskille 3 4 3 7" xfId="616" xr:uid="{00000000-0005-0000-0000-0000D6020000}"/>
    <cellStyle name="Tusenskille 3 4 3 8" xfId="706" xr:uid="{00000000-0005-0000-0000-0000D7020000}"/>
    <cellStyle name="Tusenskille 3 4 3 9" xfId="803" xr:uid="{00000000-0005-0000-0000-0000D8020000}"/>
    <cellStyle name="Tusenskille 3 4 4" xfId="129" xr:uid="{00000000-0005-0000-0000-0000D9020000}"/>
    <cellStyle name="Tusenskille 3 4 5" xfId="219" xr:uid="{00000000-0005-0000-0000-0000DA020000}"/>
    <cellStyle name="Tusenskille 3 4 6" xfId="309" xr:uid="{00000000-0005-0000-0000-0000DB020000}"/>
    <cellStyle name="Tusenskille 3 4 7" xfId="399" xr:uid="{00000000-0005-0000-0000-0000DC020000}"/>
    <cellStyle name="Tusenskille 3 4 8" xfId="489" xr:uid="{00000000-0005-0000-0000-0000DD020000}"/>
    <cellStyle name="Tusenskille 3 4 9" xfId="579" xr:uid="{00000000-0005-0000-0000-0000DE020000}"/>
    <cellStyle name="Tusenskille 3 5" xfId="34" xr:uid="{00000000-0005-0000-0000-0000DF020000}"/>
    <cellStyle name="Tusenskille 3 5 10" xfId="672" xr:uid="{00000000-0005-0000-0000-0000E0020000}"/>
    <cellStyle name="Tusenskille 3 5 11" xfId="767" xr:uid="{00000000-0005-0000-0000-0000E1020000}"/>
    <cellStyle name="Tusenskille 3 5 2" xfId="56" xr:uid="{00000000-0005-0000-0000-0000E2020000}"/>
    <cellStyle name="Tusenskille 3 5 2 10" xfId="787" xr:uid="{00000000-0005-0000-0000-0000E3020000}"/>
    <cellStyle name="Tusenskille 3 5 2 2" xfId="96" xr:uid="{00000000-0005-0000-0000-0000E4020000}"/>
    <cellStyle name="Tusenskille 3 5 2 2 2" xfId="188" xr:uid="{00000000-0005-0000-0000-0000E5020000}"/>
    <cellStyle name="Tusenskille 3 5 2 2 3" xfId="278" xr:uid="{00000000-0005-0000-0000-0000E6020000}"/>
    <cellStyle name="Tusenskille 3 5 2 2 4" xfId="368" xr:uid="{00000000-0005-0000-0000-0000E7020000}"/>
    <cellStyle name="Tusenskille 3 5 2 2 5" xfId="458" xr:uid="{00000000-0005-0000-0000-0000E8020000}"/>
    <cellStyle name="Tusenskille 3 5 2 2 6" xfId="548" xr:uid="{00000000-0005-0000-0000-0000E9020000}"/>
    <cellStyle name="Tusenskille 3 5 2 2 7" xfId="638" xr:uid="{00000000-0005-0000-0000-0000EA020000}"/>
    <cellStyle name="Tusenskille 3 5 2 2 8" xfId="728" xr:uid="{00000000-0005-0000-0000-0000EB020000}"/>
    <cellStyle name="Tusenskille 3 5 2 2 9" xfId="825" xr:uid="{00000000-0005-0000-0000-0000EC020000}"/>
    <cellStyle name="Tusenskille 3 5 2 3" xfId="151" xr:uid="{00000000-0005-0000-0000-0000ED020000}"/>
    <cellStyle name="Tusenskille 3 5 2 4" xfId="241" xr:uid="{00000000-0005-0000-0000-0000EE020000}"/>
    <cellStyle name="Tusenskille 3 5 2 5" xfId="331" xr:uid="{00000000-0005-0000-0000-0000EF020000}"/>
    <cellStyle name="Tusenskille 3 5 2 6" xfId="421" xr:uid="{00000000-0005-0000-0000-0000F0020000}"/>
    <cellStyle name="Tusenskille 3 5 2 7" xfId="511" xr:uid="{00000000-0005-0000-0000-0000F1020000}"/>
    <cellStyle name="Tusenskille 3 5 2 8" xfId="601" xr:uid="{00000000-0005-0000-0000-0000F2020000}"/>
    <cellStyle name="Tusenskille 3 5 2 9" xfId="691" xr:uid="{00000000-0005-0000-0000-0000F3020000}"/>
    <cellStyle name="Tusenskille 3 5 3" xfId="76" xr:uid="{00000000-0005-0000-0000-0000F4020000}"/>
    <cellStyle name="Tusenskille 3 5 3 2" xfId="169" xr:uid="{00000000-0005-0000-0000-0000F5020000}"/>
    <cellStyle name="Tusenskille 3 5 3 3" xfId="259" xr:uid="{00000000-0005-0000-0000-0000F6020000}"/>
    <cellStyle name="Tusenskille 3 5 3 4" xfId="349" xr:uid="{00000000-0005-0000-0000-0000F7020000}"/>
    <cellStyle name="Tusenskille 3 5 3 5" xfId="439" xr:uid="{00000000-0005-0000-0000-0000F8020000}"/>
    <cellStyle name="Tusenskille 3 5 3 6" xfId="529" xr:uid="{00000000-0005-0000-0000-0000F9020000}"/>
    <cellStyle name="Tusenskille 3 5 3 7" xfId="619" xr:uid="{00000000-0005-0000-0000-0000FA020000}"/>
    <cellStyle name="Tusenskille 3 5 3 8" xfId="709" xr:uid="{00000000-0005-0000-0000-0000FB020000}"/>
    <cellStyle name="Tusenskille 3 5 3 9" xfId="806" xr:uid="{00000000-0005-0000-0000-0000FC020000}"/>
    <cellStyle name="Tusenskille 3 5 4" xfId="132" xr:uid="{00000000-0005-0000-0000-0000FD020000}"/>
    <cellStyle name="Tusenskille 3 5 5" xfId="222" xr:uid="{00000000-0005-0000-0000-0000FE020000}"/>
    <cellStyle name="Tusenskille 3 5 6" xfId="312" xr:uid="{00000000-0005-0000-0000-0000FF020000}"/>
    <cellStyle name="Tusenskille 3 5 7" xfId="402" xr:uid="{00000000-0005-0000-0000-000000030000}"/>
    <cellStyle name="Tusenskille 3 5 8" xfId="492" xr:uid="{00000000-0005-0000-0000-000001030000}"/>
    <cellStyle name="Tusenskille 3 5 9" xfId="582" xr:uid="{00000000-0005-0000-0000-000002030000}"/>
    <cellStyle name="Tusenskille 3 6" xfId="37" xr:uid="{00000000-0005-0000-0000-000003030000}"/>
    <cellStyle name="Tusenskille 3 6 10" xfId="675" xr:uid="{00000000-0005-0000-0000-000004030000}"/>
    <cellStyle name="Tusenskille 3 6 11" xfId="770" xr:uid="{00000000-0005-0000-0000-000005030000}"/>
    <cellStyle name="Tusenskille 3 6 2" xfId="59" xr:uid="{00000000-0005-0000-0000-000006030000}"/>
    <cellStyle name="Tusenskille 3 6 2 10" xfId="790" xr:uid="{00000000-0005-0000-0000-000007030000}"/>
    <cellStyle name="Tusenskille 3 6 2 2" xfId="99" xr:uid="{00000000-0005-0000-0000-000008030000}"/>
    <cellStyle name="Tusenskille 3 6 2 2 2" xfId="191" xr:uid="{00000000-0005-0000-0000-000009030000}"/>
    <cellStyle name="Tusenskille 3 6 2 2 3" xfId="281" xr:uid="{00000000-0005-0000-0000-00000A030000}"/>
    <cellStyle name="Tusenskille 3 6 2 2 4" xfId="371" xr:uid="{00000000-0005-0000-0000-00000B030000}"/>
    <cellStyle name="Tusenskille 3 6 2 2 5" xfId="461" xr:uid="{00000000-0005-0000-0000-00000C030000}"/>
    <cellStyle name="Tusenskille 3 6 2 2 6" xfId="551" xr:uid="{00000000-0005-0000-0000-00000D030000}"/>
    <cellStyle name="Tusenskille 3 6 2 2 7" xfId="641" xr:uid="{00000000-0005-0000-0000-00000E030000}"/>
    <cellStyle name="Tusenskille 3 6 2 2 8" xfId="731" xr:uid="{00000000-0005-0000-0000-00000F030000}"/>
    <cellStyle name="Tusenskille 3 6 2 2 9" xfId="828" xr:uid="{00000000-0005-0000-0000-000010030000}"/>
    <cellStyle name="Tusenskille 3 6 2 3" xfId="154" xr:uid="{00000000-0005-0000-0000-000011030000}"/>
    <cellStyle name="Tusenskille 3 6 2 4" xfId="244" xr:uid="{00000000-0005-0000-0000-000012030000}"/>
    <cellStyle name="Tusenskille 3 6 2 5" xfId="334" xr:uid="{00000000-0005-0000-0000-000013030000}"/>
    <cellStyle name="Tusenskille 3 6 2 6" xfId="424" xr:uid="{00000000-0005-0000-0000-000014030000}"/>
    <cellStyle name="Tusenskille 3 6 2 7" xfId="514" xr:uid="{00000000-0005-0000-0000-000015030000}"/>
    <cellStyle name="Tusenskille 3 6 2 8" xfId="604" xr:uid="{00000000-0005-0000-0000-000016030000}"/>
    <cellStyle name="Tusenskille 3 6 2 9" xfId="694" xr:uid="{00000000-0005-0000-0000-000017030000}"/>
    <cellStyle name="Tusenskille 3 6 3" xfId="79" xr:uid="{00000000-0005-0000-0000-000018030000}"/>
    <cellStyle name="Tusenskille 3 6 3 2" xfId="172" xr:uid="{00000000-0005-0000-0000-000019030000}"/>
    <cellStyle name="Tusenskille 3 6 3 3" xfId="262" xr:uid="{00000000-0005-0000-0000-00001A030000}"/>
    <cellStyle name="Tusenskille 3 6 3 4" xfId="352" xr:uid="{00000000-0005-0000-0000-00001B030000}"/>
    <cellStyle name="Tusenskille 3 6 3 5" xfId="442" xr:uid="{00000000-0005-0000-0000-00001C030000}"/>
    <cellStyle name="Tusenskille 3 6 3 6" xfId="532" xr:uid="{00000000-0005-0000-0000-00001D030000}"/>
    <cellStyle name="Tusenskille 3 6 3 7" xfId="622" xr:uid="{00000000-0005-0000-0000-00001E030000}"/>
    <cellStyle name="Tusenskille 3 6 3 8" xfId="712" xr:uid="{00000000-0005-0000-0000-00001F030000}"/>
    <cellStyle name="Tusenskille 3 6 3 9" xfId="809" xr:uid="{00000000-0005-0000-0000-000020030000}"/>
    <cellStyle name="Tusenskille 3 6 4" xfId="135" xr:uid="{00000000-0005-0000-0000-000021030000}"/>
    <cellStyle name="Tusenskille 3 6 5" xfId="225" xr:uid="{00000000-0005-0000-0000-000022030000}"/>
    <cellStyle name="Tusenskille 3 6 6" xfId="315" xr:uid="{00000000-0005-0000-0000-000023030000}"/>
    <cellStyle name="Tusenskille 3 6 7" xfId="405" xr:uid="{00000000-0005-0000-0000-000024030000}"/>
    <cellStyle name="Tusenskille 3 6 8" xfId="495" xr:uid="{00000000-0005-0000-0000-000025030000}"/>
    <cellStyle name="Tusenskille 3 6 9" xfId="585" xr:uid="{00000000-0005-0000-0000-000026030000}"/>
    <cellStyle name="Tusenskille 3 7" xfId="43" xr:uid="{00000000-0005-0000-0000-000027030000}"/>
    <cellStyle name="Tusenskille 3 7 10" xfId="775" xr:uid="{00000000-0005-0000-0000-000028030000}"/>
    <cellStyle name="Tusenskille 3 7 2" xfId="83" xr:uid="{00000000-0005-0000-0000-000029030000}"/>
    <cellStyle name="Tusenskille 3 7 2 2" xfId="176" xr:uid="{00000000-0005-0000-0000-00002A030000}"/>
    <cellStyle name="Tusenskille 3 7 2 3" xfId="266" xr:uid="{00000000-0005-0000-0000-00002B030000}"/>
    <cellStyle name="Tusenskille 3 7 2 4" xfId="356" xr:uid="{00000000-0005-0000-0000-00002C030000}"/>
    <cellStyle name="Tusenskille 3 7 2 5" xfId="446" xr:uid="{00000000-0005-0000-0000-00002D030000}"/>
    <cellStyle name="Tusenskille 3 7 2 6" xfId="536" xr:uid="{00000000-0005-0000-0000-00002E030000}"/>
    <cellStyle name="Tusenskille 3 7 2 7" xfId="626" xr:uid="{00000000-0005-0000-0000-00002F030000}"/>
    <cellStyle name="Tusenskille 3 7 2 8" xfId="716" xr:uid="{00000000-0005-0000-0000-000030030000}"/>
    <cellStyle name="Tusenskille 3 7 2 9" xfId="813" xr:uid="{00000000-0005-0000-0000-000031030000}"/>
    <cellStyle name="Tusenskille 3 7 3" xfId="139" xr:uid="{00000000-0005-0000-0000-000032030000}"/>
    <cellStyle name="Tusenskille 3 7 4" xfId="229" xr:uid="{00000000-0005-0000-0000-000033030000}"/>
    <cellStyle name="Tusenskille 3 7 5" xfId="319" xr:uid="{00000000-0005-0000-0000-000034030000}"/>
    <cellStyle name="Tusenskille 3 7 6" xfId="409" xr:uid="{00000000-0005-0000-0000-000035030000}"/>
    <cellStyle name="Tusenskille 3 7 7" xfId="499" xr:uid="{00000000-0005-0000-0000-000036030000}"/>
    <cellStyle name="Tusenskille 3 7 8" xfId="589" xr:uid="{00000000-0005-0000-0000-000037030000}"/>
    <cellStyle name="Tusenskille 3 7 9" xfId="679" xr:uid="{00000000-0005-0000-0000-000038030000}"/>
    <cellStyle name="Tusenskille 3 8" xfId="64" xr:uid="{00000000-0005-0000-0000-000039030000}"/>
    <cellStyle name="Tusenskille 3 8 2" xfId="157" xr:uid="{00000000-0005-0000-0000-00003A030000}"/>
    <cellStyle name="Tusenskille 3 8 3" xfId="247" xr:uid="{00000000-0005-0000-0000-00003B030000}"/>
    <cellStyle name="Tusenskille 3 8 4" xfId="337" xr:uid="{00000000-0005-0000-0000-00003C030000}"/>
    <cellStyle name="Tusenskille 3 8 5" xfId="427" xr:uid="{00000000-0005-0000-0000-00003D030000}"/>
    <cellStyle name="Tusenskille 3 8 6" xfId="517" xr:uid="{00000000-0005-0000-0000-00003E030000}"/>
    <cellStyle name="Tusenskille 3 8 7" xfId="607" xr:uid="{00000000-0005-0000-0000-00003F030000}"/>
    <cellStyle name="Tusenskille 3 8 8" xfId="697" xr:uid="{00000000-0005-0000-0000-000040030000}"/>
    <cellStyle name="Tusenskille 3 8 9" xfId="794" xr:uid="{00000000-0005-0000-0000-000041030000}"/>
    <cellStyle name="Tusenskille 3 9" xfId="102" xr:uid="{00000000-0005-0000-0000-000042030000}"/>
    <cellStyle name="Tusenskille 3 9 2" xfId="194" xr:uid="{00000000-0005-0000-0000-000043030000}"/>
    <cellStyle name="Tusenskille 3 9 3" xfId="284" xr:uid="{00000000-0005-0000-0000-000044030000}"/>
    <cellStyle name="Tusenskille 3 9 4" xfId="374" xr:uid="{00000000-0005-0000-0000-000045030000}"/>
    <cellStyle name="Tusenskille 3 9 5" xfId="464" xr:uid="{00000000-0005-0000-0000-000046030000}"/>
    <cellStyle name="Tusenskille 3 9 6" xfId="554" xr:uid="{00000000-0005-0000-0000-000047030000}"/>
    <cellStyle name="Tusenskille 3 9 7" xfId="644" xr:uid="{00000000-0005-0000-0000-000048030000}"/>
    <cellStyle name="Tusenskille 3 9 8" xfId="734" xr:uid="{00000000-0005-0000-0000-000049030000}"/>
    <cellStyle name="Tusenskille 3 9 9" xfId="831" xr:uid="{00000000-0005-0000-0000-00004A030000}"/>
    <cellStyle name="Tusenskille 4" xfId="17" xr:uid="{00000000-0005-0000-0000-00004B030000}"/>
    <cellStyle name="Tusenskille 4 2" xfId="753" xr:uid="{00000000-0005-0000-0000-00004C030000}"/>
    <cellStyle name="Tusenskille 5" xfId="13" xr:uid="{00000000-0005-0000-0000-00004D030000}"/>
    <cellStyle name="Tusenskille 5 2" xfId="749" xr:uid="{00000000-0005-0000-0000-00004E030000}"/>
    <cellStyle name="Tusenskille 6" xfId="115" xr:uid="{00000000-0005-0000-0000-00004F030000}"/>
    <cellStyle name="TusenskilleFjernNull" xfId="846" xr:uid="{00000000-0005-0000-0000-000050030000}"/>
  </cellStyles>
  <dxfs count="4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colors>
    <mruColors>
      <color rgb="FFF8E9D6"/>
      <color rgb="FFFFFF99"/>
      <color rgb="FFF7D7F7"/>
      <color rgb="FFFCD2E2"/>
      <color rgb="FFD2FC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48"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7140801174953532"/>
          <c:y val="9.8477480734069936E-2"/>
          <c:w val="0.74903048765490665"/>
          <c:h val="0.65437502946862602"/>
        </c:manualLayout>
      </c:layout>
      <c:barChart>
        <c:barDir val="col"/>
        <c:grouping val="clustered"/>
        <c:varyColors val="0"/>
        <c:ser>
          <c:idx val="0"/>
          <c:order val="0"/>
          <c:tx>
            <c:strRef>
              <c:f>Figurer!$M$7</c:f>
              <c:strCache>
                <c:ptCount val="1"/>
                <c:pt idx="0">
                  <c:v>2021</c:v>
                </c:pt>
              </c:strCache>
            </c:strRef>
          </c:tx>
          <c:invertIfNegative val="0"/>
          <c:cat>
            <c:strRef>
              <c:f>Figurer!$L$8:$L$32</c:f>
              <c:strCache>
                <c:ptCount val="25"/>
                <c:pt idx="0">
                  <c:v>Codan Forsikring</c:v>
                </c:pt>
                <c:pt idx="1">
                  <c:v>Storebrand Danica P</c:v>
                </c:pt>
                <c:pt idx="2">
                  <c:v>DNB Liv</c:v>
                </c:pt>
                <c:pt idx="3">
                  <c:v>Eika Forsikring</c:v>
                </c:pt>
                <c:pt idx="4">
                  <c:v>Euro Accident</c:v>
                </c:pt>
                <c:pt idx="5">
                  <c:v>Fremtind Livsfors</c:v>
                </c:pt>
                <c:pt idx="6">
                  <c:v>Frende Livsfors</c:v>
                </c:pt>
                <c:pt idx="7">
                  <c:v>Frende Skade</c:v>
                </c:pt>
                <c:pt idx="8">
                  <c:v>Gjensidige Fors</c:v>
                </c:pt>
                <c:pt idx="9">
                  <c:v>Gjensidige Pensj</c:v>
                </c:pt>
                <c:pt idx="10">
                  <c:v>Handelsb Liv</c:v>
                </c:pt>
                <c:pt idx="11">
                  <c:v>If Skadefors</c:v>
                </c:pt>
                <c:pt idx="12">
                  <c:v>KLP</c:v>
                </c:pt>
                <c:pt idx="13">
                  <c:v>KLP Skadef</c:v>
                </c:pt>
                <c:pt idx="14">
                  <c:v>Landkreditt Fors.</c:v>
                </c:pt>
                <c:pt idx="15">
                  <c:v>Ly Forsikring</c:v>
                </c:pt>
                <c:pt idx="16">
                  <c:v>Nordea Liv</c:v>
                </c:pt>
                <c:pt idx="17">
                  <c:v>OPF</c:v>
                </c:pt>
                <c:pt idx="18">
                  <c:v>Protector Fors</c:v>
                </c:pt>
                <c:pt idx="19">
                  <c:v>SpareBank 1 Fors</c:v>
                </c:pt>
                <c:pt idx="20">
                  <c:v>Storebrand </c:v>
                </c:pt>
                <c:pt idx="21">
                  <c:v>Telenor Fors</c:v>
                </c:pt>
                <c:pt idx="22">
                  <c:v>Tryg Fors</c:v>
                </c:pt>
                <c:pt idx="23">
                  <c:v>WaterCircles Fors.</c:v>
                </c:pt>
                <c:pt idx="24">
                  <c:v>Youplus Livsf</c:v>
                </c:pt>
              </c:strCache>
            </c:strRef>
          </c:cat>
          <c:val>
            <c:numRef>
              <c:f>Figurer!$M$8:$M$32</c:f>
              <c:numCache>
                <c:formatCode>#,##0</c:formatCode>
                <c:ptCount val="25"/>
                <c:pt idx="0">
                  <c:v>73022</c:v>
                </c:pt>
                <c:pt idx="1">
                  <c:v>325384.08600000001</c:v>
                </c:pt>
                <c:pt idx="2">
                  <c:v>2650494.3509999998</c:v>
                </c:pt>
                <c:pt idx="3">
                  <c:v>291419</c:v>
                </c:pt>
                <c:pt idx="4">
                  <c:v>10359.611999999999</c:v>
                </c:pt>
                <c:pt idx="5">
                  <c:v>2307250.8282099999</c:v>
                </c:pt>
                <c:pt idx="6">
                  <c:v>459364</c:v>
                </c:pt>
                <c:pt idx="7">
                  <c:v>5330.2790000000005</c:v>
                </c:pt>
                <c:pt idx="8">
                  <c:v>1671885.9509999999</c:v>
                </c:pt>
                <c:pt idx="9">
                  <c:v>556509.5</c:v>
                </c:pt>
                <c:pt idx="10">
                  <c:v>26025.308660000002</c:v>
                </c:pt>
                <c:pt idx="11">
                  <c:v>416726.04218554404</c:v>
                </c:pt>
                <c:pt idx="12">
                  <c:v>41046577.107529998</c:v>
                </c:pt>
                <c:pt idx="13">
                  <c:v>233574.45626000001</c:v>
                </c:pt>
                <c:pt idx="14">
                  <c:v>41337</c:v>
                </c:pt>
                <c:pt idx="15">
                  <c:v>0</c:v>
                </c:pt>
                <c:pt idx="16">
                  <c:v>1318287.2052763819</c:v>
                </c:pt>
                <c:pt idx="17">
                  <c:v>6050567</c:v>
                </c:pt>
                <c:pt idx="18">
                  <c:v>313745.28546748857</c:v>
                </c:pt>
                <c:pt idx="19">
                  <c:v>631024.44908000005</c:v>
                </c:pt>
                <c:pt idx="20">
                  <c:v>4839592.9589999998</c:v>
                </c:pt>
                <c:pt idx="21">
                  <c:v>1014</c:v>
                </c:pt>
                <c:pt idx="22">
                  <c:v>566035.48</c:v>
                </c:pt>
                <c:pt idx="23">
                  <c:v>1806</c:v>
                </c:pt>
                <c:pt idx="24">
                  <c:v>0</c:v>
                </c:pt>
              </c:numCache>
            </c:numRef>
          </c:val>
          <c:extLst>
            <c:ext xmlns:c16="http://schemas.microsoft.com/office/drawing/2014/chart" uri="{C3380CC4-5D6E-409C-BE32-E72D297353CC}">
              <c16:uniqueId val="{00000002-93AE-4CD9-98AD-A52686D1F9FB}"/>
            </c:ext>
          </c:extLst>
        </c:ser>
        <c:ser>
          <c:idx val="1"/>
          <c:order val="1"/>
          <c:tx>
            <c:strRef>
              <c:f>Figurer!$N$7</c:f>
              <c:strCache>
                <c:ptCount val="1"/>
                <c:pt idx="0">
                  <c:v>2022</c:v>
                </c:pt>
              </c:strCache>
            </c:strRef>
          </c:tx>
          <c:invertIfNegative val="0"/>
          <c:cat>
            <c:strRef>
              <c:f>Figurer!$L$8:$L$32</c:f>
              <c:strCache>
                <c:ptCount val="25"/>
                <c:pt idx="0">
                  <c:v>Codan Forsikring</c:v>
                </c:pt>
                <c:pt idx="1">
                  <c:v>Storebrand Danica P</c:v>
                </c:pt>
                <c:pt idx="2">
                  <c:v>DNB Liv</c:v>
                </c:pt>
                <c:pt idx="3">
                  <c:v>Eika Forsikring</c:v>
                </c:pt>
                <c:pt idx="4">
                  <c:v>Euro Accident</c:v>
                </c:pt>
                <c:pt idx="5">
                  <c:v>Fremtind Livsfors</c:v>
                </c:pt>
                <c:pt idx="6">
                  <c:v>Frende Livsfors</c:v>
                </c:pt>
                <c:pt idx="7">
                  <c:v>Frende Skade</c:v>
                </c:pt>
                <c:pt idx="8">
                  <c:v>Gjensidige Fors</c:v>
                </c:pt>
                <c:pt idx="9">
                  <c:v>Gjensidige Pensj</c:v>
                </c:pt>
                <c:pt idx="10">
                  <c:v>Handelsb Liv</c:v>
                </c:pt>
                <c:pt idx="11">
                  <c:v>If Skadefors</c:v>
                </c:pt>
                <c:pt idx="12">
                  <c:v>KLP</c:v>
                </c:pt>
                <c:pt idx="13">
                  <c:v>KLP Skadef</c:v>
                </c:pt>
                <c:pt idx="14">
                  <c:v>Landkreditt Fors.</c:v>
                </c:pt>
                <c:pt idx="15">
                  <c:v>Ly Forsikring</c:v>
                </c:pt>
                <c:pt idx="16">
                  <c:v>Nordea Liv</c:v>
                </c:pt>
                <c:pt idx="17">
                  <c:v>OPF</c:v>
                </c:pt>
                <c:pt idx="18">
                  <c:v>Protector Fors</c:v>
                </c:pt>
                <c:pt idx="19">
                  <c:v>SpareBank 1 Fors</c:v>
                </c:pt>
                <c:pt idx="20">
                  <c:v>Storebrand </c:v>
                </c:pt>
                <c:pt idx="21">
                  <c:v>Telenor Fors</c:v>
                </c:pt>
                <c:pt idx="22">
                  <c:v>Tryg Fors</c:v>
                </c:pt>
                <c:pt idx="23">
                  <c:v>WaterCircles Fors.</c:v>
                </c:pt>
                <c:pt idx="24">
                  <c:v>Youplus Livsf</c:v>
                </c:pt>
              </c:strCache>
            </c:strRef>
          </c:cat>
          <c:val>
            <c:numRef>
              <c:f>Figurer!$N$8:$N$32</c:f>
              <c:numCache>
                <c:formatCode>#,##0</c:formatCode>
                <c:ptCount val="25"/>
                <c:pt idx="0">
                  <c:v>0</c:v>
                </c:pt>
                <c:pt idx="1">
                  <c:v>337291.24852000002</c:v>
                </c:pt>
                <c:pt idx="2">
                  <c:v>2702411</c:v>
                </c:pt>
                <c:pt idx="3">
                  <c:v>335934</c:v>
                </c:pt>
                <c:pt idx="4">
                  <c:v>26920</c:v>
                </c:pt>
                <c:pt idx="5">
                  <c:v>2472117.6320799999</c:v>
                </c:pt>
                <c:pt idx="6">
                  <c:v>507793</c:v>
                </c:pt>
                <c:pt idx="7">
                  <c:v>6370.085</c:v>
                </c:pt>
                <c:pt idx="8">
                  <c:v>1802206.75</c:v>
                </c:pt>
                <c:pt idx="9">
                  <c:v>625492</c:v>
                </c:pt>
                <c:pt idx="10">
                  <c:v>37716.661089999994</c:v>
                </c:pt>
                <c:pt idx="11">
                  <c:v>461957.49523765099</c:v>
                </c:pt>
                <c:pt idx="12">
                  <c:v>40116042.616570003</c:v>
                </c:pt>
                <c:pt idx="13">
                  <c:v>293311.63199999998</c:v>
                </c:pt>
                <c:pt idx="14">
                  <c:v>28431</c:v>
                </c:pt>
                <c:pt idx="15">
                  <c:v>16353.946</c:v>
                </c:pt>
                <c:pt idx="16">
                  <c:v>1272563.1350929129</c:v>
                </c:pt>
                <c:pt idx="17">
                  <c:v>7048000</c:v>
                </c:pt>
                <c:pt idx="18">
                  <c:v>338102.51378736005</c:v>
                </c:pt>
                <c:pt idx="19">
                  <c:v>621880.97281000006</c:v>
                </c:pt>
                <c:pt idx="20">
                  <c:v>5192979.767</c:v>
                </c:pt>
                <c:pt idx="21">
                  <c:v>0</c:v>
                </c:pt>
                <c:pt idx="22">
                  <c:v>636479</c:v>
                </c:pt>
                <c:pt idx="23">
                  <c:v>2123</c:v>
                </c:pt>
                <c:pt idx="24">
                  <c:v>3579</c:v>
                </c:pt>
              </c:numCache>
            </c:numRef>
          </c:val>
          <c:extLst>
            <c:ext xmlns:c16="http://schemas.microsoft.com/office/drawing/2014/chart" uri="{C3380CC4-5D6E-409C-BE32-E72D297353CC}">
              <c16:uniqueId val="{00000003-93AE-4CD9-98AD-A52686D1F9FB}"/>
            </c:ext>
          </c:extLst>
        </c:ser>
        <c:dLbls>
          <c:showLegendKey val="0"/>
          <c:showVal val="0"/>
          <c:showCatName val="0"/>
          <c:showSerName val="0"/>
          <c:showPercent val="0"/>
          <c:showBubbleSize val="0"/>
        </c:dLbls>
        <c:gapWidth val="150"/>
        <c:axId val="242174208"/>
        <c:axId val="242180096"/>
      </c:barChart>
      <c:catAx>
        <c:axId val="24217420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180096"/>
        <c:crosses val="autoZero"/>
        <c:auto val="1"/>
        <c:lblAlgn val="ctr"/>
        <c:lblOffset val="100"/>
        <c:tickLblSkip val="1"/>
        <c:tickMarkSkip val="1"/>
        <c:noMultiLvlLbl val="0"/>
      </c:catAx>
      <c:valAx>
        <c:axId val="242180096"/>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6.9444532284870034E-3"/>
              <c:y val="0.35171127561150661"/>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174208"/>
        <c:crosses val="autoZero"/>
        <c:crossBetween val="between"/>
      </c:valAx>
    </c:plotArea>
    <c:legend>
      <c:legendPos val="b"/>
      <c:layout>
        <c:manualLayout>
          <c:xMode val="edge"/>
          <c:yMode val="edge"/>
          <c:x val="0.35321900023541236"/>
          <c:y val="0.94486784960263159"/>
          <c:w val="9.5093936551103805E-2"/>
          <c:h val="3.8797994562056987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6608656849620704"/>
          <c:y val="0.10754105736782903"/>
          <c:w val="0.77619271486646502"/>
          <c:h val="0.61573077622722905"/>
        </c:manualLayout>
      </c:layout>
      <c:barChart>
        <c:barDir val="col"/>
        <c:grouping val="clustered"/>
        <c:varyColors val="0"/>
        <c:ser>
          <c:idx val="0"/>
          <c:order val="0"/>
          <c:tx>
            <c:strRef>
              <c:f>Figurer!$M$36</c:f>
              <c:strCache>
                <c:ptCount val="1"/>
                <c:pt idx="0">
                  <c:v>2021</c:v>
                </c:pt>
              </c:strCache>
            </c:strRef>
          </c:tx>
          <c:invertIfNegative val="0"/>
          <c:cat>
            <c:strRef>
              <c:f>Figurer!$L$37:$L$45</c:f>
              <c:strCache>
                <c:ptCount val="9"/>
                <c:pt idx="0">
                  <c:v>Storebrand Danica P</c:v>
                </c:pt>
                <c:pt idx="1">
                  <c:v>DNB Liv</c:v>
                </c:pt>
                <c:pt idx="2">
                  <c:v>Frende Livsfors</c:v>
                </c:pt>
                <c:pt idx="3">
                  <c:v>Gjensidige Pensj</c:v>
                </c:pt>
                <c:pt idx="4">
                  <c:v>KLP</c:v>
                </c:pt>
                <c:pt idx="5">
                  <c:v>Nordea Liv</c:v>
                </c:pt>
                <c:pt idx="6">
                  <c:v>SHB Liv</c:v>
                </c:pt>
                <c:pt idx="7">
                  <c:v>SpareBank 1 Fors</c:v>
                </c:pt>
                <c:pt idx="8">
                  <c:v>Storebrand</c:v>
                </c:pt>
              </c:strCache>
            </c:strRef>
          </c:cat>
          <c:val>
            <c:numRef>
              <c:f>Figurer!$M$37:$M$45</c:f>
              <c:numCache>
                <c:formatCode>#,##0</c:formatCode>
                <c:ptCount val="9"/>
                <c:pt idx="0">
                  <c:v>1727762.4669999999</c:v>
                </c:pt>
                <c:pt idx="1">
                  <c:v>8603889.4309999999</c:v>
                </c:pt>
                <c:pt idx="2">
                  <c:v>0</c:v>
                </c:pt>
                <c:pt idx="3">
                  <c:v>2707157.7600000002</c:v>
                </c:pt>
                <c:pt idx="4">
                  <c:v>116273.039</c:v>
                </c:pt>
                <c:pt idx="5">
                  <c:v>13080796.69379</c:v>
                </c:pt>
                <c:pt idx="6">
                  <c:v>118580.72222</c:v>
                </c:pt>
                <c:pt idx="7">
                  <c:v>4053690.9884699997</c:v>
                </c:pt>
                <c:pt idx="8">
                  <c:v>9785506.8489999995</c:v>
                </c:pt>
              </c:numCache>
            </c:numRef>
          </c:val>
          <c:extLst>
            <c:ext xmlns:c16="http://schemas.microsoft.com/office/drawing/2014/chart" uri="{C3380CC4-5D6E-409C-BE32-E72D297353CC}">
              <c16:uniqueId val="{00000000-3971-4F9A-B5A3-CF52C774B823}"/>
            </c:ext>
          </c:extLst>
        </c:ser>
        <c:ser>
          <c:idx val="1"/>
          <c:order val="1"/>
          <c:tx>
            <c:strRef>
              <c:f>Figurer!$N$36</c:f>
              <c:strCache>
                <c:ptCount val="1"/>
                <c:pt idx="0">
                  <c:v>2022</c:v>
                </c:pt>
              </c:strCache>
            </c:strRef>
          </c:tx>
          <c:invertIfNegative val="0"/>
          <c:cat>
            <c:strRef>
              <c:f>Figurer!$L$37:$L$45</c:f>
              <c:strCache>
                <c:ptCount val="9"/>
                <c:pt idx="0">
                  <c:v>Storebrand Danica P</c:v>
                </c:pt>
                <c:pt idx="1">
                  <c:v>DNB Liv</c:v>
                </c:pt>
                <c:pt idx="2">
                  <c:v>Frende Livsfors</c:v>
                </c:pt>
                <c:pt idx="3">
                  <c:v>Gjensidige Pensj</c:v>
                </c:pt>
                <c:pt idx="4">
                  <c:v>KLP</c:v>
                </c:pt>
                <c:pt idx="5">
                  <c:v>Nordea Liv</c:v>
                </c:pt>
                <c:pt idx="6">
                  <c:v>SHB Liv</c:v>
                </c:pt>
                <c:pt idx="7">
                  <c:v>SpareBank 1 Fors</c:v>
                </c:pt>
                <c:pt idx="8">
                  <c:v>Storebrand</c:v>
                </c:pt>
              </c:strCache>
            </c:strRef>
          </c:cat>
          <c:val>
            <c:numRef>
              <c:f>Figurer!$N$37:$N$45</c:f>
              <c:numCache>
                <c:formatCode>#,##0</c:formatCode>
                <c:ptCount val="9"/>
                <c:pt idx="0">
                  <c:v>1811787.2900899998</c:v>
                </c:pt>
                <c:pt idx="1">
                  <c:v>9504232</c:v>
                </c:pt>
                <c:pt idx="2">
                  <c:v>0</c:v>
                </c:pt>
                <c:pt idx="3">
                  <c:v>3199959</c:v>
                </c:pt>
                <c:pt idx="4">
                  <c:v>131709.47200000001</c:v>
                </c:pt>
                <c:pt idx="5">
                  <c:v>10389567.608209999</c:v>
                </c:pt>
                <c:pt idx="6">
                  <c:v>82933.019990000015</c:v>
                </c:pt>
                <c:pt idx="7">
                  <c:v>4592774.7892099991</c:v>
                </c:pt>
                <c:pt idx="8">
                  <c:v>9839028.0860000011</c:v>
                </c:pt>
              </c:numCache>
            </c:numRef>
          </c:val>
          <c:extLst>
            <c:ext xmlns:c16="http://schemas.microsoft.com/office/drawing/2014/chart" uri="{C3380CC4-5D6E-409C-BE32-E72D297353CC}">
              <c16:uniqueId val="{00000001-3971-4F9A-B5A3-CF52C774B823}"/>
            </c:ext>
          </c:extLst>
        </c:ser>
        <c:dLbls>
          <c:showLegendKey val="0"/>
          <c:showVal val="0"/>
          <c:showCatName val="0"/>
          <c:showSerName val="0"/>
          <c:showPercent val="0"/>
          <c:showBubbleSize val="0"/>
        </c:dLbls>
        <c:gapWidth val="150"/>
        <c:axId val="242208128"/>
        <c:axId val="242427008"/>
      </c:barChart>
      <c:catAx>
        <c:axId val="24220812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427008"/>
        <c:crosses val="autoZero"/>
        <c:auto val="1"/>
        <c:lblAlgn val="ctr"/>
        <c:lblOffset val="100"/>
        <c:tickLblSkip val="1"/>
        <c:tickMarkSkip val="1"/>
        <c:noMultiLvlLbl val="0"/>
      </c:catAx>
      <c:valAx>
        <c:axId val="242427008"/>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6.9541508114698515E-3"/>
              <c:y val="0.33962311853875432"/>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208128"/>
        <c:crosses val="autoZero"/>
        <c:crossBetween val="between"/>
      </c:valAx>
    </c:plotArea>
    <c:legend>
      <c:legendPos val="b"/>
      <c:layout>
        <c:manualLayout>
          <c:xMode val="edge"/>
          <c:yMode val="edge"/>
          <c:x val="0.34749475592659351"/>
          <c:y val="0.93710900423161392"/>
          <c:w val="0.23943149676571668"/>
          <c:h val="5.0314424982592074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034622721340161"/>
          <c:y val="7.9682070044274814E-2"/>
          <c:w val="0.72950920069418312"/>
          <c:h val="0.62009389947752291"/>
        </c:manualLayout>
      </c:layout>
      <c:barChart>
        <c:barDir val="col"/>
        <c:grouping val="clustered"/>
        <c:varyColors val="0"/>
        <c:ser>
          <c:idx val="0"/>
          <c:order val="0"/>
          <c:tx>
            <c:strRef>
              <c:f>Figurer!$M$56</c:f>
              <c:strCache>
                <c:ptCount val="1"/>
                <c:pt idx="0">
                  <c:v>2021</c:v>
                </c:pt>
              </c:strCache>
            </c:strRef>
          </c:tx>
          <c:invertIfNegative val="0"/>
          <c:cat>
            <c:strRef>
              <c:f>Figurer!$L$57:$L$79</c:f>
              <c:strCache>
                <c:ptCount val="23"/>
                <c:pt idx="0">
                  <c:v>Codan Forsikring</c:v>
                </c:pt>
                <c:pt idx="1">
                  <c:v>Storebrand Danica P</c:v>
                </c:pt>
                <c:pt idx="2">
                  <c:v>DNB Liv</c:v>
                </c:pt>
                <c:pt idx="3">
                  <c:v>Eika Forsikring</c:v>
                </c:pt>
                <c:pt idx="4">
                  <c:v>Euro Accident</c:v>
                </c:pt>
                <c:pt idx="5">
                  <c:v>Fremtind Livsfors</c:v>
                </c:pt>
                <c:pt idx="6">
                  <c:v>Frende Livsfors</c:v>
                </c:pt>
                <c:pt idx="7">
                  <c:v>Gjensidige Fors</c:v>
                </c:pt>
                <c:pt idx="8">
                  <c:v>Gjensidige Pensj</c:v>
                </c:pt>
                <c:pt idx="9">
                  <c:v>Handelsb Liv</c:v>
                </c:pt>
                <c:pt idx="10">
                  <c:v>If Skadefors</c:v>
                </c:pt>
                <c:pt idx="11">
                  <c:v>KLP</c:v>
                </c:pt>
                <c:pt idx="12">
                  <c:v>KLP Skadef</c:v>
                </c:pt>
                <c:pt idx="13">
                  <c:v>Landkreditt Fors</c:v>
                </c:pt>
                <c:pt idx="14">
                  <c:v>Ly Forsikring</c:v>
                </c:pt>
                <c:pt idx="15">
                  <c:v>Nordea Liv</c:v>
                </c:pt>
                <c:pt idx="16">
                  <c:v>OPF</c:v>
                </c:pt>
                <c:pt idx="17">
                  <c:v>SpareBank 1 Fors</c:v>
                </c:pt>
                <c:pt idx="18">
                  <c:v>Storebrand </c:v>
                </c:pt>
                <c:pt idx="19">
                  <c:v>Telenor Forsikring</c:v>
                </c:pt>
                <c:pt idx="20">
                  <c:v>Tryg Forsikring</c:v>
                </c:pt>
                <c:pt idx="21">
                  <c:v>WaterCicles Fors.</c:v>
                </c:pt>
                <c:pt idx="22">
                  <c:v>Youplus Livsf</c:v>
                </c:pt>
              </c:strCache>
            </c:strRef>
          </c:cat>
          <c:val>
            <c:numRef>
              <c:f>Figurer!$M$57:$M$79</c:f>
              <c:numCache>
                <c:formatCode>#,##0</c:formatCode>
                <c:ptCount val="23"/>
                <c:pt idx="0">
                  <c:v>0</c:v>
                </c:pt>
                <c:pt idx="1">
                  <c:v>1370247.2149999999</c:v>
                </c:pt>
                <c:pt idx="2">
                  <c:v>194803582.38699999</c:v>
                </c:pt>
                <c:pt idx="3">
                  <c:v>0</c:v>
                </c:pt>
                <c:pt idx="4">
                  <c:v>0</c:v>
                </c:pt>
                <c:pt idx="5">
                  <c:v>4152805.49841</c:v>
                </c:pt>
                <c:pt idx="6">
                  <c:v>1050664</c:v>
                </c:pt>
                <c:pt idx="7">
                  <c:v>0</c:v>
                </c:pt>
                <c:pt idx="8">
                  <c:v>8107520.2000000002</c:v>
                </c:pt>
                <c:pt idx="9">
                  <c:v>21229.507515466838</c:v>
                </c:pt>
                <c:pt idx="10">
                  <c:v>0</c:v>
                </c:pt>
                <c:pt idx="11">
                  <c:v>563319210.35183001</c:v>
                </c:pt>
                <c:pt idx="12">
                  <c:v>69834.292576000007</c:v>
                </c:pt>
                <c:pt idx="13">
                  <c:v>0</c:v>
                </c:pt>
                <c:pt idx="14">
                  <c:v>0</c:v>
                </c:pt>
                <c:pt idx="15">
                  <c:v>55059961.000022039</c:v>
                </c:pt>
                <c:pt idx="16">
                  <c:v>90681751</c:v>
                </c:pt>
                <c:pt idx="17">
                  <c:v>19914575.502730001</c:v>
                </c:pt>
                <c:pt idx="18">
                  <c:v>193217678.72999999</c:v>
                </c:pt>
                <c:pt idx="19">
                  <c:v>0</c:v>
                </c:pt>
                <c:pt idx="20">
                  <c:v>0</c:v>
                </c:pt>
                <c:pt idx="21">
                  <c:v>0</c:v>
                </c:pt>
                <c:pt idx="22">
                  <c:v>0</c:v>
                </c:pt>
              </c:numCache>
            </c:numRef>
          </c:val>
          <c:extLst>
            <c:ext xmlns:c16="http://schemas.microsoft.com/office/drawing/2014/chart" uri="{C3380CC4-5D6E-409C-BE32-E72D297353CC}">
              <c16:uniqueId val="{00000000-F5D7-4882-A9B6-45C2F0317A05}"/>
            </c:ext>
          </c:extLst>
        </c:ser>
        <c:ser>
          <c:idx val="1"/>
          <c:order val="1"/>
          <c:tx>
            <c:strRef>
              <c:f>Figurer!$N$56</c:f>
              <c:strCache>
                <c:ptCount val="1"/>
                <c:pt idx="0">
                  <c:v>2022</c:v>
                </c:pt>
              </c:strCache>
            </c:strRef>
          </c:tx>
          <c:invertIfNegative val="0"/>
          <c:cat>
            <c:strRef>
              <c:f>Figurer!$L$57:$L$79</c:f>
              <c:strCache>
                <c:ptCount val="23"/>
                <c:pt idx="0">
                  <c:v>Codan Forsikring</c:v>
                </c:pt>
                <c:pt idx="1">
                  <c:v>Storebrand Danica P</c:v>
                </c:pt>
                <c:pt idx="2">
                  <c:v>DNB Liv</c:v>
                </c:pt>
                <c:pt idx="3">
                  <c:v>Eika Forsikring</c:v>
                </c:pt>
                <c:pt idx="4">
                  <c:v>Euro Accident</c:v>
                </c:pt>
                <c:pt idx="5">
                  <c:v>Fremtind Livsfors</c:v>
                </c:pt>
                <c:pt idx="6">
                  <c:v>Frende Livsfors</c:v>
                </c:pt>
                <c:pt idx="7">
                  <c:v>Gjensidige Fors</c:v>
                </c:pt>
                <c:pt idx="8">
                  <c:v>Gjensidige Pensj</c:v>
                </c:pt>
                <c:pt idx="9">
                  <c:v>Handelsb Liv</c:v>
                </c:pt>
                <c:pt idx="10">
                  <c:v>If Skadefors</c:v>
                </c:pt>
                <c:pt idx="11">
                  <c:v>KLP</c:v>
                </c:pt>
                <c:pt idx="12">
                  <c:v>KLP Skadef</c:v>
                </c:pt>
                <c:pt idx="13">
                  <c:v>Landkreditt Fors</c:v>
                </c:pt>
                <c:pt idx="14">
                  <c:v>Ly Forsikring</c:v>
                </c:pt>
                <c:pt idx="15">
                  <c:v>Nordea Liv</c:v>
                </c:pt>
                <c:pt idx="16">
                  <c:v>OPF</c:v>
                </c:pt>
                <c:pt idx="17">
                  <c:v>SpareBank 1 Fors</c:v>
                </c:pt>
                <c:pt idx="18">
                  <c:v>Storebrand </c:v>
                </c:pt>
                <c:pt idx="19">
                  <c:v>Telenor Forsikring</c:v>
                </c:pt>
                <c:pt idx="20">
                  <c:v>Tryg Forsikring</c:v>
                </c:pt>
                <c:pt idx="21">
                  <c:v>WaterCicles Fors.</c:v>
                </c:pt>
                <c:pt idx="22">
                  <c:v>Youplus Livsf</c:v>
                </c:pt>
              </c:strCache>
            </c:strRef>
          </c:cat>
          <c:val>
            <c:numRef>
              <c:f>Figurer!$N$57:$N$79</c:f>
              <c:numCache>
                <c:formatCode>#,##0</c:formatCode>
                <c:ptCount val="23"/>
                <c:pt idx="0">
                  <c:v>0</c:v>
                </c:pt>
                <c:pt idx="1">
                  <c:v>1511060.2339999999</c:v>
                </c:pt>
                <c:pt idx="2">
                  <c:v>189898877.81169999</c:v>
                </c:pt>
                <c:pt idx="3">
                  <c:v>0</c:v>
                </c:pt>
                <c:pt idx="4">
                  <c:v>0</c:v>
                </c:pt>
                <c:pt idx="5">
                  <c:v>4663711.9526500003</c:v>
                </c:pt>
                <c:pt idx="6">
                  <c:v>1264435</c:v>
                </c:pt>
                <c:pt idx="7">
                  <c:v>0</c:v>
                </c:pt>
                <c:pt idx="8">
                  <c:v>8716977</c:v>
                </c:pt>
                <c:pt idx="9">
                  <c:v>1519.5954100000001</c:v>
                </c:pt>
                <c:pt idx="10">
                  <c:v>0</c:v>
                </c:pt>
                <c:pt idx="11">
                  <c:v>639219292.35275996</c:v>
                </c:pt>
                <c:pt idx="12">
                  <c:v>99044.30799999999</c:v>
                </c:pt>
                <c:pt idx="13">
                  <c:v>0</c:v>
                </c:pt>
                <c:pt idx="14">
                  <c:v>0</c:v>
                </c:pt>
                <c:pt idx="15">
                  <c:v>54880190.000008784</c:v>
                </c:pt>
                <c:pt idx="16">
                  <c:v>85289000</c:v>
                </c:pt>
                <c:pt idx="17">
                  <c:v>20801168.00575</c:v>
                </c:pt>
                <c:pt idx="18">
                  <c:v>200165633.33700004</c:v>
                </c:pt>
                <c:pt idx="19">
                  <c:v>0</c:v>
                </c:pt>
                <c:pt idx="20">
                  <c:v>0</c:v>
                </c:pt>
                <c:pt idx="21">
                  <c:v>0</c:v>
                </c:pt>
                <c:pt idx="22">
                  <c:v>3017</c:v>
                </c:pt>
              </c:numCache>
            </c:numRef>
          </c:val>
          <c:extLst>
            <c:ext xmlns:c16="http://schemas.microsoft.com/office/drawing/2014/chart" uri="{C3380CC4-5D6E-409C-BE32-E72D297353CC}">
              <c16:uniqueId val="{00000001-F5D7-4882-A9B6-45C2F0317A05}"/>
            </c:ext>
          </c:extLst>
        </c:ser>
        <c:dLbls>
          <c:showLegendKey val="0"/>
          <c:showVal val="0"/>
          <c:showCatName val="0"/>
          <c:showSerName val="0"/>
          <c:showPercent val="0"/>
          <c:showBubbleSize val="0"/>
        </c:dLbls>
        <c:gapWidth val="150"/>
        <c:axId val="242742784"/>
        <c:axId val="242744320"/>
      </c:barChart>
      <c:catAx>
        <c:axId val="24274278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744320"/>
        <c:crosses val="autoZero"/>
        <c:auto val="1"/>
        <c:lblAlgn val="ctr"/>
        <c:lblOffset val="100"/>
        <c:tickLblSkip val="1"/>
        <c:tickMarkSkip val="1"/>
        <c:noMultiLvlLbl val="0"/>
      </c:catAx>
      <c:valAx>
        <c:axId val="242744320"/>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2.4590163934426229E-2"/>
              <c:y val="0.34865976584387876"/>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742784"/>
        <c:crosses val="autoZero"/>
        <c:crossBetween val="between"/>
      </c:valAx>
    </c:plotArea>
    <c:legend>
      <c:legendPos val="b"/>
      <c:layout>
        <c:manualLayout>
          <c:xMode val="edge"/>
          <c:yMode val="edge"/>
          <c:x val="0.36156705821608365"/>
          <c:y val="0.94061493998643431"/>
          <c:w val="0.21357027092924838"/>
          <c:h val="4.5976938275973926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826753749914957"/>
          <c:y val="9.2115610054672017E-2"/>
          <c:w val="0.74306560247500353"/>
          <c:h val="0.6114621490399017"/>
        </c:manualLayout>
      </c:layout>
      <c:barChart>
        <c:barDir val="col"/>
        <c:grouping val="clustered"/>
        <c:varyColors val="0"/>
        <c:ser>
          <c:idx val="0"/>
          <c:order val="0"/>
          <c:tx>
            <c:strRef>
              <c:f>Figurer!$M$83</c:f>
              <c:strCache>
                <c:ptCount val="1"/>
                <c:pt idx="0">
                  <c:v>2021</c:v>
                </c:pt>
              </c:strCache>
            </c:strRef>
          </c:tx>
          <c:invertIfNegative val="0"/>
          <c:cat>
            <c:strRef>
              <c:f>Figurer!$L$84:$L$92</c:f>
              <c:strCache>
                <c:ptCount val="9"/>
                <c:pt idx="0">
                  <c:v>Storebrand Danica P</c:v>
                </c:pt>
                <c:pt idx="1">
                  <c:v>DNB Liv</c:v>
                </c:pt>
                <c:pt idx="2">
                  <c:v>Frende Livsfors</c:v>
                </c:pt>
                <c:pt idx="3">
                  <c:v>Gjensidige Pensj</c:v>
                </c:pt>
                <c:pt idx="4">
                  <c:v>KLP</c:v>
                </c:pt>
                <c:pt idx="5">
                  <c:v>Nordea Liv</c:v>
                </c:pt>
                <c:pt idx="6">
                  <c:v>SHB Liv</c:v>
                </c:pt>
                <c:pt idx="7">
                  <c:v>SpareBank 1 Fors</c:v>
                </c:pt>
                <c:pt idx="8">
                  <c:v>Storebrand</c:v>
                </c:pt>
              </c:strCache>
            </c:strRef>
          </c:cat>
          <c:val>
            <c:numRef>
              <c:f>Figurer!$M$84:$M$92</c:f>
              <c:numCache>
                <c:formatCode>#,##0</c:formatCode>
                <c:ptCount val="9"/>
                <c:pt idx="0">
                  <c:v>27529054.677000001</c:v>
                </c:pt>
                <c:pt idx="1">
                  <c:v>131616569.77000001</c:v>
                </c:pt>
                <c:pt idx="2">
                  <c:v>0</c:v>
                </c:pt>
                <c:pt idx="3">
                  <c:v>40002105.299999997</c:v>
                </c:pt>
                <c:pt idx="4">
                  <c:v>2172918.8607600001</c:v>
                </c:pt>
                <c:pt idx="5">
                  <c:v>117827820</c:v>
                </c:pt>
                <c:pt idx="6">
                  <c:v>3184098.7069999999</c:v>
                </c:pt>
                <c:pt idx="7">
                  <c:v>52494337.715269998</c:v>
                </c:pt>
                <c:pt idx="8">
                  <c:v>151409583.368</c:v>
                </c:pt>
              </c:numCache>
            </c:numRef>
          </c:val>
          <c:extLst>
            <c:ext xmlns:c16="http://schemas.microsoft.com/office/drawing/2014/chart" uri="{C3380CC4-5D6E-409C-BE32-E72D297353CC}">
              <c16:uniqueId val="{00000000-62B1-4395-80F9-424B1553CC96}"/>
            </c:ext>
          </c:extLst>
        </c:ser>
        <c:ser>
          <c:idx val="1"/>
          <c:order val="1"/>
          <c:tx>
            <c:strRef>
              <c:f>Figurer!$N$83</c:f>
              <c:strCache>
                <c:ptCount val="1"/>
                <c:pt idx="0">
                  <c:v>2022</c:v>
                </c:pt>
              </c:strCache>
            </c:strRef>
          </c:tx>
          <c:invertIfNegative val="0"/>
          <c:cat>
            <c:strRef>
              <c:f>Figurer!$L$84:$L$92</c:f>
              <c:strCache>
                <c:ptCount val="9"/>
                <c:pt idx="0">
                  <c:v>Storebrand Danica P</c:v>
                </c:pt>
                <c:pt idx="1">
                  <c:v>DNB Liv</c:v>
                </c:pt>
                <c:pt idx="2">
                  <c:v>Frende Livsfors</c:v>
                </c:pt>
                <c:pt idx="3">
                  <c:v>Gjensidige Pensj</c:v>
                </c:pt>
                <c:pt idx="4">
                  <c:v>KLP</c:v>
                </c:pt>
                <c:pt idx="5">
                  <c:v>Nordea Liv</c:v>
                </c:pt>
                <c:pt idx="6">
                  <c:v>SHB Liv</c:v>
                </c:pt>
                <c:pt idx="7">
                  <c:v>SpareBank 1 Fors</c:v>
                </c:pt>
                <c:pt idx="8">
                  <c:v>Storebrand</c:v>
                </c:pt>
              </c:strCache>
            </c:strRef>
          </c:cat>
          <c:val>
            <c:numRef>
              <c:f>Figurer!$N$84:$N$92</c:f>
              <c:numCache>
                <c:formatCode>#,##0</c:formatCode>
                <c:ptCount val="9"/>
                <c:pt idx="0">
                  <c:v>26046630.689800002</c:v>
                </c:pt>
                <c:pt idx="1">
                  <c:v>128365139</c:v>
                </c:pt>
                <c:pt idx="2">
                  <c:v>0</c:v>
                </c:pt>
                <c:pt idx="3">
                  <c:v>40928356</c:v>
                </c:pt>
                <c:pt idx="4">
                  <c:v>2548669.2979299999</c:v>
                </c:pt>
                <c:pt idx="5">
                  <c:v>112327400</c:v>
                </c:pt>
                <c:pt idx="6">
                  <c:v>2698313.8461000002</c:v>
                </c:pt>
                <c:pt idx="7">
                  <c:v>51982267.810209997</c:v>
                </c:pt>
                <c:pt idx="8">
                  <c:v>143649383.581</c:v>
                </c:pt>
              </c:numCache>
            </c:numRef>
          </c:val>
          <c:extLst>
            <c:ext xmlns:c16="http://schemas.microsoft.com/office/drawing/2014/chart" uri="{C3380CC4-5D6E-409C-BE32-E72D297353CC}">
              <c16:uniqueId val="{00000001-62B1-4395-80F9-424B1553CC96}"/>
            </c:ext>
          </c:extLst>
        </c:ser>
        <c:dLbls>
          <c:showLegendKey val="0"/>
          <c:showVal val="0"/>
          <c:showCatName val="0"/>
          <c:showSerName val="0"/>
          <c:showPercent val="0"/>
          <c:showBubbleSize val="0"/>
        </c:dLbls>
        <c:gapWidth val="150"/>
        <c:axId val="243158400"/>
        <c:axId val="243164288"/>
      </c:barChart>
      <c:catAx>
        <c:axId val="243158400"/>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3164288"/>
        <c:crosses val="autoZero"/>
        <c:auto val="1"/>
        <c:lblAlgn val="ctr"/>
        <c:lblOffset val="100"/>
        <c:tickLblSkip val="1"/>
        <c:tickMarkSkip val="1"/>
        <c:noMultiLvlLbl val="0"/>
      </c:catAx>
      <c:valAx>
        <c:axId val="243164288"/>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2.5920873124147342E-2"/>
              <c:y val="0.33544386003133031"/>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3158400"/>
        <c:crosses val="autoZero"/>
        <c:crossBetween val="between"/>
      </c:valAx>
    </c:plotArea>
    <c:legend>
      <c:legendPos val="b"/>
      <c:layout>
        <c:manualLayout>
          <c:xMode val="edge"/>
          <c:yMode val="edge"/>
          <c:x val="0.34561192811335145"/>
          <c:y val="0.93671075700518092"/>
          <c:w val="0.23419750566649891"/>
          <c:h val="4.8523233014845533E-2"/>
        </c:manualLayout>
      </c:layout>
      <c:overlay val="0"/>
      <c:txPr>
        <a:bodyPr/>
        <a:lstStyle/>
        <a:p>
          <a:pPr>
            <a:defRPr sz="595"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614144699303892"/>
          <c:y val="8.40864305054419E-2"/>
          <c:w val="0.75271796188519913"/>
          <c:h val="0.62564087493112053"/>
        </c:manualLayout>
      </c:layout>
      <c:barChart>
        <c:barDir val="col"/>
        <c:grouping val="clustered"/>
        <c:varyColors val="0"/>
        <c:ser>
          <c:idx val="0"/>
          <c:order val="0"/>
          <c:tx>
            <c:strRef>
              <c:f>Figurer!$M$108</c:f>
              <c:strCache>
                <c:ptCount val="1"/>
                <c:pt idx="0">
                  <c:v>2021</c:v>
                </c:pt>
              </c:strCache>
            </c:strRef>
          </c:tx>
          <c:invertIfNegative val="0"/>
          <c:cat>
            <c:strRef>
              <c:f>Figurer!$L$109:$L$115</c:f>
              <c:strCache>
                <c:ptCount val="7"/>
                <c:pt idx="0">
                  <c:v>Storebrand Danica P</c:v>
                </c:pt>
                <c:pt idx="1">
                  <c:v>DNB Liv</c:v>
                </c:pt>
                <c:pt idx="2">
                  <c:v>Gjensidige Pensj</c:v>
                </c:pt>
                <c:pt idx="3">
                  <c:v>KLP</c:v>
                </c:pt>
                <c:pt idx="4">
                  <c:v>Nordea Liv</c:v>
                </c:pt>
                <c:pt idx="5">
                  <c:v>SpareBank 1</c:v>
                </c:pt>
                <c:pt idx="6">
                  <c:v>Storebrand </c:v>
                </c:pt>
              </c:strCache>
            </c:strRef>
          </c:cat>
          <c:val>
            <c:numRef>
              <c:f>Figurer!$M$109:$M$115</c:f>
              <c:numCache>
                <c:formatCode>#,##0</c:formatCode>
                <c:ptCount val="7"/>
                <c:pt idx="0">
                  <c:v>829.95200000000114</c:v>
                </c:pt>
                <c:pt idx="1">
                  <c:v>288795.45643999998</c:v>
                </c:pt>
                <c:pt idx="2">
                  <c:v>-2938.4000000000015</c:v>
                </c:pt>
                <c:pt idx="3">
                  <c:v>-8346122.3590000002</c:v>
                </c:pt>
                <c:pt idx="4">
                  <c:v>688.20004000002973</c:v>
                </c:pt>
                <c:pt idx="5">
                  <c:v>-9015.0013899999976</c:v>
                </c:pt>
                <c:pt idx="6">
                  <c:v>6247965.1359999999</c:v>
                </c:pt>
              </c:numCache>
            </c:numRef>
          </c:val>
          <c:extLst>
            <c:ext xmlns:c16="http://schemas.microsoft.com/office/drawing/2014/chart" uri="{C3380CC4-5D6E-409C-BE32-E72D297353CC}">
              <c16:uniqueId val="{00000000-2BF8-4278-857F-91A0E7196849}"/>
            </c:ext>
          </c:extLst>
        </c:ser>
        <c:ser>
          <c:idx val="1"/>
          <c:order val="1"/>
          <c:tx>
            <c:strRef>
              <c:f>Figurer!$N$108</c:f>
              <c:strCache>
                <c:ptCount val="1"/>
                <c:pt idx="0">
                  <c:v>2022</c:v>
                </c:pt>
              </c:strCache>
            </c:strRef>
          </c:tx>
          <c:invertIfNegative val="0"/>
          <c:cat>
            <c:strRef>
              <c:f>Figurer!$L$109:$L$115</c:f>
              <c:strCache>
                <c:ptCount val="7"/>
                <c:pt idx="0">
                  <c:v>Storebrand Danica P</c:v>
                </c:pt>
                <c:pt idx="1">
                  <c:v>DNB Liv</c:v>
                </c:pt>
                <c:pt idx="2">
                  <c:v>Gjensidige Pensj</c:v>
                </c:pt>
                <c:pt idx="3">
                  <c:v>KLP</c:v>
                </c:pt>
                <c:pt idx="4">
                  <c:v>Nordea Liv</c:v>
                </c:pt>
                <c:pt idx="5">
                  <c:v>SpareBank 1</c:v>
                </c:pt>
                <c:pt idx="6">
                  <c:v>Storebrand </c:v>
                </c:pt>
              </c:strCache>
            </c:strRef>
          </c:cat>
          <c:val>
            <c:numRef>
              <c:f>Figurer!$N$109:$N$115</c:f>
              <c:numCache>
                <c:formatCode>#,##0</c:formatCode>
                <c:ptCount val="7"/>
                <c:pt idx="0">
                  <c:v>4710.6449899999971</c:v>
                </c:pt>
                <c:pt idx="1">
                  <c:v>130297</c:v>
                </c:pt>
                <c:pt idx="2">
                  <c:v>64683</c:v>
                </c:pt>
                <c:pt idx="3">
                  <c:v>-4649242.2290000003</c:v>
                </c:pt>
                <c:pt idx="4">
                  <c:v>-2551.8921399998098</c:v>
                </c:pt>
                <c:pt idx="5">
                  <c:v>-194276.14304</c:v>
                </c:pt>
                <c:pt idx="6">
                  <c:v>3516428.9570000004</c:v>
                </c:pt>
              </c:numCache>
            </c:numRef>
          </c:val>
          <c:extLst>
            <c:ext xmlns:c16="http://schemas.microsoft.com/office/drawing/2014/chart" uri="{C3380CC4-5D6E-409C-BE32-E72D297353CC}">
              <c16:uniqueId val="{00000000-0891-419B-84DB-F579F6588129}"/>
            </c:ext>
          </c:extLst>
        </c:ser>
        <c:dLbls>
          <c:showLegendKey val="0"/>
          <c:showVal val="0"/>
          <c:showCatName val="0"/>
          <c:showSerName val="0"/>
          <c:showPercent val="0"/>
          <c:showBubbleSize val="0"/>
        </c:dLbls>
        <c:gapWidth val="150"/>
        <c:axId val="243201536"/>
        <c:axId val="243203072"/>
      </c:barChart>
      <c:catAx>
        <c:axId val="243201536"/>
        <c:scaling>
          <c:orientation val="minMax"/>
        </c:scaling>
        <c:delete val="0"/>
        <c:axPos val="b"/>
        <c:numFmt formatCode="General" sourceLinked="1"/>
        <c:majorTickMark val="out"/>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nb-NO"/>
          </a:p>
        </c:txPr>
        <c:crossAx val="243203072"/>
        <c:crosses val="autoZero"/>
        <c:auto val="1"/>
        <c:lblAlgn val="ctr"/>
        <c:lblOffset val="100"/>
        <c:tickLblSkip val="1"/>
        <c:tickMarkSkip val="1"/>
        <c:noMultiLvlLbl val="0"/>
      </c:catAx>
      <c:valAx>
        <c:axId val="243203072"/>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2.1739130434782612E-2"/>
              <c:y val="0.35755283411244326"/>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3201536"/>
        <c:crosses val="autoZero"/>
        <c:crossBetween val="between"/>
      </c:valAx>
    </c:plotArea>
    <c:legend>
      <c:legendPos val="b"/>
      <c:layout>
        <c:manualLayout>
          <c:xMode val="edge"/>
          <c:yMode val="edge"/>
          <c:x val="0.34737347369622462"/>
          <c:y val="0.94455128774817365"/>
          <c:w val="9.6515177450644751E-2"/>
          <c:h val="4.5533613518745276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7253853430922791"/>
          <c:y val="8.5614035087719767E-2"/>
          <c:w val="0.75564702786135474"/>
          <c:h val="0.63649189114519311"/>
        </c:manualLayout>
      </c:layout>
      <c:barChart>
        <c:barDir val="col"/>
        <c:grouping val="clustered"/>
        <c:varyColors val="0"/>
        <c:ser>
          <c:idx val="0"/>
          <c:order val="0"/>
          <c:tx>
            <c:strRef>
              <c:f>Figurer!$M$131</c:f>
              <c:strCache>
                <c:ptCount val="1"/>
                <c:pt idx="0">
                  <c:v>2021</c:v>
                </c:pt>
              </c:strCache>
            </c:strRef>
          </c:tx>
          <c:invertIfNegative val="0"/>
          <c:cat>
            <c:strRef>
              <c:f>Figurer!$L$132:$L$140</c:f>
              <c:strCache>
                <c:ptCount val="9"/>
                <c:pt idx="0">
                  <c:v>Storebrand Danica P</c:v>
                </c:pt>
                <c:pt idx="1">
                  <c:v>DNB Liv</c:v>
                </c:pt>
                <c:pt idx="2">
                  <c:v>Frende Livsfors</c:v>
                </c:pt>
                <c:pt idx="3">
                  <c:v>Gjensidige Pensj</c:v>
                </c:pt>
                <c:pt idx="4">
                  <c:v>KLP</c:v>
                </c:pt>
                <c:pt idx="5">
                  <c:v>Nordea Liv</c:v>
                </c:pt>
                <c:pt idx="6">
                  <c:v>SHB Liv</c:v>
                </c:pt>
                <c:pt idx="7">
                  <c:v>SpareBank 1</c:v>
                </c:pt>
                <c:pt idx="8">
                  <c:v>Storebrand</c:v>
                </c:pt>
              </c:strCache>
            </c:strRef>
          </c:cat>
          <c:val>
            <c:numRef>
              <c:f>Figurer!$M$132:$M$140</c:f>
              <c:numCache>
                <c:formatCode>#,##0</c:formatCode>
                <c:ptCount val="9"/>
                <c:pt idx="0">
                  <c:v>255950.18200000003</c:v>
                </c:pt>
                <c:pt idx="1">
                  <c:v>-2100392</c:v>
                </c:pt>
                <c:pt idx="2">
                  <c:v>0</c:v>
                </c:pt>
                <c:pt idx="3">
                  <c:v>58268.599999999627</c:v>
                </c:pt>
                <c:pt idx="4">
                  <c:v>0</c:v>
                </c:pt>
                <c:pt idx="5">
                  <c:v>-381588.80577000044</c:v>
                </c:pt>
                <c:pt idx="6">
                  <c:v>-52194.126499999991</c:v>
                </c:pt>
                <c:pt idx="7">
                  <c:v>1368033.23649</c:v>
                </c:pt>
                <c:pt idx="8">
                  <c:v>-6819879.7849999992</c:v>
                </c:pt>
              </c:numCache>
            </c:numRef>
          </c:val>
          <c:extLst>
            <c:ext xmlns:c16="http://schemas.microsoft.com/office/drawing/2014/chart" uri="{C3380CC4-5D6E-409C-BE32-E72D297353CC}">
              <c16:uniqueId val="{00000000-B400-4C26-965B-0553A4A37873}"/>
            </c:ext>
          </c:extLst>
        </c:ser>
        <c:ser>
          <c:idx val="1"/>
          <c:order val="1"/>
          <c:tx>
            <c:strRef>
              <c:f>Figurer!$N$131</c:f>
              <c:strCache>
                <c:ptCount val="1"/>
                <c:pt idx="0">
                  <c:v>2022</c:v>
                </c:pt>
              </c:strCache>
            </c:strRef>
          </c:tx>
          <c:invertIfNegative val="0"/>
          <c:cat>
            <c:strRef>
              <c:f>Figurer!$L$132:$L$140</c:f>
              <c:strCache>
                <c:ptCount val="9"/>
                <c:pt idx="0">
                  <c:v>Storebrand Danica P</c:v>
                </c:pt>
                <c:pt idx="1">
                  <c:v>DNB Liv</c:v>
                </c:pt>
                <c:pt idx="2">
                  <c:v>Frende Livsfors</c:v>
                </c:pt>
                <c:pt idx="3">
                  <c:v>Gjensidige Pensj</c:v>
                </c:pt>
                <c:pt idx="4">
                  <c:v>KLP</c:v>
                </c:pt>
                <c:pt idx="5">
                  <c:v>Nordea Liv</c:v>
                </c:pt>
                <c:pt idx="6">
                  <c:v>SHB Liv</c:v>
                </c:pt>
                <c:pt idx="7">
                  <c:v>SpareBank 1</c:v>
                </c:pt>
                <c:pt idx="8">
                  <c:v>Storebrand</c:v>
                </c:pt>
              </c:strCache>
            </c:strRef>
          </c:cat>
          <c:val>
            <c:numRef>
              <c:f>Figurer!$N$132:$N$140</c:f>
              <c:numCache>
                <c:formatCode>#,##0</c:formatCode>
                <c:ptCount val="9"/>
                <c:pt idx="0">
                  <c:v>-414494.57355999993</c:v>
                </c:pt>
                <c:pt idx="1">
                  <c:v>-440667.45500000007</c:v>
                </c:pt>
                <c:pt idx="2">
                  <c:v>0</c:v>
                </c:pt>
                <c:pt idx="3">
                  <c:v>1855585</c:v>
                </c:pt>
                <c:pt idx="4">
                  <c:v>376440.52899999998</c:v>
                </c:pt>
                <c:pt idx="5">
                  <c:v>616541.34781999979</c:v>
                </c:pt>
                <c:pt idx="6">
                  <c:v>-20941.514959999997</c:v>
                </c:pt>
                <c:pt idx="7">
                  <c:v>-87746.892959999852</c:v>
                </c:pt>
                <c:pt idx="8">
                  <c:v>-3951398.4240000001</c:v>
                </c:pt>
              </c:numCache>
            </c:numRef>
          </c:val>
          <c:extLst>
            <c:ext xmlns:c16="http://schemas.microsoft.com/office/drawing/2014/chart" uri="{C3380CC4-5D6E-409C-BE32-E72D297353CC}">
              <c16:uniqueId val="{00000001-B400-4C26-965B-0553A4A37873}"/>
            </c:ext>
          </c:extLst>
        </c:ser>
        <c:dLbls>
          <c:showLegendKey val="0"/>
          <c:showVal val="0"/>
          <c:showCatName val="0"/>
          <c:showSerName val="0"/>
          <c:showPercent val="0"/>
          <c:showBubbleSize val="0"/>
        </c:dLbls>
        <c:gapWidth val="150"/>
        <c:axId val="243686400"/>
        <c:axId val="243700480"/>
      </c:barChart>
      <c:catAx>
        <c:axId val="243686400"/>
        <c:scaling>
          <c:orientation val="minMax"/>
        </c:scaling>
        <c:delete val="0"/>
        <c:axPos val="b"/>
        <c:numFmt formatCode="General" sourceLinked="1"/>
        <c:majorTickMark val="out"/>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nb-NO"/>
          </a:p>
        </c:txPr>
        <c:crossAx val="243700480"/>
        <c:crosses val="autoZero"/>
        <c:auto val="1"/>
        <c:lblAlgn val="ctr"/>
        <c:lblOffset val="100"/>
        <c:tickLblSkip val="1"/>
        <c:tickMarkSkip val="1"/>
        <c:noMultiLvlLbl val="0"/>
      </c:catAx>
      <c:valAx>
        <c:axId val="243700480"/>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3.3875338753387642E-2"/>
              <c:y val="0.330526785811528"/>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3686400"/>
        <c:crosses val="autoZero"/>
        <c:crossBetween val="between"/>
      </c:valAx>
    </c:plotArea>
    <c:legend>
      <c:legendPos val="b"/>
      <c:layout>
        <c:manualLayout>
          <c:xMode val="edge"/>
          <c:yMode val="edge"/>
          <c:x val="0.35049740733627832"/>
          <c:y val="0.93473780507726956"/>
          <c:w val="0.23080411696505387"/>
          <c:h val="4.8421167271103877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476250</xdr:colOff>
      <xdr:row>54</xdr:row>
      <xdr:rowOff>28575</xdr:rowOff>
    </xdr:to>
    <xdr:pic>
      <xdr:nvPicPr>
        <xdr:cNvPr id="2" name="Picture 1" descr="Statistikk_forside.pdf">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6572250" cy="11258550"/>
        </a:xfrm>
        <a:prstGeom prst="rect">
          <a:avLst/>
        </a:prstGeom>
        <a:noFill/>
        <a:ln w="9525">
          <a:noFill/>
          <a:miter lim="800000"/>
          <a:headEnd/>
          <a:tailEnd/>
        </a:ln>
      </xdr:spPr>
    </xdr:pic>
    <xdr:clientData/>
  </xdr:twoCellAnchor>
  <xdr:twoCellAnchor>
    <xdr:from>
      <xdr:col>0</xdr:col>
      <xdr:colOff>695325</xdr:colOff>
      <xdr:row>41</xdr:row>
      <xdr:rowOff>34925</xdr:rowOff>
    </xdr:from>
    <xdr:to>
      <xdr:col>5</xdr:col>
      <xdr:colOff>371492</xdr:colOff>
      <xdr:row>43</xdr:row>
      <xdr:rowOff>152400</xdr:rowOff>
    </xdr:to>
    <xdr:sp macro="" textlink="">
      <xdr:nvSpPr>
        <xdr:cNvPr id="3" name="Text Box 6">
          <a:extLst>
            <a:ext uri="{FF2B5EF4-FFF2-40B4-BE49-F238E27FC236}">
              <a16:creationId xmlns:a16="http://schemas.microsoft.com/office/drawing/2014/main" id="{00000000-0008-0000-0000-000003000000}"/>
            </a:ext>
          </a:extLst>
        </xdr:cNvPr>
        <xdr:cNvSpPr txBox="1"/>
      </xdr:nvSpPr>
      <xdr:spPr>
        <a:xfrm>
          <a:off x="695325" y="9083675"/>
          <a:ext cx="3486167" cy="517525"/>
        </a:xfrm>
        <a:prstGeom prst="rect">
          <a:avLst/>
        </a:prstGeom>
        <a:noFill/>
        <a:ln>
          <a:noFill/>
        </a:ln>
        <a:effectLst/>
        <a:extLst>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nb-NO" sz="1600" b="1">
              <a:effectLst/>
              <a:latin typeface="Arial"/>
              <a:ea typeface="ＭＳ 明朝"/>
              <a:cs typeface="Times New Roman"/>
            </a:rPr>
            <a:t>3. KVARTAL 2022 </a:t>
          </a:r>
          <a:r>
            <a:rPr lang="nb-NO" sz="1100" b="0">
              <a:effectLst/>
              <a:latin typeface="Arial"/>
              <a:ea typeface="ＭＳ 明朝"/>
              <a:cs typeface="Times New Roman"/>
            </a:rPr>
            <a:t>(15.11.2022)</a:t>
          </a:r>
          <a:r>
            <a:rPr lang="nb-NO" sz="1600" b="1">
              <a:effectLst/>
              <a:latin typeface="Arial"/>
              <a:ea typeface="ＭＳ 明朝"/>
              <a:cs typeface="Times New Roman"/>
            </a:rPr>
            <a:t> </a:t>
          </a:r>
          <a:endParaRPr lang="nb-NO" sz="1200">
            <a:effectLst/>
            <a:ea typeface="ＭＳ 明朝"/>
            <a:cs typeface="Times New Roman"/>
          </a:endParaRPr>
        </a:p>
      </xdr:txBody>
    </xdr:sp>
    <xdr:clientData/>
  </xdr:twoCellAnchor>
  <xdr:twoCellAnchor>
    <xdr:from>
      <xdr:col>0</xdr:col>
      <xdr:colOff>666750</xdr:colOff>
      <xdr:row>32</xdr:row>
      <xdr:rowOff>387350</xdr:rowOff>
    </xdr:from>
    <xdr:to>
      <xdr:col>8</xdr:col>
      <xdr:colOff>196850</xdr:colOff>
      <xdr:row>38</xdr:row>
      <xdr:rowOff>22225</xdr:rowOff>
    </xdr:to>
    <xdr:sp macro="" textlink="">
      <xdr:nvSpPr>
        <xdr:cNvPr id="4" name="Text Box 4">
          <a:extLst>
            <a:ext uri="{FF2B5EF4-FFF2-40B4-BE49-F238E27FC236}">
              <a16:creationId xmlns:a16="http://schemas.microsoft.com/office/drawing/2014/main" id="{00000000-0008-0000-0000-000004000000}"/>
            </a:ext>
          </a:extLst>
        </xdr:cNvPr>
        <xdr:cNvSpPr txBox="1"/>
      </xdr:nvSpPr>
      <xdr:spPr>
        <a:xfrm>
          <a:off x="666750" y="7292975"/>
          <a:ext cx="5626100" cy="1149350"/>
        </a:xfrm>
        <a:prstGeom prst="rect">
          <a:avLst/>
        </a:prstGeom>
        <a:noFill/>
        <a:ln>
          <a:noFill/>
        </a:ln>
        <a:effectLst/>
        <a:extLst>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ts val="3100"/>
            </a:lnSpc>
            <a:spcAft>
              <a:spcPts val="0"/>
            </a:spcAft>
          </a:pPr>
          <a:r>
            <a:rPr lang="nb-NO" sz="2800" b="1">
              <a:solidFill>
                <a:srgbClr val="54758C"/>
              </a:solidFill>
              <a:effectLst/>
              <a:latin typeface="Arial"/>
              <a:ea typeface="ＭＳ 明朝"/>
              <a:cs typeface="Times New Roman"/>
            </a:rPr>
            <a:t>MARKEDSANDELER</a:t>
          </a:r>
          <a:endParaRPr lang="nb-NO" sz="1200">
            <a:effectLst/>
            <a:ea typeface="ＭＳ 明朝"/>
            <a:cs typeface="Times New Roman"/>
          </a:endParaRPr>
        </a:p>
        <a:p>
          <a:pPr>
            <a:lnSpc>
              <a:spcPts val="3200"/>
            </a:lnSpc>
            <a:spcAft>
              <a:spcPts val="0"/>
            </a:spcAft>
          </a:pPr>
          <a:r>
            <a:rPr lang="en-GB" sz="2600">
              <a:solidFill>
                <a:srgbClr val="54758C"/>
              </a:solidFill>
              <a:effectLst/>
              <a:latin typeface="Arial"/>
              <a:ea typeface="ＭＳ 明朝"/>
              <a:cs typeface="MinionPro-Regular"/>
            </a:rPr>
            <a:t>– endelige tall og regnskapsstatistikk</a:t>
          </a:r>
          <a:endParaRPr lang="nb-NO" sz="1200">
            <a:solidFill>
              <a:srgbClr val="000000"/>
            </a:solidFill>
            <a:effectLst/>
            <a:latin typeface="MinionPro-Regular"/>
            <a:ea typeface="ＭＳ 明朝"/>
            <a:cs typeface="MinionPro-Regular"/>
          </a:endParaRPr>
        </a:p>
        <a:p>
          <a:pPr>
            <a:lnSpc>
              <a:spcPts val="1300"/>
            </a:lnSpc>
            <a:spcAft>
              <a:spcPts val="0"/>
            </a:spcAft>
          </a:pPr>
          <a:r>
            <a:rPr lang="nb-NO" sz="1200">
              <a:effectLst/>
              <a:ea typeface="ＭＳ 明朝"/>
              <a:cs typeface="Times New Roman"/>
            </a:rPr>
            <a:t> </a:t>
          </a:r>
        </a:p>
      </xdr:txBody>
    </xdr:sp>
    <xdr:clientData/>
  </xdr:twoCellAnchor>
  <xdr:twoCellAnchor>
    <xdr:from>
      <xdr:col>0</xdr:col>
      <xdr:colOff>447675</xdr:colOff>
      <xdr:row>5</xdr:row>
      <xdr:rowOff>12700</xdr:rowOff>
    </xdr:from>
    <xdr:to>
      <xdr:col>2</xdr:col>
      <xdr:colOff>530482</xdr:colOff>
      <xdr:row>7</xdr:row>
      <xdr:rowOff>66616</xdr:rowOff>
    </xdr:to>
    <xdr:sp macro="" textlink="">
      <xdr:nvSpPr>
        <xdr:cNvPr id="5" name="Text Box 3">
          <a:extLst>
            <a:ext uri="{FF2B5EF4-FFF2-40B4-BE49-F238E27FC236}">
              <a16:creationId xmlns:a16="http://schemas.microsoft.com/office/drawing/2014/main" id="{00000000-0008-0000-0000-000005000000}"/>
            </a:ext>
          </a:extLst>
        </xdr:cNvPr>
        <xdr:cNvSpPr txBox="1"/>
      </xdr:nvSpPr>
      <xdr:spPr>
        <a:xfrm>
          <a:off x="447675" y="822325"/>
          <a:ext cx="1606807" cy="511116"/>
        </a:xfrm>
        <a:prstGeom prst="rect">
          <a:avLst/>
        </a:prstGeom>
        <a:noFill/>
        <a:ln>
          <a:noFill/>
        </a:ln>
        <a:effectLst/>
        <a:extLst>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ts val="1500"/>
            </a:lnSpc>
            <a:spcAft>
              <a:spcPts val="0"/>
            </a:spcAft>
          </a:pPr>
          <a:r>
            <a:rPr lang="nb-NO" sz="1400" cap="all">
              <a:ln w="0" cap="flat" cmpd="sng" algn="ctr">
                <a:noFill/>
                <a:prstDash val="solid"/>
                <a:round/>
              </a:ln>
              <a:solidFill>
                <a:schemeClr val="bg1"/>
              </a:solidFill>
              <a:effectLst/>
              <a:latin typeface="Arial"/>
              <a:ea typeface="ＭＳ 明朝"/>
              <a:cs typeface="Arial"/>
            </a:rPr>
            <a:t>LIVSTATISTIKK</a:t>
          </a:r>
          <a:endParaRPr lang="nb-NO" sz="1400">
            <a:ln w="0" cap="flat" cmpd="sng" algn="ctr">
              <a:noFill/>
              <a:prstDash val="solid"/>
              <a:round/>
            </a:ln>
            <a:solidFill>
              <a:schemeClr val="bg1"/>
            </a:solidFill>
            <a:effectLst/>
            <a:latin typeface="Arial"/>
            <a:ea typeface="ＭＳ 明朝"/>
            <a:cs typeface="Arial"/>
          </a:endParaRPr>
        </a:p>
        <a:p>
          <a:pPr>
            <a:lnSpc>
              <a:spcPts val="1100"/>
            </a:lnSpc>
            <a:spcAft>
              <a:spcPts val="0"/>
            </a:spcAft>
          </a:pPr>
          <a:r>
            <a:rPr lang="nb-NO" sz="1200">
              <a:effectLst/>
              <a:ea typeface="ＭＳ 明朝"/>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6</xdr:row>
      <xdr:rowOff>0</xdr:rowOff>
    </xdr:from>
    <xdr:to>
      <xdr:col>9</xdr:col>
      <xdr:colOff>352425</xdr:colOff>
      <xdr:row>27</xdr:row>
      <xdr:rowOff>9525</xdr:rowOff>
    </xdr:to>
    <xdr:graphicFrame macro="">
      <xdr:nvGraphicFramePr>
        <xdr:cNvPr id="2" name="Chart 1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31</xdr:row>
      <xdr:rowOff>219075</xdr:rowOff>
    </xdr:from>
    <xdr:to>
      <xdr:col>9</xdr:col>
      <xdr:colOff>285750</xdr:colOff>
      <xdr:row>50</xdr:row>
      <xdr:rowOff>123825</xdr:rowOff>
    </xdr:to>
    <xdr:graphicFrame macro="">
      <xdr:nvGraphicFramePr>
        <xdr:cNvPr id="3" name="Chart 1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56</xdr:row>
      <xdr:rowOff>228600</xdr:rowOff>
    </xdr:from>
    <xdr:to>
      <xdr:col>9</xdr:col>
      <xdr:colOff>142875</xdr:colOff>
      <xdr:row>73</xdr:row>
      <xdr:rowOff>180975</xdr:rowOff>
    </xdr:to>
    <xdr:graphicFrame macro="">
      <xdr:nvGraphicFramePr>
        <xdr:cNvPr id="6" name="Chart 1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81</xdr:row>
      <xdr:rowOff>57150</xdr:rowOff>
    </xdr:from>
    <xdr:to>
      <xdr:col>9</xdr:col>
      <xdr:colOff>123825</xdr:colOff>
      <xdr:row>100</xdr:row>
      <xdr:rowOff>114300</xdr:rowOff>
    </xdr:to>
    <xdr:graphicFrame macro="">
      <xdr:nvGraphicFramePr>
        <xdr:cNvPr id="7" name="Chart 1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28575</xdr:colOff>
      <xdr:row>107</xdr:row>
      <xdr:rowOff>28575</xdr:rowOff>
    </xdr:from>
    <xdr:to>
      <xdr:col>9</xdr:col>
      <xdr:colOff>180975</xdr:colOff>
      <xdr:row>123</xdr:row>
      <xdr:rowOff>200025</xdr:rowOff>
    </xdr:to>
    <xdr:graphicFrame macro="">
      <xdr:nvGraphicFramePr>
        <xdr:cNvPr id="8" name="Chart 1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131</xdr:row>
      <xdr:rowOff>57150</xdr:rowOff>
    </xdr:from>
    <xdr:to>
      <xdr:col>9</xdr:col>
      <xdr:colOff>171450</xdr:colOff>
      <xdr:row>149</xdr:row>
      <xdr:rowOff>123825</xdr:rowOff>
    </xdr:to>
    <xdr:graphicFrame macro="">
      <xdr:nvGraphicFramePr>
        <xdr:cNvPr id="9" name="Chart 1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4</xdr:row>
      <xdr:rowOff>137583</xdr:rowOff>
    </xdr:from>
    <xdr:to>
      <xdr:col>0</xdr:col>
      <xdr:colOff>4064000</xdr:colOff>
      <xdr:row>40</xdr:row>
      <xdr:rowOff>84666</xdr:rowOff>
    </xdr:to>
    <xdr:sp macro="" textlink="">
      <xdr:nvSpPr>
        <xdr:cNvPr id="4" name="Text Box 1026">
          <a:extLst>
            <a:ext uri="{FF2B5EF4-FFF2-40B4-BE49-F238E27FC236}">
              <a16:creationId xmlns:a16="http://schemas.microsoft.com/office/drawing/2014/main" id="{00000000-0008-0000-2100-000004000000}"/>
            </a:ext>
          </a:extLst>
        </xdr:cNvPr>
        <xdr:cNvSpPr txBox="1">
          <a:spLocks noChangeArrowheads="1"/>
        </xdr:cNvSpPr>
      </xdr:nvSpPr>
      <xdr:spPr bwMode="auto">
        <a:xfrm>
          <a:off x="10583" y="772583"/>
          <a:ext cx="4053417" cy="10318750"/>
        </a:xfrm>
        <a:prstGeom prst="rect">
          <a:avLst/>
        </a:prstGeom>
        <a:solidFill>
          <a:srgbClr val="FFFFFF"/>
        </a:solidFill>
        <a:ln w="9525">
          <a:noFill/>
          <a:miter lim="800000"/>
          <a:headEnd/>
          <a:tailEnd/>
        </a:ln>
      </xdr:spPr>
      <xdr:txBody>
        <a:bodyPr vertOverflow="clip" wrap="square" lIns="36576" tIns="32004" rIns="0" bIns="0" anchor="t" upright="1"/>
        <a:lstStyle/>
        <a:p>
          <a:pPr algn="l" rtl="0">
            <a:lnSpc>
              <a:spcPts val="1600"/>
            </a:lnSpc>
            <a:defRPr sz="1000"/>
          </a:pPr>
          <a:r>
            <a:rPr lang="nb-NO" sz="1200" b="1" i="0" strike="noStrike">
              <a:solidFill>
                <a:srgbClr val="000000"/>
              </a:solidFill>
              <a:latin typeface="Times New Roman"/>
              <a:cs typeface="Times New Roman"/>
            </a:rPr>
            <a:t>Selskaper som inngår i statistikken</a:t>
          </a:r>
        </a:p>
        <a:p>
          <a:pPr algn="l" rtl="0">
            <a:lnSpc>
              <a:spcPts val="1600"/>
            </a:lnSpc>
            <a:defRPr sz="1000"/>
          </a:pPr>
          <a:r>
            <a:rPr lang="nb-NO" sz="1200" b="0" i="0" strike="noStrike">
              <a:solidFill>
                <a:srgbClr val="000000"/>
              </a:solidFill>
              <a:latin typeface="Times New Roman"/>
              <a:cs typeface="Times New Roman"/>
            </a:rPr>
            <a:t>Statistikken viser tall for medlemsselskaper i Finans Norge som </a:t>
          </a:r>
          <a:br>
            <a:rPr lang="nb-NO" sz="1200" b="0" i="0" strike="noStrike">
              <a:solidFill>
                <a:srgbClr val="000000"/>
              </a:solidFill>
              <a:latin typeface="Times New Roman"/>
              <a:cs typeface="Times New Roman"/>
            </a:rPr>
          </a:br>
          <a:r>
            <a:rPr lang="nb-NO" sz="1200" b="0" i="0" strike="noStrike">
              <a:solidFill>
                <a:srgbClr val="000000"/>
              </a:solidFill>
              <a:latin typeface="Times New Roman"/>
              <a:cs typeface="Times New Roman"/>
            </a:rPr>
            <a:t>selger livprodukter.</a:t>
          </a:r>
        </a:p>
        <a:p>
          <a:pPr algn="l" rtl="0">
            <a:lnSpc>
              <a:spcPts val="1600"/>
            </a:lnSpc>
            <a:defRPr sz="1000"/>
          </a:pPr>
          <a:endParaRPr lang="nb-NO" sz="1200" b="1" i="0" strike="noStrike">
            <a:solidFill>
              <a:srgbClr val="000000"/>
            </a:solidFill>
            <a:latin typeface="Times New Roman"/>
            <a:cs typeface="Times New Roman"/>
          </a:endParaRPr>
        </a:p>
        <a:p>
          <a:pPr algn="l" rtl="0">
            <a:lnSpc>
              <a:spcPts val="1600"/>
            </a:lnSpc>
            <a:defRPr sz="1000"/>
          </a:pPr>
          <a:r>
            <a:rPr lang="nb-NO" sz="1200" b="0" i="0" u="sng" strike="noStrike">
              <a:solidFill>
                <a:srgbClr val="000000"/>
              </a:solidFill>
              <a:latin typeface="Times New Roman"/>
              <a:cs typeface="Times New Roman"/>
            </a:rPr>
            <a:t>Produkter uten investeringsvalg</a:t>
          </a:r>
          <a:r>
            <a:rPr lang="nb-NO" sz="1200" b="0" i="0" strike="noStrike">
              <a:solidFill>
                <a:srgbClr val="000000"/>
              </a:solidFill>
              <a:latin typeface="Times New Roman"/>
              <a:cs typeface="Times New Roman"/>
            </a:rPr>
            <a:t>:</a:t>
          </a:r>
        </a:p>
        <a:p>
          <a:pPr marL="0" marR="0" indent="0" algn="l" defTabSz="914400" rtl="0" eaLnBrk="1" fontAlgn="auto" latinLnBrk="0" hangingPunct="1">
            <a:lnSpc>
              <a:spcPts val="1600"/>
            </a:lnSpc>
            <a:spcBef>
              <a:spcPts val="0"/>
            </a:spcBef>
            <a:spcAft>
              <a:spcPts val="0"/>
            </a:spcAft>
            <a:buClrTx/>
            <a:buSzTx/>
            <a:buFontTx/>
            <a:buNone/>
            <a:tabLst/>
            <a:defRPr sz="1000"/>
          </a:pPr>
          <a:r>
            <a:rPr lang="nb-NO" sz="1200" b="0" i="0" strike="noStrike">
              <a:solidFill>
                <a:srgbClr val="000000"/>
              </a:solidFill>
              <a:latin typeface="Times New Roman"/>
              <a:cs typeface="Times New Roman"/>
            </a:rPr>
            <a:t>Codan Forsikring </a:t>
          </a: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(skadeselskap)</a:t>
          </a:r>
          <a:r>
            <a:rPr lang="nb-NO" sz="1200" b="0" i="0" strike="noStrike">
              <a:solidFill>
                <a:srgbClr val="000000"/>
              </a:solidFill>
              <a:latin typeface="Times New Roman"/>
              <a:cs typeface="Times New Roman"/>
            </a:rPr>
            <a:t> </a:t>
          </a:r>
        </a:p>
        <a:p>
          <a:pPr algn="l" rtl="0">
            <a:lnSpc>
              <a:spcPts val="1600"/>
            </a:lnSpc>
            <a:defRPr sz="1000"/>
          </a:pPr>
          <a:r>
            <a:rPr lang="nb-NO" sz="1200" b="0" i="0" strike="noStrike">
              <a:solidFill>
                <a:srgbClr val="000000"/>
              </a:solidFill>
              <a:latin typeface="Times New Roman"/>
              <a:cs typeface="Times New Roman"/>
            </a:rPr>
            <a:t>Storeband Danica Pensjon</a:t>
          </a:r>
          <a:endParaRPr lang="nb-NO" sz="1200" b="0" i="0" strike="noStrike">
            <a:solidFill>
              <a:srgbClr val="000000"/>
            </a:solidFill>
            <a:latin typeface="Times New Roman"/>
            <a:ea typeface="+mn-ea"/>
            <a:cs typeface="Times New Roman"/>
          </a:endParaRPr>
        </a:p>
        <a:p>
          <a:pPr algn="l" rtl="0">
            <a:lnSpc>
              <a:spcPts val="1600"/>
            </a:lnSpc>
            <a:defRPr sz="1000"/>
          </a:pPr>
          <a:r>
            <a:rPr lang="nb-NO" sz="1200" b="0" i="0" strike="noStrike">
              <a:solidFill>
                <a:srgbClr val="000000"/>
              </a:solidFill>
              <a:latin typeface="Times New Roman"/>
              <a:cs typeface="Times New Roman"/>
            </a:rPr>
            <a:t>DNB Livsforsikring ASA</a:t>
          </a:r>
        </a:p>
        <a:p>
          <a:pPr algn="l" rtl="0">
            <a:lnSpc>
              <a:spcPts val="1600"/>
            </a:lnSpc>
            <a:defRPr sz="1000"/>
          </a:pPr>
          <a:r>
            <a:rPr lang="nb-NO" sz="1200" b="0" i="0" strike="noStrike">
              <a:solidFill>
                <a:srgbClr val="000000"/>
              </a:solidFill>
              <a:latin typeface="Times New Roman"/>
              <a:cs typeface="Times New Roman"/>
            </a:rPr>
            <a:t>Eika Forsikring AS (skadeselskap</a:t>
          </a:r>
          <a:r>
            <a:rPr lang="nb-NO" sz="1200" b="0" i="0" strike="noStrike" baseline="0">
              <a:solidFill>
                <a:srgbClr val="000000"/>
              </a:solidFill>
              <a:latin typeface="Times New Roman"/>
              <a:cs typeface="Times New Roman"/>
            </a:rPr>
            <a:t>)</a:t>
          </a:r>
        </a:p>
        <a:p>
          <a:pPr algn="l" rtl="0">
            <a:lnSpc>
              <a:spcPts val="1600"/>
            </a:lnSpc>
            <a:defRPr sz="1000"/>
          </a:pPr>
          <a:r>
            <a:rPr lang="nb-NO" sz="1200" b="0" i="0" strike="noStrike" baseline="0">
              <a:solidFill>
                <a:srgbClr val="000000"/>
              </a:solidFill>
              <a:latin typeface="Times New Roman"/>
              <a:cs typeface="Times New Roman"/>
            </a:rPr>
            <a:t>Euro Accident (skadeselskap)</a:t>
          </a:r>
        </a:p>
        <a:p>
          <a:pPr algn="l" rtl="0">
            <a:lnSpc>
              <a:spcPts val="1600"/>
            </a:lnSpc>
            <a:defRPr sz="1000"/>
          </a:pPr>
          <a:r>
            <a:rPr lang="nb-NO" sz="1200" b="0" i="0" strike="noStrike" baseline="0">
              <a:solidFill>
                <a:srgbClr val="000000"/>
              </a:solidFill>
              <a:latin typeface="Times New Roman"/>
              <a:cs typeface="Times New Roman"/>
            </a:rPr>
            <a:t>Fremtind Livsforsikring</a:t>
          </a: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Frende Livsforsikring</a:t>
          </a:r>
        </a:p>
        <a:p>
          <a:pPr algn="l" rtl="0">
            <a:lnSpc>
              <a:spcPts val="1600"/>
            </a:lnSpc>
            <a:defRPr sz="1000"/>
          </a:pPr>
          <a:r>
            <a:rPr lang="nb-NO" sz="1200" b="0" i="0" strike="noStrike">
              <a:solidFill>
                <a:srgbClr val="000000"/>
              </a:solidFill>
              <a:latin typeface="Times New Roman"/>
              <a:cs typeface="Times New Roman"/>
            </a:rPr>
            <a:t>Frende Skadeforsikring (skadeselskap)</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Gjensidige Forsikring (skadeselskap)</a:t>
          </a:r>
        </a:p>
        <a:p>
          <a:pPr algn="l" rtl="0">
            <a:lnSpc>
              <a:spcPts val="1600"/>
            </a:lnSpc>
            <a:defRPr sz="1000"/>
          </a:pPr>
          <a:r>
            <a:rPr lang="nb-NO" sz="1200" b="0" i="0" strike="noStrike">
              <a:solidFill>
                <a:srgbClr val="000000"/>
              </a:solidFill>
              <a:latin typeface="Times New Roman"/>
              <a:cs typeface="Times New Roman"/>
            </a:rPr>
            <a:t>Gjensidige Pensjonsforsikring</a:t>
          </a:r>
        </a:p>
        <a:p>
          <a:pPr algn="l" rtl="0">
            <a:lnSpc>
              <a:spcPts val="1600"/>
            </a:lnSpc>
            <a:defRPr sz="1000"/>
          </a:pPr>
          <a:r>
            <a:rPr lang="nb-NO" sz="1200" b="0" i="0" strike="noStrike">
              <a:solidFill>
                <a:srgbClr val="000000"/>
              </a:solidFill>
              <a:latin typeface="Times New Roman"/>
              <a:cs typeface="Times New Roman"/>
            </a:rPr>
            <a:t>Handelsbanken Liv (utenlandsk,</a:t>
          </a:r>
          <a:r>
            <a:rPr lang="nb-NO" sz="1200" b="0" i="0" strike="noStrike" baseline="0">
              <a:solidFill>
                <a:srgbClr val="000000"/>
              </a:solidFill>
              <a:latin typeface="Times New Roman"/>
              <a:cs typeface="Times New Roman"/>
            </a:rPr>
            <a:t> </a:t>
          </a:r>
          <a:r>
            <a:rPr lang="nb-NO" sz="1200" b="0" i="0" strike="noStrike">
              <a:solidFill>
                <a:srgbClr val="000000"/>
              </a:solidFill>
              <a:latin typeface="Times New Roman"/>
              <a:cs typeface="Times New Roman"/>
            </a:rPr>
            <a:t>filial)</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If Skadeforsikring NUF (skadeselskap)</a:t>
          </a:r>
          <a:endParaRPr lang="nb-NO" sz="1200" b="0" i="0" strike="noStrike">
            <a:solidFill>
              <a:srgbClr val="000000"/>
            </a:solidFill>
            <a:latin typeface="Times New Roman"/>
            <a:ea typeface="+mn-ea"/>
            <a:cs typeface="Times New Roman"/>
          </a:endParaRPr>
        </a:p>
        <a:p>
          <a:pPr algn="l" rtl="0">
            <a:lnSpc>
              <a:spcPts val="1600"/>
            </a:lnSpc>
            <a:defRPr sz="1000"/>
          </a:pPr>
          <a:r>
            <a:rPr lang="nb-NO" sz="1200" b="0" i="0" strike="noStrike">
              <a:solidFill>
                <a:srgbClr val="000000"/>
              </a:solidFill>
              <a:latin typeface="Times New Roman"/>
              <a:cs typeface="Times New Roman"/>
            </a:rPr>
            <a:t>KLP</a:t>
          </a:r>
        </a:p>
        <a:p>
          <a:pPr algn="l" rtl="0">
            <a:lnSpc>
              <a:spcPts val="1600"/>
            </a:lnSpc>
            <a:defRPr sz="1000"/>
          </a:pPr>
          <a:r>
            <a:rPr lang="nb-NO" sz="1200" b="0" i="0" strike="noStrike" baseline="0">
              <a:solidFill>
                <a:srgbClr val="000000"/>
              </a:solidFill>
              <a:latin typeface="Times New Roman"/>
              <a:cs typeface="Times New Roman"/>
            </a:rPr>
            <a:t>KLP Skadeforsikring AS</a:t>
          </a:r>
        </a:p>
        <a:p>
          <a:pPr algn="l" rtl="0">
            <a:lnSpc>
              <a:spcPts val="1600"/>
            </a:lnSpc>
            <a:defRPr sz="1000"/>
          </a:pPr>
          <a:r>
            <a:rPr lang="nb-NO" sz="1200" b="0" i="0" strike="noStrike" baseline="0">
              <a:solidFill>
                <a:srgbClr val="000000"/>
              </a:solidFill>
              <a:latin typeface="Times New Roman"/>
              <a:cs typeface="Times New Roman"/>
            </a:rPr>
            <a:t>Landkreditt Forsikring (skadeselskap)</a:t>
          </a: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Livsforsikringsselskapet Nordea Liv Norge</a:t>
          </a:r>
        </a:p>
        <a:p>
          <a:pPr algn="l" rtl="0">
            <a:lnSpc>
              <a:spcPts val="1600"/>
            </a:lnSpc>
            <a:defRPr sz="1000"/>
          </a:pPr>
          <a:r>
            <a:rPr lang="nb-NO" sz="1200" b="0" i="0" strike="noStrike">
              <a:solidFill>
                <a:srgbClr val="000000"/>
              </a:solidFill>
              <a:latin typeface="Times New Roman"/>
              <a:cs typeface="Times New Roman"/>
            </a:rPr>
            <a:t>Ly Forsikring (skadeselskap)</a:t>
          </a:r>
        </a:p>
        <a:p>
          <a:pPr algn="l" rtl="0">
            <a:lnSpc>
              <a:spcPts val="1700"/>
            </a:lnSpc>
            <a:defRPr sz="1000"/>
          </a:pPr>
          <a:r>
            <a:rPr lang="nb-NO" sz="1200" b="0" i="0" strike="noStrike">
              <a:solidFill>
                <a:srgbClr val="000000"/>
              </a:solidFill>
              <a:latin typeface="Times New Roman"/>
              <a:cs typeface="Times New Roman"/>
            </a:rPr>
            <a:t>Oslo Pensjonsforsikring</a:t>
          </a:r>
        </a:p>
        <a:p>
          <a:pPr algn="l" rtl="0">
            <a:lnSpc>
              <a:spcPts val="1600"/>
            </a:lnSpc>
            <a:defRPr sz="1000"/>
          </a:pPr>
          <a:r>
            <a:rPr lang="nb-NO" sz="1200" b="0" i="0" strike="noStrike">
              <a:solidFill>
                <a:srgbClr val="000000"/>
              </a:solidFill>
              <a:latin typeface="Times New Roman"/>
              <a:cs typeface="Times New Roman"/>
            </a:rPr>
            <a:t>Protector Forsikring</a:t>
          </a:r>
        </a:p>
        <a:p>
          <a:pPr algn="l" rtl="0">
            <a:lnSpc>
              <a:spcPts val="1700"/>
            </a:lnSpc>
            <a:defRPr sz="1000"/>
          </a:pPr>
          <a:r>
            <a:rPr lang="nb-NO" sz="1200" b="0" i="0" strike="noStrike">
              <a:solidFill>
                <a:srgbClr val="000000"/>
              </a:solidFill>
              <a:latin typeface="Times New Roman"/>
              <a:cs typeface="Times New Roman"/>
            </a:rPr>
            <a:t>SpareBank 1 Forsikring</a:t>
          </a:r>
        </a:p>
        <a:p>
          <a:pPr algn="l" rtl="0">
            <a:lnSpc>
              <a:spcPts val="1600"/>
            </a:lnSpc>
            <a:defRPr sz="1000"/>
          </a:pPr>
          <a:r>
            <a:rPr lang="nb-NO" sz="1200" b="0" i="0" strike="noStrike">
              <a:solidFill>
                <a:srgbClr val="000000"/>
              </a:solidFill>
              <a:latin typeface="Times New Roman"/>
              <a:cs typeface="Times New Roman"/>
            </a:rPr>
            <a:t>Storebrand Livsforsikring</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Telenor Forsikring (skadeselskap)</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Tryg Forsikring (skadeselskap)</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WaterCircles Forsikring (Skadeforsikring)</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Youplus Livsforsikring nuf</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700"/>
            </a:lnSpc>
            <a:defRPr sz="1000"/>
          </a:pPr>
          <a:r>
            <a:rPr lang="nb-NO" sz="1200" b="0" i="0" u="sng" strike="noStrike">
              <a:solidFill>
                <a:srgbClr val="000000"/>
              </a:solidFill>
              <a:latin typeface="Times New Roman"/>
              <a:cs typeface="Times New Roman"/>
            </a:rPr>
            <a:t>Produkter med investeringsvalg</a:t>
          </a:r>
          <a:r>
            <a:rPr lang="nb-NO" sz="1200" b="0" i="0" strike="noStrike">
              <a:solidFill>
                <a:srgbClr val="000000"/>
              </a:solidFill>
              <a:latin typeface="Times New Roman"/>
              <a:cs typeface="Times New Roman"/>
            </a:rPr>
            <a:t>:</a:t>
          </a:r>
        </a:p>
        <a:p>
          <a:pPr algn="l" rtl="0">
            <a:lnSpc>
              <a:spcPts val="1700"/>
            </a:lnSpc>
            <a:defRPr sz="1000"/>
          </a:pPr>
          <a:r>
            <a:rPr lang="nb-NO" sz="1200" b="0" i="0" strike="noStrike">
              <a:solidFill>
                <a:srgbClr val="000000"/>
              </a:solidFill>
              <a:latin typeface="Times New Roman"/>
              <a:cs typeface="Times New Roman"/>
            </a:rPr>
            <a:t>Storebrand Danica Pensjon</a:t>
          </a:r>
        </a:p>
        <a:p>
          <a:pPr algn="l" rtl="0">
            <a:lnSpc>
              <a:spcPts val="1600"/>
            </a:lnSpc>
            <a:defRPr sz="1000"/>
          </a:pPr>
          <a:r>
            <a:rPr lang="nb-NO" sz="1200" b="0" i="0" strike="noStrike">
              <a:solidFill>
                <a:srgbClr val="000000"/>
              </a:solidFill>
              <a:latin typeface="Times New Roman"/>
              <a:cs typeface="Times New Roman"/>
            </a:rPr>
            <a:t>DNB Livsforsikring ASA</a:t>
          </a:r>
        </a:p>
        <a:p>
          <a:pPr algn="l" rtl="0">
            <a:lnSpc>
              <a:spcPts val="1700"/>
            </a:lnSpc>
            <a:defRPr sz="1000"/>
          </a:pPr>
          <a:r>
            <a:rPr lang="nb-NO" sz="1200" b="0" i="0" strike="noStrike">
              <a:solidFill>
                <a:srgbClr val="000000"/>
              </a:solidFill>
              <a:latin typeface="Times New Roman"/>
              <a:cs typeface="Times New Roman"/>
            </a:rPr>
            <a:t>Frende</a:t>
          </a:r>
          <a:r>
            <a:rPr lang="nb-NO" sz="1200" b="0" i="0" strike="noStrike" baseline="0">
              <a:solidFill>
                <a:srgbClr val="000000"/>
              </a:solidFill>
              <a:latin typeface="Times New Roman"/>
              <a:cs typeface="Times New Roman"/>
            </a:rPr>
            <a:t> Livsforsikring</a:t>
          </a: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Gjensidige Pensjonsforsikring</a:t>
          </a:r>
        </a:p>
        <a:p>
          <a:pPr algn="l" rtl="0">
            <a:lnSpc>
              <a:spcPts val="1700"/>
            </a:lnSpc>
            <a:defRPr sz="1000"/>
          </a:pPr>
          <a:r>
            <a:rPr lang="nb-NO" sz="1200" b="0" i="0" strike="noStrike">
              <a:solidFill>
                <a:srgbClr val="000000"/>
              </a:solidFill>
              <a:latin typeface="Times New Roman"/>
              <a:cs typeface="Times New Roman"/>
            </a:rPr>
            <a:t>KLP</a:t>
          </a:r>
        </a:p>
        <a:p>
          <a:pPr algn="l" rtl="0">
            <a:lnSpc>
              <a:spcPts val="1700"/>
            </a:lnSpc>
            <a:defRPr sz="1000"/>
          </a:pPr>
          <a:r>
            <a:rPr lang="nb-NO" sz="1200" b="0" i="0" strike="noStrike">
              <a:solidFill>
                <a:srgbClr val="000000"/>
              </a:solidFill>
              <a:latin typeface="Times New Roman"/>
              <a:cs typeface="Times New Roman"/>
            </a:rPr>
            <a:t>Livsforsikringsselskapet Nordea Liv Norge</a:t>
          </a:r>
        </a:p>
        <a:p>
          <a:pPr algn="l" rtl="0">
            <a:lnSpc>
              <a:spcPts val="1600"/>
            </a:lnSpc>
            <a:defRPr sz="1000"/>
          </a:pPr>
          <a:r>
            <a:rPr lang="nb-NO" sz="1200" b="0" i="0" strike="noStrike">
              <a:solidFill>
                <a:srgbClr val="000000"/>
              </a:solidFill>
              <a:latin typeface="Times New Roman"/>
              <a:cs typeface="Times New Roman"/>
            </a:rPr>
            <a:t>SHB Liv (utenlandsk, filial)</a:t>
          </a:r>
          <a:endParaRPr kumimoji="0" lang="nb-NO" sz="1200" b="0" i="0" u="none" strike="noStrike" kern="0" cap="none" spc="0" normalizeH="0" baseline="0" noProof="0">
            <a:ln>
              <a:noFill/>
            </a:ln>
            <a:solidFill>
              <a:srgbClr val="000000"/>
            </a:solidFill>
            <a:effectLst/>
            <a:uLnTx/>
            <a:uFillTx/>
            <a:latin typeface="Times New Roman"/>
            <a:ea typeface="+mn-ea"/>
            <a:cs typeface="Times New Roman"/>
          </a:endParaRPr>
        </a:p>
        <a:p>
          <a:pPr algn="l" rtl="0">
            <a:lnSpc>
              <a:spcPts val="1600"/>
            </a:lnSpc>
            <a:defRPr sz="1000"/>
          </a:pPr>
          <a:r>
            <a:rPr lang="nb-NO" sz="1200" b="0" i="0" strike="noStrike">
              <a:solidFill>
                <a:srgbClr val="000000"/>
              </a:solidFill>
              <a:latin typeface="Times New Roman"/>
              <a:cs typeface="Times New Roman"/>
            </a:rPr>
            <a:t>SpareBank 1 Forsikring</a:t>
          </a:r>
        </a:p>
        <a:p>
          <a:pPr algn="l" rtl="0">
            <a:lnSpc>
              <a:spcPts val="1700"/>
            </a:lnSpc>
            <a:defRPr sz="1000"/>
          </a:pPr>
          <a:r>
            <a:rPr lang="nb-NO" sz="1200" b="0" i="0" strike="noStrike">
              <a:solidFill>
                <a:srgbClr val="000000"/>
              </a:solidFill>
              <a:latin typeface="Times New Roman"/>
              <a:cs typeface="Times New Roman"/>
            </a:rPr>
            <a:t>Storebrand Livsforsikring</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600"/>
            </a:lnSpc>
            <a:defRPr sz="1000"/>
          </a:pPr>
          <a:r>
            <a:rPr lang="nb-NO" sz="1200" b="0" i="0" u="sng" strike="noStrike">
              <a:solidFill>
                <a:srgbClr val="000000"/>
              </a:solidFill>
              <a:latin typeface="Times New Roman"/>
              <a:cs typeface="Times New Roman"/>
            </a:rPr>
            <a:t>Utenlandske filialer</a:t>
          </a:r>
          <a:r>
            <a:rPr lang="nb-NO" sz="1200" b="0" i="0" strike="noStrike">
              <a:solidFill>
                <a:srgbClr val="000000"/>
              </a:solidFill>
              <a:latin typeface="Times New Roman"/>
              <a:cs typeface="Times New Roman"/>
            </a:rPr>
            <a:t>:</a:t>
          </a:r>
        </a:p>
        <a:p>
          <a:pPr algn="l" rtl="0">
            <a:lnSpc>
              <a:spcPts val="1700"/>
            </a:lnSpc>
            <a:defRPr sz="1000"/>
          </a:pPr>
          <a:r>
            <a:rPr lang="nb-NO" sz="1200" b="0" i="0" strike="noStrike">
              <a:solidFill>
                <a:srgbClr val="000000"/>
              </a:solidFill>
              <a:latin typeface="Times New Roman"/>
              <a:cs typeface="Times New Roman"/>
            </a:rPr>
            <a:t>Disse har ikke samme krav til regnskapsføring som norske livselskaper, og rapporterer derfor kun utvalgte</a:t>
          </a:r>
          <a:r>
            <a:rPr lang="nb-NO" sz="1200" b="0" i="0" strike="noStrike" baseline="0">
              <a:solidFill>
                <a:srgbClr val="000000"/>
              </a:solidFill>
              <a:latin typeface="Times New Roman"/>
              <a:cs typeface="Times New Roman"/>
            </a:rPr>
            <a:t> poster</a:t>
          </a:r>
          <a:r>
            <a:rPr lang="nb-NO" sz="1200" b="0" i="0" strike="noStrike">
              <a:solidFill>
                <a:srgbClr val="000000"/>
              </a:solidFill>
              <a:latin typeface="Times New Roman"/>
              <a:cs typeface="Times New Roman"/>
            </a:rPr>
            <a:t>.</a:t>
          </a:r>
        </a:p>
        <a:p>
          <a:pPr algn="l" rtl="0">
            <a:lnSpc>
              <a:spcPts val="1600"/>
            </a:lnSpc>
            <a:defRPr sz="1000"/>
          </a:pP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I figurer og tabeller har enkelte selskap "forkortede" navn.</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r>
            <a:rPr lang="nb-NO" sz="1200" b="0" i="0" strike="noStrike">
              <a:solidFill>
                <a:srgbClr val="000000"/>
              </a:solidFill>
              <a:latin typeface="Times New Roman"/>
              <a:cs typeface="Times New Roman"/>
            </a:rPr>
            <a:t> </a:t>
          </a: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000"/>
            </a:lnSpc>
            <a:defRPr sz="1000"/>
          </a:pPr>
          <a:endParaRPr lang="nb-NO" sz="14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000"/>
            </a:lnSpc>
            <a:defRPr sz="1000"/>
          </a:pPr>
          <a:endParaRPr lang="nb-NO" sz="1400" b="0" i="0" strike="noStrike">
            <a:solidFill>
              <a:srgbClr val="000000"/>
            </a:solidFill>
            <a:latin typeface="Times New Roman"/>
            <a:cs typeface="Times New Roman"/>
          </a:endParaRPr>
        </a:p>
      </xdr:txBody>
    </xdr:sp>
    <xdr:clientData/>
  </xdr:twoCellAnchor>
  <xdr:twoCellAnchor>
    <xdr:from>
      <xdr:col>3</xdr:col>
      <xdr:colOff>455084</xdr:colOff>
      <xdr:row>5</xdr:row>
      <xdr:rowOff>10583</xdr:rowOff>
    </xdr:from>
    <xdr:to>
      <xdr:col>11</xdr:col>
      <xdr:colOff>349250</xdr:colOff>
      <xdr:row>29</xdr:row>
      <xdr:rowOff>63500</xdr:rowOff>
    </xdr:to>
    <xdr:sp macro="" textlink="">
      <xdr:nvSpPr>
        <xdr:cNvPr id="5" name="TekstSylinder 4">
          <a:extLst>
            <a:ext uri="{FF2B5EF4-FFF2-40B4-BE49-F238E27FC236}">
              <a16:creationId xmlns:a16="http://schemas.microsoft.com/office/drawing/2014/main" id="{00000000-0008-0000-2100-000005000000}"/>
            </a:ext>
          </a:extLst>
        </xdr:cNvPr>
        <xdr:cNvSpPr txBox="1"/>
      </xdr:nvSpPr>
      <xdr:spPr>
        <a:xfrm>
          <a:off x="12170834" y="804333"/>
          <a:ext cx="6413499" cy="828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endParaRPr lang="nb-NO">
            <a:effectLst/>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Kommentarer til dataene</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u="sng"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u="sng" baseline="0">
              <a:solidFill>
                <a:schemeClr val="dk1"/>
              </a:solidFill>
              <a:effectLst/>
              <a:latin typeface="Times New Roman" panose="02020603050405020304" pitchFamily="18" charset="0"/>
              <a:ea typeface="+mn-ea"/>
              <a:cs typeface="Times New Roman" panose="02020603050405020304" pitchFamily="18" charset="0"/>
            </a:rPr>
            <a:t>Generelle kommentarer</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Når det nedenfor står "Endring i 20xx-tall", menes endringer i forhold til tilsvarende periode året før.</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For Brutto forfalt premie kan regnskapstallene (Tabell 4) være høyere enn markedstallene (Tabell 2a) fordi de kan inneholde tall for skadeforsikring og utenlandsk virksomhet.</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For Overførte reserver til/fra andre i markedstallene inngår ikke overførte reserver som gjelder Gruppeliv. Disse vil imidlertid inngå i Tabell 4.</a:t>
          </a:r>
          <a:endParaRPr lang="nb-NO" sz="1100">
            <a:latin typeface="Times New Roman" panose="02020603050405020304" pitchFamily="18" charset="0"/>
            <a:cs typeface="Times New Roman" panose="02020603050405020304" pitchFamily="18" charset="0"/>
          </a:endParaRPr>
        </a:p>
        <a:p>
          <a:endParaRPr lang="nb-NO" sz="1100" u="sng">
            <a:latin typeface="Times New Roman" panose="02020603050405020304" pitchFamily="18" charset="0"/>
            <a:cs typeface="Times New Roman" panose="02020603050405020304" pitchFamily="18" charset="0"/>
          </a:endParaRPr>
        </a:p>
        <a:p>
          <a:pPr rtl="0" eaLnBrk="1" fontAlgn="auto" latinLnBrk="0" hangingPunct="1"/>
          <a:r>
            <a:rPr lang="nb-NO" sz="1100" u="sng">
              <a:solidFill>
                <a:schemeClr val="dk1"/>
              </a:solidFill>
              <a:effectLst/>
              <a:latin typeface="+mn-lt"/>
              <a:ea typeface="+mn-ea"/>
              <a:cs typeface="+mn-cs"/>
            </a:rPr>
            <a:t>Codan Forsikring:</a:t>
          </a:r>
          <a:endParaRPr lang="nb-NO">
            <a:effectLst/>
          </a:endParaRPr>
        </a:p>
        <a:p>
          <a:pPr rtl="0" eaLnBrk="1" fontAlgn="auto" latinLnBrk="0" hangingPunct="1"/>
          <a:r>
            <a:rPr lang="nb-NO" sz="1100">
              <a:solidFill>
                <a:schemeClr val="dk1"/>
              </a:solidFill>
              <a:effectLst/>
              <a:latin typeface="+mn-lt"/>
              <a:ea typeface="+mn-ea"/>
              <a:cs typeface="+mn-cs"/>
            </a:rPr>
            <a:t>I</a:t>
          </a:r>
          <a:r>
            <a:rPr lang="nb-NO" sz="1100" baseline="0">
              <a:solidFill>
                <a:schemeClr val="dk1"/>
              </a:solidFill>
              <a:effectLst/>
              <a:latin typeface="+mn-lt"/>
              <a:ea typeface="+mn-ea"/>
              <a:cs typeface="+mn-cs"/>
            </a:rPr>
            <a:t> statistikken inngår s</a:t>
          </a:r>
          <a:r>
            <a:rPr lang="nb-NO" sz="1100">
              <a:solidFill>
                <a:schemeClr val="dk1"/>
              </a:solidFill>
              <a:effectLst/>
              <a:latin typeface="+mn-lt"/>
              <a:ea typeface="+mn-ea"/>
              <a:cs typeface="+mn-cs"/>
            </a:rPr>
            <a:t>elskapet i Tryg Forsikring fra 2.kvartal 2022</a:t>
          </a:r>
          <a:r>
            <a:rPr lang="nb-NO" sz="1100" baseline="0">
              <a:solidFill>
                <a:schemeClr val="dk1"/>
              </a:solidFill>
              <a:effectLst/>
              <a:latin typeface="+mn-lt"/>
              <a:ea typeface="+mn-ea"/>
              <a:cs typeface="+mn-cs"/>
            </a:rPr>
            <a:t>.</a:t>
          </a:r>
          <a:br>
            <a:rPr lang="nb-NO" sz="1100" baseline="0">
              <a:solidFill>
                <a:schemeClr val="dk1"/>
              </a:solidFill>
              <a:effectLst/>
              <a:latin typeface="+mn-lt"/>
              <a:ea typeface="+mn-ea"/>
              <a:cs typeface="+mn-cs"/>
            </a:rPr>
          </a:br>
          <a:endParaRPr lang="nb-NO" sz="1100" baseline="0">
            <a:solidFill>
              <a:schemeClr val="dk1"/>
            </a:solidFill>
            <a:effectLst/>
            <a:latin typeface="+mn-lt"/>
            <a:ea typeface="+mn-ea"/>
            <a:cs typeface="+mn-cs"/>
          </a:endParaRPr>
        </a:p>
        <a:p>
          <a:r>
            <a:rPr lang="nb-NO" sz="1100" u="sng" baseline="0">
              <a:solidFill>
                <a:schemeClr val="dk1"/>
              </a:solidFill>
              <a:effectLst/>
              <a:latin typeface="+mn-lt"/>
              <a:ea typeface="+mn-ea"/>
              <a:cs typeface="+mn-cs"/>
            </a:rPr>
            <a:t>Danica Pensjonsforsikring</a:t>
          </a:r>
          <a:endParaRPr lang="nb-NO">
            <a:effectLst/>
          </a:endParaRPr>
        </a:p>
        <a:p>
          <a:r>
            <a:rPr lang="nb-NO" sz="1100" baseline="0">
              <a:solidFill>
                <a:schemeClr val="dk1"/>
              </a:solidFill>
              <a:effectLst/>
              <a:latin typeface="+mn-lt"/>
              <a:ea typeface="+mn-ea"/>
              <a:cs typeface="+mn-cs"/>
            </a:rPr>
            <a:t>Selskapet heter i statistikken fra 3.kvartal 2022 Storebrand Danica Pensjon.</a:t>
          </a:r>
        </a:p>
        <a:p>
          <a:pPr rtl="0" eaLnBrk="1" fontAlgn="auto" latinLnBrk="0" hangingPunct="1"/>
          <a:endParaRPr lang="nb-NO">
            <a:effectLst/>
          </a:endParaRPr>
        </a:p>
        <a:p>
          <a:r>
            <a:rPr lang="nb-NO" sz="1100" u="sng">
              <a:solidFill>
                <a:schemeClr val="dk1"/>
              </a:solidFill>
              <a:effectLst/>
              <a:latin typeface="+mn-lt"/>
              <a:ea typeface="+mn-ea"/>
              <a:cs typeface="+mn-cs"/>
            </a:rPr>
            <a:t>Ly</a:t>
          </a:r>
          <a:r>
            <a:rPr lang="nb-NO" sz="1100" u="sng" baseline="0">
              <a:solidFill>
                <a:schemeClr val="dk1"/>
              </a:solidFill>
              <a:effectLst/>
              <a:latin typeface="+mn-lt"/>
              <a:ea typeface="+mn-ea"/>
              <a:cs typeface="+mn-cs"/>
            </a:rPr>
            <a:t> Forsikring</a:t>
          </a:r>
          <a:endParaRPr lang="nb-NO">
            <a:effectLst/>
          </a:endParaRPr>
        </a:p>
        <a:p>
          <a:r>
            <a:rPr lang="nb-NO" sz="1100" baseline="0">
              <a:solidFill>
                <a:schemeClr val="dk1"/>
              </a:solidFill>
              <a:effectLst/>
              <a:latin typeface="+mn-lt"/>
              <a:ea typeface="+mn-ea"/>
              <a:cs typeface="+mn-cs"/>
            </a:rPr>
            <a:t>Selskapet inngår i statistikken fra 2.kvartal 2022.</a:t>
          </a:r>
          <a:endParaRPr lang="nb-NO">
            <a:effectLst/>
          </a:endParaRPr>
        </a:p>
        <a:p>
          <a:br>
            <a:rPr lang="nb-NO" sz="1100" u="sng">
              <a:solidFill>
                <a:schemeClr val="dk1"/>
              </a:solidFill>
              <a:effectLst/>
              <a:latin typeface="+mn-lt"/>
              <a:ea typeface="+mn-ea"/>
              <a:cs typeface="+mn-cs"/>
            </a:rPr>
          </a:br>
          <a:r>
            <a:rPr lang="nb-NO" sz="1100" u="sng">
              <a:solidFill>
                <a:schemeClr val="dk1"/>
              </a:solidFill>
              <a:effectLst/>
              <a:latin typeface="+mn-lt"/>
              <a:ea typeface="+mn-ea"/>
              <a:cs typeface="+mn-cs"/>
            </a:rPr>
            <a:t>Youplus Livsforsikring</a:t>
          </a:r>
          <a:endParaRPr lang="nb-NO">
            <a:effectLst/>
          </a:endParaRPr>
        </a:p>
        <a:p>
          <a:r>
            <a:rPr lang="nb-NO" sz="1100">
              <a:solidFill>
                <a:schemeClr val="dk1"/>
              </a:solidFill>
              <a:effectLst/>
              <a:latin typeface="+mn-lt"/>
              <a:ea typeface="+mn-ea"/>
              <a:cs typeface="+mn-cs"/>
            </a:rPr>
            <a:t>Selskapet inngår i statistikken fra 1. kvartal 2022.</a:t>
          </a:r>
          <a:endParaRPr lang="nb-NO">
            <a:effectLst/>
          </a:endParaRPr>
        </a:p>
        <a:p>
          <a:pPr marL="0" indent="0"/>
          <a:endParaRPr lang="nb-NO" sz="1100" u="none">
            <a:solidFill>
              <a:schemeClr val="dk1"/>
            </a:solidFill>
            <a:latin typeface="Times New Roman" panose="02020603050405020304" pitchFamily="18" charset="0"/>
            <a:ea typeface="+mn-ea"/>
            <a:cs typeface="Times New Roman" panose="02020603050405020304" pitchFamily="18" charset="0"/>
          </a:endParaRPr>
        </a:p>
        <a:p>
          <a:endParaRPr lang="nb-NO" sz="1100">
            <a:latin typeface="Times New Roman" panose="02020603050405020304" pitchFamily="18" charset="0"/>
            <a:cs typeface="Times New Roman" panose="02020603050405020304" pitchFamily="18" charset="0"/>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Innsamlede data</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 innsamlede data er identiske med det som forekommer i statistikken.</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 underliggende tallene for statistikken er med en desimal, men statistikktallene publiseres uten desimaler. </a:t>
          </a: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Det betyr at sumtall i formler kan avvike fra de synlige summene.</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1"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Prosentendringer</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Prosentendringer med tallverdi ≥ 1000 gjengis som enten 999 eller - 999. Sammenligner vi tall med samme fortegn, vil vi få prosentøkning når vi går fra lavere tallverdi til høyere tallverdi. Sammenligner vi tall med ulike fortegn, vil vi få prosentøkning når vi går fra negative tall til positive tall. Prosentendringer fra negative tall til 0 (null) = + 100, mens prosentendringer fra positive tall til 0 (null) = - 100. Prosentendringer fra 0 til positive eller negative tall angis ikke (---). Det samme gjelder små tallstørrelser som vises som 0.</a:t>
          </a:r>
          <a:endParaRPr lang="nb-NO" sz="1100">
            <a:effectLst/>
            <a:latin typeface="Times New Roman" panose="02020603050405020304" pitchFamily="18" charset="0"/>
            <a:cs typeface="Times New Roman" panose="02020603050405020304" pitchFamily="18" charset="0"/>
          </a:endParaRPr>
        </a:p>
        <a:p>
          <a:endParaRPr lang="nb-NO" sz="1100">
            <a:latin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file01\finansnorge\SFA\Statistikk%20og%20analyse\Fellessaker\Ny%20presentasjon%20MA\Overset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atistikk%20og%20analyse/Livstatistikk/Faste%20statistikker/MA/2022/Q3-22/Mottatte/SpareBank%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at"/>
      <sheetName val="Oppslagstabeller"/>
      <sheetName val="Oversetter"/>
    </sheetNames>
    <sheetDataSet>
      <sheetData sheetId="0"/>
      <sheetData sheetId="1">
        <row r="1">
          <cell r="A1" t="str">
            <v>selskap_id</v>
          </cell>
          <cell r="B1" t="str">
            <v>sortering</v>
          </cell>
          <cell r="C1" t="str">
            <v>2a</v>
          </cell>
          <cell r="D1" t="str">
            <v>2b</v>
          </cell>
          <cell r="E1" t="str">
            <v>3a</v>
          </cell>
          <cell r="F1" t="str">
            <v>3b</v>
          </cell>
          <cell r="G1" t="str">
            <v>selskap_navn</v>
          </cell>
        </row>
        <row r="2">
          <cell r="A2" t="str">
            <v>19</v>
          </cell>
          <cell r="B2" t="str">
            <v>01</v>
          </cell>
          <cell r="C2">
            <v>3</v>
          </cell>
          <cell r="E2">
            <v>3</v>
          </cell>
          <cell r="G2" t="str">
            <v>ACE European Group Ltd</v>
          </cell>
        </row>
        <row r="3">
          <cell r="A3" t="str">
            <v>34</v>
          </cell>
          <cell r="B3" t="str">
            <v>02</v>
          </cell>
          <cell r="C3">
            <v>7</v>
          </cell>
          <cell r="D3">
            <v>3</v>
          </cell>
          <cell r="E3">
            <v>7</v>
          </cell>
          <cell r="F3">
            <v>3</v>
          </cell>
          <cell r="G3" t="str">
            <v>Danica Pensjonsforsikring</v>
          </cell>
        </row>
        <row r="4">
          <cell r="A4" t="str">
            <v>35</v>
          </cell>
          <cell r="B4" t="str">
            <v>03</v>
          </cell>
          <cell r="C4">
            <v>11</v>
          </cell>
          <cell r="D4">
            <v>7</v>
          </cell>
          <cell r="E4">
            <v>11</v>
          </cell>
          <cell r="F4">
            <v>7</v>
          </cell>
          <cell r="G4" t="str">
            <v>DNB Livsforsikring ASA</v>
          </cell>
          <cell r="N4">
            <v>16</v>
          </cell>
        </row>
        <row r="5">
          <cell r="A5" t="str">
            <v>15</v>
          </cell>
          <cell r="B5" t="str">
            <v>04</v>
          </cell>
          <cell r="C5">
            <v>15</v>
          </cell>
          <cell r="E5">
            <v>15</v>
          </cell>
          <cell r="G5" t="str">
            <v>Eika Gruppen AS</v>
          </cell>
          <cell r="N5" t="str">
            <v>4.-kvartal-2015-markedsandeler---endelige-tall-og-regnskapsstatistikk.xlsx</v>
          </cell>
        </row>
        <row r="6">
          <cell r="A6" t="str">
            <v>36</v>
          </cell>
          <cell r="B6" t="str">
            <v>05</v>
          </cell>
          <cell r="C6">
            <v>19</v>
          </cell>
          <cell r="D6">
            <v>11</v>
          </cell>
          <cell r="E6">
            <v>19</v>
          </cell>
          <cell r="F6">
            <v>11</v>
          </cell>
          <cell r="G6" t="str">
            <v>Frende Livsforsikring AS</v>
          </cell>
        </row>
        <row r="7">
          <cell r="A7" t="str">
            <v>20</v>
          </cell>
          <cell r="B7" t="str">
            <v>06</v>
          </cell>
          <cell r="C7">
            <v>23</v>
          </cell>
          <cell r="E7">
            <v>23</v>
          </cell>
          <cell r="G7" t="str">
            <v>Frende Skadeforsikring AS</v>
          </cell>
        </row>
        <row r="8">
          <cell r="A8" t="str">
            <v>4</v>
          </cell>
          <cell r="B8" t="str">
            <v>07</v>
          </cell>
          <cell r="C8">
            <v>27</v>
          </cell>
          <cell r="E8">
            <v>27</v>
          </cell>
          <cell r="G8" t="str">
            <v>Gjensidige Forsikring ASA</v>
          </cell>
        </row>
        <row r="9">
          <cell r="A9" t="str">
            <v>37</v>
          </cell>
          <cell r="B9" t="str">
            <v>08</v>
          </cell>
          <cell r="C9">
            <v>31</v>
          </cell>
          <cell r="D9">
            <v>15</v>
          </cell>
          <cell r="E9">
            <v>31</v>
          </cell>
          <cell r="F9">
            <v>15</v>
          </cell>
          <cell r="G9" t="str">
            <v>Gjensidige Pensjon og Sparing</v>
          </cell>
        </row>
        <row r="10">
          <cell r="A10" t="str">
            <v>38</v>
          </cell>
          <cell r="B10" t="str">
            <v>09</v>
          </cell>
          <cell r="C10">
            <v>35</v>
          </cell>
          <cell r="E10">
            <v>35</v>
          </cell>
          <cell r="G10" t="str">
            <v>Handelsbanken Liv</v>
          </cell>
        </row>
        <row r="11">
          <cell r="A11" t="str">
            <v>6</v>
          </cell>
          <cell r="B11" t="str">
            <v>10</v>
          </cell>
          <cell r="C11">
            <v>39</v>
          </cell>
          <cell r="E11">
            <v>39</v>
          </cell>
          <cell r="G11" t="str">
            <v>If Skadeforsikring nuf</v>
          </cell>
        </row>
        <row r="12">
          <cell r="A12" t="str">
            <v>39</v>
          </cell>
          <cell r="B12" t="str">
            <v>11</v>
          </cell>
          <cell r="C12">
            <v>47</v>
          </cell>
          <cell r="D12">
            <v>23</v>
          </cell>
          <cell r="E12">
            <v>47</v>
          </cell>
          <cell r="F12">
            <v>23</v>
          </cell>
          <cell r="G12" t="str">
            <v>KLP Bedriftspensjon AS</v>
          </cell>
        </row>
        <row r="13">
          <cell r="A13" t="str">
            <v>5</v>
          </cell>
          <cell r="B13" t="str">
            <v>12</v>
          </cell>
          <cell r="C13">
            <v>43</v>
          </cell>
          <cell r="D13">
            <v>19</v>
          </cell>
          <cell r="E13">
            <v>43</v>
          </cell>
          <cell r="F13">
            <v>19</v>
          </cell>
          <cell r="G13" t="str">
            <v>KLP</v>
          </cell>
        </row>
        <row r="14">
          <cell r="A14" t="str">
            <v>22</v>
          </cell>
          <cell r="B14" t="str">
            <v>13</v>
          </cell>
          <cell r="C14">
            <v>55</v>
          </cell>
          <cell r="E14">
            <v>55</v>
          </cell>
          <cell r="G14" t="str">
            <v>Landbruksforsikring AS</v>
          </cell>
        </row>
        <row r="15">
          <cell r="A15" t="str">
            <v>17</v>
          </cell>
          <cell r="B15" t="str">
            <v>14</v>
          </cell>
          <cell r="C15">
            <v>59</v>
          </cell>
          <cell r="E15">
            <v>59</v>
          </cell>
          <cell r="G15" t="str">
            <v>NEMI Forsikring AS</v>
          </cell>
        </row>
        <row r="16">
          <cell r="A16" t="str">
            <v>40</v>
          </cell>
          <cell r="B16" t="str">
            <v>15</v>
          </cell>
          <cell r="C16">
            <v>63</v>
          </cell>
          <cell r="D16">
            <v>27</v>
          </cell>
          <cell r="E16">
            <v>63</v>
          </cell>
          <cell r="F16">
            <v>27</v>
          </cell>
          <cell r="G16" t="str">
            <v>Livsforsikringsselskapet Nordea Liv Norge AS</v>
          </cell>
        </row>
        <row r="17">
          <cell r="A17" t="str">
            <v>41</v>
          </cell>
          <cell r="B17" t="str">
            <v>16</v>
          </cell>
          <cell r="C17">
            <v>67</v>
          </cell>
          <cell r="E17">
            <v>67</v>
          </cell>
          <cell r="G17" t="str">
            <v>Oslo Pensjonsforsikring</v>
          </cell>
        </row>
        <row r="18">
          <cell r="A18" t="str">
            <v>43</v>
          </cell>
          <cell r="B18" t="str">
            <v>17</v>
          </cell>
          <cell r="C18">
            <v>71</v>
          </cell>
          <cell r="D18">
            <v>35</v>
          </cell>
          <cell r="E18">
            <v>71</v>
          </cell>
          <cell r="F18">
            <v>35</v>
          </cell>
          <cell r="G18" t="str">
            <v>Silver Pensjonsforsikring  AS</v>
          </cell>
        </row>
        <row r="19">
          <cell r="A19" t="str">
            <v>49</v>
          </cell>
          <cell r="B19" t="str">
            <v>18</v>
          </cell>
          <cell r="C19">
            <v>75</v>
          </cell>
          <cell r="D19">
            <v>39</v>
          </cell>
          <cell r="E19">
            <v>75</v>
          </cell>
          <cell r="F19">
            <v>39</v>
          </cell>
          <cell r="G19" t="str">
            <v>Sparebank 1 Fondsforsikring</v>
          </cell>
        </row>
        <row r="20">
          <cell r="A20" t="str">
            <v>50</v>
          </cell>
          <cell r="B20" t="str">
            <v>19</v>
          </cell>
          <cell r="C20">
            <v>79</v>
          </cell>
          <cell r="D20">
            <v>43</v>
          </cell>
          <cell r="E20">
            <v>79</v>
          </cell>
          <cell r="F20">
            <v>43</v>
          </cell>
          <cell r="G20" t="str">
            <v>Storebrand Fondsforsikring</v>
          </cell>
        </row>
        <row r="21">
          <cell r="A21" t="str">
            <v>16</v>
          </cell>
          <cell r="B21" t="str">
            <v>20</v>
          </cell>
          <cell r="C21">
            <v>83</v>
          </cell>
          <cell r="E21">
            <v>83</v>
          </cell>
          <cell r="G21" t="str">
            <v>Telenor Forsikring AS</v>
          </cell>
        </row>
        <row r="22">
          <cell r="A22" t="str">
            <v>47</v>
          </cell>
          <cell r="B22" t="str">
            <v>21</v>
          </cell>
          <cell r="G22" t="str">
            <v>TrygVesta Forsikring</v>
          </cell>
        </row>
        <row r="23">
          <cell r="A23" t="str">
            <v>8</v>
          </cell>
          <cell r="B23" t="str">
            <v>22</v>
          </cell>
          <cell r="C23">
            <v>87</v>
          </cell>
          <cell r="E23">
            <v>87</v>
          </cell>
          <cell r="G23" t="str">
            <v>Tryg Forsikring</v>
          </cell>
        </row>
        <row r="24">
          <cell r="A24" t="str">
            <v>10</v>
          </cell>
          <cell r="B24" t="str">
            <v>23</v>
          </cell>
          <cell r="G24" t="str">
            <v>SpareBank 1 Forsikring AS</v>
          </cell>
        </row>
        <row r="25">
          <cell r="A25" t="str">
            <v>32</v>
          </cell>
          <cell r="B25" t="str">
            <v>24</v>
          </cell>
          <cell r="G25" t="str">
            <v>Storebrand ASA</v>
          </cell>
        </row>
        <row r="26">
          <cell r="A26" t="str">
            <v>33</v>
          </cell>
          <cell r="B26" t="str">
            <v>25</v>
          </cell>
          <cell r="G26" t="str">
            <v>Altraplan Luxembourg</v>
          </cell>
        </row>
        <row r="27">
          <cell r="A27" t="str">
            <v>42</v>
          </cell>
          <cell r="B27" t="str">
            <v>26</v>
          </cell>
          <cell r="D27">
            <v>31</v>
          </cell>
          <cell r="F27">
            <v>31</v>
          </cell>
          <cell r="G27" t="str">
            <v>SHB Liv</v>
          </cell>
        </row>
        <row r="28">
          <cell r="A28" t="str">
            <v>44</v>
          </cell>
          <cell r="B28" t="str">
            <v>27</v>
          </cell>
          <cell r="C28">
            <v>51</v>
          </cell>
          <cell r="E28">
            <v>51</v>
          </cell>
          <cell r="G28" t="str">
            <v>KLP Skadeforsikring</v>
          </cell>
        </row>
        <row r="29">
          <cell r="A29" t="str">
            <v>45</v>
          </cell>
          <cell r="B29" t="str">
            <v>28</v>
          </cell>
          <cell r="G29" t="str">
            <v>Commercial Union International Life</v>
          </cell>
        </row>
        <row r="30">
          <cell r="A30" t="str">
            <v>46</v>
          </cell>
          <cell r="B30" t="str">
            <v>29</v>
          </cell>
          <cell r="G30" t="str">
            <v>Gjensidige NOR Spareforsikring</v>
          </cell>
        </row>
        <row r="31">
          <cell r="A31" t="str">
            <v>48</v>
          </cell>
          <cell r="B31" t="str">
            <v>30</v>
          </cell>
          <cell r="G31" t="str">
            <v>Vesta</v>
          </cell>
        </row>
        <row r="32">
          <cell r="A32" t="str">
            <v>51</v>
          </cell>
          <cell r="B32" t="str">
            <v>31</v>
          </cell>
          <cell r="G32" t="str">
            <v>Danica Link</v>
          </cell>
        </row>
        <row r="33">
          <cell r="A33" t="str">
            <v>52</v>
          </cell>
          <cell r="B33" t="str">
            <v>32</v>
          </cell>
          <cell r="G33" t="str">
            <v>Danica Fondsforsikring</v>
          </cell>
        </row>
        <row r="34">
          <cell r="A34" t="str">
            <v>53</v>
          </cell>
          <cell r="B34" t="str">
            <v>33</v>
          </cell>
          <cell r="G34" t="str">
            <v>Gjensidige NOR Fondsforsikring</v>
          </cell>
        </row>
        <row r="35">
          <cell r="A35" t="str">
            <v>54</v>
          </cell>
          <cell r="B35" t="str">
            <v>34</v>
          </cell>
          <cell r="G35" t="str">
            <v>Vital Link</v>
          </cell>
        </row>
        <row r="36">
          <cell r="A36" t="str">
            <v>55</v>
          </cell>
          <cell r="B36" t="str">
            <v>35</v>
          </cell>
          <cell r="G36" t="str">
            <v>Nordea Link</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 2a"/>
      <sheetName val="Tabell 2b"/>
      <sheetName val="Tabell 3a"/>
      <sheetName val="Tabell 3b"/>
      <sheetName val="Tabell 4"/>
      <sheetName val="Tabell 6"/>
      <sheetName val="Tabell 8"/>
      <sheetName val="Noter og kommentarer"/>
    </sheetNames>
    <sheetDataSet>
      <sheetData sheetId="0"/>
      <sheetData sheetId="1"/>
      <sheetData sheetId="2"/>
      <sheetData sheetId="3"/>
      <sheetData sheetId="4"/>
      <sheetData sheetId="5">
        <row r="68">
          <cell r="AG68">
            <v>4972.6959999999999</v>
          </cell>
        </row>
        <row r="74">
          <cell r="AG74">
            <v>1413.741</v>
          </cell>
        </row>
        <row r="75">
          <cell r="AG75">
            <v>1859.2809999999999</v>
          </cell>
        </row>
        <row r="80">
          <cell r="AG80">
            <v>22432.219302810001</v>
          </cell>
        </row>
      </sheetData>
      <sheetData sheetId="6"/>
      <sheetData sheetId="7"/>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5"/>
  <sheetViews>
    <sheetView showGridLines="0" topLeftCell="A16" workbookViewId="0">
      <selection activeCell="L39" sqref="L39"/>
    </sheetView>
  </sheetViews>
  <sheetFormatPr baseColWidth="10" defaultColWidth="11.42578125" defaultRowHeight="12.75" x14ac:dyDescent="0.2"/>
  <sheetData>
    <row r="1" spans="2:9" s="49" customFormat="1" x14ac:dyDescent="0.2"/>
    <row r="2" spans="2:9" s="49" customFormat="1" x14ac:dyDescent="0.2"/>
    <row r="3" spans="2:9" s="49" customFormat="1" x14ac:dyDescent="0.2"/>
    <row r="4" spans="2:9" s="49" customFormat="1" x14ac:dyDescent="0.2"/>
    <row r="5" spans="2:9" s="49" customFormat="1" x14ac:dyDescent="0.2">
      <c r="B5" s="50"/>
      <c r="C5" s="50"/>
      <c r="D5" s="50"/>
      <c r="E5" s="50"/>
      <c r="F5" s="50"/>
      <c r="G5" s="50"/>
      <c r="H5" s="50"/>
    </row>
    <row r="6" spans="2:9" s="49" customFormat="1" ht="23.25" x14ac:dyDescent="0.35">
      <c r="B6" s="51"/>
      <c r="C6" s="50"/>
      <c r="D6" s="50"/>
      <c r="E6" s="50"/>
      <c r="F6" s="50"/>
      <c r="G6" s="50"/>
      <c r="H6" s="50"/>
      <c r="I6" s="52"/>
    </row>
    <row r="7" spans="2:9" s="49" customFormat="1" x14ac:dyDescent="0.2">
      <c r="B7" s="50"/>
      <c r="C7" s="50"/>
      <c r="D7" s="50"/>
      <c r="E7" s="50"/>
      <c r="F7" s="50"/>
      <c r="G7" s="50"/>
      <c r="H7" s="50"/>
      <c r="I7" s="50"/>
    </row>
    <row r="8" spans="2:9" s="49" customFormat="1" x14ac:dyDescent="0.2">
      <c r="B8" s="50"/>
      <c r="C8" s="50"/>
      <c r="D8" s="50"/>
      <c r="F8" s="50"/>
      <c r="G8" s="50"/>
      <c r="H8" s="50"/>
    </row>
    <row r="9" spans="2:9" s="49" customFormat="1" x14ac:dyDescent="0.2">
      <c r="B9" s="50"/>
      <c r="C9" s="50"/>
      <c r="D9" s="50"/>
      <c r="E9" s="50"/>
      <c r="F9" s="50"/>
      <c r="G9" s="50"/>
      <c r="H9" s="50"/>
    </row>
    <row r="10" spans="2:9" s="49" customFormat="1" ht="23.25" x14ac:dyDescent="0.35">
      <c r="B10" s="50"/>
      <c r="C10" s="50"/>
      <c r="D10" s="50"/>
      <c r="I10" s="52"/>
    </row>
    <row r="11" spans="2:9" s="49" customFormat="1" x14ac:dyDescent="0.2">
      <c r="B11" s="50"/>
      <c r="C11" s="50"/>
      <c r="D11" s="50"/>
    </row>
    <row r="12" spans="2:9" s="49" customFormat="1" ht="27" customHeight="1" x14ac:dyDescent="0.35">
      <c r="B12" s="50"/>
      <c r="C12" s="50"/>
      <c r="D12" s="50"/>
      <c r="E12" s="50"/>
      <c r="F12" s="50"/>
      <c r="G12" s="50"/>
      <c r="H12" s="50"/>
      <c r="I12" s="52"/>
    </row>
    <row r="13" spans="2:9" s="49" customFormat="1" ht="19.5" customHeight="1" x14ac:dyDescent="0.35">
      <c r="B13" s="50"/>
      <c r="I13" s="52"/>
    </row>
    <row r="14" spans="2:9" s="49" customFormat="1" x14ac:dyDescent="0.2">
      <c r="B14" s="50"/>
      <c r="C14" s="50"/>
      <c r="D14" s="50"/>
      <c r="F14" s="50"/>
      <c r="G14" s="50"/>
      <c r="H14" s="50"/>
    </row>
    <row r="15" spans="2:9" s="49" customFormat="1" x14ac:dyDescent="0.2">
      <c r="B15" s="50"/>
      <c r="C15" s="50"/>
      <c r="D15" s="50"/>
      <c r="F15" s="50"/>
      <c r="G15" s="50"/>
      <c r="H15" s="50"/>
      <c r="I15" s="50"/>
    </row>
    <row r="16" spans="2:9" s="49" customFormat="1" ht="34.5" x14ac:dyDescent="0.45">
      <c r="B16" s="50"/>
      <c r="C16" s="50"/>
      <c r="D16" s="50"/>
      <c r="E16" s="53"/>
      <c r="F16" s="50"/>
      <c r="G16" s="50"/>
      <c r="H16" s="50"/>
      <c r="I16" s="50"/>
    </row>
    <row r="17" spans="2:9" s="49" customFormat="1" ht="33" x14ac:dyDescent="0.45">
      <c r="B17" s="50"/>
      <c r="C17" s="50"/>
      <c r="D17" s="50"/>
      <c r="E17" s="54"/>
      <c r="F17" s="50"/>
      <c r="G17" s="50"/>
      <c r="H17" s="50"/>
      <c r="I17" s="50"/>
    </row>
    <row r="18" spans="2:9" s="49" customFormat="1" ht="33" x14ac:dyDescent="0.45">
      <c r="D18" s="54"/>
    </row>
    <row r="19" spans="2:9" s="49" customFormat="1" ht="18.75" x14ac:dyDescent="0.3">
      <c r="E19" s="55"/>
      <c r="I19" s="56"/>
    </row>
    <row r="20" spans="2:9" s="49" customFormat="1" x14ac:dyDescent="0.2"/>
    <row r="21" spans="2:9" s="49" customFormat="1" x14ac:dyDescent="0.2">
      <c r="E21" s="57"/>
    </row>
    <row r="22" spans="2:9" s="49" customFormat="1" ht="26.25" x14ac:dyDescent="0.4">
      <c r="E22" s="58"/>
    </row>
    <row r="23" spans="2:9" s="49" customFormat="1" x14ac:dyDescent="0.2"/>
    <row r="24" spans="2:9" s="49" customFormat="1" x14ac:dyDescent="0.2"/>
    <row r="25" spans="2:9" s="49" customFormat="1" ht="18.75" x14ac:dyDescent="0.3">
      <c r="E25" s="59"/>
    </row>
    <row r="26" spans="2:9" s="49" customFormat="1" ht="18.75" x14ac:dyDescent="0.3">
      <c r="E26" s="60"/>
    </row>
    <row r="27" spans="2:9" s="49" customFormat="1" x14ac:dyDescent="0.2"/>
    <row r="28" spans="2:9" s="49" customFormat="1" x14ac:dyDescent="0.2"/>
    <row r="29" spans="2:9" s="49" customFormat="1" x14ac:dyDescent="0.2"/>
    <row r="30" spans="2:9" s="49" customFormat="1" x14ac:dyDescent="0.2"/>
    <row r="31" spans="2:9" s="49" customFormat="1" x14ac:dyDescent="0.2"/>
    <row r="32" spans="2:9" s="49" customFormat="1" x14ac:dyDescent="0.2"/>
    <row r="33" spans="1:9" s="49" customFormat="1" ht="35.25" x14ac:dyDescent="0.2">
      <c r="A33" s="61"/>
    </row>
    <row r="34" spans="1:9" s="49" customFormat="1" x14ac:dyDescent="0.2"/>
    <row r="35" spans="1:9" s="49" customFormat="1" x14ac:dyDescent="0.2"/>
    <row r="36" spans="1:9" s="49" customFormat="1" ht="33" x14ac:dyDescent="0.2">
      <c r="B36" s="62"/>
    </row>
    <row r="37" spans="1:9" s="49" customFormat="1" x14ac:dyDescent="0.2"/>
    <row r="38" spans="1:9" s="49" customFormat="1" x14ac:dyDescent="0.2"/>
    <row r="39" spans="1:9" s="49" customFormat="1" ht="18" x14ac:dyDescent="0.25">
      <c r="B39" s="63"/>
    </row>
    <row r="40" spans="1:9" s="49" customFormat="1" x14ac:dyDescent="0.2"/>
    <row r="41" spans="1:9" s="49" customFormat="1" ht="18.75" x14ac:dyDescent="0.3">
      <c r="I41" s="64"/>
    </row>
    <row r="42" spans="1:9" s="49" customFormat="1" x14ac:dyDescent="0.2"/>
    <row r="43" spans="1:9" s="49" customFormat="1" ht="18.75" x14ac:dyDescent="0.3">
      <c r="B43" s="682"/>
      <c r="C43" s="682"/>
      <c r="D43" s="682"/>
    </row>
    <row r="44" spans="1:9" s="49" customFormat="1" x14ac:dyDescent="0.2"/>
    <row r="45" spans="1:9" s="49" customFormat="1" x14ac:dyDescent="0.2"/>
    <row r="46" spans="1:9" s="49" customFormat="1" x14ac:dyDescent="0.2"/>
    <row r="47" spans="1:9" s="49" customFormat="1" x14ac:dyDescent="0.2"/>
    <row r="48" spans="1:9" s="49" customFormat="1" x14ac:dyDescent="0.2"/>
    <row r="49" s="49" customFormat="1" x14ac:dyDescent="0.2"/>
    <row r="50" s="49" customFormat="1" x14ac:dyDescent="0.2"/>
    <row r="51" s="49" customFormat="1" x14ac:dyDescent="0.2"/>
    <row r="52" s="49" customFormat="1" x14ac:dyDescent="0.2"/>
    <row r="53" s="49" customFormat="1" x14ac:dyDescent="0.2"/>
    <row r="54" s="49" customFormat="1" x14ac:dyDescent="0.2"/>
    <row r="55" s="49" customFormat="1" x14ac:dyDescent="0.2"/>
  </sheetData>
  <mergeCells count="1">
    <mergeCell ref="B43:D43"/>
  </mergeCells>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7"/>
  <dimension ref="A1:Q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7" x14ac:dyDescent="0.2">
      <c r="A1" s="170" t="s">
        <v>133</v>
      </c>
      <c r="B1" s="670"/>
      <c r="C1" s="244" t="s">
        <v>121</v>
      </c>
      <c r="D1" s="24"/>
      <c r="E1" s="24"/>
      <c r="F1" s="24"/>
      <c r="G1" s="24"/>
      <c r="H1" s="24"/>
      <c r="I1" s="24"/>
      <c r="J1" s="24"/>
      <c r="K1" s="24"/>
      <c r="L1" s="24"/>
      <c r="M1" s="24"/>
    </row>
    <row r="2" spans="1:17" ht="15.75" x14ac:dyDescent="0.25">
      <c r="A2" s="163" t="s">
        <v>28</v>
      </c>
      <c r="B2" s="704"/>
      <c r="C2" s="704"/>
      <c r="D2" s="704"/>
      <c r="E2" s="291"/>
      <c r="F2" s="704"/>
      <c r="G2" s="704"/>
      <c r="H2" s="704"/>
      <c r="I2" s="291"/>
      <c r="J2" s="704"/>
      <c r="K2" s="704"/>
      <c r="L2" s="704"/>
      <c r="M2" s="291"/>
    </row>
    <row r="3" spans="1:17" ht="15.75" x14ac:dyDescent="0.25">
      <c r="A3" s="161"/>
      <c r="B3" s="291"/>
      <c r="C3" s="291"/>
      <c r="D3" s="291"/>
      <c r="E3" s="291"/>
      <c r="F3" s="291"/>
      <c r="G3" s="291"/>
      <c r="H3" s="291"/>
      <c r="I3" s="291"/>
      <c r="J3" s="291"/>
      <c r="K3" s="291"/>
      <c r="L3" s="291"/>
      <c r="M3" s="291"/>
    </row>
    <row r="4" spans="1:17" x14ac:dyDescent="0.2">
      <c r="A4" s="142"/>
      <c r="B4" s="705" t="s">
        <v>0</v>
      </c>
      <c r="C4" s="706"/>
      <c r="D4" s="706"/>
      <c r="E4" s="293"/>
      <c r="F4" s="705" t="s">
        <v>1</v>
      </c>
      <c r="G4" s="706"/>
      <c r="H4" s="706"/>
      <c r="I4" s="296"/>
      <c r="J4" s="705" t="s">
        <v>2</v>
      </c>
      <c r="K4" s="706"/>
      <c r="L4" s="706"/>
      <c r="M4" s="296"/>
    </row>
    <row r="5" spans="1:17"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7" x14ac:dyDescent="0.2">
      <c r="A6" s="671"/>
      <c r="B6" s="154"/>
      <c r="C6" s="154"/>
      <c r="D6" s="242" t="s">
        <v>4</v>
      </c>
      <c r="E6" s="154" t="s">
        <v>30</v>
      </c>
      <c r="F6" s="159"/>
      <c r="G6" s="159"/>
      <c r="H6" s="241" t="s">
        <v>4</v>
      </c>
      <c r="I6" s="154" t="s">
        <v>30</v>
      </c>
      <c r="J6" s="159"/>
      <c r="K6" s="159"/>
      <c r="L6" s="241" t="s">
        <v>4</v>
      </c>
      <c r="M6" s="154" t="s">
        <v>30</v>
      </c>
    </row>
    <row r="7" spans="1:17" ht="15.75" x14ac:dyDescent="0.2">
      <c r="A7" s="14" t="s">
        <v>23</v>
      </c>
      <c r="B7" s="298">
        <v>217387</v>
      </c>
      <c r="C7" s="299">
        <v>168887</v>
      </c>
      <c r="D7" s="341">
        <f>IF(B7=0, "    ---- ", IF(ABS(ROUND(100/B7*C7-100,1))&lt;999,ROUND(100/B7*C7-100,1),IF(ROUND(100/B7*C7-100,1)&gt;999,999,-999)))</f>
        <v>-22.3</v>
      </c>
      <c r="E7" s="11">
        <f>IFERROR(100/'Skjema total MA'!C7*C7,0)</f>
        <v>4.2372280143737164</v>
      </c>
      <c r="F7" s="298">
        <v>426190</v>
      </c>
      <c r="G7" s="299">
        <v>356050</v>
      </c>
      <c r="H7" s="341">
        <f>IF(F7=0, "    ---- ", IF(ABS(ROUND(100/F7*G7-100,1))&lt;999,ROUND(100/F7*G7-100,1),IF(ROUND(100/F7*G7-100,1)&gt;999,999,-999)))</f>
        <v>-16.5</v>
      </c>
      <c r="I7" s="158">
        <f>IFERROR(100/'Skjema total MA'!F7*G7,0)</f>
        <v>4.9367833004548922</v>
      </c>
      <c r="J7" s="300">
        <f t="shared" ref="J7:K12" si="0">SUM(B7,F7)</f>
        <v>643577</v>
      </c>
      <c r="K7" s="301">
        <f t="shared" si="0"/>
        <v>524937</v>
      </c>
      <c r="L7" s="413">
        <f>IF(J7=0, "    ---- ", IF(ABS(ROUND(100/J7*K7-100,1))&lt;999,ROUND(100/J7*K7-100,1),IF(ROUND(100/J7*K7-100,1)&gt;999,999,-999)))</f>
        <v>-18.399999999999999</v>
      </c>
      <c r="M7" s="11">
        <f>IFERROR(100/'Skjema total MA'!I7*K7,0)</f>
        <v>4.6877847026454695</v>
      </c>
    </row>
    <row r="8" spans="1:17" ht="15.75" x14ac:dyDescent="0.2">
      <c r="A8" s="19" t="s">
        <v>25</v>
      </c>
      <c r="B8" s="276">
        <v>23257.175999999999</v>
      </c>
      <c r="C8" s="277">
        <v>21831.612614999998</v>
      </c>
      <c r="D8" s="164">
        <f t="shared" ref="D8:D12" si="1">IF(B8=0, "    ---- ", IF(ABS(ROUND(100/B8*C8-100,1))&lt;999,ROUND(100/B8*C8-100,1),IF(ROUND(100/B8*C8-100,1)&gt;999,999,-999)))</f>
        <v>-6.1</v>
      </c>
      <c r="E8" s="25">
        <f>IFERROR(100/'Skjema total MA'!C8*C8,0)</f>
        <v>0.83742031154411667</v>
      </c>
      <c r="F8" s="280"/>
      <c r="G8" s="281"/>
      <c r="H8" s="164"/>
      <c r="I8" s="172"/>
      <c r="J8" s="230">
        <f t="shared" si="0"/>
        <v>23257.175999999999</v>
      </c>
      <c r="K8" s="282">
        <f t="shared" si="0"/>
        <v>21831.612614999998</v>
      </c>
      <c r="L8" s="164">
        <f t="shared" ref="L8:L9" si="2">IF(J8=0, "    ---- ", IF(ABS(ROUND(100/J8*K8-100,1))&lt;999,ROUND(100/J8*K8-100,1),IF(ROUND(100/J8*K8-100,1)&gt;999,999,-999)))</f>
        <v>-6.1</v>
      </c>
      <c r="M8" s="25">
        <f>IFERROR(100/'Skjema total MA'!I8*K8,0)</f>
        <v>0.83742031154411667</v>
      </c>
    </row>
    <row r="9" spans="1:17" ht="15.75" x14ac:dyDescent="0.2">
      <c r="A9" s="19" t="s">
        <v>24</v>
      </c>
      <c r="B9" s="276">
        <v>15534.406000000001</v>
      </c>
      <c r="C9" s="277">
        <v>14480.7746025</v>
      </c>
      <c r="D9" s="164">
        <f t="shared" si="1"/>
        <v>-6.8</v>
      </c>
      <c r="E9" s="25">
        <f>IFERROR(100/'Skjema total MA'!C9*C9,0)</f>
        <v>1.7853074801542277</v>
      </c>
      <c r="F9" s="280"/>
      <c r="G9" s="281"/>
      <c r="H9" s="164"/>
      <c r="I9" s="172"/>
      <c r="J9" s="230">
        <f t="shared" si="0"/>
        <v>15534.406000000001</v>
      </c>
      <c r="K9" s="282">
        <f t="shared" si="0"/>
        <v>14480.7746025</v>
      </c>
      <c r="L9" s="164">
        <f t="shared" si="2"/>
        <v>-6.8</v>
      </c>
      <c r="M9" s="25">
        <f>IFERROR(100/'Skjema total MA'!I9*K9,0)</f>
        <v>1.7853074801542277</v>
      </c>
    </row>
    <row r="10" spans="1:17" ht="15.75" x14ac:dyDescent="0.2">
      <c r="A10" s="13" t="s">
        <v>350</v>
      </c>
      <c r="B10" s="302">
        <v>10758301</v>
      </c>
      <c r="C10" s="303">
        <v>9132142</v>
      </c>
      <c r="D10" s="169">
        <f t="shared" si="1"/>
        <v>-15.1</v>
      </c>
      <c r="E10" s="11">
        <f>IFERROR(100/'Skjema total MA'!C10*C10,0)</f>
        <v>58.049437336761152</v>
      </c>
      <c r="F10" s="302">
        <v>7495734.2999999998</v>
      </c>
      <c r="G10" s="303">
        <v>6873076</v>
      </c>
      <c r="H10" s="169">
        <f t="shared" ref="H10:H12" si="3">IF(F10=0, "    ---- ", IF(ABS(ROUND(100/F10*G10-100,1))&lt;999,ROUND(100/F10*G10-100,1),IF(ROUND(100/F10*G10-100,1)&gt;999,999,-999)))</f>
        <v>-8.3000000000000007</v>
      </c>
      <c r="I10" s="158">
        <f>IFERROR(100/'Skjema total MA'!F10*G10,0)</f>
        <v>9.9639376515947742</v>
      </c>
      <c r="J10" s="300">
        <f t="shared" si="0"/>
        <v>18254035.300000001</v>
      </c>
      <c r="K10" s="301">
        <f t="shared" si="0"/>
        <v>16005218</v>
      </c>
      <c r="L10" s="414">
        <f t="shared" ref="L10:L12" si="4">IF(J10=0, "    ---- ", IF(ABS(ROUND(100/J10*K10-100,1))&lt;999,ROUND(100/J10*K10-100,1),IF(ROUND(100/J10*K10-100,1)&gt;999,999,-999)))</f>
        <v>-12.3</v>
      </c>
      <c r="M10" s="11">
        <f>IFERROR(100/'Skjema total MA'!I10*K10,0)</f>
        <v>18.893867466493671</v>
      </c>
      <c r="Q10" s="147"/>
    </row>
    <row r="11" spans="1:17" s="41" customFormat="1" ht="15.75" x14ac:dyDescent="0.2">
      <c r="A11" s="13" t="s">
        <v>351</v>
      </c>
      <c r="B11" s="302">
        <v>42181.894999999997</v>
      </c>
      <c r="C11" s="303">
        <v>32737</v>
      </c>
      <c r="D11" s="169">
        <f t="shared" si="1"/>
        <v>-22.4</v>
      </c>
      <c r="E11" s="11">
        <f>IFERROR(100/'Skjema total MA'!C11*C11,0)</f>
        <v>100</v>
      </c>
      <c r="F11" s="302">
        <v>43295</v>
      </c>
      <c r="G11" s="303">
        <v>16282</v>
      </c>
      <c r="H11" s="169">
        <f t="shared" si="3"/>
        <v>-62.4</v>
      </c>
      <c r="I11" s="158">
        <f>IFERROR(100/'Skjema total MA'!F11*G11,0)</f>
        <v>9.6319296795920781</v>
      </c>
      <c r="J11" s="300">
        <f t="shared" si="0"/>
        <v>85476.89499999999</v>
      </c>
      <c r="K11" s="301">
        <f t="shared" si="0"/>
        <v>49019</v>
      </c>
      <c r="L11" s="414">
        <f t="shared" si="4"/>
        <v>-42.7</v>
      </c>
      <c r="M11" s="11">
        <f>IFERROR(100/'Skjema total MA'!I11*K11,0)</f>
        <v>24.29341832802784</v>
      </c>
      <c r="N11" s="141"/>
    </row>
    <row r="12" spans="1:17" s="41" customFormat="1" ht="15.75" x14ac:dyDescent="0.2">
      <c r="A12" s="39" t="s">
        <v>352</v>
      </c>
      <c r="B12" s="304">
        <v>6715.5570900000002</v>
      </c>
      <c r="C12" s="305">
        <v>2921</v>
      </c>
      <c r="D12" s="167">
        <f t="shared" si="1"/>
        <v>-56.5</v>
      </c>
      <c r="E12" s="34">
        <f>IFERROR(100/'Skjema total MA'!C12*C12,0)</f>
        <v>99.999999999999986</v>
      </c>
      <c r="F12" s="304">
        <v>31896</v>
      </c>
      <c r="G12" s="305">
        <v>15232.505999999999</v>
      </c>
      <c r="H12" s="167">
        <f t="shared" si="3"/>
        <v>-52.2</v>
      </c>
      <c r="I12" s="167">
        <f>IFERROR(100/'Skjema total MA'!F12*G12,0)</f>
        <v>11.511693513546538</v>
      </c>
      <c r="J12" s="306">
        <f t="shared" si="0"/>
        <v>38611.557090000002</v>
      </c>
      <c r="K12" s="307">
        <f t="shared" si="0"/>
        <v>18153.506000000001</v>
      </c>
      <c r="L12" s="415">
        <f t="shared" si="4"/>
        <v>-53</v>
      </c>
      <c r="M12" s="34">
        <f>IFERROR(100/'Skjema total MA'!I12*K12,0)</f>
        <v>13.422877788897605</v>
      </c>
      <c r="N12" s="141"/>
      <c r="Q12" s="141"/>
    </row>
    <row r="13" spans="1:17" s="41" customFormat="1" x14ac:dyDescent="0.2">
      <c r="A13" s="166"/>
      <c r="B13" s="143"/>
      <c r="C13" s="31"/>
      <c r="D13" s="157"/>
      <c r="E13" s="157"/>
      <c r="F13" s="143"/>
      <c r="G13" s="31"/>
      <c r="H13" s="157"/>
      <c r="I13" s="157"/>
      <c r="J13" s="46"/>
      <c r="K13" s="46"/>
      <c r="L13" s="157"/>
      <c r="M13" s="157"/>
      <c r="N13" s="141"/>
    </row>
    <row r="14" spans="1:17" x14ac:dyDescent="0.2">
      <c r="A14" s="151" t="s">
        <v>270</v>
      </c>
      <c r="B14" s="24"/>
    </row>
    <row r="15" spans="1:17" x14ac:dyDescent="0.2">
      <c r="F15" s="144"/>
      <c r="G15" s="144"/>
      <c r="H15" s="144"/>
      <c r="I15" s="144"/>
      <c r="J15" s="144"/>
      <c r="K15" s="144"/>
      <c r="L15" s="144"/>
      <c r="M15" s="144"/>
    </row>
    <row r="16" spans="1:17"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291"/>
      <c r="F18" s="707"/>
      <c r="G18" s="707"/>
      <c r="H18" s="707"/>
      <c r="I18" s="291"/>
      <c r="J18" s="707"/>
      <c r="K18" s="707"/>
      <c r="L18" s="707"/>
      <c r="M18" s="291"/>
    </row>
    <row r="19" spans="1:14" x14ac:dyDescent="0.2">
      <c r="A19" s="142"/>
      <c r="B19" s="705" t="s">
        <v>0</v>
      </c>
      <c r="C19" s="706"/>
      <c r="D19" s="706"/>
      <c r="E19" s="293"/>
      <c r="F19" s="705" t="s">
        <v>1</v>
      </c>
      <c r="G19" s="706"/>
      <c r="H19" s="706"/>
      <c r="I19" s="296"/>
      <c r="J19" s="705" t="s">
        <v>2</v>
      </c>
      <c r="K19" s="706"/>
      <c r="L19" s="706"/>
      <c r="M19" s="296"/>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302">
        <v>245991</v>
      </c>
      <c r="C22" s="302">
        <v>243719</v>
      </c>
      <c r="D22" s="341">
        <f t="shared" ref="D22:D39" si="5">IF(B22=0, "    ---- ", IF(ABS(ROUND(100/B22*C22-100,1))&lt;999,ROUND(100/B22*C22-100,1),IF(ROUND(100/B22*C22-100,1)&gt;999,999,-999)))</f>
        <v>-0.9</v>
      </c>
      <c r="E22" s="11">
        <f>IFERROR(100/'Skjema total MA'!C22*C22,0)</f>
        <v>14.532558986384378</v>
      </c>
      <c r="F22" s="310">
        <v>117197.431</v>
      </c>
      <c r="G22" s="310">
        <v>45333</v>
      </c>
      <c r="H22" s="341">
        <f t="shared" ref="H22:H35" si="6">IF(F22=0, "    ---- ", IF(ABS(ROUND(100/F22*G22-100,1))&lt;999,ROUND(100/F22*G22-100,1),IF(ROUND(100/F22*G22-100,1)&gt;999,999,-999)))</f>
        <v>-61.3</v>
      </c>
      <c r="I22" s="11">
        <f>IFERROR(100/'Skjema total MA'!F22*G22,0)</f>
        <v>6.4411824701863711</v>
      </c>
      <c r="J22" s="308">
        <f t="shared" ref="J22:K35" si="7">SUM(B22,F22)</f>
        <v>363188.43099999998</v>
      </c>
      <c r="K22" s="308">
        <f t="shared" si="7"/>
        <v>289052</v>
      </c>
      <c r="L22" s="413">
        <f t="shared" ref="L22:L35" si="8">IF(J22=0, "    ---- ", IF(ABS(ROUND(100/J22*K22-100,1))&lt;999,ROUND(100/J22*K22-100,1),IF(ROUND(100/J22*K22-100,1)&gt;999,999,-999)))</f>
        <v>-20.399999999999999</v>
      </c>
      <c r="M22" s="22">
        <f>IFERROR(100/'Skjema total MA'!I22*K22,0)</f>
        <v>12.140684146127942</v>
      </c>
    </row>
    <row r="23" spans="1:14" ht="15.75" x14ac:dyDescent="0.2">
      <c r="A23" s="496" t="s">
        <v>353</v>
      </c>
      <c r="B23" s="276">
        <v>205866.36555018899</v>
      </c>
      <c r="C23" s="276">
        <v>211617</v>
      </c>
      <c r="D23" s="164">
        <f t="shared" si="5"/>
        <v>2.8</v>
      </c>
      <c r="E23" s="11">
        <f>IFERROR(100/'Skjema total MA'!C23*C23,0)</f>
        <v>34.889422119127524</v>
      </c>
      <c r="F23" s="285">
        <v>110216.205</v>
      </c>
      <c r="G23" s="285">
        <v>39150</v>
      </c>
      <c r="H23" s="164">
        <f t="shared" si="6"/>
        <v>-64.5</v>
      </c>
      <c r="I23" s="403">
        <f>IFERROR(100/'Skjema total MA'!F23*G23,0)</f>
        <v>53.787075958681569</v>
      </c>
      <c r="J23" s="285">
        <f t="shared" ref="J23:J25" si="9">SUM(B23,F23)</f>
        <v>316082.570550189</v>
      </c>
      <c r="K23" s="285">
        <f t="shared" ref="K23:K25" si="10">SUM(C23,G23)</f>
        <v>250767</v>
      </c>
      <c r="L23" s="164">
        <f t="shared" si="8"/>
        <v>-20.7</v>
      </c>
      <c r="M23" s="21">
        <f>IFERROR(100/'Skjema total MA'!I23*K23,0)</f>
        <v>36.914236548703443</v>
      </c>
    </row>
    <row r="24" spans="1:14" ht="15.75" x14ac:dyDescent="0.2">
      <c r="A24" s="496" t="s">
        <v>354</v>
      </c>
      <c r="B24" s="276">
        <v>14587.9585048299</v>
      </c>
      <c r="C24" s="276">
        <v>10928</v>
      </c>
      <c r="D24" s="164">
        <f t="shared" si="5"/>
        <v>-25.1</v>
      </c>
      <c r="E24" s="11">
        <f>IFERROR(100/'Skjema total MA'!C24*C24,0)</f>
        <v>70.317107356455125</v>
      </c>
      <c r="F24" s="285">
        <v>169.78700000000001</v>
      </c>
      <c r="G24" s="285">
        <v>159</v>
      </c>
      <c r="H24" s="164">
        <f t="shared" si="6"/>
        <v>-6.4</v>
      </c>
      <c r="I24" s="403">
        <f>IFERROR(100/'Skjema total MA'!F24*G24,0)</f>
        <v>15.396520984688275</v>
      </c>
      <c r="J24" s="285">
        <f t="shared" si="9"/>
        <v>14757.7455048299</v>
      </c>
      <c r="K24" s="285">
        <f t="shared" si="10"/>
        <v>11087</v>
      </c>
      <c r="L24" s="164">
        <f t="shared" si="8"/>
        <v>-24.9</v>
      </c>
      <c r="M24" s="21">
        <f>IFERROR(100/'Skjema total MA'!I24*K24,0)</f>
        <v>66.895032442105659</v>
      </c>
    </row>
    <row r="25" spans="1:14" ht="15.75" x14ac:dyDescent="0.2">
      <c r="A25" s="496" t="s">
        <v>355</v>
      </c>
      <c r="B25" s="276">
        <v>25536.6759449811</v>
      </c>
      <c r="C25" s="276">
        <v>21174</v>
      </c>
      <c r="D25" s="164">
        <f t="shared" si="5"/>
        <v>-17.100000000000001</v>
      </c>
      <c r="E25" s="11">
        <f>IFERROR(100/'Skjema total MA'!C25*C25,0)</f>
        <v>100</v>
      </c>
      <c r="F25" s="285">
        <v>6811.4390000000003</v>
      </c>
      <c r="G25" s="285">
        <v>6024</v>
      </c>
      <c r="H25" s="164">
        <f t="shared" si="6"/>
        <v>-11.6</v>
      </c>
      <c r="I25" s="403">
        <f>IFERROR(100/'Skjema total MA'!F25*G25,0)</f>
        <v>45.831630164703654</v>
      </c>
      <c r="J25" s="285">
        <f t="shared" si="9"/>
        <v>32348.114944981098</v>
      </c>
      <c r="K25" s="285">
        <f t="shared" si="10"/>
        <v>27198</v>
      </c>
      <c r="L25" s="164">
        <f t="shared" si="8"/>
        <v>-15.9</v>
      </c>
      <c r="M25" s="21">
        <f>IFERROR(100/'Skjema total MA'!I25*K25,0)</f>
        <v>79.253421810122958</v>
      </c>
    </row>
    <row r="26" spans="1:14" ht="15.75" x14ac:dyDescent="0.2">
      <c r="A26" s="496" t="s">
        <v>356</v>
      </c>
      <c r="B26" s="276"/>
      <c r="C26" s="276"/>
      <c r="D26" s="164"/>
      <c r="E26" s="11"/>
      <c r="F26" s="285"/>
      <c r="G26" s="285"/>
      <c r="H26" s="164"/>
      <c r="I26" s="403"/>
      <c r="J26" s="285"/>
      <c r="K26" s="285"/>
      <c r="L26" s="164"/>
      <c r="M26" s="21"/>
    </row>
    <row r="27" spans="1:14" x14ac:dyDescent="0.2">
      <c r="A27" s="496" t="s">
        <v>11</v>
      </c>
      <c r="B27" s="276"/>
      <c r="C27" s="276"/>
      <c r="D27" s="164"/>
      <c r="E27" s="11"/>
      <c r="F27" s="285"/>
      <c r="G27" s="285"/>
      <c r="H27" s="164"/>
      <c r="I27" s="403"/>
      <c r="J27" s="285"/>
      <c r="K27" s="285"/>
      <c r="L27" s="164"/>
      <c r="M27" s="21"/>
    </row>
    <row r="28" spans="1:14" ht="15.75" x14ac:dyDescent="0.2">
      <c r="A28" s="47" t="s">
        <v>271</v>
      </c>
      <c r="B28" s="42">
        <v>80710.073999999993</v>
      </c>
      <c r="C28" s="282">
        <v>79510.539999999994</v>
      </c>
      <c r="D28" s="164">
        <f t="shared" si="5"/>
        <v>-1.5</v>
      </c>
      <c r="E28" s="11">
        <f>IFERROR(100/'Skjema total MA'!C28*C28,0)</f>
        <v>4.2234537723517054</v>
      </c>
      <c r="F28" s="230"/>
      <c r="G28" s="282"/>
      <c r="H28" s="164"/>
      <c r="I28" s="25"/>
      <c r="J28" s="42">
        <f t="shared" si="7"/>
        <v>80710.073999999993</v>
      </c>
      <c r="K28" s="42">
        <f t="shared" si="7"/>
        <v>79510.539999999994</v>
      </c>
      <c r="L28" s="249">
        <f t="shared" si="8"/>
        <v>-1.5</v>
      </c>
      <c r="M28" s="21">
        <f>IFERROR(100/'Skjema total MA'!I28*K28,0)</f>
        <v>4.2234537723517054</v>
      </c>
    </row>
    <row r="29" spans="1:14" s="3" customFormat="1" ht="15.75" x14ac:dyDescent="0.2">
      <c r="A29" s="13" t="s">
        <v>350</v>
      </c>
      <c r="B29" s="232">
        <v>22580014</v>
      </c>
      <c r="C29" s="232">
        <v>21785332</v>
      </c>
      <c r="D29" s="169">
        <f t="shared" si="5"/>
        <v>-3.5</v>
      </c>
      <c r="E29" s="11">
        <f>IFERROR(100/'Skjema total MA'!C29*C29,0)</f>
        <v>48.87727780352153</v>
      </c>
      <c r="F29" s="300">
        <v>5087435.5779999997</v>
      </c>
      <c r="G29" s="300">
        <v>4287134</v>
      </c>
      <c r="H29" s="169">
        <f t="shared" si="6"/>
        <v>-15.7</v>
      </c>
      <c r="I29" s="11">
        <f>IFERROR(100/'Skjema total MA'!F29*G29,0)</f>
        <v>18.557551460837249</v>
      </c>
      <c r="J29" s="232">
        <f t="shared" si="7"/>
        <v>27667449.578000002</v>
      </c>
      <c r="K29" s="232">
        <f t="shared" si="7"/>
        <v>26072466</v>
      </c>
      <c r="L29" s="414">
        <f t="shared" si="8"/>
        <v>-5.8</v>
      </c>
      <c r="M29" s="22">
        <f>IFERROR(100/'Skjema total MA'!I29*K29,0)</f>
        <v>38.526948557054411</v>
      </c>
      <c r="N29" s="146"/>
    </row>
    <row r="30" spans="1:14" s="3" customFormat="1" ht="15.75" x14ac:dyDescent="0.2">
      <c r="A30" s="496" t="s">
        <v>353</v>
      </c>
      <c r="B30" s="276">
        <v>8974263.9374164995</v>
      </c>
      <c r="C30" s="276">
        <v>5549926.5452978304</v>
      </c>
      <c r="D30" s="164">
        <f t="shared" si="5"/>
        <v>-38.200000000000003</v>
      </c>
      <c r="E30" s="11">
        <f>IFERROR(100/'Skjema total MA'!C30*C30,0)</f>
        <v>56.70564233522591</v>
      </c>
      <c r="F30" s="285">
        <v>1594725.219</v>
      </c>
      <c r="G30" s="285">
        <v>1360803</v>
      </c>
      <c r="H30" s="164">
        <f t="shared" si="6"/>
        <v>-14.7</v>
      </c>
      <c r="I30" s="403">
        <f>IFERROR(100/'Skjema total MA'!F30*G30,0)</f>
        <v>39.812828656437731</v>
      </c>
      <c r="J30" s="285">
        <f t="shared" ref="J30:J32" si="11">SUM(B30,F30)</f>
        <v>10568989.1564165</v>
      </c>
      <c r="K30" s="285">
        <f t="shared" ref="K30:K32" si="12">SUM(C30,G30)</f>
        <v>6910729.5452978304</v>
      </c>
      <c r="L30" s="164">
        <f t="shared" si="8"/>
        <v>-34.6</v>
      </c>
      <c r="M30" s="21">
        <f>IFERROR(100/'Skjema total MA'!I30*K30,0)</f>
        <v>52.3331673043023</v>
      </c>
      <c r="N30" s="146"/>
    </row>
    <row r="31" spans="1:14" s="3" customFormat="1" ht="15.75" x14ac:dyDescent="0.2">
      <c r="A31" s="496" t="s">
        <v>354</v>
      </c>
      <c r="B31" s="276">
        <v>11288219.883881001</v>
      </c>
      <c r="C31" s="276">
        <v>14488649.992072601</v>
      </c>
      <c r="D31" s="164">
        <f t="shared" si="5"/>
        <v>28.4</v>
      </c>
      <c r="E31" s="11">
        <f>IFERROR(100/'Skjema total MA'!C31*C31,0)</f>
        <v>57.706650747592391</v>
      </c>
      <c r="F31" s="285">
        <v>2968586</v>
      </c>
      <c r="G31" s="285">
        <v>2460046</v>
      </c>
      <c r="H31" s="164">
        <f t="shared" si="6"/>
        <v>-17.100000000000001</v>
      </c>
      <c r="I31" s="403">
        <f>IFERROR(100/'Skjema total MA'!F31*G31,0)</f>
        <v>32.61446945712688</v>
      </c>
      <c r="J31" s="285">
        <f t="shared" si="11"/>
        <v>14256805.883881001</v>
      </c>
      <c r="K31" s="285">
        <f t="shared" si="12"/>
        <v>16948695.992072601</v>
      </c>
      <c r="L31" s="164">
        <f t="shared" si="8"/>
        <v>18.899999999999999</v>
      </c>
      <c r="M31" s="21">
        <f>IFERROR(100/'Skjema total MA'!I31*K31,0)</f>
        <v>51.909892770383479</v>
      </c>
      <c r="N31" s="146"/>
    </row>
    <row r="32" spans="1:14" ht="15.75" x14ac:dyDescent="0.2">
      <c r="A32" s="496" t="s">
        <v>355</v>
      </c>
      <c r="B32" s="276">
        <v>2317530.1787025002</v>
      </c>
      <c r="C32" s="276">
        <v>1746755.4626296</v>
      </c>
      <c r="D32" s="164">
        <f t="shared" si="5"/>
        <v>-24.6</v>
      </c>
      <c r="E32" s="11">
        <f>IFERROR(100/'Skjema total MA'!C32*C32,0)</f>
        <v>71.201599081430629</v>
      </c>
      <c r="F32" s="285">
        <v>524124.359</v>
      </c>
      <c r="G32" s="285">
        <v>466285</v>
      </c>
      <c r="H32" s="164">
        <f t="shared" si="6"/>
        <v>-11</v>
      </c>
      <c r="I32" s="403">
        <f>IFERROR(100/'Skjema total MA'!F32*G32,0)</f>
        <v>8.9957511934108734</v>
      </c>
      <c r="J32" s="285">
        <f t="shared" si="11"/>
        <v>2841654.5377025004</v>
      </c>
      <c r="K32" s="285">
        <f t="shared" si="12"/>
        <v>2213040.4626296</v>
      </c>
      <c r="L32" s="164">
        <f t="shared" si="8"/>
        <v>-22.1</v>
      </c>
      <c r="M32" s="21">
        <f>IFERROR(100/'Skjema total MA'!I32*K32,0)</f>
        <v>28.979225520666709</v>
      </c>
    </row>
    <row r="33" spans="1:14" ht="15.75" x14ac:dyDescent="0.2">
      <c r="A33" s="496" t="s">
        <v>356</v>
      </c>
      <c r="B33" s="276"/>
      <c r="C33" s="276"/>
      <c r="D33" s="164"/>
      <c r="E33" s="11"/>
      <c r="F33" s="285"/>
      <c r="G33" s="285"/>
      <c r="H33" s="164"/>
      <c r="I33" s="403"/>
      <c r="J33" s="285"/>
      <c r="K33" s="285"/>
      <c r="L33" s="164"/>
      <c r="M33" s="21"/>
    </row>
    <row r="34" spans="1:14" ht="15.75" x14ac:dyDescent="0.2">
      <c r="A34" s="13" t="s">
        <v>351</v>
      </c>
      <c r="B34" s="232">
        <v>681.34514999999897</v>
      </c>
      <c r="C34" s="301">
        <v>14617</v>
      </c>
      <c r="D34" s="169">
        <f t="shared" si="5"/>
        <v>999</v>
      </c>
      <c r="E34" s="11">
        <f>IFERROR(100/'Skjema total MA'!C34*C34,0)</f>
        <v>63.16175225620708</v>
      </c>
      <c r="F34" s="300">
        <v>-54006</v>
      </c>
      <c r="G34" s="301">
        <v>-11950</v>
      </c>
      <c r="H34" s="169">
        <f t="shared" si="6"/>
        <v>-77.900000000000006</v>
      </c>
      <c r="I34" s="11">
        <f>IFERROR(100/'Skjema total MA'!F34*G34,0)</f>
        <v>-17.359076125622313</v>
      </c>
      <c r="J34" s="232">
        <f t="shared" si="7"/>
        <v>-53324.654849999999</v>
      </c>
      <c r="K34" s="232">
        <f t="shared" si="7"/>
        <v>2667</v>
      </c>
      <c r="L34" s="414">
        <f t="shared" si="8"/>
        <v>-105</v>
      </c>
      <c r="M34" s="22">
        <f>IFERROR(100/'Skjema total MA'!I34*K34,0)</f>
        <v>2.8994728002542338</v>
      </c>
    </row>
    <row r="35" spans="1:14" ht="15.75" x14ac:dyDescent="0.2">
      <c r="A35" s="13" t="s">
        <v>352</v>
      </c>
      <c r="B35" s="232">
        <v>-74689.411099999998</v>
      </c>
      <c r="C35" s="301">
        <v>-20729</v>
      </c>
      <c r="D35" s="169">
        <f t="shared" si="5"/>
        <v>-72.2</v>
      </c>
      <c r="E35" s="11">
        <f>IFERROR(100/'Skjema total MA'!C35*C35,0)</f>
        <v>100.11510513132396</v>
      </c>
      <c r="F35" s="300">
        <v>19242</v>
      </c>
      <c r="G35" s="301">
        <v>13615.383</v>
      </c>
      <c r="H35" s="169">
        <f t="shared" si="6"/>
        <v>-29.2</v>
      </c>
      <c r="I35" s="11">
        <f>IFERROR(100/'Skjema total MA'!F35*G35,0)</f>
        <v>17.922120622452582</v>
      </c>
      <c r="J35" s="232">
        <f t="shared" si="7"/>
        <v>-55447.411099999998</v>
      </c>
      <c r="K35" s="232">
        <f t="shared" si="7"/>
        <v>-7113.6170000000002</v>
      </c>
      <c r="L35" s="414">
        <f t="shared" si="8"/>
        <v>-87.2</v>
      </c>
      <c r="M35" s="22">
        <f>IFERROR(100/'Skjema total MA'!I35*K35,0)</f>
        <v>-12.871936862628893</v>
      </c>
    </row>
    <row r="36" spans="1:14" ht="15.75" x14ac:dyDescent="0.2">
      <c r="A36" s="12" t="s">
        <v>279</v>
      </c>
      <c r="B36" s="232">
        <v>2099</v>
      </c>
      <c r="C36" s="301">
        <v>2561</v>
      </c>
      <c r="D36" s="169">
        <f t="shared" si="5"/>
        <v>22</v>
      </c>
      <c r="E36" s="22">
        <f>IFERROR(100/'Skjema total MA'!C35*C36,0)</f>
        <v>-12.368893060028011</v>
      </c>
      <c r="F36" s="311"/>
      <c r="G36" s="312"/>
      <c r="H36" s="169"/>
      <c r="I36" s="420"/>
      <c r="J36" s="232">
        <f t="shared" ref="J36:J39" si="13">SUM(B36,F36)</f>
        <v>2099</v>
      </c>
      <c r="K36" s="232">
        <f t="shared" ref="K36:K39" si="14">SUM(C36,G36)</f>
        <v>2561</v>
      </c>
      <c r="L36" s="414"/>
      <c r="M36" s="22">
        <f>IFERROR(100/'Skjema total MA'!I36*K36,0)</f>
        <v>97.380202578198848</v>
      </c>
    </row>
    <row r="37" spans="1:14" ht="15.75" x14ac:dyDescent="0.2">
      <c r="A37" s="12" t="s">
        <v>358</v>
      </c>
      <c r="B37" s="232">
        <v>2904030</v>
      </c>
      <c r="C37" s="301">
        <v>2561371.8117</v>
      </c>
      <c r="D37" s="169">
        <f t="shared" si="5"/>
        <v>-11.8</v>
      </c>
      <c r="E37" s="22">
        <f>IFERROR(100/'Skjema total MA'!C36*C37,0)</f>
        <v>97394.340453508077</v>
      </c>
      <c r="F37" s="311"/>
      <c r="G37" s="313"/>
      <c r="H37" s="169"/>
      <c r="I37" s="420"/>
      <c r="J37" s="232">
        <f t="shared" si="13"/>
        <v>2904030</v>
      </c>
      <c r="K37" s="232">
        <f t="shared" si="14"/>
        <v>2561371.8117</v>
      </c>
      <c r="L37" s="414"/>
      <c r="M37" s="22">
        <f>IFERROR(100/'Skjema total MA'!I37*K37,0)</f>
        <v>85.632477155274302</v>
      </c>
    </row>
    <row r="38" spans="1:14" ht="15.75" x14ac:dyDescent="0.2">
      <c r="A38" s="12" t="s">
        <v>359</v>
      </c>
      <c r="B38" s="232"/>
      <c r="C38" s="301"/>
      <c r="D38" s="169"/>
      <c r="E38" s="22"/>
      <c r="F38" s="311"/>
      <c r="G38" s="312"/>
      <c r="H38" s="169"/>
      <c r="I38" s="420"/>
      <c r="J38" s="232"/>
      <c r="K38" s="232"/>
      <c r="L38" s="414"/>
      <c r="M38" s="22"/>
    </row>
    <row r="39" spans="1:14" ht="15.75" x14ac:dyDescent="0.2">
      <c r="A39" s="18" t="s">
        <v>360</v>
      </c>
      <c r="B39" s="271">
        <v>3</v>
      </c>
      <c r="C39" s="307">
        <v>12</v>
      </c>
      <c r="D39" s="167">
        <f t="shared" si="5"/>
        <v>300</v>
      </c>
      <c r="E39" s="34">
        <f>IFERROR(100/'Skjema total MA'!C38*C39,0)</f>
        <v>0</v>
      </c>
      <c r="F39" s="314"/>
      <c r="G39" s="315"/>
      <c r="H39" s="167"/>
      <c r="I39" s="34"/>
      <c r="J39" s="232">
        <f t="shared" si="13"/>
        <v>3</v>
      </c>
      <c r="K39" s="232">
        <f t="shared" si="14"/>
        <v>12</v>
      </c>
      <c r="L39" s="415"/>
      <c r="M39" s="34">
        <f>IFERROR(100/'Skjema total MA'!I39*K39,0)</f>
        <v>100</v>
      </c>
    </row>
    <row r="40" spans="1:14" ht="15.75" x14ac:dyDescent="0.25">
      <c r="A40" s="45"/>
      <c r="B40" s="248"/>
      <c r="C40" s="248"/>
      <c r="D40" s="708"/>
      <c r="E40" s="708"/>
      <c r="F40" s="708"/>
      <c r="G40" s="708"/>
      <c r="H40" s="708"/>
      <c r="I40" s="708"/>
      <c r="J40" s="708"/>
      <c r="K40" s="708"/>
      <c r="L40" s="708"/>
      <c r="M40" s="294"/>
    </row>
    <row r="41" spans="1:14" x14ac:dyDescent="0.2">
      <c r="A41" s="153"/>
    </row>
    <row r="42" spans="1:14" ht="15.75" x14ac:dyDescent="0.25">
      <c r="A42" s="145" t="s">
        <v>268</v>
      </c>
      <c r="B42" s="704"/>
      <c r="C42" s="704"/>
      <c r="D42" s="704"/>
      <c r="E42" s="291"/>
      <c r="F42" s="709"/>
      <c r="G42" s="709"/>
      <c r="H42" s="709"/>
      <c r="I42" s="294"/>
      <c r="J42" s="709"/>
      <c r="K42" s="709"/>
      <c r="L42" s="709"/>
      <c r="M42" s="294"/>
    </row>
    <row r="43" spans="1:14" ht="15.75" x14ac:dyDescent="0.25">
      <c r="A43" s="161"/>
      <c r="B43" s="295"/>
      <c r="C43" s="295"/>
      <c r="D43" s="295"/>
      <c r="E43" s="295"/>
      <c r="F43" s="294"/>
      <c r="G43" s="294"/>
      <c r="H43" s="294"/>
      <c r="I43" s="294"/>
      <c r="J43" s="294"/>
      <c r="K43" s="294"/>
      <c r="L43" s="294"/>
      <c r="M43" s="294"/>
    </row>
    <row r="44" spans="1:14" ht="15.75" x14ac:dyDescent="0.25">
      <c r="A44" s="243"/>
      <c r="B44" s="705" t="s">
        <v>0</v>
      </c>
      <c r="C44" s="706"/>
      <c r="D44" s="706"/>
      <c r="E44" s="239"/>
      <c r="F44" s="294"/>
      <c r="G44" s="294"/>
      <c r="H44" s="294"/>
      <c r="I44" s="294"/>
      <c r="J44" s="294"/>
      <c r="K44" s="294"/>
      <c r="L44" s="294"/>
      <c r="M44" s="294"/>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v>543968</v>
      </c>
      <c r="C47" s="303">
        <v>523190</v>
      </c>
      <c r="D47" s="413">
        <f t="shared" ref="D47:D57" si="15">IF(B47=0, "    ---- ", IF(ABS(ROUND(100/B47*C47-100,1))&lt;999,ROUND(100/B47*C47-100,1),IF(ROUND(100/B47*C47-100,1)&gt;999,999,-999)))</f>
        <v>-3.8</v>
      </c>
      <c r="E47" s="11">
        <f>IFERROR(100/'Skjema total MA'!C47*C47,0)</f>
        <v>10.759866391592766</v>
      </c>
      <c r="F47" s="143"/>
      <c r="G47" s="31"/>
      <c r="H47" s="157"/>
      <c r="I47" s="157"/>
      <c r="J47" s="35"/>
      <c r="K47" s="35"/>
      <c r="L47" s="157"/>
      <c r="M47" s="157"/>
      <c r="N47" s="146"/>
    </row>
    <row r="48" spans="1:14" s="3" customFormat="1" ht="15.75" x14ac:dyDescent="0.2">
      <c r="A48" s="36" t="s">
        <v>361</v>
      </c>
      <c r="B48" s="276">
        <v>543968</v>
      </c>
      <c r="C48" s="277">
        <v>523190</v>
      </c>
      <c r="D48" s="249">
        <f t="shared" si="15"/>
        <v>-3.8</v>
      </c>
      <c r="E48" s="25">
        <f>IFERROR(100/'Skjema total MA'!C48*C48,0)</f>
        <v>19.291609343208563</v>
      </c>
      <c r="F48" s="143"/>
      <c r="G48" s="31"/>
      <c r="H48" s="143"/>
      <c r="I48" s="143"/>
      <c r="J48" s="31"/>
      <c r="K48" s="31"/>
      <c r="L48" s="157"/>
      <c r="M48" s="157"/>
      <c r="N48" s="146"/>
    </row>
    <row r="49" spans="1:14" s="3" customFormat="1" ht="15.75" x14ac:dyDescent="0.2">
      <c r="A49" s="36" t="s">
        <v>362</v>
      </c>
      <c r="B49" s="42"/>
      <c r="C49" s="282"/>
      <c r="D49" s="249"/>
      <c r="E49" s="25"/>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v>35590</v>
      </c>
      <c r="C53" s="303">
        <v>16100</v>
      </c>
      <c r="D53" s="414">
        <f t="shared" si="15"/>
        <v>-54.8</v>
      </c>
      <c r="E53" s="11">
        <f>IFERROR(100/'Skjema total MA'!C53*C53,0)</f>
        <v>13.979733033987596</v>
      </c>
      <c r="F53" s="143"/>
      <c r="G53" s="31"/>
      <c r="H53" s="143"/>
      <c r="I53" s="143"/>
      <c r="J53" s="31"/>
      <c r="K53" s="31"/>
      <c r="L53" s="157"/>
      <c r="M53" s="157"/>
      <c r="N53" s="146"/>
    </row>
    <row r="54" spans="1:14" s="3" customFormat="1" ht="15.75" x14ac:dyDescent="0.2">
      <c r="A54" s="36" t="s">
        <v>361</v>
      </c>
      <c r="B54" s="276">
        <v>35590</v>
      </c>
      <c r="C54" s="277">
        <v>16100</v>
      </c>
      <c r="D54" s="249">
        <f t="shared" si="15"/>
        <v>-54.8</v>
      </c>
      <c r="E54" s="25">
        <f>IFERROR(100/'Skjema total MA'!C54*C54,0)</f>
        <v>14.095886347582494</v>
      </c>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v>32038</v>
      </c>
      <c r="C56" s="303">
        <v>28700</v>
      </c>
      <c r="D56" s="414">
        <f t="shared" si="15"/>
        <v>-10.4</v>
      </c>
      <c r="E56" s="11">
        <f>IFERROR(100/'Skjema total MA'!C56*C56,0)</f>
        <v>30.650084664718193</v>
      </c>
      <c r="F56" s="143"/>
      <c r="G56" s="31"/>
      <c r="H56" s="143"/>
      <c r="I56" s="143"/>
      <c r="J56" s="31"/>
      <c r="K56" s="31"/>
      <c r="L56" s="157"/>
      <c r="M56" s="157"/>
      <c r="N56" s="146"/>
    </row>
    <row r="57" spans="1:14" s="3" customFormat="1" ht="15.75" x14ac:dyDescent="0.2">
      <c r="A57" s="36" t="s">
        <v>361</v>
      </c>
      <c r="B57" s="276">
        <v>32038</v>
      </c>
      <c r="C57" s="277">
        <v>28700</v>
      </c>
      <c r="D57" s="249">
        <f t="shared" si="15"/>
        <v>-10.4</v>
      </c>
      <c r="E57" s="25">
        <f>IFERROR(100/'Skjema total MA'!C57*C57,0)</f>
        <v>30.650084664718193</v>
      </c>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291"/>
      <c r="F62" s="707"/>
      <c r="G62" s="707"/>
      <c r="H62" s="707"/>
      <c r="I62" s="291"/>
      <c r="J62" s="707"/>
      <c r="K62" s="707"/>
      <c r="L62" s="707"/>
      <c r="M62" s="291"/>
    </row>
    <row r="63" spans="1:14" x14ac:dyDescent="0.2">
      <c r="A63" s="142"/>
      <c r="B63" s="705" t="s">
        <v>0</v>
      </c>
      <c r="C63" s="706"/>
      <c r="D63" s="710"/>
      <c r="E63" s="292"/>
      <c r="F63" s="706" t="s">
        <v>1</v>
      </c>
      <c r="G63" s="706"/>
      <c r="H63" s="706"/>
      <c r="I63" s="296"/>
      <c r="J63" s="705" t="s">
        <v>2</v>
      </c>
      <c r="K63" s="706"/>
      <c r="L63" s="706"/>
      <c r="M63" s="296"/>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v>1641049.351</v>
      </c>
      <c r="C66" s="344">
        <v>1764054</v>
      </c>
      <c r="D66" s="341">
        <f t="shared" ref="D66:D111" si="16">IF(B66=0, "    ---- ", IF(ABS(ROUND(100/B66*C66-100,1))&lt;999,ROUND(100/B66*C66-100,1),IF(ROUND(100/B66*C66-100,1)&gt;999,999,-999)))</f>
        <v>7.5</v>
      </c>
      <c r="E66" s="11">
        <f>IFERROR(100/'Skjema total MA'!C66*C66,0)</f>
        <v>28.650012939767642</v>
      </c>
      <c r="F66" s="343">
        <v>8060502</v>
      </c>
      <c r="G66" s="343">
        <v>9102849</v>
      </c>
      <c r="H66" s="341">
        <f t="shared" ref="H66:H111" si="17">IF(F66=0, "    ---- ", IF(ABS(ROUND(100/F66*G66-100,1))&lt;999,ROUND(100/F66*G66-100,1),IF(ROUND(100/F66*G66-100,1)&gt;999,999,-999)))</f>
        <v>12.9</v>
      </c>
      <c r="I66" s="11">
        <f>IFERROR(100/'Skjema total MA'!F66*G66,0)</f>
        <v>28.893992441857993</v>
      </c>
      <c r="J66" s="301">
        <f t="shared" ref="J66:K86" si="18">SUM(B66,F66)</f>
        <v>9701551.3509999998</v>
      </c>
      <c r="K66" s="308">
        <f t="shared" si="18"/>
        <v>10866903</v>
      </c>
      <c r="L66" s="414">
        <f t="shared" ref="L66:L111" si="19">IF(J66=0, "    ---- ", IF(ABS(ROUND(100/J66*K66-100,1))&lt;999,ROUND(100/J66*K66-100,1),IF(ROUND(100/J66*K66-100,1)&gt;999,999,-999)))</f>
        <v>12</v>
      </c>
      <c r="M66" s="11">
        <f>IFERROR(100/'Skjema total MA'!I66*K66,0)</f>
        <v>28.854104447237169</v>
      </c>
    </row>
    <row r="67" spans="1:14" x14ac:dyDescent="0.2">
      <c r="A67" s="19" t="s">
        <v>9</v>
      </c>
      <c r="B67" s="42">
        <v>1439927.351</v>
      </c>
      <c r="C67" s="143">
        <v>1524141</v>
      </c>
      <c r="D67" s="164">
        <f t="shared" si="16"/>
        <v>5.8</v>
      </c>
      <c r="E67" s="25">
        <f>IFERROR(100/'Skjema total MA'!C67*C67,0)</f>
        <v>38.157059668716443</v>
      </c>
      <c r="F67" s="230"/>
      <c r="G67" s="143"/>
      <c r="H67" s="164"/>
      <c r="I67" s="25"/>
      <c r="J67" s="282">
        <f t="shared" si="18"/>
        <v>1439927.351</v>
      </c>
      <c r="K67" s="42">
        <f t="shared" si="18"/>
        <v>1524141</v>
      </c>
      <c r="L67" s="249">
        <f t="shared" si="19"/>
        <v>5.8</v>
      </c>
      <c r="M67" s="25">
        <f>IFERROR(100/'Skjema total MA'!I67*K67,0)</f>
        <v>38.157059668716443</v>
      </c>
    </row>
    <row r="68" spans="1:14" x14ac:dyDescent="0.2">
      <c r="A68" s="19" t="s">
        <v>10</v>
      </c>
      <c r="B68" s="286"/>
      <c r="C68" s="287"/>
      <c r="D68" s="164"/>
      <c r="E68" s="25"/>
      <c r="F68" s="286">
        <v>8060502</v>
      </c>
      <c r="G68" s="287">
        <v>9102849</v>
      </c>
      <c r="H68" s="164">
        <f t="shared" si="17"/>
        <v>12.9</v>
      </c>
      <c r="I68" s="25">
        <f>IFERROR(100/'Skjema total MA'!F68*G68,0)</f>
        <v>30.041770333057759</v>
      </c>
      <c r="J68" s="282">
        <f t="shared" si="18"/>
        <v>8060502</v>
      </c>
      <c r="K68" s="42">
        <f t="shared" si="18"/>
        <v>9102849</v>
      </c>
      <c r="L68" s="249">
        <f t="shared" si="19"/>
        <v>12.9</v>
      </c>
      <c r="M68" s="25">
        <f>IFERROR(100/'Skjema total MA'!I68*K68,0)</f>
        <v>29.997905831613839</v>
      </c>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c r="C75" s="143"/>
      <c r="D75" s="164"/>
      <c r="E75" s="25"/>
      <c r="F75" s="230"/>
      <c r="G75" s="143"/>
      <c r="H75" s="164"/>
      <c r="I75" s="25"/>
      <c r="J75" s="282"/>
      <c r="K75" s="42"/>
      <c r="L75" s="249"/>
      <c r="M75" s="25"/>
      <c r="N75" s="146"/>
    </row>
    <row r="76" spans="1:14" s="3" customFormat="1" x14ac:dyDescent="0.2">
      <c r="A76" s="19" t="s">
        <v>336</v>
      </c>
      <c r="B76" s="230">
        <v>201122</v>
      </c>
      <c r="C76" s="143">
        <v>239913</v>
      </c>
      <c r="D76" s="164">
        <f t="shared" ref="D76" si="20">IF(B76=0, "    ---- ", IF(ABS(ROUND(100/B76*C76-100,1))&lt;999,ROUND(100/B76*C76-100,1),IF(ROUND(100/B76*C76-100,1)&gt;999,999,-999)))</f>
        <v>19.3</v>
      </c>
      <c r="E76" s="25">
        <f>IFERROR(100/'Skjema total MA'!C77*C76,0)</f>
        <v>6.059851516488278</v>
      </c>
      <c r="F76" s="230"/>
      <c r="G76" s="143"/>
      <c r="H76" s="164"/>
      <c r="I76" s="25"/>
      <c r="J76" s="282">
        <f t="shared" ref="J76" si="21">SUM(B76,F76)</f>
        <v>201122</v>
      </c>
      <c r="K76" s="42">
        <f t="shared" ref="K76" si="22">SUM(C76,G76)</f>
        <v>239913</v>
      </c>
      <c r="L76" s="249">
        <f t="shared" ref="L76" si="23">IF(J76=0, "    ---- ", IF(ABS(ROUND(100/J76*K76-100,1))&lt;999,ROUND(100/J76*K76-100,1),IF(ROUND(100/J76*K76-100,1)&gt;999,999,-999)))</f>
        <v>19.3</v>
      </c>
      <c r="M76" s="25">
        <f>IFERROR(100/'Skjema total MA'!I77*K76,0)</f>
        <v>0.70047921280557113</v>
      </c>
      <c r="N76" s="146"/>
    </row>
    <row r="77" spans="1:14" ht="15.75" x14ac:dyDescent="0.2">
      <c r="A77" s="19" t="s">
        <v>367</v>
      </c>
      <c r="B77" s="230">
        <v>1420059.8230000001</v>
      </c>
      <c r="C77" s="230">
        <v>1504301</v>
      </c>
      <c r="D77" s="164">
        <f t="shared" si="16"/>
        <v>5.9</v>
      </c>
      <c r="E77" s="25">
        <f>IFERROR(100/'Skjema total MA'!C77*C77,0)</f>
        <v>37.99644327779167</v>
      </c>
      <c r="F77" s="230">
        <v>8060502</v>
      </c>
      <c r="G77" s="143">
        <v>9102849</v>
      </c>
      <c r="H77" s="164">
        <f t="shared" si="17"/>
        <v>12.9</v>
      </c>
      <c r="I77" s="25">
        <f>IFERROR(100/'Skjema total MA'!F77*G77,0)</f>
        <v>30.051549124415164</v>
      </c>
      <c r="J77" s="282">
        <f t="shared" si="18"/>
        <v>9480561.8230000008</v>
      </c>
      <c r="K77" s="42">
        <f t="shared" si="18"/>
        <v>10607150</v>
      </c>
      <c r="L77" s="249">
        <f t="shared" si="19"/>
        <v>11.9</v>
      </c>
      <c r="M77" s="25">
        <f>IFERROR(100/'Skjema total MA'!I77*K77,0)</f>
        <v>30.969926940643543</v>
      </c>
    </row>
    <row r="78" spans="1:14" x14ac:dyDescent="0.2">
      <c r="A78" s="19" t="s">
        <v>9</v>
      </c>
      <c r="B78" s="230">
        <v>1420059.8230000001</v>
      </c>
      <c r="C78" s="143">
        <v>1504301</v>
      </c>
      <c r="D78" s="164">
        <f t="shared" si="16"/>
        <v>5.9</v>
      </c>
      <c r="E78" s="25">
        <f>IFERROR(100/'Skjema total MA'!C78*C78,0)</f>
        <v>38.406270901687577</v>
      </c>
      <c r="F78" s="230"/>
      <c r="G78" s="143"/>
      <c r="H78" s="164"/>
      <c r="I78" s="25"/>
      <c r="J78" s="282">
        <f t="shared" si="18"/>
        <v>1420059.8230000001</v>
      </c>
      <c r="K78" s="42">
        <f t="shared" si="18"/>
        <v>1504301</v>
      </c>
      <c r="L78" s="249">
        <f t="shared" si="19"/>
        <v>5.9</v>
      </c>
      <c r="M78" s="25">
        <f>IFERROR(100/'Skjema total MA'!I78*K78,0)</f>
        <v>38.406270901687577</v>
      </c>
    </row>
    <row r="79" spans="1:14" x14ac:dyDescent="0.2">
      <c r="A79" s="36" t="s">
        <v>400</v>
      </c>
      <c r="B79" s="286"/>
      <c r="C79" s="287"/>
      <c r="D79" s="164"/>
      <c r="E79" s="25"/>
      <c r="F79" s="286">
        <v>8060502</v>
      </c>
      <c r="G79" s="287">
        <v>9102849</v>
      </c>
      <c r="H79" s="164">
        <f t="shared" si="17"/>
        <v>12.9</v>
      </c>
      <c r="I79" s="25">
        <f>IFERROR(100/'Skjema total MA'!F79*G79,0)</f>
        <v>30.051549124415164</v>
      </c>
      <c r="J79" s="282">
        <f t="shared" si="18"/>
        <v>8060502</v>
      </c>
      <c r="K79" s="42">
        <f t="shared" si="18"/>
        <v>9102849</v>
      </c>
      <c r="L79" s="249">
        <f t="shared" si="19"/>
        <v>12.9</v>
      </c>
      <c r="M79" s="25">
        <f>IFERROR(100/'Skjema total MA'!I79*K79,0)</f>
        <v>30.009694640832546</v>
      </c>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v>19866.96</v>
      </c>
      <c r="C86" s="143">
        <v>19839.506000000001</v>
      </c>
      <c r="D86" s="164">
        <f t="shared" si="16"/>
        <v>-0.1</v>
      </c>
      <c r="E86" s="25">
        <f>IFERROR(100/'Skjema total MA'!C86*C86,0)</f>
        <v>24.9123450373373</v>
      </c>
      <c r="F86" s="230"/>
      <c r="G86" s="143"/>
      <c r="H86" s="164"/>
      <c r="I86" s="25"/>
      <c r="J86" s="282">
        <f t="shared" si="18"/>
        <v>19866.96</v>
      </c>
      <c r="K86" s="42">
        <f t="shared" si="18"/>
        <v>19839.506000000001</v>
      </c>
      <c r="L86" s="249">
        <f t="shared" si="19"/>
        <v>-0.1</v>
      </c>
      <c r="M86" s="25">
        <f>IFERROR(100/'Skjema total MA'!I86*K86,0)</f>
        <v>22.167765576350945</v>
      </c>
    </row>
    <row r="87" spans="1:13" ht="15.75" x14ac:dyDescent="0.2">
      <c r="A87" s="13" t="s">
        <v>350</v>
      </c>
      <c r="B87" s="344">
        <v>158561237.38699999</v>
      </c>
      <c r="C87" s="344">
        <v>156420032</v>
      </c>
      <c r="D87" s="169">
        <f t="shared" si="16"/>
        <v>-1.4</v>
      </c>
      <c r="E87" s="11">
        <f>IFERROR(100/'Skjema total MA'!C87*C87,0)</f>
        <v>38.881097057276364</v>
      </c>
      <c r="F87" s="343">
        <v>119033399.892</v>
      </c>
      <c r="G87" s="343">
        <v>117204929</v>
      </c>
      <c r="H87" s="169">
        <f t="shared" si="17"/>
        <v>-1.5</v>
      </c>
      <c r="I87" s="11">
        <f>IFERROR(100/'Skjema total MA'!F87*G87,0)</f>
        <v>28.316104734160156</v>
      </c>
      <c r="J87" s="301">
        <f t="shared" ref="J87:K111" si="24">SUM(B87,F87)</f>
        <v>277594637.27899998</v>
      </c>
      <c r="K87" s="232">
        <f t="shared" si="24"/>
        <v>273624961</v>
      </c>
      <c r="L87" s="414">
        <f t="shared" si="19"/>
        <v>-1.4</v>
      </c>
      <c r="M87" s="11">
        <f>IFERROR(100/'Skjema total MA'!I87*K87,0)</f>
        <v>33.523445259945731</v>
      </c>
    </row>
    <row r="88" spans="1:13" x14ac:dyDescent="0.2">
      <c r="A88" s="19" t="s">
        <v>9</v>
      </c>
      <c r="B88" s="230">
        <v>158418139</v>
      </c>
      <c r="C88" s="143">
        <v>156278627</v>
      </c>
      <c r="D88" s="164">
        <f t="shared" si="16"/>
        <v>-1.4</v>
      </c>
      <c r="E88" s="25">
        <f>IFERROR(100/'Skjema total MA'!C88*C88,0)</f>
        <v>40.380157716854249</v>
      </c>
      <c r="F88" s="230"/>
      <c r="G88" s="143"/>
      <c r="H88" s="164"/>
      <c r="I88" s="25"/>
      <c r="J88" s="282">
        <f t="shared" si="24"/>
        <v>158418139</v>
      </c>
      <c r="K88" s="42">
        <f t="shared" si="24"/>
        <v>156278627</v>
      </c>
      <c r="L88" s="249">
        <f t="shared" si="19"/>
        <v>-1.4</v>
      </c>
      <c r="M88" s="25">
        <f>IFERROR(100/'Skjema total MA'!I88*K88,0)</f>
        <v>40.380157716854249</v>
      </c>
    </row>
    <row r="89" spans="1:13" x14ac:dyDescent="0.2">
      <c r="A89" s="19" t="s">
        <v>10</v>
      </c>
      <c r="B89" s="230">
        <v>94029</v>
      </c>
      <c r="C89" s="143">
        <v>89827</v>
      </c>
      <c r="D89" s="164">
        <f t="shared" si="16"/>
        <v>-4.5</v>
      </c>
      <c r="E89" s="25">
        <f>IFERROR(100/'Skjema total MA'!C89*C89,0)</f>
        <v>2.7030977872135606</v>
      </c>
      <c r="F89" s="230">
        <v>119033399.892</v>
      </c>
      <c r="G89" s="143">
        <v>117204929</v>
      </c>
      <c r="H89" s="164">
        <f t="shared" si="17"/>
        <v>-1.5</v>
      </c>
      <c r="I89" s="25">
        <f>IFERROR(100/'Skjema total MA'!F89*G89,0)</f>
        <v>28.658955092440127</v>
      </c>
      <c r="J89" s="282">
        <f t="shared" si="24"/>
        <v>119127428.892</v>
      </c>
      <c r="K89" s="42">
        <f t="shared" si="24"/>
        <v>117294756</v>
      </c>
      <c r="L89" s="249">
        <f t="shared" si="19"/>
        <v>-1.5</v>
      </c>
      <c r="M89" s="25">
        <f>IFERROR(100/'Skjema total MA'!I89*K89,0)</f>
        <v>28.44974611564221</v>
      </c>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c r="C96" s="143"/>
      <c r="D96" s="164"/>
      <c r="E96" s="25"/>
      <c r="F96" s="230"/>
      <c r="G96" s="143"/>
      <c r="H96" s="164"/>
      <c r="I96" s="25"/>
      <c r="J96" s="282"/>
      <c r="K96" s="42"/>
      <c r="L96" s="249"/>
      <c r="M96" s="25"/>
    </row>
    <row r="97" spans="1:13" x14ac:dyDescent="0.2">
      <c r="A97" s="19" t="s">
        <v>334</v>
      </c>
      <c r="B97" s="230">
        <v>49069.387000000002</v>
      </c>
      <c r="C97" s="143">
        <v>51578</v>
      </c>
      <c r="D97" s="164">
        <f t="shared" ref="D97" si="25">IF(B97=0, "    ---- ", IF(ABS(ROUND(100/B97*C97-100,1))&lt;999,ROUND(100/B97*C97-100,1),IF(ROUND(100/B97*C97-100,1)&gt;999,999,-999)))</f>
        <v>5.0999999999999996</v>
      </c>
      <c r="E97" s="25">
        <f>IFERROR(100/'Skjema total MA'!C98*C97,0)</f>
        <v>1.3365643544219591E-2</v>
      </c>
      <c r="F97" s="230"/>
      <c r="G97" s="143"/>
      <c r="H97" s="164"/>
      <c r="I97" s="25"/>
      <c r="J97" s="282">
        <f t="shared" ref="J97" si="26">SUM(B97,F97)</f>
        <v>49069.387000000002</v>
      </c>
      <c r="K97" s="42">
        <f t="shared" ref="K97" si="27">SUM(C97,G97)</f>
        <v>51578</v>
      </c>
      <c r="L97" s="249">
        <f t="shared" ref="L97" si="28">IF(J97=0, "    ---- ", IF(ABS(ROUND(100/J97*K97-100,1))&lt;999,ROUND(100/J97*K97-100,1),IF(ROUND(100/J97*K97-100,1)&gt;999,999,-999)))</f>
        <v>5.0999999999999996</v>
      </c>
      <c r="M97" s="25">
        <f>IFERROR(100/'Skjema total MA'!I98*K97,0)</f>
        <v>6.4953470609646641E-3</v>
      </c>
    </row>
    <row r="98" spans="1:13" ht="15.75" x14ac:dyDescent="0.2">
      <c r="A98" s="19" t="s">
        <v>367</v>
      </c>
      <c r="B98" s="230">
        <v>157375865.61300001</v>
      </c>
      <c r="C98" s="230">
        <v>155240011</v>
      </c>
      <c r="D98" s="164">
        <f t="shared" si="16"/>
        <v>-1.4</v>
      </c>
      <c r="E98" s="25">
        <f>IFERROR(100/'Skjema total MA'!C98*C98,0)</f>
        <v>40.228055582355431</v>
      </c>
      <c r="F98" s="286">
        <v>118932458.892</v>
      </c>
      <c r="G98" s="286">
        <v>117117669</v>
      </c>
      <c r="H98" s="164">
        <f t="shared" si="17"/>
        <v>-1.5</v>
      </c>
      <c r="I98" s="25">
        <f>IFERROR(100/'Skjema total MA'!F98*G98,0)</f>
        <v>28.692915469005662</v>
      </c>
      <c r="J98" s="282">
        <f t="shared" si="24"/>
        <v>276308324.505</v>
      </c>
      <c r="K98" s="42">
        <f t="shared" si="24"/>
        <v>272357680</v>
      </c>
      <c r="L98" s="249">
        <f t="shared" si="19"/>
        <v>-1.4</v>
      </c>
      <c r="M98" s="25">
        <f>IFERROR(100/'Skjema total MA'!I98*K98,0)</f>
        <v>34.298686577981982</v>
      </c>
    </row>
    <row r="99" spans="1:13" x14ac:dyDescent="0.2">
      <c r="A99" s="19" t="s">
        <v>9</v>
      </c>
      <c r="B99" s="286">
        <v>157281836.61300001</v>
      </c>
      <c r="C99" s="287">
        <v>155150184</v>
      </c>
      <c r="D99" s="164">
        <f t="shared" si="16"/>
        <v>-1.4</v>
      </c>
      <c r="E99" s="25">
        <f>IFERROR(100/'Skjema total MA'!C99*C99,0)</f>
        <v>40.554002425285425</v>
      </c>
      <c r="F99" s="230"/>
      <c r="G99" s="143"/>
      <c r="H99" s="164"/>
      <c r="I99" s="25"/>
      <c r="J99" s="282">
        <f t="shared" si="24"/>
        <v>157281836.61300001</v>
      </c>
      <c r="K99" s="42">
        <f t="shared" si="24"/>
        <v>155150184</v>
      </c>
      <c r="L99" s="249">
        <f t="shared" si="19"/>
        <v>-1.4</v>
      </c>
      <c r="M99" s="25">
        <f>IFERROR(100/'Skjema total MA'!I99*K99,0)</f>
        <v>40.554002425285425</v>
      </c>
    </row>
    <row r="100" spans="1:13" x14ac:dyDescent="0.2">
      <c r="A100" s="36" t="s">
        <v>400</v>
      </c>
      <c r="B100" s="286">
        <v>94029</v>
      </c>
      <c r="C100" s="287">
        <v>89827</v>
      </c>
      <c r="D100" s="164">
        <f t="shared" si="16"/>
        <v>-4.5</v>
      </c>
      <c r="E100" s="25">
        <f>IFERROR(100/'Skjema total MA'!C100*C100,0)</f>
        <v>2.7030977869044595</v>
      </c>
      <c r="F100" s="230">
        <v>118932458.892</v>
      </c>
      <c r="G100" s="230">
        <v>117117669</v>
      </c>
      <c r="H100" s="164">
        <f t="shared" si="17"/>
        <v>-1.5</v>
      </c>
      <c r="I100" s="25">
        <f>IFERROR(100/'Skjema total MA'!F100*G100,0)</f>
        <v>28.692915469005662</v>
      </c>
      <c r="J100" s="282">
        <f t="shared" si="24"/>
        <v>119026487.892</v>
      </c>
      <c r="K100" s="42">
        <f t="shared" si="24"/>
        <v>117207496</v>
      </c>
      <c r="L100" s="249">
        <f t="shared" si="19"/>
        <v>-1.5</v>
      </c>
      <c r="M100" s="25">
        <f>IFERROR(100/'Skjema total MA'!I100*K100,0)</f>
        <v>28.483031535723669</v>
      </c>
    </row>
    <row r="101" spans="1:13" ht="15.75" x14ac:dyDescent="0.2">
      <c r="A101" s="288" t="s">
        <v>365</v>
      </c>
      <c r="B101" s="311"/>
      <c r="C101" s="311"/>
      <c r="D101" s="164"/>
      <c r="E101" s="21"/>
      <c r="F101" s="311"/>
      <c r="G101" s="311"/>
      <c r="H101" s="164"/>
      <c r="I101" s="21"/>
      <c r="J101" s="311"/>
      <c r="K101" s="311"/>
      <c r="L101" s="164"/>
      <c r="M101" s="21"/>
    </row>
    <row r="102" spans="1:13" x14ac:dyDescent="0.2">
      <c r="A102" s="288" t="s">
        <v>12</v>
      </c>
      <c r="B102" s="311"/>
      <c r="C102" s="311"/>
      <c r="D102" s="164"/>
      <c r="E102" s="21"/>
      <c r="F102" s="311"/>
      <c r="G102" s="311"/>
      <c r="H102" s="164"/>
      <c r="I102" s="21"/>
      <c r="J102" s="311"/>
      <c r="K102" s="311"/>
      <c r="L102" s="164"/>
      <c r="M102" s="21"/>
    </row>
    <row r="103" spans="1:13" x14ac:dyDescent="0.2">
      <c r="A103" s="288" t="s">
        <v>13</v>
      </c>
      <c r="B103" s="311"/>
      <c r="C103" s="311"/>
      <c r="D103" s="164"/>
      <c r="E103" s="21"/>
      <c r="F103" s="311"/>
      <c r="G103" s="311"/>
      <c r="H103" s="164"/>
      <c r="I103" s="21"/>
      <c r="J103" s="311"/>
      <c r="K103" s="311"/>
      <c r="L103" s="164"/>
      <c r="M103" s="21"/>
    </row>
    <row r="104" spans="1:13" ht="15.75" x14ac:dyDescent="0.2">
      <c r="A104" s="288" t="s">
        <v>366</v>
      </c>
      <c r="B104" s="311"/>
      <c r="C104" s="311"/>
      <c r="D104" s="164"/>
      <c r="E104" s="21"/>
      <c r="F104" s="311"/>
      <c r="G104" s="311"/>
      <c r="H104" s="164"/>
      <c r="I104" s="21"/>
      <c r="J104" s="311"/>
      <c r="K104" s="311"/>
      <c r="L104" s="164"/>
      <c r="M104" s="21"/>
    </row>
    <row r="105" spans="1:13" x14ac:dyDescent="0.2">
      <c r="A105" s="288" t="s">
        <v>12</v>
      </c>
      <c r="B105" s="231"/>
      <c r="C105" s="284"/>
      <c r="D105" s="164"/>
      <c r="E105" s="21"/>
      <c r="F105" s="311"/>
      <c r="G105" s="311"/>
      <c r="H105" s="164"/>
      <c r="I105" s="21"/>
      <c r="J105" s="311"/>
      <c r="K105" s="311"/>
      <c r="L105" s="164"/>
      <c r="M105" s="21"/>
    </row>
    <row r="106" spans="1:13" x14ac:dyDescent="0.2">
      <c r="A106" s="288" t="s">
        <v>13</v>
      </c>
      <c r="B106" s="231"/>
      <c r="C106" s="284"/>
      <c r="D106" s="164"/>
      <c r="E106" s="21"/>
      <c r="F106" s="311"/>
      <c r="G106" s="311"/>
      <c r="H106" s="164"/>
      <c r="I106" s="21"/>
      <c r="J106" s="311"/>
      <c r="K106" s="311"/>
      <c r="L106" s="164"/>
      <c r="M106" s="21"/>
    </row>
    <row r="107" spans="1:13" ht="15.75" x14ac:dyDescent="0.2">
      <c r="A107" s="19" t="s">
        <v>368</v>
      </c>
      <c r="B107" s="230">
        <v>1136302.287</v>
      </c>
      <c r="C107" s="143">
        <v>1128443</v>
      </c>
      <c r="D107" s="164">
        <f t="shared" si="16"/>
        <v>-0.7</v>
      </c>
      <c r="E107" s="25">
        <f>IFERROR(100/'Skjema total MA'!C107*C107,0)</f>
        <v>25.406123392328556</v>
      </c>
      <c r="F107" s="230">
        <v>100941.40300000001</v>
      </c>
      <c r="G107" s="143">
        <v>87260</v>
      </c>
      <c r="H107" s="164">
        <f t="shared" si="17"/>
        <v>-13.6</v>
      </c>
      <c r="I107" s="25">
        <f>IFERROR(100/'Skjema total MA'!F107*G107,0)</f>
        <v>11.071367137407956</v>
      </c>
      <c r="J107" s="282">
        <f t="shared" si="24"/>
        <v>1237243.69</v>
      </c>
      <c r="K107" s="42">
        <f t="shared" si="24"/>
        <v>1215703</v>
      </c>
      <c r="L107" s="249">
        <f t="shared" si="19"/>
        <v>-1.7</v>
      </c>
      <c r="M107" s="25">
        <f>IFERROR(100/'Skjema total MA'!I107*K107,0)</f>
        <v>23.245788580788368</v>
      </c>
    </row>
    <row r="108" spans="1:13" ht="15.75" x14ac:dyDescent="0.2">
      <c r="A108" s="19" t="s">
        <v>369</v>
      </c>
      <c r="B108" s="230">
        <v>139731565</v>
      </c>
      <c r="C108" s="230">
        <v>136770122.6094</v>
      </c>
      <c r="D108" s="164">
        <f t="shared" si="16"/>
        <v>-2.1</v>
      </c>
      <c r="E108" s="25">
        <f>IFERROR(100/'Skjema total MA'!C108*C108,0)</f>
        <v>41.070835848102902</v>
      </c>
      <c r="F108" s="230">
        <v>898032.21900000004</v>
      </c>
      <c r="G108" s="230">
        <v>861347</v>
      </c>
      <c r="H108" s="164">
        <f t="shared" si="17"/>
        <v>-4.0999999999999996</v>
      </c>
      <c r="I108" s="25">
        <f>IFERROR(100/'Skjema total MA'!F108*G108,0)</f>
        <v>4.6478203077501838</v>
      </c>
      <c r="J108" s="282">
        <f t="shared" si="24"/>
        <v>140629597.21900001</v>
      </c>
      <c r="K108" s="42">
        <f t="shared" si="24"/>
        <v>137631469.6094</v>
      </c>
      <c r="L108" s="249">
        <f t="shared" si="19"/>
        <v>-2.1</v>
      </c>
      <c r="M108" s="25">
        <f>IFERROR(100/'Skjema total MA'!I108*K108,0)</f>
        <v>39.150722995170348</v>
      </c>
    </row>
    <row r="109" spans="1:13" ht="15.75" x14ac:dyDescent="0.2">
      <c r="A109" s="36" t="s">
        <v>408</v>
      </c>
      <c r="B109" s="230">
        <v>94029</v>
      </c>
      <c r="C109" s="230">
        <v>89827</v>
      </c>
      <c r="D109" s="164">
        <f t="shared" si="16"/>
        <v>-4.5</v>
      </c>
      <c r="E109" s="25">
        <f>IFERROR(100/'Skjema total MA'!C109*C109,0)</f>
        <v>4.8097609366876934</v>
      </c>
      <c r="F109" s="230">
        <v>42726911</v>
      </c>
      <c r="G109" s="230">
        <v>45210429</v>
      </c>
      <c r="H109" s="164">
        <f t="shared" si="17"/>
        <v>5.8</v>
      </c>
      <c r="I109" s="25">
        <f>IFERROR(100/'Skjema total MA'!F109*G109,0)</f>
        <v>29.802302997624164</v>
      </c>
      <c r="J109" s="282">
        <f t="shared" si="24"/>
        <v>42820940</v>
      </c>
      <c r="K109" s="42">
        <f t="shared" si="24"/>
        <v>45300256</v>
      </c>
      <c r="L109" s="249">
        <f t="shared" si="19"/>
        <v>5.8</v>
      </c>
      <c r="M109" s="25">
        <f>IFERROR(100/'Skjema total MA'!I109*K109,0)</f>
        <v>29.498360755602349</v>
      </c>
    </row>
    <row r="110" spans="1:13" ht="15.75" x14ac:dyDescent="0.2">
      <c r="A110" s="19" t="s">
        <v>370</v>
      </c>
      <c r="B110" s="230"/>
      <c r="C110" s="230"/>
      <c r="D110" s="164"/>
      <c r="E110" s="25"/>
      <c r="F110" s="230"/>
      <c r="G110" s="230"/>
      <c r="H110" s="164"/>
      <c r="I110" s="25"/>
      <c r="J110" s="282"/>
      <c r="K110" s="42"/>
      <c r="L110" s="249"/>
      <c r="M110" s="25"/>
    </row>
    <row r="111" spans="1:13" ht="15.75" x14ac:dyDescent="0.2">
      <c r="A111" s="13" t="s">
        <v>351</v>
      </c>
      <c r="B111" s="300">
        <v>253913</v>
      </c>
      <c r="C111" s="157">
        <v>187123</v>
      </c>
      <c r="D111" s="169">
        <f t="shared" si="16"/>
        <v>-26.3</v>
      </c>
      <c r="E111" s="11">
        <f>IFERROR(100/'Skjema total MA'!C111*C111,0)</f>
        <v>30.178330021353421</v>
      </c>
      <c r="F111" s="300">
        <v>18735686</v>
      </c>
      <c r="G111" s="157">
        <v>9584240</v>
      </c>
      <c r="H111" s="169">
        <f t="shared" si="17"/>
        <v>-48.8</v>
      </c>
      <c r="I111" s="11">
        <f>IFERROR(100/'Skjema total MA'!F111*G111,0)</f>
        <v>32.50267305144137</v>
      </c>
      <c r="J111" s="301">
        <f t="shared" si="24"/>
        <v>18989599</v>
      </c>
      <c r="K111" s="232">
        <f t="shared" si="24"/>
        <v>9771363</v>
      </c>
      <c r="L111" s="414">
        <f t="shared" si="19"/>
        <v>-48.5</v>
      </c>
      <c r="M111" s="11">
        <f>IFERROR(100/'Skjema total MA'!I111*K111,0)</f>
        <v>32.454803866613361</v>
      </c>
    </row>
    <row r="112" spans="1:13" x14ac:dyDescent="0.2">
      <c r="A112" s="19" t="s">
        <v>9</v>
      </c>
      <c r="B112" s="230">
        <v>253913</v>
      </c>
      <c r="C112" s="143">
        <v>187123</v>
      </c>
      <c r="D112" s="164">
        <f t="shared" ref="D112:D124" si="29">IF(B112=0, "    ---- ", IF(ABS(ROUND(100/B112*C112-100,1))&lt;999,ROUND(100/B112*C112-100,1),IF(ROUND(100/B112*C112-100,1)&gt;999,999,-999)))</f>
        <v>-26.3</v>
      </c>
      <c r="E112" s="25">
        <f>IFERROR(100/'Skjema total MA'!C112*C112,0)</f>
        <v>52.716093507418279</v>
      </c>
      <c r="F112" s="230"/>
      <c r="G112" s="143"/>
      <c r="H112" s="164"/>
      <c r="I112" s="25"/>
      <c r="J112" s="282">
        <f t="shared" ref="J112:K125" si="30">SUM(B112,F112)</f>
        <v>253913</v>
      </c>
      <c r="K112" s="42">
        <f t="shared" si="30"/>
        <v>187123</v>
      </c>
      <c r="L112" s="249">
        <f t="shared" ref="L112:L125" si="31">IF(J112=0, "    ---- ", IF(ABS(ROUND(100/J112*K112-100,1))&lt;999,ROUND(100/J112*K112-100,1),IF(ROUND(100/J112*K112-100,1)&gt;999,999,-999)))</f>
        <v>-26.3</v>
      </c>
      <c r="M112" s="25">
        <f>IFERROR(100/'Skjema total MA'!I112*K112,0)</f>
        <v>52.257893177197971</v>
      </c>
    </row>
    <row r="113" spans="1:14" x14ac:dyDescent="0.2">
      <c r="A113" s="19" t="s">
        <v>10</v>
      </c>
      <c r="B113" s="230"/>
      <c r="C113" s="143"/>
      <c r="D113" s="164"/>
      <c r="E113" s="25"/>
      <c r="F113" s="230">
        <v>18735686</v>
      </c>
      <c r="G113" s="143">
        <v>9584240</v>
      </c>
      <c r="H113" s="164">
        <f t="shared" ref="H113:H125" si="32">IF(F113=0, "    ---- ", IF(ABS(ROUND(100/F113*G113-100,1))&lt;999,ROUND(100/F113*G113-100,1),IF(ROUND(100/F113*G113-100,1)&gt;999,999,-999)))</f>
        <v>-48.8</v>
      </c>
      <c r="I113" s="25">
        <f>IFERROR(100/'Skjema total MA'!F113*G113,0)</f>
        <v>32.507273179542793</v>
      </c>
      <c r="J113" s="282">
        <f t="shared" si="30"/>
        <v>18735686</v>
      </c>
      <c r="K113" s="42">
        <f t="shared" si="30"/>
        <v>9584240</v>
      </c>
      <c r="L113" s="249">
        <f t="shared" si="31"/>
        <v>-48.8</v>
      </c>
      <c r="M113" s="25">
        <f>IFERROR(100/'Skjema total MA'!I113*K113,0)</f>
        <v>32.507073583794316</v>
      </c>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v>46539.997000000003</v>
      </c>
      <c r="C116" s="230">
        <v>57214</v>
      </c>
      <c r="D116" s="164">
        <f t="shared" si="29"/>
        <v>22.9</v>
      </c>
      <c r="E116" s="25">
        <f>IFERROR(100/'Skjema total MA'!C116*C116,0)</f>
        <v>53.410663031484205</v>
      </c>
      <c r="F116" s="230"/>
      <c r="G116" s="230"/>
      <c r="H116" s="164"/>
      <c r="I116" s="25"/>
      <c r="J116" s="282">
        <f t="shared" si="30"/>
        <v>46539.997000000003</v>
      </c>
      <c r="K116" s="42">
        <f t="shared" si="30"/>
        <v>57214</v>
      </c>
      <c r="L116" s="249">
        <f t="shared" si="31"/>
        <v>22.9</v>
      </c>
      <c r="M116" s="25">
        <f>IFERROR(100/'Skjema total MA'!I116*K116,0)</f>
        <v>51.263728340366377</v>
      </c>
    </row>
    <row r="117" spans="1:14" ht="15.75" x14ac:dyDescent="0.2">
      <c r="A117" s="36" t="s">
        <v>408</v>
      </c>
      <c r="B117" s="230"/>
      <c r="C117" s="230"/>
      <c r="D117" s="164"/>
      <c r="E117" s="25"/>
      <c r="F117" s="230">
        <v>395597.22100000002</v>
      </c>
      <c r="G117" s="230">
        <v>6710334</v>
      </c>
      <c r="H117" s="164">
        <f t="shared" si="32"/>
        <v>999</v>
      </c>
      <c r="I117" s="25">
        <f>IFERROR(100/'Skjema total MA'!F117*G117,0)</f>
        <v>40.094702082850439</v>
      </c>
      <c r="J117" s="282">
        <f t="shared" si="30"/>
        <v>395597.22100000002</v>
      </c>
      <c r="K117" s="42">
        <f t="shared" si="30"/>
        <v>6710334</v>
      </c>
      <c r="L117" s="249">
        <f t="shared" si="31"/>
        <v>999</v>
      </c>
      <c r="M117" s="25">
        <f>IFERROR(100/'Skjema total MA'!I117*K117,0)</f>
        <v>40.094268557062762</v>
      </c>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v>75951.637719999999</v>
      </c>
      <c r="C119" s="157">
        <v>121976</v>
      </c>
      <c r="D119" s="169">
        <f t="shared" si="29"/>
        <v>60.6</v>
      </c>
      <c r="E119" s="11">
        <f>IFERROR(100/'Skjema total MA'!C119*C119,0)</f>
        <v>21.722229493353804</v>
      </c>
      <c r="F119" s="300">
        <v>20774229</v>
      </c>
      <c r="G119" s="157">
        <v>10000391.566</v>
      </c>
      <c r="H119" s="169">
        <f t="shared" si="32"/>
        <v>-51.9</v>
      </c>
      <c r="I119" s="11">
        <f>IFERROR(100/'Skjema total MA'!F119*G119,0)</f>
        <v>31.290085220031926</v>
      </c>
      <c r="J119" s="301">
        <f t="shared" si="30"/>
        <v>20850180.63772</v>
      </c>
      <c r="K119" s="232">
        <f t="shared" si="30"/>
        <v>10122367.566</v>
      </c>
      <c r="L119" s="414">
        <f t="shared" si="31"/>
        <v>-51.5</v>
      </c>
      <c r="M119" s="11">
        <f>IFERROR(100/'Skjema total MA'!I119*K119,0)</f>
        <v>31.124885136901167</v>
      </c>
    </row>
    <row r="120" spans="1:14" x14ac:dyDescent="0.2">
      <c r="A120" s="19" t="s">
        <v>9</v>
      </c>
      <c r="B120" s="230">
        <v>75951.637719999999</v>
      </c>
      <c r="C120" s="143">
        <v>121976</v>
      </c>
      <c r="D120" s="164">
        <f t="shared" si="29"/>
        <v>60.6</v>
      </c>
      <c r="E120" s="25">
        <f>IFERROR(100/'Skjema total MA'!C120*C120,0)</f>
        <v>61.888214135984356</v>
      </c>
      <c r="F120" s="230"/>
      <c r="G120" s="143"/>
      <c r="H120" s="164"/>
      <c r="I120" s="25"/>
      <c r="J120" s="282">
        <f t="shared" si="30"/>
        <v>75951.637719999999</v>
      </c>
      <c r="K120" s="42">
        <f t="shared" si="30"/>
        <v>121976</v>
      </c>
      <c r="L120" s="249">
        <f t="shared" si="31"/>
        <v>60.6</v>
      </c>
      <c r="M120" s="25">
        <f>IFERROR(100/'Skjema total MA'!I120*K120,0)</f>
        <v>61.888214135984356</v>
      </c>
    </row>
    <row r="121" spans="1:14" x14ac:dyDescent="0.2">
      <c r="A121" s="19" t="s">
        <v>10</v>
      </c>
      <c r="B121" s="230"/>
      <c r="C121" s="143"/>
      <c r="D121" s="164"/>
      <c r="E121" s="25"/>
      <c r="F121" s="230">
        <v>20774229</v>
      </c>
      <c r="G121" s="143">
        <v>10000391.566</v>
      </c>
      <c r="H121" s="164">
        <f t="shared" si="32"/>
        <v>-51.9</v>
      </c>
      <c r="I121" s="25">
        <f>IFERROR(100/'Skjema total MA'!F121*G121,0)</f>
        <v>31.290085220031926</v>
      </c>
      <c r="J121" s="282">
        <f t="shared" si="30"/>
        <v>20774229</v>
      </c>
      <c r="K121" s="42">
        <f t="shared" si="30"/>
        <v>10000391.566</v>
      </c>
      <c r="L121" s="249">
        <f t="shared" si="31"/>
        <v>-51.9</v>
      </c>
      <c r="M121" s="25">
        <f>IFERROR(100/'Skjema total MA'!I121*K121,0)</f>
        <v>31.284249304748158</v>
      </c>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v>19354.378000000001</v>
      </c>
      <c r="C124" s="230">
        <v>60098</v>
      </c>
      <c r="D124" s="164">
        <f t="shared" si="29"/>
        <v>210.5</v>
      </c>
      <c r="E124" s="25">
        <f>IFERROR(100/'Skjema total MA'!C124*C124,0)</f>
        <v>97.765696434828399</v>
      </c>
      <c r="F124" s="230"/>
      <c r="G124" s="230"/>
      <c r="H124" s="164"/>
      <c r="I124" s="25"/>
      <c r="J124" s="282">
        <f t="shared" si="30"/>
        <v>19354.378000000001</v>
      </c>
      <c r="K124" s="42">
        <f t="shared" si="30"/>
        <v>60098</v>
      </c>
      <c r="L124" s="249">
        <f t="shared" si="31"/>
        <v>210.5</v>
      </c>
      <c r="M124" s="25">
        <f>IFERROR(100/'Skjema total MA'!I124*K124,0)</f>
        <v>84.491103831044114</v>
      </c>
    </row>
    <row r="125" spans="1:14" ht="15.75" x14ac:dyDescent="0.2">
      <c r="A125" s="36" t="s">
        <v>408</v>
      </c>
      <c r="B125" s="230"/>
      <c r="C125" s="230"/>
      <c r="D125" s="164"/>
      <c r="E125" s="25"/>
      <c r="F125" s="230">
        <v>624810.09400000004</v>
      </c>
      <c r="G125" s="230">
        <v>6908546</v>
      </c>
      <c r="H125" s="164">
        <f t="shared" si="32"/>
        <v>999</v>
      </c>
      <c r="I125" s="25">
        <f>IFERROR(100/'Skjema total MA'!F125*G125,0)</f>
        <v>41.923993934234502</v>
      </c>
      <c r="J125" s="282">
        <f t="shared" si="30"/>
        <v>624810.09400000004</v>
      </c>
      <c r="K125" s="42">
        <f t="shared" si="30"/>
        <v>6908546</v>
      </c>
      <c r="L125" s="249">
        <f t="shared" si="31"/>
        <v>999</v>
      </c>
      <c r="M125" s="25">
        <f>IFERROR(100/'Skjema total MA'!I125*K125,0)</f>
        <v>41.921801322614726</v>
      </c>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291"/>
      <c r="F130" s="707"/>
      <c r="G130" s="707"/>
      <c r="H130" s="707"/>
      <c r="I130" s="291"/>
      <c r="J130" s="707"/>
      <c r="K130" s="707"/>
      <c r="L130" s="707"/>
      <c r="M130" s="291"/>
    </row>
    <row r="131" spans="1:14" s="3" customFormat="1" x14ac:dyDescent="0.2">
      <c r="A131" s="142"/>
      <c r="B131" s="705" t="s">
        <v>0</v>
      </c>
      <c r="C131" s="706"/>
      <c r="D131" s="706"/>
      <c r="E131" s="293"/>
      <c r="F131" s="705" t="s">
        <v>1</v>
      </c>
      <c r="G131" s="706"/>
      <c r="H131" s="706"/>
      <c r="I131" s="296"/>
      <c r="J131" s="705" t="s">
        <v>2</v>
      </c>
      <c r="K131" s="706"/>
      <c r="L131" s="706"/>
      <c r="M131" s="296"/>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c r="C134" s="301"/>
      <c r="D134" s="341"/>
      <c r="E134" s="11"/>
      <c r="F134" s="308"/>
      <c r="G134" s="309"/>
      <c r="H134" s="417"/>
      <c r="I134" s="22"/>
      <c r="J134" s="310"/>
      <c r="K134" s="310"/>
      <c r="L134" s="413"/>
      <c r="M134" s="11"/>
      <c r="N134" s="146"/>
    </row>
    <row r="135" spans="1:14" s="3" customFormat="1" ht="15.75" x14ac:dyDescent="0.2">
      <c r="A135" s="13" t="s">
        <v>377</v>
      </c>
      <c r="B135" s="232"/>
      <c r="C135" s="301"/>
      <c r="D135" s="169"/>
      <c r="E135" s="11"/>
      <c r="F135" s="232"/>
      <c r="G135" s="301"/>
      <c r="H135" s="418"/>
      <c r="I135" s="22"/>
      <c r="J135" s="300"/>
      <c r="K135" s="300"/>
      <c r="L135" s="414"/>
      <c r="M135" s="11"/>
      <c r="N135" s="146"/>
    </row>
    <row r="136" spans="1:14" s="3" customFormat="1" ht="15.75" x14ac:dyDescent="0.2">
      <c r="A136" s="13" t="s">
        <v>374</v>
      </c>
      <c r="B136" s="232"/>
      <c r="C136" s="301"/>
      <c r="D136" s="169"/>
      <c r="E136" s="11"/>
      <c r="F136" s="232"/>
      <c r="G136" s="301"/>
      <c r="H136" s="418"/>
      <c r="I136" s="22"/>
      <c r="J136" s="300"/>
      <c r="K136" s="300"/>
      <c r="L136" s="414"/>
      <c r="M136" s="11"/>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403" priority="12">
      <formula>kvartal &lt; 4</formula>
    </cfRule>
  </conditionalFormatting>
  <conditionalFormatting sqref="A69:A74">
    <cfRule type="expression" dxfId="402" priority="10">
      <formula>kvartal &lt; 4</formula>
    </cfRule>
  </conditionalFormatting>
  <conditionalFormatting sqref="A80:A85">
    <cfRule type="expression" dxfId="401" priority="9">
      <formula>kvartal &lt; 4</formula>
    </cfRule>
  </conditionalFormatting>
  <conditionalFormatting sqref="A90:A95">
    <cfRule type="expression" dxfId="400" priority="6">
      <formula>kvartal &lt; 4</formula>
    </cfRule>
  </conditionalFormatting>
  <conditionalFormatting sqref="A101:A106">
    <cfRule type="expression" dxfId="399" priority="5">
      <formula>kvartal &lt; 4</formula>
    </cfRule>
  </conditionalFormatting>
  <conditionalFormatting sqref="A115">
    <cfRule type="expression" dxfId="398" priority="4">
      <formula>kvartal &lt; 4</formula>
    </cfRule>
  </conditionalFormatting>
  <conditionalFormatting sqref="A123">
    <cfRule type="expression" dxfId="397" priority="3">
      <formula>kvartal &lt; 4</formula>
    </cfRule>
  </conditionalFormatting>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3"/>
  <dimension ref="A1:N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244" t="s">
        <v>122</v>
      </c>
      <c r="D1" s="24"/>
      <c r="E1" s="24"/>
      <c r="F1" s="24"/>
      <c r="G1" s="24"/>
      <c r="H1" s="24"/>
      <c r="I1" s="24"/>
      <c r="J1" s="24"/>
      <c r="K1" s="24"/>
      <c r="L1" s="24"/>
      <c r="M1" s="24"/>
    </row>
    <row r="2" spans="1:14" ht="15.75" x14ac:dyDescent="0.25">
      <c r="A2" s="163" t="s">
        <v>28</v>
      </c>
      <c r="B2" s="704"/>
      <c r="C2" s="704"/>
      <c r="D2" s="704"/>
      <c r="E2" s="291"/>
      <c r="F2" s="704"/>
      <c r="G2" s="704"/>
      <c r="H2" s="704"/>
      <c r="I2" s="291"/>
      <c r="J2" s="704"/>
      <c r="K2" s="704"/>
      <c r="L2" s="704"/>
      <c r="M2" s="291"/>
    </row>
    <row r="3" spans="1:14" ht="15.75" x14ac:dyDescent="0.25">
      <c r="A3" s="161"/>
      <c r="B3" s="291"/>
      <c r="C3" s="291"/>
      <c r="D3" s="291"/>
      <c r="E3" s="291"/>
      <c r="F3" s="291"/>
      <c r="G3" s="291"/>
      <c r="H3" s="291"/>
      <c r="I3" s="291"/>
      <c r="J3" s="291"/>
      <c r="K3" s="291"/>
      <c r="L3" s="291"/>
      <c r="M3" s="291"/>
    </row>
    <row r="4" spans="1:14" x14ac:dyDescent="0.2">
      <c r="A4" s="142"/>
      <c r="B4" s="705" t="s">
        <v>0</v>
      </c>
      <c r="C4" s="706"/>
      <c r="D4" s="706"/>
      <c r="E4" s="293"/>
      <c r="F4" s="705" t="s">
        <v>1</v>
      </c>
      <c r="G4" s="706"/>
      <c r="H4" s="706"/>
      <c r="I4" s="296"/>
      <c r="J4" s="705" t="s">
        <v>2</v>
      </c>
      <c r="K4" s="706"/>
      <c r="L4" s="706"/>
      <c r="M4" s="296"/>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v>291419</v>
      </c>
      <c r="C7" s="299">
        <v>302801</v>
      </c>
      <c r="D7" s="341">
        <f>IF(B7=0, "    ---- ", IF(ABS(ROUND(100/B7*C7-100,1))&lt;999,ROUND(100/B7*C7-100,1),IF(ROUND(100/B7*C7-100,1)&gt;999,999,-999)))</f>
        <v>3.9</v>
      </c>
      <c r="E7" s="11">
        <f>IFERROR(100/'Skjema total MA'!C7*C7,0)</f>
        <v>7.5970138612230418</v>
      </c>
      <c r="F7" s="298"/>
      <c r="G7" s="299"/>
      <c r="H7" s="341"/>
      <c r="I7" s="158"/>
      <c r="J7" s="300">
        <f t="shared" ref="J7:K9" si="0">SUM(B7,F7)</f>
        <v>291419</v>
      </c>
      <c r="K7" s="301">
        <f t="shared" si="0"/>
        <v>302801</v>
      </c>
      <c r="L7" s="413">
        <f>IF(J7=0, "    ---- ", IF(ABS(ROUND(100/J7*K7-100,1))&lt;999,ROUND(100/J7*K7-100,1),IF(ROUND(100/J7*K7-100,1)&gt;999,999,-999)))</f>
        <v>3.9</v>
      </c>
      <c r="M7" s="11">
        <f>IFERROR(100/'Skjema total MA'!I7*K7,0)</f>
        <v>2.7040690516114334</v>
      </c>
    </row>
    <row r="8" spans="1:14" ht="15.75" x14ac:dyDescent="0.2">
      <c r="A8" s="19" t="s">
        <v>25</v>
      </c>
      <c r="B8" s="276">
        <v>145529</v>
      </c>
      <c r="C8" s="277">
        <v>152300</v>
      </c>
      <c r="D8" s="164">
        <f t="shared" ref="D8:D9" si="1">IF(B8=0, "    ---- ", IF(ABS(ROUND(100/B8*C8-100,1))&lt;999,ROUND(100/B8*C8-100,1),IF(ROUND(100/B8*C8-100,1)&gt;999,999,-999)))</f>
        <v>4.7</v>
      </c>
      <c r="E8" s="25">
        <f>IFERROR(100/'Skjema total MA'!C8*C8,0)</f>
        <v>5.8419465248545031</v>
      </c>
      <c r="F8" s="280"/>
      <c r="G8" s="281"/>
      <c r="H8" s="164"/>
      <c r="I8" s="172"/>
      <c r="J8" s="230">
        <f t="shared" si="0"/>
        <v>145529</v>
      </c>
      <c r="K8" s="282">
        <f t="shared" si="0"/>
        <v>152300</v>
      </c>
      <c r="L8" s="164">
        <f t="shared" ref="L8:L9" si="2">IF(J8=0, "    ---- ", IF(ABS(ROUND(100/J8*K8-100,1))&lt;999,ROUND(100/J8*K8-100,1),IF(ROUND(100/J8*K8-100,1)&gt;999,999,-999)))</f>
        <v>4.7</v>
      </c>
      <c r="M8" s="25">
        <f>IFERROR(100/'Skjema total MA'!I8*K8,0)</f>
        <v>5.8419465248545031</v>
      </c>
    </row>
    <row r="9" spans="1:14" ht="15.75" x14ac:dyDescent="0.2">
      <c r="A9" s="19" t="s">
        <v>24</v>
      </c>
      <c r="B9" s="276">
        <v>145890</v>
      </c>
      <c r="C9" s="277">
        <v>150501</v>
      </c>
      <c r="D9" s="164">
        <f t="shared" si="1"/>
        <v>3.2</v>
      </c>
      <c r="E9" s="25">
        <f>IFERROR(100/'Skjema total MA'!C9*C9,0)</f>
        <v>18.554985382087498</v>
      </c>
      <c r="F9" s="280"/>
      <c r="G9" s="281"/>
      <c r="H9" s="164"/>
      <c r="I9" s="172"/>
      <c r="J9" s="230">
        <f t="shared" si="0"/>
        <v>145890</v>
      </c>
      <c r="K9" s="282">
        <f t="shared" si="0"/>
        <v>150501</v>
      </c>
      <c r="L9" s="164">
        <f t="shared" si="2"/>
        <v>3.2</v>
      </c>
      <c r="M9" s="25">
        <f>IFERROR(100/'Skjema total MA'!I9*K9,0)</f>
        <v>18.554985382087498</v>
      </c>
    </row>
    <row r="10" spans="1:14" ht="15.75" x14ac:dyDescent="0.2">
      <c r="A10" s="13" t="s">
        <v>350</v>
      </c>
      <c r="B10" s="302"/>
      <c r="C10" s="303"/>
      <c r="D10" s="169"/>
      <c r="E10" s="11"/>
      <c r="F10" s="302"/>
      <c r="G10" s="303"/>
      <c r="H10" s="169"/>
      <c r="I10" s="158"/>
      <c r="J10" s="300"/>
      <c r="K10" s="301"/>
      <c r="L10" s="414"/>
      <c r="M10" s="11"/>
    </row>
    <row r="11" spans="1:14" s="41" customFormat="1" ht="15.75" x14ac:dyDescent="0.2">
      <c r="A11" s="13" t="s">
        <v>351</v>
      </c>
      <c r="B11" s="302"/>
      <c r="C11" s="303"/>
      <c r="D11" s="169"/>
      <c r="E11" s="11"/>
      <c r="F11" s="302"/>
      <c r="G11" s="303"/>
      <c r="H11" s="169"/>
      <c r="I11" s="158"/>
      <c r="J11" s="300"/>
      <c r="K11" s="301"/>
      <c r="L11" s="414"/>
      <c r="M11" s="11"/>
      <c r="N11" s="141"/>
    </row>
    <row r="12" spans="1:14" s="41" customFormat="1" ht="15.75" x14ac:dyDescent="0.2">
      <c r="A12" s="39" t="s">
        <v>352</v>
      </c>
      <c r="B12" s="304"/>
      <c r="C12" s="305"/>
      <c r="D12" s="167"/>
      <c r="E12" s="34"/>
      <c r="F12" s="304"/>
      <c r="G12" s="305"/>
      <c r="H12" s="167"/>
      <c r="I12" s="167"/>
      <c r="J12" s="306"/>
      <c r="K12" s="307"/>
      <c r="L12" s="415"/>
      <c r="M12" s="34"/>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291"/>
      <c r="F18" s="707"/>
      <c r="G18" s="707"/>
      <c r="H18" s="707"/>
      <c r="I18" s="291"/>
      <c r="J18" s="707"/>
      <c r="K18" s="707"/>
      <c r="L18" s="707"/>
      <c r="M18" s="291"/>
    </row>
    <row r="19" spans="1:14" x14ac:dyDescent="0.2">
      <c r="A19" s="142"/>
      <c r="B19" s="705" t="s">
        <v>0</v>
      </c>
      <c r="C19" s="706"/>
      <c r="D19" s="706"/>
      <c r="E19" s="293"/>
      <c r="F19" s="705" t="s">
        <v>1</v>
      </c>
      <c r="G19" s="706"/>
      <c r="H19" s="706"/>
      <c r="I19" s="296"/>
      <c r="J19" s="705" t="s">
        <v>2</v>
      </c>
      <c r="K19" s="706"/>
      <c r="L19" s="706"/>
      <c r="M19" s="296"/>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302"/>
      <c r="C22" s="302"/>
      <c r="D22" s="341"/>
      <c r="E22" s="11"/>
      <c r="F22" s="310"/>
      <c r="G22" s="310"/>
      <c r="H22" s="341"/>
      <c r="I22" s="11"/>
      <c r="J22" s="308"/>
      <c r="K22" s="308"/>
      <c r="L22" s="413"/>
      <c r="M22" s="22"/>
    </row>
    <row r="23" spans="1:14" ht="15.75" x14ac:dyDescent="0.2">
      <c r="A23" s="496" t="s">
        <v>353</v>
      </c>
      <c r="B23" s="276"/>
      <c r="C23" s="276"/>
      <c r="D23" s="164"/>
      <c r="E23" s="11"/>
      <c r="F23" s="285"/>
      <c r="G23" s="285"/>
      <c r="H23" s="164"/>
      <c r="I23" s="403"/>
      <c r="J23" s="285"/>
      <c r="K23" s="285"/>
      <c r="L23" s="164"/>
      <c r="M23" s="21"/>
    </row>
    <row r="24" spans="1:14" ht="15.75" x14ac:dyDescent="0.2">
      <c r="A24" s="496" t="s">
        <v>354</v>
      </c>
      <c r="B24" s="276"/>
      <c r="C24" s="276"/>
      <c r="D24" s="164"/>
      <c r="E24" s="11"/>
      <c r="F24" s="285"/>
      <c r="G24" s="285"/>
      <c r="H24" s="164"/>
      <c r="I24" s="403"/>
      <c r="J24" s="285"/>
      <c r="K24" s="285"/>
      <c r="L24" s="164"/>
      <c r="M24" s="21"/>
    </row>
    <row r="25" spans="1:14" ht="15.75" x14ac:dyDescent="0.2">
      <c r="A25" s="496" t="s">
        <v>355</v>
      </c>
      <c r="B25" s="276"/>
      <c r="C25" s="276"/>
      <c r="D25" s="164"/>
      <c r="E25" s="11"/>
      <c r="F25" s="285"/>
      <c r="G25" s="285"/>
      <c r="H25" s="164"/>
      <c r="I25" s="403"/>
      <c r="J25" s="285"/>
      <c r="K25" s="285"/>
      <c r="L25" s="164"/>
      <c r="M25" s="21"/>
    </row>
    <row r="26" spans="1:14" ht="15.75" x14ac:dyDescent="0.2">
      <c r="A26" s="496" t="s">
        <v>356</v>
      </c>
      <c r="B26" s="276"/>
      <c r="C26" s="276"/>
      <c r="D26" s="164"/>
      <c r="E26" s="11"/>
      <c r="F26" s="285"/>
      <c r="G26" s="285"/>
      <c r="H26" s="164"/>
      <c r="I26" s="403"/>
      <c r="J26" s="285"/>
      <c r="K26" s="285"/>
      <c r="L26" s="164"/>
      <c r="M26" s="21"/>
    </row>
    <row r="27" spans="1:14" x14ac:dyDescent="0.2">
      <c r="A27" s="496" t="s">
        <v>11</v>
      </c>
      <c r="B27" s="276"/>
      <c r="C27" s="276"/>
      <c r="D27" s="164"/>
      <c r="E27" s="11"/>
      <c r="F27" s="285"/>
      <c r="G27" s="285"/>
      <c r="H27" s="164"/>
      <c r="I27" s="403"/>
      <c r="J27" s="285"/>
      <c r="K27" s="285"/>
      <c r="L27" s="164"/>
      <c r="M27" s="21"/>
    </row>
    <row r="28" spans="1:14" ht="15.75" x14ac:dyDescent="0.2">
      <c r="A28" s="47" t="s">
        <v>271</v>
      </c>
      <c r="B28" s="42"/>
      <c r="C28" s="282"/>
      <c r="D28" s="164"/>
      <c r="E28" s="11"/>
      <c r="F28" s="230"/>
      <c r="G28" s="282"/>
      <c r="H28" s="164"/>
      <c r="I28" s="25"/>
      <c r="J28" s="42"/>
      <c r="K28" s="42"/>
      <c r="L28" s="249"/>
      <c r="M28" s="21"/>
    </row>
    <row r="29" spans="1:14" s="3" customFormat="1" ht="15.75" x14ac:dyDescent="0.2">
      <c r="A29" s="13" t="s">
        <v>350</v>
      </c>
      <c r="B29" s="232"/>
      <c r="C29" s="232"/>
      <c r="D29" s="169"/>
      <c r="E29" s="11"/>
      <c r="F29" s="300"/>
      <c r="G29" s="300"/>
      <c r="H29" s="169"/>
      <c r="I29" s="11"/>
      <c r="J29" s="232"/>
      <c r="K29" s="232"/>
      <c r="L29" s="414"/>
      <c r="M29" s="22"/>
      <c r="N29" s="146"/>
    </row>
    <row r="30" spans="1:14" s="3" customFormat="1" ht="15.75" x14ac:dyDescent="0.2">
      <c r="A30" s="496" t="s">
        <v>353</v>
      </c>
      <c r="B30" s="276"/>
      <c r="C30" s="276"/>
      <c r="D30" s="164"/>
      <c r="E30" s="11"/>
      <c r="F30" s="285"/>
      <c r="G30" s="285"/>
      <c r="H30" s="164"/>
      <c r="I30" s="403"/>
      <c r="J30" s="285"/>
      <c r="K30" s="285"/>
      <c r="L30" s="164"/>
      <c r="M30" s="21"/>
      <c r="N30" s="146"/>
    </row>
    <row r="31" spans="1:14" s="3" customFormat="1" ht="15.75" x14ac:dyDescent="0.2">
      <c r="A31" s="496" t="s">
        <v>354</v>
      </c>
      <c r="B31" s="276"/>
      <c r="C31" s="276"/>
      <c r="D31" s="164"/>
      <c r="E31" s="11"/>
      <c r="F31" s="285"/>
      <c r="G31" s="285"/>
      <c r="H31" s="164"/>
      <c r="I31" s="403"/>
      <c r="J31" s="285"/>
      <c r="K31" s="285"/>
      <c r="L31" s="164"/>
      <c r="M31" s="21"/>
      <c r="N31" s="146"/>
    </row>
    <row r="32" spans="1:14" ht="15.75" x14ac:dyDescent="0.2">
      <c r="A32" s="496" t="s">
        <v>355</v>
      </c>
      <c r="B32" s="276"/>
      <c r="C32" s="276"/>
      <c r="D32" s="164"/>
      <c r="E32" s="11"/>
      <c r="F32" s="285"/>
      <c r="G32" s="285"/>
      <c r="H32" s="164"/>
      <c r="I32" s="403"/>
      <c r="J32" s="285"/>
      <c r="K32" s="285"/>
      <c r="L32" s="164"/>
      <c r="M32" s="21"/>
    </row>
    <row r="33" spans="1:14" ht="15.75" x14ac:dyDescent="0.2">
      <c r="A33" s="496" t="s">
        <v>356</v>
      </c>
      <c r="B33" s="276"/>
      <c r="C33" s="276"/>
      <c r="D33" s="164"/>
      <c r="E33" s="11"/>
      <c r="F33" s="285"/>
      <c r="G33" s="285"/>
      <c r="H33" s="164"/>
      <c r="I33" s="403"/>
      <c r="J33" s="285"/>
      <c r="K33" s="285"/>
      <c r="L33" s="164"/>
      <c r="M33" s="21"/>
    </row>
    <row r="34" spans="1:14" ht="15.75" x14ac:dyDescent="0.2">
      <c r="A34" s="13" t="s">
        <v>351</v>
      </c>
      <c r="B34" s="232"/>
      <c r="C34" s="301"/>
      <c r="D34" s="169"/>
      <c r="E34" s="11"/>
      <c r="F34" s="300"/>
      <c r="G34" s="301"/>
      <c r="H34" s="169"/>
      <c r="I34" s="11"/>
      <c r="J34" s="232"/>
      <c r="K34" s="232"/>
      <c r="L34" s="414"/>
      <c r="M34" s="22"/>
    </row>
    <row r="35" spans="1:14" ht="15.75" x14ac:dyDescent="0.2">
      <c r="A35" s="13" t="s">
        <v>352</v>
      </c>
      <c r="B35" s="232"/>
      <c r="C35" s="301"/>
      <c r="D35" s="169"/>
      <c r="E35" s="11"/>
      <c r="F35" s="300"/>
      <c r="G35" s="301"/>
      <c r="H35" s="169"/>
      <c r="I35" s="11"/>
      <c r="J35" s="232"/>
      <c r="K35" s="232"/>
      <c r="L35" s="414"/>
      <c r="M35" s="22"/>
    </row>
    <row r="36" spans="1:14" ht="15.75" x14ac:dyDescent="0.2">
      <c r="A36" s="12" t="s">
        <v>279</v>
      </c>
      <c r="B36" s="232"/>
      <c r="C36" s="301"/>
      <c r="D36" s="169"/>
      <c r="E36" s="11"/>
      <c r="F36" s="311"/>
      <c r="G36" s="312"/>
      <c r="H36" s="169"/>
      <c r="I36" s="420"/>
      <c r="J36" s="232"/>
      <c r="K36" s="232"/>
      <c r="L36" s="414"/>
      <c r="M36" s="22"/>
    </row>
    <row r="37" spans="1:14" ht="15.75" x14ac:dyDescent="0.2">
      <c r="A37" s="12" t="s">
        <v>358</v>
      </c>
      <c r="B37" s="232"/>
      <c r="C37" s="301"/>
      <c r="D37" s="169"/>
      <c r="E37" s="11"/>
      <c r="F37" s="311"/>
      <c r="G37" s="313"/>
      <c r="H37" s="169"/>
      <c r="I37" s="420"/>
      <c r="J37" s="232"/>
      <c r="K37" s="232"/>
      <c r="L37" s="414"/>
      <c r="M37" s="22"/>
    </row>
    <row r="38" spans="1:14" ht="15.75" x14ac:dyDescent="0.2">
      <c r="A38" s="12" t="s">
        <v>359</v>
      </c>
      <c r="B38" s="232"/>
      <c r="C38" s="301"/>
      <c r="D38" s="169"/>
      <c r="E38" s="22"/>
      <c r="F38" s="311"/>
      <c r="G38" s="312"/>
      <c r="H38" s="169"/>
      <c r="I38" s="420"/>
      <c r="J38" s="232"/>
      <c r="K38" s="232"/>
      <c r="L38" s="414"/>
      <c r="M38" s="22"/>
    </row>
    <row r="39" spans="1:14" ht="15.75" x14ac:dyDescent="0.2">
      <c r="A39" s="18" t="s">
        <v>360</v>
      </c>
      <c r="B39" s="271"/>
      <c r="C39" s="307"/>
      <c r="D39" s="167"/>
      <c r="E39" s="34"/>
      <c r="F39" s="314"/>
      <c r="G39" s="315"/>
      <c r="H39" s="167"/>
      <c r="I39" s="34"/>
      <c r="J39" s="232"/>
      <c r="K39" s="232"/>
      <c r="L39" s="415"/>
      <c r="M39" s="34"/>
    </row>
    <row r="40" spans="1:14" ht="15.75" x14ac:dyDescent="0.25">
      <c r="A40" s="45"/>
      <c r="B40" s="248"/>
      <c r="C40" s="248"/>
      <c r="D40" s="708"/>
      <c r="E40" s="708"/>
      <c r="F40" s="708"/>
      <c r="G40" s="708"/>
      <c r="H40" s="708"/>
      <c r="I40" s="708"/>
      <c r="J40" s="708"/>
      <c r="K40" s="708"/>
      <c r="L40" s="708"/>
      <c r="M40" s="294"/>
    </row>
    <row r="41" spans="1:14" x14ac:dyDescent="0.2">
      <c r="A41" s="153"/>
    </row>
    <row r="42" spans="1:14" ht="15.75" x14ac:dyDescent="0.25">
      <c r="A42" s="145" t="s">
        <v>268</v>
      </c>
      <c r="B42" s="704"/>
      <c r="C42" s="704"/>
      <c r="D42" s="704"/>
      <c r="E42" s="291"/>
      <c r="F42" s="709"/>
      <c r="G42" s="709"/>
      <c r="H42" s="709"/>
      <c r="I42" s="294"/>
      <c r="J42" s="709"/>
      <c r="K42" s="709"/>
      <c r="L42" s="709"/>
      <c r="M42" s="294"/>
    </row>
    <row r="43" spans="1:14" ht="15.75" x14ac:dyDescent="0.25">
      <c r="A43" s="161"/>
      <c r="B43" s="295"/>
      <c r="C43" s="295"/>
      <c r="D43" s="295"/>
      <c r="E43" s="295"/>
      <c r="F43" s="294"/>
      <c r="G43" s="294"/>
      <c r="H43" s="294"/>
      <c r="I43" s="294"/>
      <c r="J43" s="294"/>
      <c r="K43" s="294"/>
      <c r="L43" s="294"/>
      <c r="M43" s="294"/>
    </row>
    <row r="44" spans="1:14" ht="15.75" x14ac:dyDescent="0.25">
      <c r="A44" s="243"/>
      <c r="B44" s="705" t="s">
        <v>0</v>
      </c>
      <c r="C44" s="706"/>
      <c r="D44" s="706"/>
      <c r="E44" s="239"/>
      <c r="F44" s="294"/>
      <c r="G44" s="294"/>
      <c r="H44" s="294"/>
      <c r="I44" s="294"/>
      <c r="J44" s="294"/>
      <c r="K44" s="294"/>
      <c r="L44" s="294"/>
      <c r="M44" s="294"/>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c r="C47" s="303">
        <v>33133</v>
      </c>
      <c r="D47" s="413" t="str">
        <f t="shared" ref="D47:D48" si="3">IF(B47=0, "    ---- ", IF(ABS(ROUND(100/B47*C47-100,1))&lt;999,ROUND(100/B47*C47-100,1),IF(ROUND(100/B47*C47-100,1)&gt;999,999,-999)))</f>
        <v xml:space="preserve">    ---- </v>
      </c>
      <c r="E47" s="11">
        <f>IFERROR(100/'Skjema total MA'!C47*C47,0)</f>
        <v>0.68140953220176825</v>
      </c>
      <c r="F47" s="143"/>
      <c r="G47" s="31"/>
      <c r="H47" s="157"/>
      <c r="I47" s="157"/>
      <c r="J47" s="35"/>
      <c r="K47" s="35"/>
      <c r="L47" s="157"/>
      <c r="M47" s="157"/>
      <c r="N47" s="146"/>
    </row>
    <row r="48" spans="1:14" s="3" customFormat="1" ht="15.75" x14ac:dyDescent="0.2">
      <c r="A48" s="36" t="s">
        <v>361</v>
      </c>
      <c r="B48" s="276"/>
      <c r="C48" s="277">
        <v>33133</v>
      </c>
      <c r="D48" s="249" t="str">
        <f t="shared" si="3"/>
        <v xml:space="preserve">    ---- </v>
      </c>
      <c r="E48" s="25">
        <f>IFERROR(100/'Skjema total MA'!C48*C48,0)</f>
        <v>1.2217146588591705</v>
      </c>
      <c r="F48" s="143"/>
      <c r="G48" s="31"/>
      <c r="H48" s="143"/>
      <c r="I48" s="143"/>
      <c r="J48" s="31"/>
      <c r="K48" s="31"/>
      <c r="L48" s="157"/>
      <c r="M48" s="157"/>
      <c r="N48" s="146"/>
    </row>
    <row r="49" spans="1:14" s="3" customFormat="1" ht="15.75" x14ac:dyDescent="0.2">
      <c r="A49" s="36" t="s">
        <v>362</v>
      </c>
      <c r="B49" s="42"/>
      <c r="C49" s="282"/>
      <c r="D49" s="249"/>
      <c r="E49" s="25"/>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c r="C53" s="303"/>
      <c r="D53" s="414"/>
      <c r="E53" s="11"/>
      <c r="F53" s="143"/>
      <c r="G53" s="31"/>
      <c r="H53" s="143"/>
      <c r="I53" s="143"/>
      <c r="J53" s="31"/>
      <c r="K53" s="31"/>
      <c r="L53" s="157"/>
      <c r="M53" s="157"/>
      <c r="N53" s="146"/>
    </row>
    <row r="54" spans="1:14" s="3" customFormat="1" ht="15.75" x14ac:dyDescent="0.2">
      <c r="A54" s="36" t="s">
        <v>361</v>
      </c>
      <c r="B54" s="276"/>
      <c r="C54" s="277"/>
      <c r="D54" s="249"/>
      <c r="E54" s="25"/>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c r="C56" s="303"/>
      <c r="D56" s="414"/>
      <c r="E56" s="11"/>
      <c r="F56" s="143"/>
      <c r="G56" s="31"/>
      <c r="H56" s="143"/>
      <c r="I56" s="143"/>
      <c r="J56" s="31"/>
      <c r="K56" s="31"/>
      <c r="L56" s="157"/>
      <c r="M56" s="157"/>
      <c r="N56" s="146"/>
    </row>
    <row r="57" spans="1:14" s="3" customFormat="1" ht="15.75" x14ac:dyDescent="0.2">
      <c r="A57" s="36" t="s">
        <v>361</v>
      </c>
      <c r="B57" s="276"/>
      <c r="C57" s="277"/>
      <c r="D57" s="249"/>
      <c r="E57" s="25"/>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291"/>
      <c r="F62" s="707"/>
      <c r="G62" s="707"/>
      <c r="H62" s="707"/>
      <c r="I62" s="291"/>
      <c r="J62" s="707"/>
      <c r="K62" s="707"/>
      <c r="L62" s="707"/>
      <c r="M62" s="291"/>
    </row>
    <row r="63" spans="1:14" x14ac:dyDescent="0.2">
      <c r="A63" s="142"/>
      <c r="B63" s="705" t="s">
        <v>0</v>
      </c>
      <c r="C63" s="706"/>
      <c r="D63" s="710"/>
      <c r="E63" s="292"/>
      <c r="F63" s="706" t="s">
        <v>1</v>
      </c>
      <c r="G63" s="706"/>
      <c r="H63" s="706"/>
      <c r="I63" s="296"/>
      <c r="J63" s="705" t="s">
        <v>2</v>
      </c>
      <c r="K63" s="706"/>
      <c r="L63" s="706"/>
      <c r="M63" s="296"/>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c r="C66" s="344"/>
      <c r="D66" s="341"/>
      <c r="E66" s="11"/>
      <c r="F66" s="343"/>
      <c r="G66" s="343"/>
      <c r="H66" s="341"/>
      <c r="I66" s="11"/>
      <c r="J66" s="301"/>
      <c r="K66" s="308"/>
      <c r="L66" s="414"/>
      <c r="M66" s="11"/>
    </row>
    <row r="67" spans="1:14" x14ac:dyDescent="0.2">
      <c r="A67" s="405" t="s">
        <v>9</v>
      </c>
      <c r="B67" s="42"/>
      <c r="C67" s="143"/>
      <c r="D67" s="164"/>
      <c r="E67" s="25"/>
      <c r="F67" s="230"/>
      <c r="G67" s="143"/>
      <c r="H67" s="164"/>
      <c r="I67" s="25"/>
      <c r="J67" s="282"/>
      <c r="K67" s="42"/>
      <c r="L67" s="249"/>
      <c r="M67" s="25"/>
    </row>
    <row r="68" spans="1:14" x14ac:dyDescent="0.2">
      <c r="A68" s="19" t="s">
        <v>10</v>
      </c>
      <c r="B68" s="286"/>
      <c r="C68" s="287"/>
      <c r="D68" s="164"/>
      <c r="E68" s="25"/>
      <c r="F68" s="286"/>
      <c r="G68" s="287"/>
      <c r="H68" s="164"/>
      <c r="I68" s="25"/>
      <c r="J68" s="282"/>
      <c r="K68" s="42"/>
      <c r="L68" s="249"/>
      <c r="M68" s="25"/>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c r="C75" s="143"/>
      <c r="D75" s="164"/>
      <c r="E75" s="25"/>
      <c r="F75" s="230"/>
      <c r="G75" s="143"/>
      <c r="H75" s="164"/>
      <c r="I75" s="25"/>
      <c r="J75" s="282"/>
      <c r="K75" s="42"/>
      <c r="L75" s="249"/>
      <c r="M75" s="25"/>
      <c r="N75" s="146"/>
    </row>
    <row r="76" spans="1:14" s="3" customFormat="1" x14ac:dyDescent="0.2">
      <c r="A76" s="19" t="s">
        <v>336</v>
      </c>
      <c r="B76" s="230"/>
      <c r="C76" s="143"/>
      <c r="D76" s="164"/>
      <c r="E76" s="25"/>
      <c r="F76" s="230"/>
      <c r="G76" s="143"/>
      <c r="H76" s="164"/>
      <c r="I76" s="25"/>
      <c r="J76" s="282"/>
      <c r="K76" s="42"/>
      <c r="L76" s="249"/>
      <c r="M76" s="25"/>
      <c r="N76" s="146"/>
    </row>
    <row r="77" spans="1:14" ht="15.75" x14ac:dyDescent="0.2">
      <c r="A77" s="19" t="s">
        <v>367</v>
      </c>
      <c r="B77" s="230"/>
      <c r="C77" s="230"/>
      <c r="D77" s="164"/>
      <c r="E77" s="25"/>
      <c r="F77" s="230"/>
      <c r="G77" s="143"/>
      <c r="H77" s="164"/>
      <c r="I77" s="25"/>
      <c r="J77" s="282"/>
      <c r="K77" s="42"/>
      <c r="L77" s="249"/>
      <c r="M77" s="25"/>
    </row>
    <row r="78" spans="1:14" x14ac:dyDescent="0.2">
      <c r="A78" s="19" t="s">
        <v>9</v>
      </c>
      <c r="B78" s="230"/>
      <c r="C78" s="143"/>
      <c r="D78" s="164"/>
      <c r="E78" s="25"/>
      <c r="F78" s="230"/>
      <c r="G78" s="143"/>
      <c r="H78" s="164"/>
      <c r="I78" s="25"/>
      <c r="J78" s="282"/>
      <c r="K78" s="42"/>
      <c r="L78" s="249"/>
      <c r="M78" s="25"/>
    </row>
    <row r="79" spans="1:14" x14ac:dyDescent="0.2">
      <c r="A79" s="36" t="s">
        <v>400</v>
      </c>
      <c r="B79" s="286"/>
      <c r="C79" s="287"/>
      <c r="D79" s="164"/>
      <c r="E79" s="25"/>
      <c r="F79" s="286"/>
      <c r="G79" s="287"/>
      <c r="H79" s="164"/>
      <c r="I79" s="25"/>
      <c r="J79" s="282"/>
      <c r="K79" s="42"/>
      <c r="L79" s="249"/>
      <c r="M79" s="25"/>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c r="C86" s="143"/>
      <c r="D86" s="164"/>
      <c r="E86" s="25"/>
      <c r="F86" s="230"/>
      <c r="G86" s="143"/>
      <c r="H86" s="164"/>
      <c r="I86" s="25"/>
      <c r="J86" s="282"/>
      <c r="K86" s="42"/>
      <c r="L86" s="249"/>
      <c r="M86" s="25"/>
    </row>
    <row r="87" spans="1:13" ht="15.75" x14ac:dyDescent="0.2">
      <c r="A87" s="13" t="s">
        <v>350</v>
      </c>
      <c r="B87" s="344"/>
      <c r="C87" s="344"/>
      <c r="D87" s="169"/>
      <c r="E87" s="11"/>
      <c r="F87" s="343"/>
      <c r="G87" s="343"/>
      <c r="H87" s="169"/>
      <c r="I87" s="11"/>
      <c r="J87" s="301"/>
      <c r="K87" s="232"/>
      <c r="L87" s="414"/>
      <c r="M87" s="11"/>
    </row>
    <row r="88" spans="1:13" x14ac:dyDescent="0.2">
      <c r="A88" s="19" t="s">
        <v>9</v>
      </c>
      <c r="B88" s="230"/>
      <c r="C88" s="143"/>
      <c r="D88" s="164"/>
      <c r="E88" s="25"/>
      <c r="F88" s="230"/>
      <c r="G88" s="143"/>
      <c r="H88" s="164"/>
      <c r="I88" s="25"/>
      <c r="J88" s="282"/>
      <c r="K88" s="42"/>
      <c r="L88" s="249"/>
      <c r="M88" s="25"/>
    </row>
    <row r="89" spans="1:13" x14ac:dyDescent="0.2">
      <c r="A89" s="19" t="s">
        <v>10</v>
      </c>
      <c r="B89" s="230"/>
      <c r="C89" s="143"/>
      <c r="D89" s="164"/>
      <c r="E89" s="25"/>
      <c r="F89" s="230"/>
      <c r="G89" s="143"/>
      <c r="H89" s="164"/>
      <c r="I89" s="25"/>
      <c r="J89" s="282"/>
      <c r="K89" s="42"/>
      <c r="L89" s="249"/>
      <c r="M89" s="25"/>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c r="C96" s="143"/>
      <c r="D96" s="164"/>
      <c r="E96" s="25"/>
      <c r="F96" s="230"/>
      <c r="G96" s="143"/>
      <c r="H96" s="164"/>
      <c r="I96" s="25"/>
      <c r="J96" s="282"/>
      <c r="K96" s="42"/>
      <c r="L96" s="249"/>
      <c r="M96" s="25"/>
    </row>
    <row r="97" spans="1:13" x14ac:dyDescent="0.2">
      <c r="A97" s="19" t="s">
        <v>334</v>
      </c>
      <c r="B97" s="230"/>
      <c r="C97" s="143"/>
      <c r="D97" s="164"/>
      <c r="E97" s="25"/>
      <c r="F97" s="230"/>
      <c r="G97" s="143"/>
      <c r="H97" s="164"/>
      <c r="I97" s="25"/>
      <c r="J97" s="282"/>
      <c r="K97" s="42"/>
      <c r="L97" s="249"/>
      <c r="M97" s="25"/>
    </row>
    <row r="98" spans="1:13" ht="15.75" x14ac:dyDescent="0.2">
      <c r="A98" s="19" t="s">
        <v>367</v>
      </c>
      <c r="B98" s="230"/>
      <c r="C98" s="230"/>
      <c r="D98" s="164"/>
      <c r="E98" s="25"/>
      <c r="F98" s="286"/>
      <c r="G98" s="286"/>
      <c r="H98" s="164"/>
      <c r="I98" s="25"/>
      <c r="J98" s="282"/>
      <c r="K98" s="42"/>
      <c r="L98" s="249"/>
      <c r="M98" s="25"/>
    </row>
    <row r="99" spans="1:13" x14ac:dyDescent="0.2">
      <c r="A99" s="19" t="s">
        <v>9</v>
      </c>
      <c r="B99" s="286"/>
      <c r="C99" s="287"/>
      <c r="D99" s="164"/>
      <c r="E99" s="25"/>
      <c r="F99" s="230"/>
      <c r="G99" s="143"/>
      <c r="H99" s="164"/>
      <c r="I99" s="25"/>
      <c r="J99" s="282"/>
      <c r="K99" s="42"/>
      <c r="L99" s="249"/>
      <c r="M99" s="25"/>
    </row>
    <row r="100" spans="1:13" x14ac:dyDescent="0.2">
      <c r="A100" s="36" t="s">
        <v>400</v>
      </c>
      <c r="B100" s="286"/>
      <c r="C100" s="287"/>
      <c r="D100" s="164"/>
      <c r="E100" s="25"/>
      <c r="F100" s="230"/>
      <c r="G100" s="230"/>
      <c r="H100" s="164"/>
      <c r="I100" s="25"/>
      <c r="J100" s="282"/>
      <c r="K100" s="42"/>
      <c r="L100" s="249"/>
      <c r="M100" s="25"/>
    </row>
    <row r="101" spans="1:13" ht="15.75" x14ac:dyDescent="0.2">
      <c r="A101" s="288" t="s">
        <v>365</v>
      </c>
      <c r="B101" s="311"/>
      <c r="C101" s="311"/>
      <c r="D101" s="164"/>
      <c r="E101" s="21"/>
      <c r="F101" s="311"/>
      <c r="G101" s="311"/>
      <c r="H101" s="164"/>
      <c r="I101" s="21"/>
      <c r="J101" s="311"/>
      <c r="K101" s="311"/>
      <c r="L101" s="164"/>
      <c r="M101" s="21"/>
    </row>
    <row r="102" spans="1:13" x14ac:dyDescent="0.2">
      <c r="A102" s="288" t="s">
        <v>12</v>
      </c>
      <c r="B102" s="311"/>
      <c r="C102" s="311"/>
      <c r="D102" s="164"/>
      <c r="E102" s="21"/>
      <c r="F102" s="311"/>
      <c r="G102" s="311"/>
      <c r="H102" s="164"/>
      <c r="I102" s="21"/>
      <c r="J102" s="311"/>
      <c r="K102" s="311"/>
      <c r="L102" s="164"/>
      <c r="M102" s="21"/>
    </row>
    <row r="103" spans="1:13" x14ac:dyDescent="0.2">
      <c r="A103" s="288" t="s">
        <v>13</v>
      </c>
      <c r="B103" s="311"/>
      <c r="C103" s="311"/>
      <c r="D103" s="164"/>
      <c r="E103" s="21"/>
      <c r="F103" s="311"/>
      <c r="G103" s="311"/>
      <c r="H103" s="164"/>
      <c r="I103" s="21"/>
      <c r="J103" s="311"/>
      <c r="K103" s="311"/>
      <c r="L103" s="164"/>
      <c r="M103" s="21"/>
    </row>
    <row r="104" spans="1:13" ht="15.75" x14ac:dyDescent="0.2">
      <c r="A104" s="288" t="s">
        <v>366</v>
      </c>
      <c r="B104" s="311"/>
      <c r="C104" s="311"/>
      <c r="D104" s="164"/>
      <c r="E104" s="21"/>
      <c r="F104" s="311"/>
      <c r="G104" s="311"/>
      <c r="H104" s="164"/>
      <c r="I104" s="21"/>
      <c r="J104" s="311"/>
      <c r="K104" s="311"/>
      <c r="L104" s="164"/>
      <c r="M104" s="21"/>
    </row>
    <row r="105" spans="1:13" x14ac:dyDescent="0.2">
      <c r="A105" s="288" t="s">
        <v>12</v>
      </c>
      <c r="B105" s="231"/>
      <c r="C105" s="284"/>
      <c r="D105" s="164"/>
      <c r="E105" s="21"/>
      <c r="F105" s="311"/>
      <c r="G105" s="311"/>
      <c r="H105" s="164"/>
      <c r="I105" s="21"/>
      <c r="J105" s="311"/>
      <c r="K105" s="311"/>
      <c r="L105" s="164"/>
      <c r="M105" s="21"/>
    </row>
    <row r="106" spans="1:13" x14ac:dyDescent="0.2">
      <c r="A106" s="288" t="s">
        <v>13</v>
      </c>
      <c r="B106" s="231"/>
      <c r="C106" s="284"/>
      <c r="D106" s="164"/>
      <c r="E106" s="21"/>
      <c r="F106" s="311"/>
      <c r="G106" s="311"/>
      <c r="H106" s="164"/>
      <c r="I106" s="21"/>
      <c r="J106" s="311"/>
      <c r="K106" s="311"/>
      <c r="L106" s="164"/>
      <c r="M106" s="21"/>
    </row>
    <row r="107" spans="1:13" ht="15.75" x14ac:dyDescent="0.2">
      <c r="A107" s="19" t="s">
        <v>368</v>
      </c>
      <c r="B107" s="230"/>
      <c r="C107" s="143"/>
      <c r="D107" s="164"/>
      <c r="E107" s="25"/>
      <c r="F107" s="230"/>
      <c r="G107" s="143"/>
      <c r="H107" s="164"/>
      <c r="I107" s="25"/>
      <c r="J107" s="282"/>
      <c r="K107" s="42"/>
      <c r="L107" s="249"/>
      <c r="M107" s="25"/>
    </row>
    <row r="108" spans="1:13" ht="15.75" x14ac:dyDescent="0.2">
      <c r="A108" s="19" t="s">
        <v>369</v>
      </c>
      <c r="B108" s="230"/>
      <c r="C108" s="230"/>
      <c r="D108" s="164"/>
      <c r="E108" s="25"/>
      <c r="F108" s="230"/>
      <c r="G108" s="230"/>
      <c r="H108" s="164"/>
      <c r="I108" s="25"/>
      <c r="J108" s="282"/>
      <c r="K108" s="42"/>
      <c r="L108" s="249"/>
      <c r="M108" s="25"/>
    </row>
    <row r="109" spans="1:13" ht="15.75" x14ac:dyDescent="0.2">
      <c r="A109" s="36" t="s">
        <v>408</v>
      </c>
      <c r="B109" s="230"/>
      <c r="C109" s="230"/>
      <c r="D109" s="164"/>
      <c r="E109" s="25"/>
      <c r="F109" s="230"/>
      <c r="G109" s="230"/>
      <c r="H109" s="164"/>
      <c r="I109" s="25"/>
      <c r="J109" s="282"/>
      <c r="K109" s="42"/>
      <c r="L109" s="249"/>
      <c r="M109" s="25"/>
    </row>
    <row r="110" spans="1:13" ht="15.75" x14ac:dyDescent="0.2">
      <c r="A110" s="19" t="s">
        <v>370</v>
      </c>
      <c r="B110" s="230"/>
      <c r="C110" s="230"/>
      <c r="D110" s="164"/>
      <c r="E110" s="25"/>
      <c r="F110" s="230"/>
      <c r="G110" s="230"/>
      <c r="H110" s="164"/>
      <c r="I110" s="25"/>
      <c r="J110" s="282"/>
      <c r="K110" s="42"/>
      <c r="L110" s="249"/>
      <c r="M110" s="25"/>
    </row>
    <row r="111" spans="1:13" ht="15.75" x14ac:dyDescent="0.2">
      <c r="A111" s="13" t="s">
        <v>351</v>
      </c>
      <c r="B111" s="300"/>
      <c r="C111" s="157"/>
      <c r="D111" s="169"/>
      <c r="E111" s="11"/>
      <c r="F111" s="300"/>
      <c r="G111" s="157"/>
      <c r="H111" s="169"/>
      <c r="I111" s="11"/>
      <c r="J111" s="301"/>
      <c r="K111" s="232"/>
      <c r="L111" s="414"/>
      <c r="M111" s="11"/>
    </row>
    <row r="112" spans="1:13" x14ac:dyDescent="0.2">
      <c r="A112" s="19" t="s">
        <v>9</v>
      </c>
      <c r="B112" s="230"/>
      <c r="C112" s="143"/>
      <c r="D112" s="164"/>
      <c r="E112" s="25"/>
      <c r="F112" s="230"/>
      <c r="G112" s="143"/>
      <c r="H112" s="164"/>
      <c r="I112" s="25"/>
      <c r="J112" s="282"/>
      <c r="K112" s="42"/>
      <c r="L112" s="249"/>
      <c r="M112" s="25"/>
    </row>
    <row r="113" spans="1:14" x14ac:dyDescent="0.2">
      <c r="A113" s="19" t="s">
        <v>10</v>
      </c>
      <c r="B113" s="230"/>
      <c r="C113" s="143"/>
      <c r="D113" s="164"/>
      <c r="E113" s="25"/>
      <c r="F113" s="230"/>
      <c r="G113" s="143"/>
      <c r="H113" s="164"/>
      <c r="I113" s="25"/>
      <c r="J113" s="282"/>
      <c r="K113" s="42"/>
      <c r="L113" s="249"/>
      <c r="M113" s="25"/>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c r="C116" s="230"/>
      <c r="D116" s="164"/>
      <c r="E116" s="25"/>
      <c r="F116" s="230"/>
      <c r="G116" s="230"/>
      <c r="H116" s="164"/>
      <c r="I116" s="25"/>
      <c r="J116" s="282"/>
      <c r="K116" s="42"/>
      <c r="L116" s="249"/>
      <c r="M116" s="25"/>
    </row>
    <row r="117" spans="1:14" ht="15.75" x14ac:dyDescent="0.2">
      <c r="A117" s="36" t="s">
        <v>408</v>
      </c>
      <c r="B117" s="230"/>
      <c r="C117" s="230"/>
      <c r="D117" s="164"/>
      <c r="E117" s="25"/>
      <c r="F117" s="230"/>
      <c r="G117" s="230"/>
      <c r="H117" s="164"/>
      <c r="I117" s="25"/>
      <c r="J117" s="282"/>
      <c r="K117" s="42"/>
      <c r="L117" s="249"/>
      <c r="M117" s="25"/>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c r="C119" s="157"/>
      <c r="D119" s="169"/>
      <c r="E119" s="11"/>
      <c r="F119" s="300"/>
      <c r="G119" s="157"/>
      <c r="H119" s="169"/>
      <c r="I119" s="11"/>
      <c r="J119" s="301"/>
      <c r="K119" s="232"/>
      <c r="L119" s="414"/>
      <c r="M119" s="11"/>
    </row>
    <row r="120" spans="1:14" x14ac:dyDescent="0.2">
      <c r="A120" s="19" t="s">
        <v>9</v>
      </c>
      <c r="B120" s="230"/>
      <c r="C120" s="143"/>
      <c r="D120" s="164"/>
      <c r="E120" s="25"/>
      <c r="F120" s="230"/>
      <c r="G120" s="143"/>
      <c r="H120" s="164"/>
      <c r="I120" s="25"/>
      <c r="J120" s="282"/>
      <c r="K120" s="42"/>
      <c r="L120" s="249"/>
      <c r="M120" s="25"/>
    </row>
    <row r="121" spans="1:14" x14ac:dyDescent="0.2">
      <c r="A121" s="19" t="s">
        <v>10</v>
      </c>
      <c r="B121" s="230"/>
      <c r="C121" s="143"/>
      <c r="D121" s="164"/>
      <c r="E121" s="25"/>
      <c r="F121" s="230"/>
      <c r="G121" s="143"/>
      <c r="H121" s="164"/>
      <c r="I121" s="25"/>
      <c r="J121" s="282"/>
      <c r="K121" s="42"/>
      <c r="L121" s="249"/>
      <c r="M121" s="25"/>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c r="C125" s="230"/>
      <c r="D125" s="164"/>
      <c r="E125" s="25"/>
      <c r="F125" s="230"/>
      <c r="G125" s="230"/>
      <c r="H125" s="164"/>
      <c r="I125" s="25"/>
      <c r="J125" s="282"/>
      <c r="K125" s="42"/>
      <c r="L125" s="249"/>
      <c r="M125" s="25"/>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291"/>
      <c r="F130" s="707"/>
      <c r="G130" s="707"/>
      <c r="H130" s="707"/>
      <c r="I130" s="291"/>
      <c r="J130" s="707"/>
      <c r="K130" s="707"/>
      <c r="L130" s="707"/>
      <c r="M130" s="291"/>
    </row>
    <row r="131" spans="1:14" s="3" customFormat="1" x14ac:dyDescent="0.2">
      <c r="A131" s="142"/>
      <c r="B131" s="705" t="s">
        <v>0</v>
      </c>
      <c r="C131" s="706"/>
      <c r="D131" s="706"/>
      <c r="E131" s="293"/>
      <c r="F131" s="705" t="s">
        <v>1</v>
      </c>
      <c r="G131" s="706"/>
      <c r="H131" s="706"/>
      <c r="I131" s="296"/>
      <c r="J131" s="705" t="s">
        <v>2</v>
      </c>
      <c r="K131" s="706"/>
      <c r="L131" s="706"/>
      <c r="M131" s="296"/>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c r="C134" s="301"/>
      <c r="D134" s="341"/>
      <c r="E134" s="11"/>
      <c r="F134" s="308"/>
      <c r="G134" s="309"/>
      <c r="H134" s="417"/>
      <c r="I134" s="22"/>
      <c r="J134" s="310"/>
      <c r="K134" s="310"/>
      <c r="L134" s="413"/>
      <c r="M134" s="11"/>
      <c r="N134" s="146"/>
    </row>
    <row r="135" spans="1:14" s="3" customFormat="1" ht="15.75" x14ac:dyDescent="0.2">
      <c r="A135" s="13" t="s">
        <v>377</v>
      </c>
      <c r="B135" s="232"/>
      <c r="C135" s="301"/>
      <c r="D135" s="169"/>
      <c r="E135" s="11"/>
      <c r="F135" s="232"/>
      <c r="G135" s="301"/>
      <c r="H135" s="418"/>
      <c r="I135" s="22"/>
      <c r="J135" s="300"/>
      <c r="K135" s="300"/>
      <c r="L135" s="414"/>
      <c r="M135" s="11"/>
      <c r="N135" s="146"/>
    </row>
    <row r="136" spans="1:14" s="3" customFormat="1" ht="15.75" x14ac:dyDescent="0.2">
      <c r="A136" s="13" t="s">
        <v>374</v>
      </c>
      <c r="B136" s="232"/>
      <c r="C136" s="301"/>
      <c r="D136" s="169"/>
      <c r="E136" s="11"/>
      <c r="F136" s="232"/>
      <c r="G136" s="301"/>
      <c r="H136" s="418"/>
      <c r="I136" s="22"/>
      <c r="J136" s="300"/>
      <c r="K136" s="300"/>
      <c r="L136" s="414"/>
      <c r="M136" s="11"/>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396" priority="12">
      <formula>kvartal &lt; 4</formula>
    </cfRule>
  </conditionalFormatting>
  <conditionalFormatting sqref="A69:A74">
    <cfRule type="expression" dxfId="395" priority="10">
      <formula>kvartal &lt; 4</formula>
    </cfRule>
  </conditionalFormatting>
  <conditionalFormatting sqref="A80:A85">
    <cfRule type="expression" dxfId="394" priority="9">
      <formula>kvartal &lt; 4</formula>
    </cfRule>
  </conditionalFormatting>
  <conditionalFormatting sqref="A90:A95">
    <cfRule type="expression" dxfId="393" priority="6">
      <formula>kvartal &lt; 4</formula>
    </cfRule>
  </conditionalFormatting>
  <conditionalFormatting sqref="A101:A106">
    <cfRule type="expression" dxfId="392" priority="5">
      <formula>kvartal &lt; 4</formula>
    </cfRule>
  </conditionalFormatting>
  <conditionalFormatting sqref="A115">
    <cfRule type="expression" dxfId="391" priority="4">
      <formula>kvartal &lt; 4</formula>
    </cfRule>
  </conditionalFormatting>
  <conditionalFormatting sqref="A123">
    <cfRule type="expression" dxfId="390" priority="3">
      <formula>kvartal &lt; 4</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51DA9-89CE-4218-BAD2-ABC9A5D34523}">
  <dimension ref="A1:N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244" t="s">
        <v>399</v>
      </c>
      <c r="D1" s="24"/>
      <c r="E1" s="24"/>
      <c r="F1" s="24"/>
      <c r="G1" s="24"/>
      <c r="H1" s="24"/>
      <c r="I1" s="24"/>
      <c r="J1" s="24"/>
      <c r="K1" s="24"/>
      <c r="L1" s="24"/>
      <c r="M1" s="24"/>
    </row>
    <row r="2" spans="1:14" ht="15.75" x14ac:dyDescent="0.25">
      <c r="A2" s="163" t="s">
        <v>28</v>
      </c>
      <c r="B2" s="704"/>
      <c r="C2" s="704"/>
      <c r="D2" s="704"/>
      <c r="E2" s="557"/>
      <c r="F2" s="704"/>
      <c r="G2" s="704"/>
      <c r="H2" s="704"/>
      <c r="I2" s="557"/>
      <c r="J2" s="704"/>
      <c r="K2" s="704"/>
      <c r="L2" s="704"/>
      <c r="M2" s="557"/>
    </row>
    <row r="3" spans="1:14" ht="15.75" x14ac:dyDescent="0.25">
      <c r="A3" s="161"/>
      <c r="B3" s="557"/>
      <c r="C3" s="557"/>
      <c r="D3" s="557"/>
      <c r="E3" s="557"/>
      <c r="F3" s="557"/>
      <c r="G3" s="557"/>
      <c r="H3" s="557"/>
      <c r="I3" s="557"/>
      <c r="J3" s="557"/>
      <c r="K3" s="557"/>
      <c r="L3" s="557"/>
      <c r="M3" s="557"/>
    </row>
    <row r="4" spans="1:14" x14ac:dyDescent="0.2">
      <c r="A4" s="142"/>
      <c r="B4" s="705" t="s">
        <v>0</v>
      </c>
      <c r="C4" s="706"/>
      <c r="D4" s="706"/>
      <c r="E4" s="555"/>
      <c r="F4" s="705" t="s">
        <v>1</v>
      </c>
      <c r="G4" s="706"/>
      <c r="H4" s="706"/>
      <c r="I4" s="556"/>
      <c r="J4" s="705" t="s">
        <v>2</v>
      </c>
      <c r="K4" s="706"/>
      <c r="L4" s="706"/>
      <c r="M4" s="556"/>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c r="C7" s="299"/>
      <c r="D7" s="341"/>
      <c r="E7" s="11"/>
      <c r="F7" s="298"/>
      <c r="G7" s="299"/>
      <c r="H7" s="341"/>
      <c r="I7" s="158"/>
      <c r="J7" s="300"/>
      <c r="K7" s="301"/>
      <c r="L7" s="413"/>
      <c r="M7" s="11"/>
    </row>
    <row r="8" spans="1:14" ht="15.75" x14ac:dyDescent="0.2">
      <c r="A8" s="19" t="s">
        <v>25</v>
      </c>
      <c r="B8" s="276"/>
      <c r="C8" s="277"/>
      <c r="D8" s="164"/>
      <c r="E8" s="25"/>
      <c r="F8" s="280"/>
      <c r="G8" s="281"/>
      <c r="H8" s="164"/>
      <c r="I8" s="172"/>
      <c r="J8" s="230"/>
      <c r="K8" s="282"/>
      <c r="L8" s="164"/>
      <c r="M8" s="25"/>
    </row>
    <row r="9" spans="1:14" ht="15.75" x14ac:dyDescent="0.2">
      <c r="A9" s="19" t="s">
        <v>24</v>
      </c>
      <c r="B9" s="276"/>
      <c r="C9" s="277"/>
      <c r="D9" s="164"/>
      <c r="E9" s="25"/>
      <c r="F9" s="280"/>
      <c r="G9" s="281"/>
      <c r="H9" s="164"/>
      <c r="I9" s="172"/>
      <c r="J9" s="230"/>
      <c r="K9" s="282"/>
      <c r="L9" s="164"/>
      <c r="M9" s="25"/>
    </row>
    <row r="10" spans="1:14" ht="15.75" x14ac:dyDescent="0.2">
      <c r="A10" s="13" t="s">
        <v>350</v>
      </c>
      <c r="B10" s="302"/>
      <c r="C10" s="303"/>
      <c r="D10" s="169"/>
      <c r="E10" s="11"/>
      <c r="F10" s="302"/>
      <c r="G10" s="303"/>
      <c r="H10" s="169"/>
      <c r="I10" s="158"/>
      <c r="J10" s="300"/>
      <c r="K10" s="301"/>
      <c r="L10" s="414"/>
      <c r="M10" s="11"/>
    </row>
    <row r="11" spans="1:14" s="41" customFormat="1" ht="15.75" x14ac:dyDescent="0.2">
      <c r="A11" s="13" t="s">
        <v>351</v>
      </c>
      <c r="B11" s="302"/>
      <c r="C11" s="303"/>
      <c r="D11" s="169"/>
      <c r="E11" s="11"/>
      <c r="F11" s="302"/>
      <c r="G11" s="303"/>
      <c r="H11" s="169"/>
      <c r="I11" s="158"/>
      <c r="J11" s="300"/>
      <c r="K11" s="301"/>
      <c r="L11" s="414"/>
      <c r="M11" s="11"/>
      <c r="N11" s="141"/>
    </row>
    <row r="12" spans="1:14" s="41" customFormat="1" ht="15.75" x14ac:dyDescent="0.2">
      <c r="A12" s="39" t="s">
        <v>352</v>
      </c>
      <c r="B12" s="304"/>
      <c r="C12" s="305"/>
      <c r="D12" s="167"/>
      <c r="E12" s="34"/>
      <c r="F12" s="304"/>
      <c r="G12" s="305"/>
      <c r="H12" s="167"/>
      <c r="I12" s="167"/>
      <c r="J12" s="306"/>
      <c r="K12" s="307"/>
      <c r="L12" s="415"/>
      <c r="M12" s="34"/>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557"/>
      <c r="F18" s="707"/>
      <c r="G18" s="707"/>
      <c r="H18" s="707"/>
      <c r="I18" s="557"/>
      <c r="J18" s="707"/>
      <c r="K18" s="707"/>
      <c r="L18" s="707"/>
      <c r="M18" s="557"/>
    </row>
    <row r="19" spans="1:14" x14ac:dyDescent="0.2">
      <c r="A19" s="142"/>
      <c r="B19" s="705" t="s">
        <v>0</v>
      </c>
      <c r="C19" s="706"/>
      <c r="D19" s="706"/>
      <c r="E19" s="555"/>
      <c r="F19" s="705" t="s">
        <v>1</v>
      </c>
      <c r="G19" s="706"/>
      <c r="H19" s="706"/>
      <c r="I19" s="556"/>
      <c r="J19" s="705" t="s">
        <v>2</v>
      </c>
      <c r="K19" s="706"/>
      <c r="L19" s="706"/>
      <c r="M19" s="556"/>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402" t="s">
        <v>30</v>
      </c>
      <c r="F21" s="159"/>
      <c r="G21" s="159"/>
      <c r="H21" s="241" t="s">
        <v>4</v>
      </c>
      <c r="I21" s="154" t="s">
        <v>30</v>
      </c>
      <c r="J21" s="159"/>
      <c r="K21" s="159"/>
      <c r="L21" s="154" t="s">
        <v>4</v>
      </c>
      <c r="M21" s="154" t="s">
        <v>30</v>
      </c>
    </row>
    <row r="22" spans="1:14" ht="15.75" x14ac:dyDescent="0.2">
      <c r="A22" s="14" t="s">
        <v>23</v>
      </c>
      <c r="B22" s="302"/>
      <c r="C22" s="302"/>
      <c r="D22" s="341"/>
      <c r="E22" s="11"/>
      <c r="F22" s="310"/>
      <c r="G22" s="310"/>
      <c r="H22" s="341"/>
      <c r="I22" s="158"/>
      <c r="J22" s="308"/>
      <c r="K22" s="308"/>
      <c r="L22" s="413"/>
      <c r="M22" s="22"/>
    </row>
    <row r="23" spans="1:14" ht="15.75" x14ac:dyDescent="0.2">
      <c r="A23" s="496" t="s">
        <v>353</v>
      </c>
      <c r="B23" s="276"/>
      <c r="C23" s="276"/>
      <c r="D23" s="164"/>
      <c r="E23" s="11"/>
      <c r="F23" s="285"/>
      <c r="G23" s="285"/>
      <c r="H23" s="164"/>
      <c r="I23" s="236"/>
      <c r="J23" s="285"/>
      <c r="K23" s="285"/>
      <c r="L23" s="164"/>
      <c r="M23" s="21"/>
    </row>
    <row r="24" spans="1:14" ht="15.75" x14ac:dyDescent="0.2">
      <c r="A24" s="496" t="s">
        <v>354</v>
      </c>
      <c r="B24" s="276"/>
      <c r="C24" s="276"/>
      <c r="D24" s="164"/>
      <c r="E24" s="11"/>
      <c r="F24" s="285"/>
      <c r="G24" s="285"/>
      <c r="H24" s="164"/>
      <c r="I24" s="236"/>
      <c r="J24" s="285"/>
      <c r="K24" s="285"/>
      <c r="L24" s="164"/>
      <c r="M24" s="21"/>
    </row>
    <row r="25" spans="1:14" ht="15.75" x14ac:dyDescent="0.2">
      <c r="A25" s="496" t="s">
        <v>355</v>
      </c>
      <c r="B25" s="276"/>
      <c r="C25" s="276"/>
      <c r="D25" s="164"/>
      <c r="E25" s="11"/>
      <c r="F25" s="285"/>
      <c r="G25" s="285"/>
      <c r="H25" s="164"/>
      <c r="I25" s="236"/>
      <c r="J25" s="285"/>
      <c r="K25" s="285"/>
      <c r="L25" s="164"/>
      <c r="M25" s="21"/>
    </row>
    <row r="26" spans="1:14" ht="15.75" x14ac:dyDescent="0.2">
      <c r="A26" s="496" t="s">
        <v>356</v>
      </c>
      <c r="B26" s="276"/>
      <c r="C26" s="276"/>
      <c r="D26" s="164"/>
      <c r="E26" s="11"/>
      <c r="F26" s="285"/>
      <c r="G26" s="285"/>
      <c r="H26" s="164"/>
      <c r="I26" s="236"/>
      <c r="J26" s="285"/>
      <c r="K26" s="285"/>
      <c r="L26" s="164"/>
      <c r="M26" s="21"/>
    </row>
    <row r="27" spans="1:14" x14ac:dyDescent="0.2">
      <c r="A27" s="496" t="s">
        <v>11</v>
      </c>
      <c r="B27" s="276"/>
      <c r="C27" s="276"/>
      <c r="D27" s="164"/>
      <c r="E27" s="11"/>
      <c r="F27" s="285"/>
      <c r="G27" s="285"/>
      <c r="H27" s="164"/>
      <c r="I27" s="236"/>
      <c r="J27" s="285"/>
      <c r="K27" s="285"/>
      <c r="L27" s="164"/>
      <c r="M27" s="21"/>
    </row>
    <row r="28" spans="1:14" ht="15.75" x14ac:dyDescent="0.2">
      <c r="A28" s="47" t="s">
        <v>271</v>
      </c>
      <c r="B28" s="42"/>
      <c r="C28" s="282"/>
      <c r="D28" s="164"/>
      <c r="E28" s="11"/>
      <c r="F28" s="230"/>
      <c r="G28" s="282"/>
      <c r="H28" s="164"/>
      <c r="I28" s="172"/>
      <c r="J28" s="42"/>
      <c r="K28" s="42"/>
      <c r="L28" s="249"/>
      <c r="M28" s="21"/>
    </row>
    <row r="29" spans="1:14" s="3" customFormat="1" ht="15.75" x14ac:dyDescent="0.2">
      <c r="A29" s="13" t="s">
        <v>350</v>
      </c>
      <c r="B29" s="232"/>
      <c r="C29" s="232"/>
      <c r="D29" s="169"/>
      <c r="E29" s="11"/>
      <c r="F29" s="300"/>
      <c r="G29" s="300"/>
      <c r="H29" s="169"/>
      <c r="I29" s="158"/>
      <c r="J29" s="232"/>
      <c r="K29" s="232"/>
      <c r="L29" s="414"/>
      <c r="M29" s="22"/>
      <c r="N29" s="146"/>
    </row>
    <row r="30" spans="1:14" s="3" customFormat="1" ht="15.75" x14ac:dyDescent="0.2">
      <c r="A30" s="496" t="s">
        <v>353</v>
      </c>
      <c r="B30" s="276"/>
      <c r="C30" s="276"/>
      <c r="D30" s="164"/>
      <c r="E30" s="11"/>
      <c r="F30" s="285"/>
      <c r="G30" s="285"/>
      <c r="H30" s="164"/>
      <c r="I30" s="236"/>
      <c r="J30" s="285"/>
      <c r="K30" s="285"/>
      <c r="L30" s="164"/>
      <c r="M30" s="21"/>
      <c r="N30" s="146"/>
    </row>
    <row r="31" spans="1:14" s="3" customFormat="1" ht="15.75" x14ac:dyDescent="0.2">
      <c r="A31" s="496" t="s">
        <v>354</v>
      </c>
      <c r="B31" s="276"/>
      <c r="C31" s="276"/>
      <c r="D31" s="164"/>
      <c r="E31" s="11"/>
      <c r="F31" s="285"/>
      <c r="G31" s="285"/>
      <c r="H31" s="164"/>
      <c r="I31" s="236"/>
      <c r="J31" s="285"/>
      <c r="K31" s="285"/>
      <c r="L31" s="164"/>
      <c r="M31" s="21"/>
      <c r="N31" s="146"/>
    </row>
    <row r="32" spans="1:14" ht="15.75" x14ac:dyDescent="0.2">
      <c r="A32" s="496" t="s">
        <v>355</v>
      </c>
      <c r="B32" s="276"/>
      <c r="C32" s="276"/>
      <c r="D32" s="164"/>
      <c r="E32" s="11"/>
      <c r="F32" s="285"/>
      <c r="G32" s="285"/>
      <c r="H32" s="164"/>
      <c r="I32" s="236"/>
      <c r="J32" s="285"/>
      <c r="K32" s="285"/>
      <c r="L32" s="164"/>
      <c r="M32" s="21"/>
    </row>
    <row r="33" spans="1:14" ht="15.75" x14ac:dyDescent="0.2">
      <c r="A33" s="496" t="s">
        <v>356</v>
      </c>
      <c r="B33" s="276"/>
      <c r="C33" s="276"/>
      <c r="D33" s="164"/>
      <c r="E33" s="11"/>
      <c r="F33" s="285"/>
      <c r="G33" s="285"/>
      <c r="H33" s="164"/>
      <c r="I33" s="236"/>
      <c r="J33" s="285"/>
      <c r="K33" s="285"/>
      <c r="L33" s="164"/>
      <c r="M33" s="21"/>
    </row>
    <row r="34" spans="1:14" ht="15.75" x14ac:dyDescent="0.2">
      <c r="A34" s="13" t="s">
        <v>351</v>
      </c>
      <c r="B34" s="232"/>
      <c r="C34" s="301"/>
      <c r="D34" s="169"/>
      <c r="E34" s="11"/>
      <c r="F34" s="300"/>
      <c r="G34" s="301"/>
      <c r="H34" s="169"/>
      <c r="I34" s="158"/>
      <c r="J34" s="232"/>
      <c r="K34" s="232"/>
      <c r="L34" s="414"/>
      <c r="M34" s="22"/>
    </row>
    <row r="35" spans="1:14" ht="15.75" x14ac:dyDescent="0.2">
      <c r="A35" s="13" t="s">
        <v>352</v>
      </c>
      <c r="B35" s="232"/>
      <c r="C35" s="301"/>
      <c r="D35" s="169"/>
      <c r="E35" s="11"/>
      <c r="F35" s="300"/>
      <c r="G35" s="301"/>
      <c r="H35" s="169"/>
      <c r="I35" s="158"/>
      <c r="J35" s="232"/>
      <c r="K35" s="232"/>
      <c r="L35" s="414"/>
      <c r="M35" s="22"/>
    </row>
    <row r="36" spans="1:14" ht="15.75" x14ac:dyDescent="0.2">
      <c r="A36" s="12" t="s">
        <v>279</v>
      </c>
      <c r="B36" s="232"/>
      <c r="C36" s="301"/>
      <c r="D36" s="169"/>
      <c r="E36" s="11"/>
      <c r="F36" s="311"/>
      <c r="G36" s="312"/>
      <c r="H36" s="169"/>
      <c r="I36" s="416"/>
      <c r="J36" s="232"/>
      <c r="K36" s="232"/>
      <c r="L36" s="414"/>
      <c r="M36" s="22"/>
    </row>
    <row r="37" spans="1:14" ht="15.75" x14ac:dyDescent="0.2">
      <c r="A37" s="12" t="s">
        <v>358</v>
      </c>
      <c r="B37" s="232"/>
      <c r="C37" s="301"/>
      <c r="D37" s="169"/>
      <c r="E37" s="11"/>
      <c r="F37" s="311"/>
      <c r="G37" s="313"/>
      <c r="H37" s="169"/>
      <c r="I37" s="416"/>
      <c r="J37" s="232"/>
      <c r="K37" s="232"/>
      <c r="L37" s="414"/>
      <c r="M37" s="22"/>
    </row>
    <row r="38" spans="1:14" ht="15.75" x14ac:dyDescent="0.2">
      <c r="A38" s="12" t="s">
        <v>359</v>
      </c>
      <c r="B38" s="232"/>
      <c r="C38" s="301"/>
      <c r="D38" s="169"/>
      <c r="E38" s="22"/>
      <c r="F38" s="311"/>
      <c r="G38" s="312"/>
      <c r="H38" s="169"/>
      <c r="I38" s="416"/>
      <c r="J38" s="232"/>
      <c r="K38" s="232"/>
      <c r="L38" s="414"/>
      <c r="M38" s="22"/>
    </row>
    <row r="39" spans="1:14" ht="15.75" x14ac:dyDescent="0.2">
      <c r="A39" s="18" t="s">
        <v>360</v>
      </c>
      <c r="B39" s="271"/>
      <c r="C39" s="307"/>
      <c r="D39" s="167"/>
      <c r="E39" s="34"/>
      <c r="F39" s="314"/>
      <c r="G39" s="315"/>
      <c r="H39" s="167"/>
      <c r="I39" s="167"/>
      <c r="J39" s="232"/>
      <c r="K39" s="232"/>
      <c r="L39" s="415"/>
      <c r="M39" s="34"/>
    </row>
    <row r="40" spans="1:14" ht="15.75" x14ac:dyDescent="0.25">
      <c r="A40" s="45"/>
      <c r="B40" s="248"/>
      <c r="C40" s="248"/>
      <c r="D40" s="708"/>
      <c r="E40" s="708"/>
      <c r="F40" s="708"/>
      <c r="G40" s="708"/>
      <c r="H40" s="708"/>
      <c r="I40" s="708"/>
      <c r="J40" s="708"/>
      <c r="K40" s="708"/>
      <c r="L40" s="708"/>
      <c r="M40" s="558"/>
    </row>
    <row r="41" spans="1:14" x14ac:dyDescent="0.2">
      <c r="A41" s="153"/>
    </row>
    <row r="42" spans="1:14" ht="15.75" x14ac:dyDescent="0.25">
      <c r="A42" s="145" t="s">
        <v>268</v>
      </c>
      <c r="B42" s="704"/>
      <c r="C42" s="704"/>
      <c r="D42" s="704"/>
      <c r="E42" s="557"/>
      <c r="F42" s="709"/>
      <c r="G42" s="709"/>
      <c r="H42" s="709"/>
      <c r="I42" s="558"/>
      <c r="J42" s="709"/>
      <c r="K42" s="709"/>
      <c r="L42" s="709"/>
      <c r="M42" s="558"/>
    </row>
    <row r="43" spans="1:14" ht="15.75" x14ac:dyDescent="0.25">
      <c r="A43" s="161"/>
      <c r="B43" s="553"/>
      <c r="C43" s="553"/>
      <c r="D43" s="553"/>
      <c r="E43" s="553"/>
      <c r="F43" s="558"/>
      <c r="G43" s="558"/>
      <c r="H43" s="558"/>
      <c r="I43" s="558"/>
      <c r="J43" s="558"/>
      <c r="K43" s="558"/>
      <c r="L43" s="558"/>
      <c r="M43" s="558"/>
    </row>
    <row r="44" spans="1:14" ht="15.75" x14ac:dyDescent="0.25">
      <c r="A44" s="243"/>
      <c r="B44" s="705" t="s">
        <v>0</v>
      </c>
      <c r="C44" s="706"/>
      <c r="D44" s="706"/>
      <c r="E44" s="239"/>
      <c r="F44" s="558"/>
      <c r="G44" s="558"/>
      <c r="H44" s="558"/>
      <c r="I44" s="558"/>
      <c r="J44" s="558"/>
      <c r="K44" s="558"/>
      <c r="L44" s="558"/>
      <c r="M44" s="558"/>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v>10359.611999999999</v>
      </c>
      <c r="C47" s="303">
        <v>26920</v>
      </c>
      <c r="D47" s="413">
        <f t="shared" ref="D47:D55" si="0">IF(B47=0, "    ---- ", IF(ABS(ROUND(100/B47*C47-100,1))&lt;999,ROUND(100/B47*C47-100,1),IF(ROUND(100/B47*C47-100,1)&gt;999,999,-999)))</f>
        <v>159.9</v>
      </c>
      <c r="E47" s="11">
        <f>IFERROR(100/'Skjema total MA'!C47*C47,0)</f>
        <v>0.55363367660252916</v>
      </c>
      <c r="F47" s="143"/>
      <c r="G47" s="31"/>
      <c r="H47" s="157"/>
      <c r="I47" s="157"/>
      <c r="J47" s="35"/>
      <c r="K47" s="35"/>
      <c r="L47" s="157"/>
      <c r="M47" s="157"/>
      <c r="N47" s="146"/>
    </row>
    <row r="48" spans="1:14" s="3" customFormat="1" ht="15.75" x14ac:dyDescent="0.2">
      <c r="A48" s="36" t="s">
        <v>361</v>
      </c>
      <c r="B48" s="276">
        <v>9418.0439999999999</v>
      </c>
      <c r="C48" s="277">
        <v>25971</v>
      </c>
      <c r="D48" s="249">
        <f t="shared" si="0"/>
        <v>175.8</v>
      </c>
      <c r="E48" s="25">
        <f>IFERROR(100/'Skjema total MA'!C48*C48,0)</f>
        <v>0.9576298978429818</v>
      </c>
      <c r="F48" s="143"/>
      <c r="G48" s="31"/>
      <c r="H48" s="143"/>
      <c r="I48" s="143"/>
      <c r="J48" s="31"/>
      <c r="K48" s="31"/>
      <c r="L48" s="157"/>
      <c r="M48" s="157"/>
      <c r="N48" s="146"/>
    </row>
    <row r="49" spans="1:14" s="3" customFormat="1" ht="15.75" x14ac:dyDescent="0.2">
      <c r="A49" s="36" t="s">
        <v>362</v>
      </c>
      <c r="B49" s="42">
        <v>941.56799999999998</v>
      </c>
      <c r="C49" s="282">
        <v>949</v>
      </c>
      <c r="D49" s="249">
        <f>IF(B49=0, "    ---- ", IF(ABS(ROUND(100/B49*C49-100,1))&lt;999,ROUND(100/B49*C49-100,1),IF(ROUND(100/B49*C49-100,1)&gt;999,999,-999)))</f>
        <v>0.8</v>
      </c>
      <c r="E49" s="25">
        <f>IFERROR(100/'Skjema total MA'!C49*C49,0)</f>
        <v>4.4131059387324978E-2</v>
      </c>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v>10359.611999999999</v>
      </c>
      <c r="C53" s="303">
        <v>26920</v>
      </c>
      <c r="D53" s="414">
        <f t="shared" si="0"/>
        <v>159.9</v>
      </c>
      <c r="E53" s="11">
        <f>IFERROR(100/'Skjema total MA'!C53*C53,0)</f>
        <v>23.374808277946961</v>
      </c>
      <c r="F53" s="143"/>
      <c r="G53" s="31"/>
      <c r="H53" s="143"/>
      <c r="I53" s="143"/>
      <c r="J53" s="31"/>
      <c r="K53" s="31"/>
      <c r="L53" s="157"/>
      <c r="M53" s="157"/>
      <c r="N53" s="146"/>
    </row>
    <row r="54" spans="1:14" s="3" customFormat="1" ht="15.75" x14ac:dyDescent="0.2">
      <c r="A54" s="36" t="s">
        <v>361</v>
      </c>
      <c r="B54" s="276">
        <v>9418.0439999999999</v>
      </c>
      <c r="C54" s="277">
        <v>25971</v>
      </c>
      <c r="D54" s="249">
        <f t="shared" si="0"/>
        <v>175.8</v>
      </c>
      <c r="E54" s="25">
        <f>IFERROR(100/'Skjema total MA'!C54*C54,0)</f>
        <v>22.738153064165527</v>
      </c>
      <c r="F54" s="143"/>
      <c r="G54" s="31"/>
      <c r="H54" s="143"/>
      <c r="I54" s="143"/>
      <c r="J54" s="31"/>
      <c r="K54" s="31"/>
      <c r="L54" s="157"/>
      <c r="M54" s="157"/>
      <c r="N54" s="146"/>
    </row>
    <row r="55" spans="1:14" s="3" customFormat="1" ht="15.75" x14ac:dyDescent="0.2">
      <c r="A55" s="36" t="s">
        <v>362</v>
      </c>
      <c r="B55" s="276">
        <v>941.56799999999998</v>
      </c>
      <c r="C55" s="277">
        <v>949</v>
      </c>
      <c r="D55" s="249">
        <f t="shared" si="0"/>
        <v>0.8</v>
      </c>
      <c r="E55" s="25">
        <f>IFERROR(100/'Skjema total MA'!C55*C55,0)</f>
        <v>100</v>
      </c>
      <c r="F55" s="143"/>
      <c r="G55" s="31"/>
      <c r="H55" s="143"/>
      <c r="I55" s="143"/>
      <c r="J55" s="31"/>
      <c r="K55" s="31"/>
      <c r="L55" s="157"/>
      <c r="M55" s="157"/>
      <c r="N55" s="146"/>
    </row>
    <row r="56" spans="1:14" s="3" customFormat="1" ht="15.75" x14ac:dyDescent="0.2">
      <c r="A56" s="37" t="s">
        <v>364</v>
      </c>
      <c r="B56" s="302"/>
      <c r="C56" s="303"/>
      <c r="D56" s="414"/>
      <c r="E56" s="11"/>
      <c r="F56" s="143"/>
      <c r="G56" s="31"/>
      <c r="H56" s="143"/>
      <c r="I56" s="143"/>
      <c r="J56" s="31"/>
      <c r="K56" s="31"/>
      <c r="L56" s="157"/>
      <c r="M56" s="157"/>
      <c r="N56" s="146"/>
    </row>
    <row r="57" spans="1:14" s="3" customFormat="1" ht="15.75" x14ac:dyDescent="0.2">
      <c r="A57" s="36" t="s">
        <v>361</v>
      </c>
      <c r="B57" s="276"/>
      <c r="C57" s="277"/>
      <c r="D57" s="249"/>
      <c r="E57" s="25"/>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557"/>
      <c r="F62" s="707"/>
      <c r="G62" s="707"/>
      <c r="H62" s="707"/>
      <c r="I62" s="557"/>
      <c r="J62" s="707"/>
      <c r="K62" s="707"/>
      <c r="L62" s="707"/>
      <c r="M62" s="557"/>
    </row>
    <row r="63" spans="1:14" x14ac:dyDescent="0.2">
      <c r="A63" s="142"/>
      <c r="B63" s="705" t="s">
        <v>0</v>
      </c>
      <c r="C63" s="706"/>
      <c r="D63" s="710"/>
      <c r="E63" s="554"/>
      <c r="F63" s="706" t="s">
        <v>1</v>
      </c>
      <c r="G63" s="706"/>
      <c r="H63" s="706"/>
      <c r="I63" s="556"/>
      <c r="J63" s="705" t="s">
        <v>2</v>
      </c>
      <c r="K63" s="706"/>
      <c r="L63" s="706"/>
      <c r="M63" s="556"/>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c r="C66" s="344"/>
      <c r="D66" s="341"/>
      <c r="E66" s="11"/>
      <c r="F66" s="343"/>
      <c r="G66" s="343"/>
      <c r="H66" s="341"/>
      <c r="I66" s="11"/>
      <c r="J66" s="301"/>
      <c r="K66" s="308"/>
      <c r="L66" s="414"/>
      <c r="M66" s="11"/>
    </row>
    <row r="67" spans="1:14" x14ac:dyDescent="0.2">
      <c r="A67" s="19" t="s">
        <v>9</v>
      </c>
      <c r="B67" s="42"/>
      <c r="C67" s="143"/>
      <c r="D67" s="164"/>
      <c r="E67" s="25"/>
      <c r="F67" s="230"/>
      <c r="G67" s="143"/>
      <c r="H67" s="164"/>
      <c r="I67" s="25"/>
      <c r="J67" s="282"/>
      <c r="K67" s="42"/>
      <c r="L67" s="249"/>
      <c r="M67" s="25"/>
    </row>
    <row r="68" spans="1:14" x14ac:dyDescent="0.2">
      <c r="A68" s="19" t="s">
        <v>10</v>
      </c>
      <c r="B68" s="286"/>
      <c r="C68" s="287"/>
      <c r="D68" s="164"/>
      <c r="E68" s="25"/>
      <c r="F68" s="286"/>
      <c r="G68" s="287"/>
      <c r="H68" s="164"/>
      <c r="I68" s="25"/>
      <c r="J68" s="282"/>
      <c r="K68" s="42"/>
      <c r="L68" s="249"/>
      <c r="M68" s="25"/>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c r="C75" s="143"/>
      <c r="D75" s="164"/>
      <c r="E75" s="25"/>
      <c r="F75" s="230"/>
      <c r="G75" s="143"/>
      <c r="H75" s="164"/>
      <c r="I75" s="25"/>
      <c r="J75" s="282"/>
      <c r="K75" s="42"/>
      <c r="L75" s="249"/>
      <c r="M75" s="25"/>
      <c r="N75" s="146"/>
    </row>
    <row r="76" spans="1:14" s="3" customFormat="1" x14ac:dyDescent="0.2">
      <c r="A76" s="19" t="s">
        <v>336</v>
      </c>
      <c r="B76" s="230"/>
      <c r="C76" s="143"/>
      <c r="D76" s="164"/>
      <c r="E76" s="25"/>
      <c r="F76" s="230"/>
      <c r="G76" s="143"/>
      <c r="H76" s="164"/>
      <c r="I76" s="25"/>
      <c r="J76" s="282"/>
      <c r="K76" s="42"/>
      <c r="L76" s="249"/>
      <c r="M76" s="25"/>
      <c r="N76" s="146"/>
    </row>
    <row r="77" spans="1:14" ht="15.75" x14ac:dyDescent="0.2">
      <c r="A77" s="19" t="s">
        <v>367</v>
      </c>
      <c r="B77" s="230"/>
      <c r="C77" s="230"/>
      <c r="D77" s="164"/>
      <c r="E77" s="25"/>
      <c r="F77" s="230"/>
      <c r="G77" s="143"/>
      <c r="H77" s="164"/>
      <c r="I77" s="25"/>
      <c r="J77" s="282"/>
      <c r="K77" s="42"/>
      <c r="L77" s="249"/>
      <c r="M77" s="25"/>
    </row>
    <row r="78" spans="1:14" x14ac:dyDescent="0.2">
      <c r="A78" s="19" t="s">
        <v>9</v>
      </c>
      <c r="B78" s="230"/>
      <c r="C78" s="143"/>
      <c r="D78" s="164"/>
      <c r="E78" s="25"/>
      <c r="F78" s="230"/>
      <c r="G78" s="143"/>
      <c r="H78" s="164"/>
      <c r="I78" s="25"/>
      <c r="J78" s="282"/>
      <c r="K78" s="42"/>
      <c r="L78" s="249"/>
      <c r="M78" s="25"/>
    </row>
    <row r="79" spans="1:14" x14ac:dyDescent="0.2">
      <c r="A79" s="36" t="s">
        <v>400</v>
      </c>
      <c r="B79" s="286"/>
      <c r="C79" s="287"/>
      <c r="D79" s="164"/>
      <c r="E79" s="25"/>
      <c r="F79" s="286"/>
      <c r="G79" s="287"/>
      <c r="H79" s="164"/>
      <c r="I79" s="25"/>
      <c r="J79" s="282"/>
      <c r="K79" s="42"/>
      <c r="L79" s="249"/>
      <c r="M79" s="25"/>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c r="C86" s="143"/>
      <c r="D86" s="164"/>
      <c r="E86" s="25"/>
      <c r="F86" s="230"/>
      <c r="G86" s="143"/>
      <c r="H86" s="164"/>
      <c r="I86" s="25"/>
      <c r="J86" s="282"/>
      <c r="K86" s="42"/>
      <c r="L86" s="249"/>
      <c r="M86" s="25"/>
    </row>
    <row r="87" spans="1:13" ht="15.75" x14ac:dyDescent="0.2">
      <c r="A87" s="13" t="s">
        <v>350</v>
      </c>
      <c r="B87" s="344"/>
      <c r="C87" s="344"/>
      <c r="D87" s="169"/>
      <c r="E87" s="11"/>
      <c r="F87" s="343"/>
      <c r="G87" s="343"/>
      <c r="H87" s="169"/>
      <c r="I87" s="11"/>
      <c r="J87" s="301"/>
      <c r="K87" s="232"/>
      <c r="L87" s="414"/>
      <c r="M87" s="11"/>
    </row>
    <row r="88" spans="1:13" x14ac:dyDescent="0.2">
      <c r="A88" s="19" t="s">
        <v>9</v>
      </c>
      <c r="B88" s="230"/>
      <c r="C88" s="143"/>
      <c r="D88" s="164"/>
      <c r="E88" s="25"/>
      <c r="F88" s="230"/>
      <c r="G88" s="143"/>
      <c r="H88" s="164"/>
      <c r="I88" s="25"/>
      <c r="J88" s="282"/>
      <c r="K88" s="42"/>
      <c r="L88" s="249"/>
      <c r="M88" s="25"/>
    </row>
    <row r="89" spans="1:13" x14ac:dyDescent="0.2">
      <c r="A89" s="19" t="s">
        <v>10</v>
      </c>
      <c r="B89" s="230"/>
      <c r="C89" s="143"/>
      <c r="D89" s="164"/>
      <c r="E89" s="25"/>
      <c r="F89" s="230"/>
      <c r="G89" s="143"/>
      <c r="H89" s="164"/>
      <c r="I89" s="25"/>
      <c r="J89" s="282"/>
      <c r="K89" s="42"/>
      <c r="L89" s="249"/>
      <c r="M89" s="25"/>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c r="C96" s="143"/>
      <c r="D96" s="164"/>
      <c r="E96" s="25"/>
      <c r="F96" s="230"/>
      <c r="G96" s="143"/>
      <c r="H96" s="164"/>
      <c r="I96" s="25"/>
      <c r="J96" s="282"/>
      <c r="K96" s="42"/>
      <c r="L96" s="249"/>
      <c r="M96" s="25"/>
    </row>
    <row r="97" spans="1:13" x14ac:dyDescent="0.2">
      <c r="A97" s="19" t="s">
        <v>334</v>
      </c>
      <c r="B97" s="230"/>
      <c r="C97" s="143"/>
      <c r="D97" s="164"/>
      <c r="E97" s="25"/>
      <c r="F97" s="230"/>
      <c r="G97" s="143"/>
      <c r="H97" s="164"/>
      <c r="I97" s="25"/>
      <c r="J97" s="282"/>
      <c r="K97" s="42"/>
      <c r="L97" s="249"/>
      <c r="M97" s="25"/>
    </row>
    <row r="98" spans="1:13" ht="15.75" x14ac:dyDescent="0.2">
      <c r="A98" s="19" t="s">
        <v>367</v>
      </c>
      <c r="B98" s="230"/>
      <c r="C98" s="230"/>
      <c r="D98" s="164"/>
      <c r="E98" s="25"/>
      <c r="F98" s="286"/>
      <c r="G98" s="286"/>
      <c r="H98" s="164"/>
      <c r="I98" s="25"/>
      <c r="J98" s="282"/>
      <c r="K98" s="42"/>
      <c r="L98" s="249"/>
      <c r="M98" s="25"/>
    </row>
    <row r="99" spans="1:13" x14ac:dyDescent="0.2">
      <c r="A99" s="19" t="s">
        <v>9</v>
      </c>
      <c r="B99" s="286"/>
      <c r="C99" s="287"/>
      <c r="D99" s="164"/>
      <c r="E99" s="25"/>
      <c r="F99" s="230"/>
      <c r="G99" s="143"/>
      <c r="H99" s="164"/>
      <c r="I99" s="25"/>
      <c r="J99" s="282"/>
      <c r="K99" s="42"/>
      <c r="L99" s="249"/>
      <c r="M99" s="25"/>
    </row>
    <row r="100" spans="1:13" x14ac:dyDescent="0.2">
      <c r="A100" s="36" t="s">
        <v>400</v>
      </c>
      <c r="B100" s="286"/>
      <c r="C100" s="287"/>
      <c r="D100" s="164"/>
      <c r="E100" s="25"/>
      <c r="F100" s="230"/>
      <c r="G100" s="230"/>
      <c r="H100" s="164"/>
      <c r="I100" s="25"/>
      <c r="J100" s="282"/>
      <c r="K100" s="42"/>
      <c r="L100" s="249"/>
      <c r="M100" s="25"/>
    </row>
    <row r="101" spans="1:13" ht="15.75" x14ac:dyDescent="0.2">
      <c r="A101" s="288" t="s">
        <v>365</v>
      </c>
      <c r="B101" s="311"/>
      <c r="C101" s="311"/>
      <c r="D101" s="164"/>
      <c r="E101" s="21"/>
      <c r="F101" s="311"/>
      <c r="G101" s="311"/>
      <c r="H101" s="164"/>
      <c r="I101" s="21"/>
      <c r="J101" s="311"/>
      <c r="K101" s="311"/>
      <c r="L101" s="164"/>
      <c r="M101" s="21"/>
    </row>
    <row r="102" spans="1:13" x14ac:dyDescent="0.2">
      <c r="A102" s="288" t="s">
        <v>12</v>
      </c>
      <c r="B102" s="311"/>
      <c r="C102" s="311"/>
      <c r="D102" s="164"/>
      <c r="E102" s="21"/>
      <c r="F102" s="311"/>
      <c r="G102" s="311"/>
      <c r="H102" s="164"/>
      <c r="I102" s="21"/>
      <c r="J102" s="311"/>
      <c r="K102" s="311"/>
      <c r="L102" s="164"/>
      <c r="M102" s="21"/>
    </row>
    <row r="103" spans="1:13" x14ac:dyDescent="0.2">
      <c r="A103" s="288" t="s">
        <v>13</v>
      </c>
      <c r="B103" s="311"/>
      <c r="C103" s="311"/>
      <c r="D103" s="164"/>
      <c r="E103" s="21"/>
      <c r="F103" s="311"/>
      <c r="G103" s="311"/>
      <c r="H103" s="164"/>
      <c r="I103" s="21"/>
      <c r="J103" s="311"/>
      <c r="K103" s="311"/>
      <c r="L103" s="164"/>
      <c r="M103" s="21"/>
    </row>
    <row r="104" spans="1:13" ht="15.75" x14ac:dyDescent="0.2">
      <c r="A104" s="288" t="s">
        <v>366</v>
      </c>
      <c r="B104" s="311"/>
      <c r="C104" s="311"/>
      <c r="D104" s="164"/>
      <c r="E104" s="21"/>
      <c r="F104" s="311"/>
      <c r="G104" s="311"/>
      <c r="H104" s="164"/>
      <c r="I104" s="21"/>
      <c r="J104" s="311"/>
      <c r="K104" s="311"/>
      <c r="L104" s="164"/>
      <c r="M104" s="21"/>
    </row>
    <row r="105" spans="1:13" x14ac:dyDescent="0.2">
      <c r="A105" s="288" t="s">
        <v>12</v>
      </c>
      <c r="B105" s="231"/>
      <c r="C105" s="284"/>
      <c r="D105" s="164"/>
      <c r="E105" s="21"/>
      <c r="F105" s="311"/>
      <c r="G105" s="311"/>
      <c r="H105" s="164"/>
      <c r="I105" s="21"/>
      <c r="J105" s="311"/>
      <c r="K105" s="311"/>
      <c r="L105" s="164"/>
      <c r="M105" s="21"/>
    </row>
    <row r="106" spans="1:13" x14ac:dyDescent="0.2">
      <c r="A106" s="288" t="s">
        <v>13</v>
      </c>
      <c r="B106" s="231"/>
      <c r="C106" s="284"/>
      <c r="D106" s="164"/>
      <c r="E106" s="21"/>
      <c r="F106" s="311"/>
      <c r="G106" s="311"/>
      <c r="H106" s="164"/>
      <c r="I106" s="21"/>
      <c r="J106" s="311"/>
      <c r="K106" s="311"/>
      <c r="L106" s="164"/>
      <c r="M106" s="21"/>
    </row>
    <row r="107" spans="1:13" ht="15.75" x14ac:dyDescent="0.2">
      <c r="A107" s="19" t="s">
        <v>368</v>
      </c>
      <c r="B107" s="230"/>
      <c r="C107" s="143"/>
      <c r="D107" s="164"/>
      <c r="E107" s="25"/>
      <c r="F107" s="230"/>
      <c r="G107" s="143"/>
      <c r="H107" s="164"/>
      <c r="I107" s="25"/>
      <c r="J107" s="282"/>
      <c r="K107" s="42"/>
      <c r="L107" s="249"/>
      <c r="M107" s="25"/>
    </row>
    <row r="108" spans="1:13" ht="15.75" x14ac:dyDescent="0.2">
      <c r="A108" s="19" t="s">
        <v>369</v>
      </c>
      <c r="B108" s="230"/>
      <c r="C108" s="230"/>
      <c r="D108" s="164"/>
      <c r="E108" s="25"/>
      <c r="F108" s="230"/>
      <c r="G108" s="230"/>
      <c r="H108" s="164"/>
      <c r="I108" s="25"/>
      <c r="J108" s="282"/>
      <c r="K108" s="42"/>
      <c r="L108" s="249"/>
      <c r="M108" s="25"/>
    </row>
    <row r="109" spans="1:13" ht="15.75" x14ac:dyDescent="0.2">
      <c r="A109" s="36" t="s">
        <v>408</v>
      </c>
      <c r="B109" s="230"/>
      <c r="C109" s="230"/>
      <c r="D109" s="164"/>
      <c r="E109" s="25"/>
      <c r="F109" s="230"/>
      <c r="G109" s="230"/>
      <c r="H109" s="164"/>
      <c r="I109" s="25"/>
      <c r="J109" s="282"/>
      <c r="K109" s="42"/>
      <c r="L109" s="249"/>
      <c r="M109" s="25"/>
    </row>
    <row r="110" spans="1:13" ht="15.75" x14ac:dyDescent="0.2">
      <c r="A110" s="19" t="s">
        <v>370</v>
      </c>
      <c r="B110" s="230"/>
      <c r="C110" s="230"/>
      <c r="D110" s="164"/>
      <c r="E110" s="25"/>
      <c r="F110" s="230"/>
      <c r="G110" s="230"/>
      <c r="H110" s="164"/>
      <c r="I110" s="25"/>
      <c r="J110" s="282"/>
      <c r="K110" s="42"/>
      <c r="L110" s="249"/>
      <c r="M110" s="25"/>
    </row>
    <row r="111" spans="1:13" ht="15.75" x14ac:dyDescent="0.2">
      <c r="A111" s="13" t="s">
        <v>351</v>
      </c>
      <c r="B111" s="300"/>
      <c r="C111" s="157"/>
      <c r="D111" s="169"/>
      <c r="E111" s="11"/>
      <c r="F111" s="300"/>
      <c r="G111" s="157"/>
      <c r="H111" s="169"/>
      <c r="I111" s="11"/>
      <c r="J111" s="301"/>
      <c r="K111" s="232"/>
      <c r="L111" s="414"/>
      <c r="M111" s="11"/>
    </row>
    <row r="112" spans="1:13" x14ac:dyDescent="0.2">
      <c r="A112" s="19" t="s">
        <v>9</v>
      </c>
      <c r="B112" s="230"/>
      <c r="C112" s="143"/>
      <c r="D112" s="164"/>
      <c r="E112" s="25"/>
      <c r="F112" s="230"/>
      <c r="G112" s="143"/>
      <c r="H112" s="164"/>
      <c r="I112" s="25"/>
      <c r="J112" s="282"/>
      <c r="K112" s="42"/>
      <c r="L112" s="249"/>
      <c r="M112" s="25"/>
    </row>
    <row r="113" spans="1:14" x14ac:dyDescent="0.2">
      <c r="A113" s="19" t="s">
        <v>10</v>
      </c>
      <c r="B113" s="230"/>
      <c r="C113" s="143"/>
      <c r="D113" s="164"/>
      <c r="E113" s="25"/>
      <c r="F113" s="230"/>
      <c r="G113" s="143"/>
      <c r="H113" s="164"/>
      <c r="I113" s="25"/>
      <c r="J113" s="282"/>
      <c r="K113" s="42"/>
      <c r="L113" s="249"/>
      <c r="M113" s="25"/>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c r="C116" s="230"/>
      <c r="D116" s="164"/>
      <c r="E116" s="25"/>
      <c r="F116" s="230"/>
      <c r="G116" s="230"/>
      <c r="H116" s="164"/>
      <c r="I116" s="25"/>
      <c r="J116" s="282"/>
      <c r="K116" s="42"/>
      <c r="L116" s="249"/>
      <c r="M116" s="25"/>
    </row>
    <row r="117" spans="1:14" ht="15.75" x14ac:dyDescent="0.2">
      <c r="A117" s="36" t="s">
        <v>408</v>
      </c>
      <c r="B117" s="230"/>
      <c r="C117" s="230"/>
      <c r="D117" s="164"/>
      <c r="E117" s="25"/>
      <c r="F117" s="230"/>
      <c r="G117" s="230"/>
      <c r="H117" s="164"/>
      <c r="I117" s="25"/>
      <c r="J117" s="282"/>
      <c r="K117" s="42"/>
      <c r="L117" s="249"/>
      <c r="M117" s="25"/>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c r="C119" s="157"/>
      <c r="D119" s="169"/>
      <c r="E119" s="11"/>
      <c r="F119" s="300"/>
      <c r="G119" s="157"/>
      <c r="H119" s="169"/>
      <c r="I119" s="11"/>
      <c r="J119" s="301"/>
      <c r="K119" s="232"/>
      <c r="L119" s="414"/>
      <c r="M119" s="11"/>
    </row>
    <row r="120" spans="1:14" x14ac:dyDescent="0.2">
      <c r="A120" s="19" t="s">
        <v>9</v>
      </c>
      <c r="B120" s="230"/>
      <c r="C120" s="143"/>
      <c r="D120" s="164"/>
      <c r="E120" s="25"/>
      <c r="F120" s="230"/>
      <c r="G120" s="143"/>
      <c r="H120" s="164"/>
      <c r="I120" s="25"/>
      <c r="J120" s="282"/>
      <c r="K120" s="42"/>
      <c r="L120" s="249"/>
      <c r="M120" s="25"/>
    </row>
    <row r="121" spans="1:14" x14ac:dyDescent="0.2">
      <c r="A121" s="19" t="s">
        <v>10</v>
      </c>
      <c r="B121" s="230"/>
      <c r="C121" s="143"/>
      <c r="D121" s="164"/>
      <c r="E121" s="25"/>
      <c r="F121" s="230"/>
      <c r="G121" s="143"/>
      <c r="H121" s="164"/>
      <c r="I121" s="25"/>
      <c r="J121" s="282"/>
      <c r="K121" s="42"/>
      <c r="L121" s="249"/>
      <c r="M121" s="25"/>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c r="C125" s="230"/>
      <c r="D125" s="164"/>
      <c r="E125" s="25"/>
      <c r="F125" s="230"/>
      <c r="G125" s="230"/>
      <c r="H125" s="164"/>
      <c r="I125" s="25"/>
      <c r="J125" s="282"/>
      <c r="K125" s="42"/>
      <c r="L125" s="249"/>
      <c r="M125" s="25"/>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557"/>
      <c r="F130" s="707"/>
      <c r="G130" s="707"/>
      <c r="H130" s="707"/>
      <c r="I130" s="557"/>
      <c r="J130" s="707"/>
      <c r="K130" s="707"/>
      <c r="L130" s="707"/>
      <c r="M130" s="557"/>
    </row>
    <row r="131" spans="1:14" s="3" customFormat="1" x14ac:dyDescent="0.2">
      <c r="A131" s="142"/>
      <c r="B131" s="705" t="s">
        <v>0</v>
      </c>
      <c r="C131" s="706"/>
      <c r="D131" s="706"/>
      <c r="E131" s="555"/>
      <c r="F131" s="705" t="s">
        <v>1</v>
      </c>
      <c r="G131" s="706"/>
      <c r="H131" s="706"/>
      <c r="I131" s="556"/>
      <c r="J131" s="705" t="s">
        <v>2</v>
      </c>
      <c r="K131" s="706"/>
      <c r="L131" s="706"/>
      <c r="M131" s="556"/>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c r="C134" s="301"/>
      <c r="D134" s="341"/>
      <c r="E134" s="11"/>
      <c r="F134" s="308"/>
      <c r="G134" s="309"/>
      <c r="H134" s="417"/>
      <c r="I134" s="22"/>
      <c r="J134" s="310"/>
      <c r="K134" s="310"/>
      <c r="L134" s="413"/>
      <c r="M134" s="11"/>
      <c r="N134" s="146"/>
    </row>
    <row r="135" spans="1:14" s="3" customFormat="1" ht="15.75" x14ac:dyDescent="0.2">
      <c r="A135" s="13" t="s">
        <v>377</v>
      </c>
      <c r="B135" s="232"/>
      <c r="C135" s="301"/>
      <c r="D135" s="169"/>
      <c r="E135" s="11"/>
      <c r="F135" s="232"/>
      <c r="G135" s="301"/>
      <c r="H135" s="418"/>
      <c r="I135" s="22"/>
      <c r="J135" s="300"/>
      <c r="K135" s="300"/>
      <c r="L135" s="414"/>
      <c r="M135" s="11"/>
      <c r="N135" s="146"/>
    </row>
    <row r="136" spans="1:14" s="3" customFormat="1" ht="15.75" x14ac:dyDescent="0.2">
      <c r="A136" s="13" t="s">
        <v>374</v>
      </c>
      <c r="B136" s="232"/>
      <c r="C136" s="301"/>
      <c r="D136" s="169"/>
      <c r="E136" s="11"/>
      <c r="F136" s="232"/>
      <c r="G136" s="301"/>
      <c r="H136" s="418"/>
      <c r="I136" s="22"/>
      <c r="J136" s="300"/>
      <c r="K136" s="300"/>
      <c r="L136" s="414"/>
      <c r="M136" s="11"/>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30:D130"/>
    <mergeCell ref="F130:H130"/>
    <mergeCell ref="J130:L130"/>
    <mergeCell ref="B131:D131"/>
    <mergeCell ref="F131:H131"/>
    <mergeCell ref="J131:L131"/>
    <mergeCell ref="B44:D44"/>
    <mergeCell ref="B62:D62"/>
    <mergeCell ref="F62:H62"/>
    <mergeCell ref="J62:L62"/>
    <mergeCell ref="B63:D63"/>
    <mergeCell ref="F63:H63"/>
    <mergeCell ref="J63:L63"/>
    <mergeCell ref="D40:F40"/>
    <mergeCell ref="G40:I40"/>
    <mergeCell ref="J40:L40"/>
    <mergeCell ref="B42:D42"/>
    <mergeCell ref="F42:H42"/>
    <mergeCell ref="J42:L42"/>
    <mergeCell ref="B18:D18"/>
    <mergeCell ref="F18:H18"/>
    <mergeCell ref="J18:L18"/>
    <mergeCell ref="B19:D19"/>
    <mergeCell ref="F19:H19"/>
    <mergeCell ref="J19:L19"/>
    <mergeCell ref="B2:D2"/>
    <mergeCell ref="F2:H2"/>
    <mergeCell ref="J2:L2"/>
    <mergeCell ref="B4:D4"/>
    <mergeCell ref="F4:H4"/>
    <mergeCell ref="J4:L4"/>
  </mergeCells>
  <conditionalFormatting sqref="A50:A52">
    <cfRule type="expression" dxfId="389" priority="7">
      <formula>kvartal &lt; 4</formula>
    </cfRule>
  </conditionalFormatting>
  <conditionalFormatting sqref="A69:A74">
    <cfRule type="expression" dxfId="388" priority="6">
      <formula>kvartal &lt; 4</formula>
    </cfRule>
  </conditionalFormatting>
  <conditionalFormatting sqref="A80:A85">
    <cfRule type="expression" dxfId="387" priority="5">
      <formula>kvartal &lt; 4</formula>
    </cfRule>
  </conditionalFormatting>
  <conditionalFormatting sqref="A90:A95">
    <cfRule type="expression" dxfId="386" priority="4">
      <formula>kvartal &lt; 4</formula>
    </cfRule>
  </conditionalFormatting>
  <conditionalFormatting sqref="A101:A106">
    <cfRule type="expression" dxfId="385" priority="3">
      <formula>kvartal &lt; 4</formula>
    </cfRule>
  </conditionalFormatting>
  <conditionalFormatting sqref="A115">
    <cfRule type="expression" dxfId="384" priority="2">
      <formula>kvartal &lt; 4</formula>
    </cfRule>
  </conditionalFormatting>
  <conditionalFormatting sqref="A123">
    <cfRule type="expression" dxfId="383" priority="1">
      <formula>kvartal &lt; 4</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2"/>
  <dimension ref="A1:N144"/>
  <sheetViews>
    <sheetView showGridLines="0" zoomScaleNormal="100" workbookViewId="0">
      <pane xSplit="1" topLeftCell="B1" activePane="topRight" state="frozen"/>
      <selection activeCell="C76" sqref="C76"/>
      <selection pane="topRight"/>
    </sheetView>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244" t="s">
        <v>383</v>
      </c>
      <c r="D1" s="24"/>
      <c r="E1" s="24"/>
      <c r="F1" s="24"/>
      <c r="G1" s="24"/>
      <c r="H1" s="24"/>
      <c r="I1" s="24"/>
      <c r="J1" s="24"/>
      <c r="K1" s="24"/>
      <c r="L1" s="24"/>
      <c r="M1" s="24"/>
    </row>
    <row r="2" spans="1:14" ht="15.75" x14ac:dyDescent="0.25">
      <c r="A2" s="163" t="s">
        <v>28</v>
      </c>
      <c r="B2" s="349"/>
      <c r="C2" s="349"/>
      <c r="D2" s="349"/>
      <c r="E2" s="349"/>
      <c r="F2" s="349"/>
      <c r="G2" s="349"/>
      <c r="H2" s="349"/>
      <c r="I2" s="349"/>
      <c r="J2" s="349"/>
      <c r="K2" s="349"/>
      <c r="L2" s="349"/>
      <c r="M2" s="349"/>
    </row>
    <row r="3" spans="1:14" ht="15.75" x14ac:dyDescent="0.25">
      <c r="A3" s="161"/>
      <c r="B3" s="349"/>
      <c r="C3" s="349"/>
      <c r="D3" s="349"/>
      <c r="E3" s="349"/>
      <c r="F3" s="349"/>
      <c r="G3" s="349"/>
      <c r="H3" s="349"/>
      <c r="I3" s="349"/>
      <c r="J3" s="349"/>
      <c r="K3" s="349"/>
      <c r="L3" s="349"/>
      <c r="M3" s="349"/>
    </row>
    <row r="4" spans="1:14" x14ac:dyDescent="0.2">
      <c r="A4" s="142"/>
      <c r="B4" s="705" t="s">
        <v>0</v>
      </c>
      <c r="C4" s="706"/>
      <c r="D4" s="706"/>
      <c r="E4" s="346"/>
      <c r="F4" s="705" t="s">
        <v>1</v>
      </c>
      <c r="G4" s="706"/>
      <c r="H4" s="706"/>
      <c r="I4" s="347"/>
      <c r="J4" s="705" t="s">
        <v>2</v>
      </c>
      <c r="K4" s="706"/>
      <c r="L4" s="706"/>
      <c r="M4" s="347"/>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352">
        <v>890408.84329999995</v>
      </c>
      <c r="C7" s="353">
        <v>954068.68519999995</v>
      </c>
      <c r="D7" s="361">
        <f t="shared" ref="D7:D10" si="0">IF(AND(_xlfn.NUMBERVALUE(B7)=0,_xlfn.NUMBERVALUE(C7)=0),,IF(B7=0, "    ---- ", IF(ABS(ROUND(100/B7*C7-100,1))&lt;999,IF(ROUND(100/B7*C7-100,1)=0,"    ---- ",ROUND(100/B7*C7-100,1)),IF(ROUND(100/B7*C7-100,1)&gt;999,999,-999))))</f>
        <v>7.1</v>
      </c>
      <c r="E7" s="362">
        <f>IFERROR(100/'Skjema total MA'!C7*C7,0)</f>
        <v>23.936753927573694</v>
      </c>
      <c r="F7" s="352"/>
      <c r="G7" s="353"/>
      <c r="H7" s="361"/>
      <c r="I7" s="362"/>
      <c r="J7" s="363">
        <f t="shared" ref="J7:K10" si="1">SUM(B7,F7)</f>
        <v>890408.84329999995</v>
      </c>
      <c r="K7" s="358">
        <f t="shared" si="1"/>
        <v>954068.68519999995</v>
      </c>
      <c r="L7" s="361">
        <f t="shared" ref="L7:L10" si="2">IF(AND(_xlfn.NUMBERVALUE(J7)=0,_xlfn.NUMBERVALUE(K7)=0),,IF(J7=0, "    ---- ", IF(ABS(ROUND(100/J7*K7-100,1))&lt;999,IF(ROUND(100/J7*K7-100,1)=0,"    ---- ",ROUND(100/J7*K7-100,1)),IF(ROUND(100/J7*K7-100,1)&gt;999,999,-999))))</f>
        <v>7.1</v>
      </c>
      <c r="M7" s="362">
        <f>IFERROR(100/'Skjema total MA'!I7*K7,0)</f>
        <v>8.5200101874198921</v>
      </c>
    </row>
    <row r="8" spans="1:14" ht="15.75" x14ac:dyDescent="0.2">
      <c r="A8" s="19" t="s">
        <v>25</v>
      </c>
      <c r="B8" s="355">
        <v>790844.36218000005</v>
      </c>
      <c r="C8" s="356">
        <v>848244.07674000005</v>
      </c>
      <c r="D8" s="364">
        <f t="shared" si="0"/>
        <v>7.3</v>
      </c>
      <c r="E8" s="362">
        <f>IFERROR(100/'Skjema total MA'!C8*C8,0)</f>
        <v>32.537075090871042</v>
      </c>
      <c r="F8" s="365"/>
      <c r="G8" s="366"/>
      <c r="H8" s="364"/>
      <c r="I8" s="362"/>
      <c r="J8" s="367">
        <f t="shared" si="1"/>
        <v>790844.36218000005</v>
      </c>
      <c r="K8" s="356">
        <f t="shared" si="1"/>
        <v>848244.07674000005</v>
      </c>
      <c r="L8" s="364">
        <f t="shared" si="2"/>
        <v>7.3</v>
      </c>
      <c r="M8" s="362">
        <f>IFERROR(100/'Skjema total MA'!I8*K8,0)</f>
        <v>32.537075090871042</v>
      </c>
    </row>
    <row r="9" spans="1:14" ht="15.75" x14ac:dyDescent="0.2">
      <c r="A9" s="19" t="s">
        <v>24</v>
      </c>
      <c r="B9" s="355">
        <v>99564.481119999997</v>
      </c>
      <c r="C9" s="356">
        <v>105824.60846</v>
      </c>
      <c r="D9" s="364">
        <f t="shared" si="0"/>
        <v>6.3</v>
      </c>
      <c r="E9" s="362">
        <f>IFERROR(100/'Skjema total MA'!C9*C9,0)</f>
        <v>13.046917050653704</v>
      </c>
      <c r="F9" s="365"/>
      <c r="G9" s="366"/>
      <c r="H9" s="364"/>
      <c r="I9" s="362"/>
      <c r="J9" s="367">
        <f t="shared" si="1"/>
        <v>99564.481119999997</v>
      </c>
      <c r="K9" s="356">
        <f t="shared" si="1"/>
        <v>105824.60846</v>
      </c>
      <c r="L9" s="364">
        <f t="shared" si="2"/>
        <v>6.3</v>
      </c>
      <c r="M9" s="362">
        <f>IFERROR(100/'Skjema total MA'!I9*K9,0)</f>
        <v>13.046917050653704</v>
      </c>
    </row>
    <row r="10" spans="1:14" ht="15.75" x14ac:dyDescent="0.2">
      <c r="A10" s="13" t="s">
        <v>350</v>
      </c>
      <c r="B10" s="357">
        <v>588142.33348000003</v>
      </c>
      <c r="C10" s="358">
        <v>643513.56466000003</v>
      </c>
      <c r="D10" s="364">
        <f t="shared" si="0"/>
        <v>9.4</v>
      </c>
      <c r="E10" s="362">
        <f>IFERROR(100/'Skjema total MA'!C10*C10,0)</f>
        <v>4.0905627997337826</v>
      </c>
      <c r="F10" s="357"/>
      <c r="G10" s="358"/>
      <c r="H10" s="364"/>
      <c r="I10" s="362"/>
      <c r="J10" s="363">
        <f t="shared" si="1"/>
        <v>588142.33348000003</v>
      </c>
      <c r="K10" s="358">
        <f t="shared" si="1"/>
        <v>643513.56466000003</v>
      </c>
      <c r="L10" s="364">
        <f t="shared" si="2"/>
        <v>9.4</v>
      </c>
      <c r="M10" s="362">
        <f>IFERROR(100/'Skjema total MA'!I10*K10,0)</f>
        <v>0.7596560074081431</v>
      </c>
    </row>
    <row r="11" spans="1:14" s="41" customFormat="1" ht="15.75" x14ac:dyDescent="0.2">
      <c r="A11" s="13" t="s">
        <v>351</v>
      </c>
      <c r="B11" s="357"/>
      <c r="C11" s="358"/>
      <c r="D11" s="364"/>
      <c r="E11" s="362"/>
      <c r="F11" s="357"/>
      <c r="G11" s="358"/>
      <c r="H11" s="364"/>
      <c r="I11" s="362"/>
      <c r="J11" s="363"/>
      <c r="K11" s="358"/>
      <c r="L11" s="364"/>
      <c r="M11" s="362"/>
      <c r="N11" s="141"/>
    </row>
    <row r="12" spans="1:14" s="41" customFormat="1" ht="15.75" x14ac:dyDescent="0.2">
      <c r="A12" s="39" t="s">
        <v>352</v>
      </c>
      <c r="B12" s="359"/>
      <c r="C12" s="360"/>
      <c r="D12" s="368"/>
      <c r="E12" s="368"/>
      <c r="F12" s="359"/>
      <c r="G12" s="360"/>
      <c r="H12" s="368"/>
      <c r="I12" s="368"/>
      <c r="J12" s="369"/>
      <c r="K12" s="360"/>
      <c r="L12" s="368"/>
      <c r="M12" s="368"/>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348"/>
      <c r="C18" s="348"/>
      <c r="D18" s="348"/>
      <c r="E18" s="349"/>
      <c r="F18" s="348"/>
      <c r="G18" s="348"/>
      <c r="H18" s="348"/>
      <c r="I18" s="349"/>
      <c r="J18" s="348"/>
      <c r="K18" s="348"/>
      <c r="L18" s="348"/>
      <c r="M18" s="349"/>
    </row>
    <row r="19" spans="1:14" x14ac:dyDescent="0.2">
      <c r="A19" s="142"/>
      <c r="B19" s="705" t="s">
        <v>0</v>
      </c>
      <c r="C19" s="706"/>
      <c r="D19" s="706"/>
      <c r="E19" s="346"/>
      <c r="F19" s="705" t="s">
        <v>1</v>
      </c>
      <c r="G19" s="706"/>
      <c r="H19" s="706"/>
      <c r="I19" s="347"/>
      <c r="J19" s="705" t="s">
        <v>2</v>
      </c>
      <c r="K19" s="706"/>
      <c r="L19" s="706"/>
      <c r="M19" s="347"/>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511">
        <v>543464.98641000001</v>
      </c>
      <c r="C22" s="511">
        <v>597139.57126999996</v>
      </c>
      <c r="D22" s="361">
        <f t="shared" ref="D22:D29" si="3">IF(AND(_xlfn.NUMBERVALUE(B22)=0,_xlfn.NUMBERVALUE(C22)=0),,IF(B22=0, "    ---- ", IF(ABS(ROUND(100/B22*C22-100,1))&lt;999,IF(ROUND(100/B22*C22-100,1)=0,"    ---- ",ROUND(100/B22*C22-100,1)),IF(ROUND(100/B22*C22-100,1)&gt;999,999,-999))))</f>
        <v>9.9</v>
      </c>
      <c r="E22" s="362">
        <f>IFERROR(100/'Skjema total MA'!C22*C22,0)</f>
        <v>35.606440378409367</v>
      </c>
      <c r="F22" s="370"/>
      <c r="G22" s="370"/>
      <c r="H22" s="361"/>
      <c r="I22" s="362"/>
      <c r="J22" s="352">
        <f t="shared" ref="J22:K29" si="4">SUM(B22,F22)</f>
        <v>543464.98641000001</v>
      </c>
      <c r="K22" s="352">
        <f t="shared" si="4"/>
        <v>597139.57126999996</v>
      </c>
      <c r="L22" s="361">
        <f t="shared" ref="L22:L29" si="5">IF(AND(_xlfn.NUMBERVALUE(J22)=0,_xlfn.NUMBERVALUE(K22)=0),,IF(J22=0, "    ---- ", IF(ABS(ROUND(100/J22*K22-100,1))&lt;999,IF(ROUND(100/J22*K22-100,1)=0,"    ---- ",ROUND(100/J22*K22-100,1)),IF(ROUND(100/J22*K22-100,1)&gt;999,999,-999))))</f>
        <v>9.9</v>
      </c>
      <c r="M22" s="362">
        <f>IFERROR(100/'Skjema total MA'!I22*K22,0)</f>
        <v>25.080895222808785</v>
      </c>
    </row>
    <row r="23" spans="1:14" ht="15.75" x14ac:dyDescent="0.2">
      <c r="A23" s="496" t="s">
        <v>353</v>
      </c>
      <c r="B23" s="354"/>
      <c r="C23" s="354"/>
      <c r="D23" s="364"/>
      <c r="E23" s="362"/>
      <c r="F23" s="354"/>
      <c r="G23" s="354"/>
      <c r="H23" s="364"/>
      <c r="I23" s="362"/>
      <c r="J23" s="354"/>
      <c r="K23" s="354"/>
      <c r="L23" s="364"/>
      <c r="M23" s="362"/>
    </row>
    <row r="24" spans="1:14" ht="15.75" x14ac:dyDescent="0.2">
      <c r="A24" s="496" t="s">
        <v>354</v>
      </c>
      <c r="B24" s="354"/>
      <c r="C24" s="354"/>
      <c r="D24" s="364"/>
      <c r="E24" s="362"/>
      <c r="F24" s="354"/>
      <c r="G24" s="354"/>
      <c r="H24" s="364"/>
      <c r="I24" s="362"/>
      <c r="J24" s="354"/>
      <c r="K24" s="354"/>
      <c r="L24" s="364"/>
      <c r="M24" s="362"/>
    </row>
    <row r="25" spans="1:14" ht="15.75" x14ac:dyDescent="0.2">
      <c r="A25" s="496" t="s">
        <v>355</v>
      </c>
      <c r="B25" s="354"/>
      <c r="C25" s="354"/>
      <c r="D25" s="364"/>
      <c r="E25" s="362"/>
      <c r="F25" s="354"/>
      <c r="G25" s="354"/>
      <c r="H25" s="364"/>
      <c r="I25" s="362"/>
      <c r="J25" s="354"/>
      <c r="K25" s="354"/>
      <c r="L25" s="364"/>
      <c r="M25" s="362"/>
    </row>
    <row r="26" spans="1:14" ht="15.75" x14ac:dyDescent="0.2">
      <c r="A26" s="496" t="s">
        <v>356</v>
      </c>
      <c r="B26" s="354"/>
      <c r="C26" s="354"/>
      <c r="D26" s="364"/>
      <c r="E26" s="362"/>
      <c r="F26" s="354"/>
      <c r="G26" s="354"/>
      <c r="H26" s="364"/>
      <c r="I26" s="362"/>
      <c r="J26" s="354"/>
      <c r="K26" s="354"/>
      <c r="L26" s="364"/>
      <c r="M26" s="362"/>
    </row>
    <row r="27" spans="1:14" x14ac:dyDescent="0.2">
      <c r="A27" s="496" t="s">
        <v>11</v>
      </c>
      <c r="B27" s="354"/>
      <c r="C27" s="354"/>
      <c r="D27" s="364"/>
      <c r="E27" s="362"/>
      <c r="F27" s="354"/>
      <c r="G27" s="354"/>
      <c r="H27" s="364"/>
      <c r="I27" s="362"/>
      <c r="J27" s="354"/>
      <c r="K27" s="354"/>
      <c r="L27" s="364"/>
      <c r="M27" s="362"/>
    </row>
    <row r="28" spans="1:14" ht="15.75" x14ac:dyDescent="0.2">
      <c r="A28" s="47" t="s">
        <v>271</v>
      </c>
      <c r="B28" s="354">
        <v>543464.98641000001</v>
      </c>
      <c r="C28" s="354">
        <v>597139.57126999996</v>
      </c>
      <c r="D28" s="364">
        <f t="shared" si="3"/>
        <v>9.9</v>
      </c>
      <c r="E28" s="362">
        <f>IFERROR(100/'Skjema total MA'!C28*C28,0)</f>
        <v>31.718956693046749</v>
      </c>
      <c r="F28" s="367"/>
      <c r="G28" s="356"/>
      <c r="H28" s="364"/>
      <c r="I28" s="362"/>
      <c r="J28" s="355">
        <f t="shared" si="4"/>
        <v>543464.98641000001</v>
      </c>
      <c r="K28" s="355">
        <f t="shared" si="4"/>
        <v>597139.57126999996</v>
      </c>
      <c r="L28" s="364">
        <f t="shared" si="5"/>
        <v>9.9</v>
      </c>
      <c r="M28" s="362">
        <f>IFERROR(100/'Skjema total MA'!I28*K28,0)</f>
        <v>31.718956693046749</v>
      </c>
    </row>
    <row r="29" spans="1:14" s="3" customFormat="1" ht="15.75" x14ac:dyDescent="0.2">
      <c r="A29" s="13" t="s">
        <v>350</v>
      </c>
      <c r="B29" s="357">
        <v>3564663.16493</v>
      </c>
      <c r="C29" s="357">
        <v>4020198.3879900002</v>
      </c>
      <c r="D29" s="364">
        <f t="shared" si="3"/>
        <v>12.8</v>
      </c>
      <c r="E29" s="362">
        <f>IFERROR(100/'Skjema total MA'!C29*C29,0)</f>
        <v>9.0196630207451811</v>
      </c>
      <c r="F29" s="363"/>
      <c r="G29" s="363"/>
      <c r="H29" s="364"/>
      <c r="I29" s="362"/>
      <c r="J29" s="357">
        <f t="shared" si="4"/>
        <v>3564663.16493</v>
      </c>
      <c r="K29" s="357">
        <f t="shared" si="4"/>
        <v>4020198.3879900002</v>
      </c>
      <c r="L29" s="364">
        <f t="shared" si="5"/>
        <v>12.8</v>
      </c>
      <c r="M29" s="362">
        <f>IFERROR(100/'Skjema total MA'!I29*K29,0)</f>
        <v>5.9405955878221803</v>
      </c>
      <c r="N29" s="146"/>
    </row>
    <row r="30" spans="1:14" s="3" customFormat="1" ht="15.75" x14ac:dyDescent="0.2">
      <c r="A30" s="496" t="s">
        <v>353</v>
      </c>
      <c r="B30" s="354"/>
      <c r="C30" s="354"/>
      <c r="D30" s="364"/>
      <c r="E30" s="362"/>
      <c r="F30" s="354"/>
      <c r="G30" s="354"/>
      <c r="H30" s="364"/>
      <c r="I30" s="362"/>
      <c r="J30" s="354"/>
      <c r="K30" s="354"/>
      <c r="L30" s="364"/>
      <c r="M30" s="362"/>
      <c r="N30" s="146"/>
    </row>
    <row r="31" spans="1:14" s="3" customFormat="1" ht="15.75" x14ac:dyDescent="0.2">
      <c r="A31" s="496" t="s">
        <v>354</v>
      </c>
      <c r="B31" s="354"/>
      <c r="C31" s="354"/>
      <c r="D31" s="364"/>
      <c r="E31" s="362"/>
      <c r="F31" s="354"/>
      <c r="G31" s="354"/>
      <c r="H31" s="364"/>
      <c r="I31" s="362"/>
      <c r="J31" s="354"/>
      <c r="K31" s="354"/>
      <c r="L31" s="364"/>
      <c r="M31" s="362"/>
      <c r="N31" s="146"/>
    </row>
    <row r="32" spans="1:14" ht="15.75" x14ac:dyDescent="0.2">
      <c r="A32" s="496" t="s">
        <v>355</v>
      </c>
      <c r="B32" s="354"/>
      <c r="C32" s="354"/>
      <c r="D32" s="364"/>
      <c r="E32" s="362"/>
      <c r="F32" s="354"/>
      <c r="G32" s="354"/>
      <c r="H32" s="364"/>
      <c r="I32" s="362"/>
      <c r="J32" s="354"/>
      <c r="K32" s="354"/>
      <c r="L32" s="364"/>
      <c r="M32" s="362"/>
    </row>
    <row r="33" spans="1:14" ht="15.75" x14ac:dyDescent="0.2">
      <c r="A33" s="496" t="s">
        <v>356</v>
      </c>
      <c r="B33" s="354"/>
      <c r="C33" s="354"/>
      <c r="D33" s="364"/>
      <c r="E33" s="362"/>
      <c r="F33" s="354"/>
      <c r="G33" s="354"/>
      <c r="H33" s="364"/>
      <c r="I33" s="362"/>
      <c r="J33" s="354"/>
      <c r="K33" s="354"/>
      <c r="L33" s="364"/>
      <c r="M33" s="362"/>
    </row>
    <row r="34" spans="1:14" ht="15.75" x14ac:dyDescent="0.2">
      <c r="A34" s="13" t="s">
        <v>351</v>
      </c>
      <c r="B34" s="357"/>
      <c r="C34" s="358"/>
      <c r="D34" s="364"/>
      <c r="E34" s="362"/>
      <c r="F34" s="363"/>
      <c r="G34" s="358"/>
      <c r="H34" s="364"/>
      <c r="I34" s="362"/>
      <c r="J34" s="357"/>
      <c r="K34" s="357"/>
      <c r="L34" s="364"/>
      <c r="M34" s="362"/>
    </row>
    <row r="35" spans="1:14" ht="15.75" x14ac:dyDescent="0.2">
      <c r="A35" s="13" t="s">
        <v>352</v>
      </c>
      <c r="B35" s="357"/>
      <c r="C35" s="358"/>
      <c r="D35" s="364"/>
      <c r="E35" s="362"/>
      <c r="F35" s="363"/>
      <c r="G35" s="358"/>
      <c r="H35" s="364"/>
      <c r="I35" s="362"/>
      <c r="J35" s="357"/>
      <c r="K35" s="357"/>
      <c r="L35" s="364"/>
      <c r="M35" s="362"/>
    </row>
    <row r="36" spans="1:14" ht="15.75" x14ac:dyDescent="0.2">
      <c r="A36" s="12" t="s">
        <v>279</v>
      </c>
      <c r="B36" s="357"/>
      <c r="C36" s="358"/>
      <c r="D36" s="364"/>
      <c r="E36" s="362"/>
      <c r="F36" s="371"/>
      <c r="G36" s="372"/>
      <c r="H36" s="364"/>
      <c r="I36" s="362"/>
      <c r="J36" s="357"/>
      <c r="K36" s="357"/>
      <c r="L36" s="364"/>
      <c r="M36" s="362"/>
    </row>
    <row r="37" spans="1:14" ht="15.75" x14ac:dyDescent="0.2">
      <c r="A37" s="12" t="s">
        <v>358</v>
      </c>
      <c r="B37" s="357"/>
      <c r="C37" s="358"/>
      <c r="D37" s="364"/>
      <c r="E37" s="362"/>
      <c r="F37" s="371"/>
      <c r="G37" s="373"/>
      <c r="H37" s="364"/>
      <c r="I37" s="362"/>
      <c r="J37" s="357"/>
      <c r="K37" s="357"/>
      <c r="L37" s="364"/>
      <c r="M37" s="362"/>
    </row>
    <row r="38" spans="1:14" ht="15.75" x14ac:dyDescent="0.2">
      <c r="A38" s="12" t="s">
        <v>359</v>
      </c>
      <c r="B38" s="357"/>
      <c r="C38" s="358"/>
      <c r="D38" s="364"/>
      <c r="E38" s="164"/>
      <c r="F38" s="371"/>
      <c r="G38" s="372"/>
      <c r="H38" s="364"/>
      <c r="I38" s="362"/>
      <c r="J38" s="357"/>
      <c r="K38" s="357"/>
      <c r="L38" s="364"/>
      <c r="M38" s="362"/>
    </row>
    <row r="39" spans="1:14" ht="15.75" x14ac:dyDescent="0.2">
      <c r="A39" s="18" t="s">
        <v>360</v>
      </c>
      <c r="B39" s="359"/>
      <c r="C39" s="360"/>
      <c r="D39" s="368"/>
      <c r="E39" s="165"/>
      <c r="F39" s="374"/>
      <c r="G39" s="375"/>
      <c r="H39" s="368"/>
      <c r="I39" s="362"/>
      <c r="J39" s="357"/>
      <c r="K39" s="357"/>
      <c r="L39" s="368"/>
      <c r="M39" s="368"/>
    </row>
    <row r="40" spans="1:14" ht="15.75" x14ac:dyDescent="0.25">
      <c r="A40" s="45"/>
      <c r="B40" s="248"/>
      <c r="C40" s="248"/>
      <c r="D40" s="351"/>
      <c r="E40" s="351"/>
      <c r="F40" s="351"/>
      <c r="G40" s="351"/>
      <c r="H40" s="351"/>
      <c r="I40" s="351"/>
      <c r="J40" s="351"/>
      <c r="K40" s="351"/>
      <c r="L40" s="351"/>
      <c r="M40" s="350"/>
    </row>
    <row r="41" spans="1:14" x14ac:dyDescent="0.2">
      <c r="A41" s="153"/>
    </row>
    <row r="42" spans="1:14" ht="15.75" x14ac:dyDescent="0.25">
      <c r="A42" s="145" t="s">
        <v>268</v>
      </c>
      <c r="B42" s="349"/>
      <c r="C42" s="349"/>
      <c r="D42" s="349"/>
      <c r="E42" s="349"/>
      <c r="F42" s="350"/>
      <c r="G42" s="350"/>
      <c r="H42" s="350"/>
      <c r="I42" s="350"/>
      <c r="J42" s="350"/>
      <c r="K42" s="350"/>
      <c r="L42" s="350"/>
      <c r="M42" s="350"/>
    </row>
    <row r="43" spans="1:14" ht="15.75" x14ac:dyDescent="0.25">
      <c r="A43" s="161"/>
      <c r="B43" s="348"/>
      <c r="C43" s="348"/>
      <c r="D43" s="348"/>
      <c r="E43" s="348"/>
      <c r="F43" s="350"/>
      <c r="G43" s="350"/>
      <c r="H43" s="350"/>
      <c r="I43" s="350"/>
      <c r="J43" s="350"/>
      <c r="K43" s="350"/>
      <c r="L43" s="350"/>
      <c r="M43" s="350"/>
    </row>
    <row r="44" spans="1:14" ht="15.75" x14ac:dyDescent="0.25">
      <c r="A44" s="243"/>
      <c r="B44" s="705" t="s">
        <v>0</v>
      </c>
      <c r="C44" s="706"/>
      <c r="D44" s="706"/>
      <c r="E44" s="239"/>
      <c r="F44" s="350"/>
      <c r="G44" s="350"/>
      <c r="H44" s="350"/>
      <c r="I44" s="350"/>
      <c r="J44" s="350"/>
      <c r="K44" s="350"/>
      <c r="L44" s="350"/>
      <c r="M44" s="350"/>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406" customFormat="1" ht="15.75" x14ac:dyDescent="0.2">
      <c r="A47" s="14" t="s">
        <v>23</v>
      </c>
      <c r="B47" s="357">
        <v>873376.99849999999</v>
      </c>
      <c r="C47" s="358">
        <v>920909.37560999999</v>
      </c>
      <c r="D47" s="410">
        <f>IF(AND(_xlfn.NUMBERVALUE(B47)=0,_xlfn.NUMBERVALUE(C47)=0),,IF(B47=0, "    ---- ", IF(ABS(ROUND(100/B47*C47-100,1))&lt;999,IF(ROUND(100/B47*C47-100,1)=0,"    ---- ",ROUND(100/B47*C47-100,1)),IF(ROUND(100/B47*C47-100,1)&gt;999,999,-999))))</f>
        <v>5.4</v>
      </c>
      <c r="E47" s="411">
        <f>IFERROR(100/'Skjema total MA'!C47*C47,0)</f>
        <v>18.939318106861212</v>
      </c>
      <c r="F47" s="157"/>
      <c r="G47" s="171"/>
      <c r="H47" s="157"/>
      <c r="I47" s="157"/>
      <c r="J47" s="409"/>
      <c r="K47" s="409"/>
      <c r="L47" s="157"/>
      <c r="M47" s="157"/>
      <c r="N47" s="412"/>
    </row>
    <row r="48" spans="1:14" s="3" customFormat="1" ht="15.75" x14ac:dyDescent="0.2">
      <c r="A48" s="36" t="s">
        <v>361</v>
      </c>
      <c r="B48" s="355">
        <v>100869.8075</v>
      </c>
      <c r="C48" s="356">
        <v>106439.42294999999</v>
      </c>
      <c r="D48" s="364">
        <f t="shared" ref="D48:D57" si="6">IF(AND(_xlfn.NUMBERVALUE(B48)=0,_xlfn.NUMBERVALUE(C48)=0),,IF(B48=0, "    ---- ", IF(ABS(ROUND(100/B48*C48-100,1))&lt;999,IF(ROUND(100/B48*C48-100,1)=0,"    ---- ",ROUND(100/B48*C48-100,1)),IF(ROUND(100/B48*C48-100,1)&gt;999,999,-999))))</f>
        <v>5.5</v>
      </c>
      <c r="E48" s="399">
        <f>IFERROR(100/'Skjema total MA'!C48*C48,0)</f>
        <v>3.9247458213420519</v>
      </c>
      <c r="F48" s="143"/>
      <c r="G48" s="31"/>
      <c r="H48" s="143"/>
      <c r="I48" s="143"/>
      <c r="J48" s="31"/>
      <c r="K48" s="31"/>
      <c r="L48" s="157"/>
      <c r="M48" s="157"/>
      <c r="N48" s="146"/>
    </row>
    <row r="49" spans="1:14" s="3" customFormat="1" ht="15.75" x14ac:dyDescent="0.2">
      <c r="A49" s="36" t="s">
        <v>362</v>
      </c>
      <c r="B49" s="355">
        <v>772507.19099999999</v>
      </c>
      <c r="C49" s="356">
        <v>814469.95265999995</v>
      </c>
      <c r="D49" s="364">
        <f t="shared" si="6"/>
        <v>5.4</v>
      </c>
      <c r="E49" s="399">
        <f>IFERROR(100/'Skjema total MA'!C49*C49,0)</f>
        <v>37.875049367787376</v>
      </c>
      <c r="F49" s="143"/>
      <c r="G49" s="31"/>
      <c r="H49" s="143"/>
      <c r="I49" s="143"/>
      <c r="J49" s="35"/>
      <c r="K49" s="35"/>
      <c r="L49" s="157"/>
      <c r="M49" s="157"/>
      <c r="N49" s="146"/>
    </row>
    <row r="50" spans="1:14" s="3" customFormat="1" x14ac:dyDescent="0.2">
      <c r="A50" s="288" t="s">
        <v>6</v>
      </c>
      <c r="B50" s="371"/>
      <c r="C50" s="371"/>
      <c r="D50" s="364"/>
      <c r="E50" s="400"/>
      <c r="F50" s="143"/>
      <c r="G50" s="31"/>
      <c r="H50" s="143"/>
      <c r="I50" s="143"/>
      <c r="J50" s="31"/>
      <c r="K50" s="31"/>
      <c r="L50" s="157"/>
      <c r="M50" s="157"/>
      <c r="N50" s="146"/>
    </row>
    <row r="51" spans="1:14" s="3" customFormat="1" x14ac:dyDescent="0.2">
      <c r="A51" s="288" t="s">
        <v>7</v>
      </c>
      <c r="B51" s="371"/>
      <c r="C51" s="371"/>
      <c r="D51" s="364"/>
      <c r="E51" s="400"/>
      <c r="F51" s="143"/>
      <c r="G51" s="31"/>
      <c r="H51" s="143"/>
      <c r="I51" s="143"/>
      <c r="J51" s="31"/>
      <c r="K51" s="31"/>
      <c r="L51" s="157"/>
      <c r="M51" s="157"/>
      <c r="N51" s="146"/>
    </row>
    <row r="52" spans="1:14" s="3" customFormat="1" x14ac:dyDescent="0.2">
      <c r="A52" s="288" t="s">
        <v>8</v>
      </c>
      <c r="B52" s="371"/>
      <c r="C52" s="371"/>
      <c r="D52" s="364"/>
      <c r="E52" s="400"/>
      <c r="F52" s="143"/>
      <c r="G52" s="31"/>
      <c r="H52" s="143"/>
      <c r="I52" s="143"/>
      <c r="J52" s="31"/>
      <c r="K52" s="31"/>
      <c r="L52" s="157"/>
      <c r="M52" s="157"/>
      <c r="N52" s="146"/>
    </row>
    <row r="53" spans="1:14" s="3" customFormat="1" ht="15.75" x14ac:dyDescent="0.2">
      <c r="A53" s="37" t="s">
        <v>363</v>
      </c>
      <c r="B53" s="357">
        <v>1005</v>
      </c>
      <c r="C53" s="358">
        <v>704</v>
      </c>
      <c r="D53" s="364">
        <f t="shared" si="6"/>
        <v>-30</v>
      </c>
      <c r="E53" s="399">
        <f>IFERROR(100/'Skjema total MA'!C53*C53,0)</f>
        <v>0.61128770533709731</v>
      </c>
      <c r="F53" s="143"/>
      <c r="G53" s="31"/>
      <c r="H53" s="143"/>
      <c r="I53" s="143"/>
      <c r="J53" s="31"/>
      <c r="K53" s="31"/>
      <c r="L53" s="157"/>
      <c r="M53" s="157"/>
      <c r="N53" s="146"/>
    </row>
    <row r="54" spans="1:14" s="3" customFormat="1" ht="15.75" x14ac:dyDescent="0.2">
      <c r="A54" s="36" t="s">
        <v>361</v>
      </c>
      <c r="B54" s="355">
        <v>1005</v>
      </c>
      <c r="C54" s="356">
        <v>704</v>
      </c>
      <c r="D54" s="364">
        <f t="shared" si="6"/>
        <v>-30</v>
      </c>
      <c r="E54" s="399">
        <f>IFERROR(100/'Skjema total MA'!C54*C54,0)</f>
        <v>0.61636670737255128</v>
      </c>
      <c r="F54" s="143"/>
      <c r="G54" s="31"/>
      <c r="H54" s="143"/>
      <c r="I54" s="143"/>
      <c r="J54" s="31"/>
      <c r="K54" s="31"/>
      <c r="L54" s="157"/>
      <c r="M54" s="157"/>
      <c r="N54" s="146"/>
    </row>
    <row r="55" spans="1:14" s="3" customFormat="1" ht="15.75" x14ac:dyDescent="0.2">
      <c r="A55" s="36" t="s">
        <v>362</v>
      </c>
      <c r="B55" s="355"/>
      <c r="C55" s="356"/>
      <c r="D55" s="364"/>
      <c r="E55" s="399"/>
      <c r="F55" s="143"/>
      <c r="G55" s="31"/>
      <c r="H55" s="143"/>
      <c r="I55" s="143"/>
      <c r="J55" s="31"/>
      <c r="K55" s="31"/>
      <c r="L55" s="157"/>
      <c r="M55" s="157"/>
      <c r="N55" s="146"/>
    </row>
    <row r="56" spans="1:14" s="3" customFormat="1" ht="15.75" x14ac:dyDescent="0.2">
      <c r="A56" s="37" t="s">
        <v>364</v>
      </c>
      <c r="B56" s="357">
        <v>1967</v>
      </c>
      <c r="C56" s="358">
        <v>4831</v>
      </c>
      <c r="D56" s="364">
        <f t="shared" si="6"/>
        <v>145.6</v>
      </c>
      <c r="E56" s="399">
        <f>IFERROR(100/'Skjema total MA'!C56*C56,0)</f>
        <v>5.1592529273607521</v>
      </c>
      <c r="F56" s="143"/>
      <c r="G56" s="31"/>
      <c r="H56" s="143"/>
      <c r="I56" s="143"/>
      <c r="J56" s="31"/>
      <c r="K56" s="31"/>
      <c r="L56" s="157"/>
      <c r="M56" s="157"/>
      <c r="N56" s="146"/>
    </row>
    <row r="57" spans="1:14" s="3" customFormat="1" ht="15.75" x14ac:dyDescent="0.2">
      <c r="A57" s="36" t="s">
        <v>361</v>
      </c>
      <c r="B57" s="355">
        <v>1967</v>
      </c>
      <c r="C57" s="356">
        <v>4831</v>
      </c>
      <c r="D57" s="364">
        <f t="shared" si="6"/>
        <v>145.6</v>
      </c>
      <c r="E57" s="668">
        <f>IFERROR(100/'Skjema total MA'!C57*C57,0)</f>
        <v>5.1592529273607521</v>
      </c>
      <c r="F57" s="143"/>
      <c r="G57" s="31"/>
      <c r="H57" s="143"/>
      <c r="I57" s="143"/>
      <c r="J57" s="31"/>
      <c r="K57" s="31"/>
      <c r="L57" s="157"/>
      <c r="M57" s="157"/>
      <c r="N57" s="146"/>
    </row>
    <row r="58" spans="1:14" s="3" customFormat="1" ht="15.75" x14ac:dyDescent="0.2">
      <c r="A58" s="44" t="s">
        <v>362</v>
      </c>
      <c r="B58" s="376"/>
      <c r="C58" s="377"/>
      <c r="D58" s="368"/>
      <c r="E58" s="401"/>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348"/>
      <c r="C62" s="348"/>
      <c r="D62" s="348"/>
      <c r="E62" s="349"/>
      <c r="F62" s="348"/>
      <c r="G62" s="348"/>
      <c r="H62" s="348"/>
      <c r="I62" s="349"/>
      <c r="J62" s="348"/>
      <c r="K62" s="348"/>
      <c r="L62" s="348"/>
      <c r="M62" s="349"/>
    </row>
    <row r="63" spans="1:14" x14ac:dyDescent="0.2">
      <c r="A63" s="142"/>
      <c r="B63" s="705" t="s">
        <v>0</v>
      </c>
      <c r="C63" s="706"/>
      <c r="D63" s="710"/>
      <c r="E63" s="345"/>
      <c r="F63" s="706" t="s">
        <v>1</v>
      </c>
      <c r="G63" s="706"/>
      <c r="H63" s="706"/>
      <c r="I63" s="347"/>
      <c r="J63" s="705" t="s">
        <v>2</v>
      </c>
      <c r="K63" s="706"/>
      <c r="L63" s="706"/>
      <c r="M63" s="347"/>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78"/>
      <c r="C66" s="378"/>
      <c r="D66" s="361"/>
      <c r="E66" s="362"/>
      <c r="F66" s="378"/>
      <c r="G66" s="378"/>
      <c r="H66" s="361"/>
      <c r="I66" s="362"/>
      <c r="J66" s="358"/>
      <c r="K66" s="352"/>
      <c r="L66" s="364"/>
      <c r="M66" s="362"/>
    </row>
    <row r="67" spans="1:14" x14ac:dyDescent="0.2">
      <c r="A67" s="19" t="s">
        <v>9</v>
      </c>
      <c r="B67" s="355"/>
      <c r="C67" s="379"/>
      <c r="D67" s="364"/>
      <c r="E67" s="362"/>
      <c r="F67" s="367"/>
      <c r="G67" s="379"/>
      <c r="H67" s="364"/>
      <c r="I67" s="362"/>
      <c r="J67" s="356"/>
      <c r="K67" s="355"/>
      <c r="L67" s="364"/>
      <c r="M67" s="362"/>
    </row>
    <row r="68" spans="1:14" x14ac:dyDescent="0.2">
      <c r="A68" s="19" t="s">
        <v>10</v>
      </c>
      <c r="B68" s="380"/>
      <c r="C68" s="381"/>
      <c r="D68" s="364"/>
      <c r="E68" s="362"/>
      <c r="F68" s="380"/>
      <c r="G68" s="381"/>
      <c r="H68" s="364"/>
      <c r="I68" s="362"/>
      <c r="J68" s="356"/>
      <c r="K68" s="355"/>
      <c r="L68" s="364"/>
      <c r="M68" s="362"/>
    </row>
    <row r="69" spans="1:14" ht="15.75" x14ac:dyDescent="0.2">
      <c r="A69" s="288" t="s">
        <v>365</v>
      </c>
      <c r="B69" s="371"/>
      <c r="C69" s="371"/>
      <c r="D69" s="364"/>
      <c r="E69" s="364"/>
      <c r="F69" s="371"/>
      <c r="G69" s="371"/>
      <c r="H69" s="364"/>
      <c r="I69" s="364"/>
      <c r="J69" s="371"/>
      <c r="K69" s="371"/>
      <c r="L69" s="364"/>
      <c r="M69" s="362"/>
    </row>
    <row r="70" spans="1:14" x14ac:dyDescent="0.2">
      <c r="A70" s="288" t="s">
        <v>12</v>
      </c>
      <c r="B70" s="371"/>
      <c r="C70" s="371"/>
      <c r="D70" s="364"/>
      <c r="E70" s="364"/>
      <c r="F70" s="371"/>
      <c r="G70" s="371"/>
      <c r="H70" s="364"/>
      <c r="I70" s="364"/>
      <c r="J70" s="371"/>
      <c r="K70" s="371"/>
      <c r="L70" s="364"/>
      <c r="M70" s="362"/>
    </row>
    <row r="71" spans="1:14" x14ac:dyDescent="0.2">
      <c r="A71" s="288" t="s">
        <v>13</v>
      </c>
      <c r="B71" s="371"/>
      <c r="C71" s="371"/>
      <c r="D71" s="364"/>
      <c r="E71" s="364"/>
      <c r="F71" s="371"/>
      <c r="G71" s="371"/>
      <c r="H71" s="364"/>
      <c r="I71" s="364"/>
      <c r="J71" s="371"/>
      <c r="K71" s="371"/>
      <c r="L71" s="364"/>
      <c r="M71" s="362"/>
    </row>
    <row r="72" spans="1:14" ht="15.75" x14ac:dyDescent="0.2">
      <c r="A72" s="288" t="s">
        <v>366</v>
      </c>
      <c r="B72" s="371"/>
      <c r="C72" s="371"/>
      <c r="D72" s="364"/>
      <c r="E72" s="364"/>
      <c r="F72" s="371"/>
      <c r="G72" s="371"/>
      <c r="H72" s="364"/>
      <c r="I72" s="364"/>
      <c r="J72" s="371"/>
      <c r="K72" s="371"/>
      <c r="L72" s="364"/>
      <c r="M72" s="362"/>
    </row>
    <row r="73" spans="1:14" x14ac:dyDescent="0.2">
      <c r="A73" s="288" t="s">
        <v>12</v>
      </c>
      <c r="B73" s="382"/>
      <c r="C73" s="383"/>
      <c r="D73" s="364"/>
      <c r="E73" s="364"/>
      <c r="F73" s="371"/>
      <c r="G73" s="371"/>
      <c r="H73" s="364"/>
      <c r="I73" s="364"/>
      <c r="J73" s="371"/>
      <c r="K73" s="371"/>
      <c r="L73" s="364"/>
      <c r="M73" s="362"/>
    </row>
    <row r="74" spans="1:14" s="3" customFormat="1" x14ac:dyDescent="0.2">
      <c r="A74" s="288" t="s">
        <v>13</v>
      </c>
      <c r="B74" s="382"/>
      <c r="C74" s="383"/>
      <c r="D74" s="364"/>
      <c r="E74" s="364"/>
      <c r="F74" s="371"/>
      <c r="G74" s="371"/>
      <c r="H74" s="364"/>
      <c r="I74" s="364"/>
      <c r="J74" s="371"/>
      <c r="K74" s="371"/>
      <c r="L74" s="364"/>
      <c r="M74" s="362"/>
      <c r="N74" s="146"/>
    </row>
    <row r="75" spans="1:14" s="3" customFormat="1" x14ac:dyDescent="0.2">
      <c r="A75" s="19" t="s">
        <v>337</v>
      </c>
      <c r="B75" s="367"/>
      <c r="C75" s="379"/>
      <c r="D75" s="364"/>
      <c r="E75" s="362"/>
      <c r="F75" s="367"/>
      <c r="G75" s="379"/>
      <c r="H75" s="364"/>
      <c r="I75" s="362"/>
      <c r="J75" s="356"/>
      <c r="K75" s="355"/>
      <c r="L75" s="364"/>
      <c r="M75" s="362"/>
      <c r="N75" s="146"/>
    </row>
    <row r="76" spans="1:14" s="3" customFormat="1" x14ac:dyDescent="0.2">
      <c r="A76" s="19" t="s">
        <v>336</v>
      </c>
      <c r="B76" s="367"/>
      <c r="C76" s="379"/>
      <c r="D76" s="364"/>
      <c r="E76" s="362"/>
      <c r="F76" s="367"/>
      <c r="G76" s="379"/>
      <c r="H76" s="364"/>
      <c r="I76" s="362"/>
      <c r="J76" s="356"/>
      <c r="K76" s="355"/>
      <c r="L76" s="364"/>
      <c r="M76" s="362"/>
      <c r="N76" s="146"/>
    </row>
    <row r="77" spans="1:14" ht="15.75" x14ac:dyDescent="0.2">
      <c r="A77" s="19" t="s">
        <v>367</v>
      </c>
      <c r="B77" s="367"/>
      <c r="C77" s="367"/>
      <c r="D77" s="364"/>
      <c r="E77" s="362"/>
      <c r="F77" s="367"/>
      <c r="G77" s="379"/>
      <c r="H77" s="364"/>
      <c r="I77" s="362"/>
      <c r="J77" s="356"/>
      <c r="K77" s="355"/>
      <c r="L77" s="364"/>
      <c r="M77" s="362"/>
    </row>
    <row r="78" spans="1:14" x14ac:dyDescent="0.2">
      <c r="A78" s="19" t="s">
        <v>9</v>
      </c>
      <c r="B78" s="367"/>
      <c r="C78" s="379"/>
      <c r="D78" s="364"/>
      <c r="E78" s="362"/>
      <c r="F78" s="367"/>
      <c r="G78" s="379"/>
      <c r="H78" s="364"/>
      <c r="I78" s="362"/>
      <c r="J78" s="356"/>
      <c r="K78" s="355"/>
      <c r="L78" s="364"/>
      <c r="M78" s="362"/>
    </row>
    <row r="79" spans="1:14" x14ac:dyDescent="0.2">
      <c r="A79" s="36" t="s">
        <v>400</v>
      </c>
      <c r="B79" s="380"/>
      <c r="C79" s="381"/>
      <c r="D79" s="364"/>
      <c r="E79" s="362"/>
      <c r="F79" s="380"/>
      <c r="G79" s="381"/>
      <c r="H79" s="364"/>
      <c r="I79" s="362"/>
      <c r="J79" s="356"/>
      <c r="K79" s="355"/>
      <c r="L79" s="364"/>
      <c r="M79" s="362"/>
    </row>
    <row r="80" spans="1:14" ht="15.75" x14ac:dyDescent="0.2">
      <c r="A80" s="288" t="s">
        <v>365</v>
      </c>
      <c r="B80" s="371"/>
      <c r="C80" s="371"/>
      <c r="D80" s="364"/>
      <c r="E80" s="364"/>
      <c r="F80" s="371"/>
      <c r="G80" s="371"/>
      <c r="H80" s="364"/>
      <c r="I80" s="364"/>
      <c r="J80" s="371"/>
      <c r="K80" s="371"/>
      <c r="L80" s="364"/>
      <c r="M80" s="362"/>
    </row>
    <row r="81" spans="1:13" x14ac:dyDescent="0.2">
      <c r="A81" s="288" t="s">
        <v>12</v>
      </c>
      <c r="B81" s="371"/>
      <c r="C81" s="371"/>
      <c r="D81" s="364"/>
      <c r="E81" s="364"/>
      <c r="F81" s="371"/>
      <c r="G81" s="371"/>
      <c r="H81" s="364"/>
      <c r="I81" s="364"/>
      <c r="J81" s="371"/>
      <c r="K81" s="371"/>
      <c r="L81" s="364"/>
      <c r="M81" s="362"/>
    </row>
    <row r="82" spans="1:13" x14ac:dyDescent="0.2">
      <c r="A82" s="288" t="s">
        <v>13</v>
      </c>
      <c r="B82" s="371"/>
      <c r="C82" s="371"/>
      <c r="D82" s="364"/>
      <c r="E82" s="364"/>
      <c r="F82" s="371"/>
      <c r="G82" s="371"/>
      <c r="H82" s="364"/>
      <c r="I82" s="364"/>
      <c r="J82" s="371"/>
      <c r="K82" s="371"/>
      <c r="L82" s="364"/>
      <c r="M82" s="362"/>
    </row>
    <row r="83" spans="1:13" ht="15.75" x14ac:dyDescent="0.2">
      <c r="A83" s="288" t="s">
        <v>366</v>
      </c>
      <c r="B83" s="371"/>
      <c r="C83" s="371"/>
      <c r="D83" s="364"/>
      <c r="E83" s="364"/>
      <c r="F83" s="371"/>
      <c r="G83" s="371"/>
      <c r="H83" s="364"/>
      <c r="I83" s="364"/>
      <c r="J83" s="371"/>
      <c r="K83" s="371"/>
      <c r="L83" s="364"/>
      <c r="M83" s="362"/>
    </row>
    <row r="84" spans="1:13" x14ac:dyDescent="0.2">
      <c r="A84" s="288" t="s">
        <v>12</v>
      </c>
      <c r="B84" s="382"/>
      <c r="C84" s="383"/>
      <c r="D84" s="364"/>
      <c r="E84" s="364"/>
      <c r="F84" s="371"/>
      <c r="G84" s="371"/>
      <c r="H84" s="364"/>
      <c r="I84" s="364"/>
      <c r="J84" s="371"/>
      <c r="K84" s="371"/>
      <c r="L84" s="364"/>
      <c r="M84" s="362"/>
    </row>
    <row r="85" spans="1:13" x14ac:dyDescent="0.2">
      <c r="A85" s="288" t="s">
        <v>13</v>
      </c>
      <c r="B85" s="382"/>
      <c r="C85" s="383"/>
      <c r="D85" s="364"/>
      <c r="E85" s="364"/>
      <c r="F85" s="371"/>
      <c r="G85" s="371"/>
      <c r="H85" s="364"/>
      <c r="I85" s="364"/>
      <c r="J85" s="371"/>
      <c r="K85" s="371"/>
      <c r="L85" s="364"/>
      <c r="M85" s="362"/>
    </row>
    <row r="86" spans="1:13" ht="15.75" x14ac:dyDescent="0.2">
      <c r="A86" s="19" t="s">
        <v>368</v>
      </c>
      <c r="B86" s="367"/>
      <c r="C86" s="379"/>
      <c r="D86" s="364"/>
      <c r="E86" s="362"/>
      <c r="F86" s="367"/>
      <c r="G86" s="379"/>
      <c r="H86" s="364"/>
      <c r="I86" s="362"/>
      <c r="J86" s="356"/>
      <c r="K86" s="355"/>
      <c r="L86" s="364"/>
      <c r="M86" s="362"/>
    </row>
    <row r="87" spans="1:13" ht="15.75" x14ac:dyDescent="0.2">
      <c r="A87" s="13" t="s">
        <v>350</v>
      </c>
      <c r="B87" s="378"/>
      <c r="C87" s="378"/>
      <c r="D87" s="364"/>
      <c r="E87" s="362"/>
      <c r="F87" s="378"/>
      <c r="G87" s="378"/>
      <c r="H87" s="364"/>
      <c r="I87" s="362"/>
      <c r="J87" s="358"/>
      <c r="K87" s="357"/>
      <c r="L87" s="364"/>
      <c r="M87" s="362"/>
    </row>
    <row r="88" spans="1:13" x14ac:dyDescent="0.2">
      <c r="A88" s="19" t="s">
        <v>9</v>
      </c>
      <c r="B88" s="367"/>
      <c r="C88" s="379"/>
      <c r="D88" s="364"/>
      <c r="E88" s="362"/>
      <c r="F88" s="367"/>
      <c r="G88" s="379"/>
      <c r="H88" s="364"/>
      <c r="I88" s="362"/>
      <c r="J88" s="356"/>
      <c r="K88" s="355"/>
      <c r="L88" s="364"/>
      <c r="M88" s="362"/>
    </row>
    <row r="89" spans="1:13" x14ac:dyDescent="0.2">
      <c r="A89" s="19" t="s">
        <v>10</v>
      </c>
      <c r="B89" s="367"/>
      <c r="C89" s="379"/>
      <c r="D89" s="364"/>
      <c r="E89" s="362"/>
      <c r="F89" s="367"/>
      <c r="G89" s="379"/>
      <c r="H89" s="364"/>
      <c r="I89" s="362"/>
      <c r="J89" s="356"/>
      <c r="K89" s="355"/>
      <c r="L89" s="364"/>
      <c r="M89" s="362"/>
    </row>
    <row r="90" spans="1:13" ht="15.75" x14ac:dyDescent="0.2">
      <c r="A90" s="288" t="s">
        <v>365</v>
      </c>
      <c r="B90" s="371"/>
      <c r="C90" s="371"/>
      <c r="D90" s="364"/>
      <c r="E90" s="364"/>
      <c r="F90" s="371"/>
      <c r="G90" s="371"/>
      <c r="H90" s="364"/>
      <c r="I90" s="364"/>
      <c r="J90" s="371"/>
      <c r="K90" s="371"/>
      <c r="L90" s="364"/>
      <c r="M90" s="362"/>
    </row>
    <row r="91" spans="1:13" x14ac:dyDescent="0.2">
      <c r="A91" s="288" t="s">
        <v>12</v>
      </c>
      <c r="B91" s="371"/>
      <c r="C91" s="371"/>
      <c r="D91" s="364"/>
      <c r="E91" s="364"/>
      <c r="F91" s="371"/>
      <c r="G91" s="371"/>
      <c r="H91" s="364"/>
      <c r="I91" s="364"/>
      <c r="J91" s="371"/>
      <c r="K91" s="371"/>
      <c r="L91" s="364"/>
      <c r="M91" s="362"/>
    </row>
    <row r="92" spans="1:13" x14ac:dyDescent="0.2">
      <c r="A92" s="288" t="s">
        <v>13</v>
      </c>
      <c r="B92" s="371"/>
      <c r="C92" s="371"/>
      <c r="D92" s="364"/>
      <c r="E92" s="364"/>
      <c r="F92" s="371"/>
      <c r="G92" s="371"/>
      <c r="H92" s="364"/>
      <c r="I92" s="364"/>
      <c r="J92" s="371"/>
      <c r="K92" s="371"/>
      <c r="L92" s="364"/>
      <c r="M92" s="362"/>
    </row>
    <row r="93" spans="1:13" ht="15.75" x14ac:dyDescent="0.2">
      <c r="A93" s="288" t="s">
        <v>366</v>
      </c>
      <c r="B93" s="371"/>
      <c r="C93" s="371"/>
      <c r="D93" s="364"/>
      <c r="E93" s="364"/>
      <c r="F93" s="371"/>
      <c r="G93" s="371"/>
      <c r="H93" s="364"/>
      <c r="I93" s="364"/>
      <c r="J93" s="371"/>
      <c r="K93" s="371"/>
      <c r="L93" s="364"/>
      <c r="M93" s="362"/>
    </row>
    <row r="94" spans="1:13" x14ac:dyDescent="0.2">
      <c r="A94" s="288" t="s">
        <v>12</v>
      </c>
      <c r="B94" s="382"/>
      <c r="C94" s="383"/>
      <c r="D94" s="364"/>
      <c r="E94" s="364"/>
      <c r="F94" s="371"/>
      <c r="G94" s="371"/>
      <c r="H94" s="364"/>
      <c r="I94" s="364"/>
      <c r="J94" s="371"/>
      <c r="K94" s="371"/>
      <c r="L94" s="364"/>
      <c r="M94" s="362"/>
    </row>
    <row r="95" spans="1:13" x14ac:dyDescent="0.2">
      <c r="A95" s="288" t="s">
        <v>13</v>
      </c>
      <c r="B95" s="382"/>
      <c r="C95" s="383"/>
      <c r="D95" s="364"/>
      <c r="E95" s="364"/>
      <c r="F95" s="371"/>
      <c r="G95" s="371"/>
      <c r="H95" s="364"/>
      <c r="I95" s="364"/>
      <c r="J95" s="371"/>
      <c r="K95" s="371"/>
      <c r="L95" s="364"/>
      <c r="M95" s="362"/>
    </row>
    <row r="96" spans="1:13" x14ac:dyDescent="0.2">
      <c r="A96" s="19" t="s">
        <v>335</v>
      </c>
      <c r="B96" s="367"/>
      <c r="C96" s="379"/>
      <c r="D96" s="364"/>
      <c r="E96" s="362"/>
      <c r="F96" s="367"/>
      <c r="G96" s="379"/>
      <c r="H96" s="364"/>
      <c r="I96" s="362"/>
      <c r="J96" s="356"/>
      <c r="K96" s="355"/>
      <c r="L96" s="364"/>
      <c r="M96" s="362"/>
    </row>
    <row r="97" spans="1:13" x14ac:dyDescent="0.2">
      <c r="A97" s="19" t="s">
        <v>334</v>
      </c>
      <c r="B97" s="367"/>
      <c r="C97" s="379"/>
      <c r="D97" s="364"/>
      <c r="E97" s="362"/>
      <c r="F97" s="367"/>
      <c r="G97" s="379"/>
      <c r="H97" s="364"/>
      <c r="I97" s="362"/>
      <c r="J97" s="356"/>
      <c r="K97" s="355"/>
      <c r="L97" s="364"/>
      <c r="M97" s="362"/>
    </row>
    <row r="98" spans="1:13" ht="15.75" x14ac:dyDescent="0.2">
      <c r="A98" s="19" t="s">
        <v>367</v>
      </c>
      <c r="B98" s="367"/>
      <c r="C98" s="367"/>
      <c r="D98" s="364"/>
      <c r="E98" s="362"/>
      <c r="F98" s="380"/>
      <c r="G98" s="380"/>
      <c r="H98" s="364"/>
      <c r="I98" s="362"/>
      <c r="J98" s="356"/>
      <c r="K98" s="355"/>
      <c r="L98" s="364"/>
      <c r="M98" s="362"/>
    </row>
    <row r="99" spans="1:13" x14ac:dyDescent="0.2">
      <c r="A99" s="19" t="s">
        <v>9</v>
      </c>
      <c r="B99" s="380"/>
      <c r="C99" s="381"/>
      <c r="D99" s="364"/>
      <c r="E99" s="362"/>
      <c r="F99" s="367"/>
      <c r="G99" s="379"/>
      <c r="H99" s="364"/>
      <c r="I99" s="362"/>
      <c r="J99" s="356"/>
      <c r="K99" s="355"/>
      <c r="L99" s="364"/>
      <c r="M99" s="362"/>
    </row>
    <row r="100" spans="1:13" x14ac:dyDescent="0.2">
      <c r="A100" s="36" t="s">
        <v>400</v>
      </c>
      <c r="B100" s="380"/>
      <c r="C100" s="381"/>
      <c r="D100" s="364"/>
      <c r="E100" s="362"/>
      <c r="F100" s="367"/>
      <c r="G100" s="367"/>
      <c r="H100" s="364"/>
      <c r="I100" s="362"/>
      <c r="J100" s="356"/>
      <c r="K100" s="355"/>
      <c r="L100" s="364"/>
      <c r="M100" s="362"/>
    </row>
    <row r="101" spans="1:13" ht="15.75" x14ac:dyDescent="0.2">
      <c r="A101" s="288" t="s">
        <v>365</v>
      </c>
      <c r="B101" s="371"/>
      <c r="C101" s="371"/>
      <c r="D101" s="364"/>
      <c r="E101" s="364"/>
      <c r="F101" s="371"/>
      <c r="G101" s="371"/>
      <c r="H101" s="364"/>
      <c r="I101" s="364"/>
      <c r="J101" s="371"/>
      <c r="K101" s="371"/>
      <c r="L101" s="364"/>
      <c r="M101" s="362"/>
    </row>
    <row r="102" spans="1:13" x14ac:dyDescent="0.2">
      <c r="A102" s="288" t="s">
        <v>12</v>
      </c>
      <c r="B102" s="371"/>
      <c r="C102" s="371"/>
      <c r="D102" s="364"/>
      <c r="E102" s="364"/>
      <c r="F102" s="371"/>
      <c r="G102" s="371"/>
      <c r="H102" s="364"/>
      <c r="I102" s="364"/>
      <c r="J102" s="371"/>
      <c r="K102" s="371"/>
      <c r="L102" s="364"/>
      <c r="M102" s="362"/>
    </row>
    <row r="103" spans="1:13" x14ac:dyDescent="0.2">
      <c r="A103" s="288" t="s">
        <v>13</v>
      </c>
      <c r="B103" s="371"/>
      <c r="C103" s="371"/>
      <c r="D103" s="364"/>
      <c r="E103" s="364"/>
      <c r="F103" s="371"/>
      <c r="G103" s="371"/>
      <c r="H103" s="364"/>
      <c r="I103" s="364"/>
      <c r="J103" s="371"/>
      <c r="K103" s="371"/>
      <c r="L103" s="364"/>
      <c r="M103" s="362"/>
    </row>
    <row r="104" spans="1:13" ht="15.75" x14ac:dyDescent="0.2">
      <c r="A104" s="288" t="s">
        <v>366</v>
      </c>
      <c r="B104" s="371"/>
      <c r="C104" s="371"/>
      <c r="D104" s="364"/>
      <c r="E104" s="364"/>
      <c r="F104" s="371"/>
      <c r="G104" s="371"/>
      <c r="H104" s="364"/>
      <c r="I104" s="364"/>
      <c r="J104" s="371"/>
      <c r="K104" s="371"/>
      <c r="L104" s="364"/>
      <c r="M104" s="362"/>
    </row>
    <row r="105" spans="1:13" x14ac:dyDescent="0.2">
      <c r="A105" s="288" t="s">
        <v>12</v>
      </c>
      <c r="B105" s="382"/>
      <c r="C105" s="383"/>
      <c r="D105" s="364"/>
      <c r="E105" s="364"/>
      <c r="F105" s="371"/>
      <c r="G105" s="371"/>
      <c r="H105" s="364"/>
      <c r="I105" s="364"/>
      <c r="J105" s="371"/>
      <c r="K105" s="371"/>
      <c r="L105" s="364"/>
      <c r="M105" s="362"/>
    </row>
    <row r="106" spans="1:13" x14ac:dyDescent="0.2">
      <c r="A106" s="288" t="s">
        <v>13</v>
      </c>
      <c r="B106" s="382"/>
      <c r="C106" s="383"/>
      <c r="D106" s="364"/>
      <c r="E106" s="364"/>
      <c r="F106" s="371"/>
      <c r="G106" s="371"/>
      <c r="H106" s="364"/>
      <c r="I106" s="364"/>
      <c r="J106" s="371"/>
      <c r="K106" s="371"/>
      <c r="L106" s="364"/>
      <c r="M106" s="362"/>
    </row>
    <row r="107" spans="1:13" ht="15.75" x14ac:dyDescent="0.2">
      <c r="A107" s="19" t="s">
        <v>368</v>
      </c>
      <c r="B107" s="367"/>
      <c r="C107" s="379"/>
      <c r="D107" s="364"/>
      <c r="E107" s="362"/>
      <c r="F107" s="367"/>
      <c r="G107" s="379"/>
      <c r="H107" s="364"/>
      <c r="I107" s="362"/>
      <c r="J107" s="356"/>
      <c r="K107" s="355"/>
      <c r="L107" s="364"/>
      <c r="M107" s="362"/>
    </row>
    <row r="108" spans="1:13" ht="15.75" x14ac:dyDescent="0.2">
      <c r="A108" s="19" t="s">
        <v>369</v>
      </c>
      <c r="B108" s="367"/>
      <c r="C108" s="367"/>
      <c r="D108" s="364"/>
      <c r="E108" s="362"/>
      <c r="F108" s="367"/>
      <c r="G108" s="367"/>
      <c r="H108" s="364"/>
      <c r="I108" s="362"/>
      <c r="J108" s="356"/>
      <c r="K108" s="355"/>
      <c r="L108" s="364"/>
      <c r="M108" s="362"/>
    </row>
    <row r="109" spans="1:13" ht="15.75" x14ac:dyDescent="0.2">
      <c r="A109" s="36" t="s">
        <v>408</v>
      </c>
      <c r="B109" s="367"/>
      <c r="C109" s="367"/>
      <c r="D109" s="364"/>
      <c r="E109" s="362"/>
      <c r="F109" s="367"/>
      <c r="G109" s="367"/>
      <c r="H109" s="364"/>
      <c r="I109" s="362"/>
      <c r="J109" s="356"/>
      <c r="K109" s="355"/>
      <c r="L109" s="364"/>
      <c r="M109" s="362"/>
    </row>
    <row r="110" spans="1:13" ht="15.75" x14ac:dyDescent="0.2">
      <c r="A110" s="19" t="s">
        <v>370</v>
      </c>
      <c r="B110" s="367"/>
      <c r="C110" s="367"/>
      <c r="D110" s="364"/>
      <c r="E110" s="362"/>
      <c r="F110" s="367"/>
      <c r="G110" s="367"/>
      <c r="H110" s="364"/>
      <c r="I110" s="362"/>
      <c r="J110" s="356"/>
      <c r="K110" s="355"/>
      <c r="L110" s="364"/>
      <c r="M110" s="362"/>
    </row>
    <row r="111" spans="1:13" ht="15.75" x14ac:dyDescent="0.2">
      <c r="A111" s="13" t="s">
        <v>351</v>
      </c>
      <c r="B111" s="363"/>
      <c r="C111" s="384"/>
      <c r="D111" s="364"/>
      <c r="E111" s="362"/>
      <c r="F111" s="363"/>
      <c r="G111" s="384"/>
      <c r="H111" s="364"/>
      <c r="I111" s="362"/>
      <c r="J111" s="358"/>
      <c r="K111" s="357"/>
      <c r="L111" s="364"/>
      <c r="M111" s="362"/>
    </row>
    <row r="112" spans="1:13" x14ac:dyDescent="0.2">
      <c r="A112" s="19" t="s">
        <v>9</v>
      </c>
      <c r="B112" s="367"/>
      <c r="C112" s="379"/>
      <c r="D112" s="364"/>
      <c r="E112" s="362"/>
      <c r="F112" s="367"/>
      <c r="G112" s="379"/>
      <c r="H112" s="364"/>
      <c r="I112" s="362"/>
      <c r="J112" s="356"/>
      <c r="K112" s="355"/>
      <c r="L112" s="364"/>
      <c r="M112" s="362"/>
    </row>
    <row r="113" spans="1:14" x14ac:dyDescent="0.2">
      <c r="A113" s="19" t="s">
        <v>10</v>
      </c>
      <c r="B113" s="367"/>
      <c r="C113" s="379"/>
      <c r="D113" s="364"/>
      <c r="E113" s="362"/>
      <c r="F113" s="367"/>
      <c r="G113" s="379"/>
      <c r="H113" s="364"/>
      <c r="I113" s="362"/>
      <c r="J113" s="356"/>
      <c r="K113" s="355"/>
      <c r="L113" s="364"/>
      <c r="M113" s="362"/>
    </row>
    <row r="114" spans="1:14" x14ac:dyDescent="0.2">
      <c r="A114" s="19" t="s">
        <v>26</v>
      </c>
      <c r="B114" s="367"/>
      <c r="C114" s="379"/>
      <c r="D114" s="364"/>
      <c r="E114" s="362"/>
      <c r="F114" s="367"/>
      <c r="G114" s="379"/>
      <c r="H114" s="364"/>
      <c r="I114" s="362"/>
      <c r="J114" s="356"/>
      <c r="K114" s="355"/>
      <c r="L114" s="364"/>
      <c r="M114" s="362"/>
    </row>
    <row r="115" spans="1:14" x14ac:dyDescent="0.2">
      <c r="A115" s="288" t="s">
        <v>15</v>
      </c>
      <c r="B115" s="371"/>
      <c r="C115" s="371"/>
      <c r="D115" s="364"/>
      <c r="E115" s="364"/>
      <c r="F115" s="371"/>
      <c r="G115" s="371"/>
      <c r="H115" s="364"/>
      <c r="I115" s="364"/>
      <c r="J115" s="371"/>
      <c r="K115" s="371"/>
      <c r="L115" s="364"/>
      <c r="M115" s="362"/>
    </row>
    <row r="116" spans="1:14" ht="15.75" x14ac:dyDescent="0.2">
      <c r="A116" s="19" t="s">
        <v>371</v>
      </c>
      <c r="B116" s="367"/>
      <c r="C116" s="367"/>
      <c r="D116" s="364"/>
      <c r="E116" s="362"/>
      <c r="F116" s="367"/>
      <c r="G116" s="367"/>
      <c r="H116" s="364"/>
      <c r="I116" s="362"/>
      <c r="J116" s="356"/>
      <c r="K116" s="355"/>
      <c r="L116" s="364"/>
      <c r="M116" s="362"/>
    </row>
    <row r="117" spans="1:14" ht="15.75" x14ac:dyDescent="0.2">
      <c r="A117" s="36" t="s">
        <v>408</v>
      </c>
      <c r="B117" s="367"/>
      <c r="C117" s="367"/>
      <c r="D117" s="364"/>
      <c r="E117" s="362"/>
      <c r="F117" s="367"/>
      <c r="G117" s="367"/>
      <c r="H117" s="364"/>
      <c r="I117" s="362"/>
      <c r="J117" s="356"/>
      <c r="K117" s="355"/>
      <c r="L117" s="364"/>
      <c r="M117" s="362"/>
    </row>
    <row r="118" spans="1:14" ht="15.75" x14ac:dyDescent="0.2">
      <c r="A118" s="19" t="s">
        <v>370</v>
      </c>
      <c r="B118" s="367"/>
      <c r="C118" s="367"/>
      <c r="D118" s="364"/>
      <c r="E118" s="362"/>
      <c r="F118" s="367"/>
      <c r="G118" s="367"/>
      <c r="H118" s="364"/>
      <c r="I118" s="362"/>
      <c r="J118" s="356"/>
      <c r="K118" s="355"/>
      <c r="L118" s="364"/>
      <c r="M118" s="362"/>
    </row>
    <row r="119" spans="1:14" ht="15.75" x14ac:dyDescent="0.2">
      <c r="A119" s="13" t="s">
        <v>352</v>
      </c>
      <c r="B119" s="363"/>
      <c r="C119" s="384"/>
      <c r="D119" s="364"/>
      <c r="E119" s="362"/>
      <c r="F119" s="363"/>
      <c r="G119" s="384"/>
      <c r="H119" s="364"/>
      <c r="I119" s="362"/>
      <c r="J119" s="358"/>
      <c r="K119" s="357"/>
      <c r="L119" s="364"/>
      <c r="M119" s="362"/>
    </row>
    <row r="120" spans="1:14" x14ac:dyDescent="0.2">
      <c r="A120" s="19" t="s">
        <v>9</v>
      </c>
      <c r="B120" s="367"/>
      <c r="C120" s="379"/>
      <c r="D120" s="364"/>
      <c r="E120" s="362"/>
      <c r="F120" s="367"/>
      <c r="G120" s="379"/>
      <c r="H120" s="364"/>
      <c r="I120" s="362"/>
      <c r="J120" s="356"/>
      <c r="K120" s="355"/>
      <c r="L120" s="364"/>
      <c r="M120" s="362"/>
    </row>
    <row r="121" spans="1:14" x14ac:dyDescent="0.2">
      <c r="A121" s="19" t="s">
        <v>10</v>
      </c>
      <c r="B121" s="367"/>
      <c r="C121" s="379"/>
      <c r="D121" s="364"/>
      <c r="E121" s="362"/>
      <c r="F121" s="367"/>
      <c r="G121" s="379"/>
      <c r="H121" s="364"/>
      <c r="I121" s="362"/>
      <c r="J121" s="356"/>
      <c r="K121" s="355"/>
      <c r="L121" s="364"/>
      <c r="M121" s="362"/>
    </row>
    <row r="122" spans="1:14" x14ac:dyDescent="0.2">
      <c r="A122" s="19" t="s">
        <v>26</v>
      </c>
      <c r="B122" s="367"/>
      <c r="C122" s="379"/>
      <c r="D122" s="364"/>
      <c r="E122" s="362"/>
      <c r="F122" s="367"/>
      <c r="G122" s="379"/>
      <c r="H122" s="364"/>
      <c r="I122" s="362"/>
      <c r="J122" s="356"/>
      <c r="K122" s="355"/>
      <c r="L122" s="364"/>
      <c r="M122" s="362"/>
    </row>
    <row r="123" spans="1:14" x14ac:dyDescent="0.2">
      <c r="A123" s="288" t="s">
        <v>14</v>
      </c>
      <c r="B123" s="371"/>
      <c r="C123" s="371"/>
      <c r="D123" s="364"/>
      <c r="E123" s="364"/>
      <c r="F123" s="371"/>
      <c r="G123" s="371"/>
      <c r="H123" s="364"/>
      <c r="I123" s="364"/>
      <c r="J123" s="371"/>
      <c r="K123" s="371"/>
      <c r="L123" s="364"/>
      <c r="M123" s="362"/>
    </row>
    <row r="124" spans="1:14" ht="15.75" x14ac:dyDescent="0.2">
      <c r="A124" s="19" t="s">
        <v>376</v>
      </c>
      <c r="B124" s="367"/>
      <c r="C124" s="367"/>
      <c r="D124" s="364"/>
      <c r="E124" s="362"/>
      <c r="F124" s="367"/>
      <c r="G124" s="367"/>
      <c r="H124" s="364"/>
      <c r="I124" s="362"/>
      <c r="J124" s="356"/>
      <c r="K124" s="355"/>
      <c r="L124" s="364"/>
      <c r="M124" s="362"/>
    </row>
    <row r="125" spans="1:14" ht="15.75" x14ac:dyDescent="0.2">
      <c r="A125" s="36" t="s">
        <v>408</v>
      </c>
      <c r="B125" s="367"/>
      <c r="C125" s="367"/>
      <c r="D125" s="364"/>
      <c r="E125" s="362"/>
      <c r="F125" s="367"/>
      <c r="G125" s="367"/>
      <c r="H125" s="364"/>
      <c r="I125" s="362"/>
      <c r="J125" s="356"/>
      <c r="K125" s="355"/>
      <c r="L125" s="364"/>
      <c r="M125" s="362"/>
    </row>
    <row r="126" spans="1:14" ht="15.75" x14ac:dyDescent="0.2">
      <c r="A126" s="10" t="s">
        <v>370</v>
      </c>
      <c r="B126" s="376"/>
      <c r="C126" s="376"/>
      <c r="D126" s="368"/>
      <c r="E126" s="385"/>
      <c r="F126" s="376"/>
      <c r="G126" s="376"/>
      <c r="H126" s="368"/>
      <c r="I126" s="368"/>
      <c r="J126" s="377"/>
      <c r="K126" s="376"/>
      <c r="L126" s="368"/>
      <c r="M126" s="368"/>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348"/>
      <c r="C130" s="348"/>
      <c r="D130" s="348"/>
      <c r="E130" s="349"/>
      <c r="F130" s="348"/>
      <c r="G130" s="348"/>
      <c r="H130" s="348"/>
      <c r="I130" s="349"/>
      <c r="J130" s="348"/>
      <c r="K130" s="348"/>
      <c r="L130" s="348"/>
      <c r="M130" s="349"/>
    </row>
    <row r="131" spans="1:14" s="3" customFormat="1" x14ac:dyDescent="0.2">
      <c r="A131" s="142"/>
      <c r="B131" s="705" t="s">
        <v>0</v>
      </c>
      <c r="C131" s="706"/>
      <c r="D131" s="706"/>
      <c r="E131" s="346"/>
      <c r="F131" s="705" t="s">
        <v>1</v>
      </c>
      <c r="G131" s="706"/>
      <c r="H131" s="706"/>
      <c r="I131" s="347"/>
      <c r="J131" s="705" t="s">
        <v>2</v>
      </c>
      <c r="K131" s="706"/>
      <c r="L131" s="706"/>
      <c r="M131" s="347"/>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357"/>
      <c r="C134" s="358"/>
      <c r="D134" s="361"/>
      <c r="E134" s="362"/>
      <c r="F134" s="352"/>
      <c r="G134" s="353"/>
      <c r="H134" s="386"/>
      <c r="I134" s="362"/>
      <c r="J134" s="370"/>
      <c r="K134" s="370"/>
      <c r="L134" s="361"/>
      <c r="M134" s="362"/>
      <c r="N134" s="146"/>
    </row>
    <row r="135" spans="1:14" s="3" customFormat="1" ht="15.75" x14ac:dyDescent="0.2">
      <c r="A135" s="13" t="s">
        <v>377</v>
      </c>
      <c r="B135" s="357"/>
      <c r="C135" s="358"/>
      <c r="D135" s="364"/>
      <c r="E135" s="362"/>
      <c r="F135" s="357"/>
      <c r="G135" s="358"/>
      <c r="H135" s="387"/>
      <c r="I135" s="362"/>
      <c r="J135" s="363"/>
      <c r="K135" s="363"/>
      <c r="L135" s="364"/>
      <c r="M135" s="362"/>
      <c r="N135" s="146"/>
    </row>
    <row r="136" spans="1:14" s="3" customFormat="1" ht="15.75" x14ac:dyDescent="0.2">
      <c r="A136" s="13" t="s">
        <v>374</v>
      </c>
      <c r="B136" s="357"/>
      <c r="C136" s="358"/>
      <c r="D136" s="364"/>
      <c r="E136" s="362"/>
      <c r="F136" s="357"/>
      <c r="G136" s="358"/>
      <c r="H136" s="387"/>
      <c r="I136" s="362"/>
      <c r="J136" s="363"/>
      <c r="K136" s="363"/>
      <c r="L136" s="364"/>
      <c r="M136" s="362"/>
      <c r="N136" s="146"/>
    </row>
    <row r="137" spans="1:14" s="3" customFormat="1" ht="15.75" x14ac:dyDescent="0.2">
      <c r="A137" s="39" t="s">
        <v>375</v>
      </c>
      <c r="B137" s="359"/>
      <c r="C137" s="360"/>
      <c r="D137" s="368"/>
      <c r="E137" s="385"/>
      <c r="F137" s="359"/>
      <c r="G137" s="360"/>
      <c r="H137" s="388"/>
      <c r="I137" s="385"/>
      <c r="J137" s="369"/>
      <c r="K137" s="369"/>
      <c r="L137" s="368"/>
      <c r="M137" s="368"/>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13">
    <mergeCell ref="J131:L131"/>
    <mergeCell ref="F131:H131"/>
    <mergeCell ref="B131:D131"/>
    <mergeCell ref="J63:L63"/>
    <mergeCell ref="F63:H63"/>
    <mergeCell ref="B63:D63"/>
    <mergeCell ref="B44:D44"/>
    <mergeCell ref="J19:L19"/>
    <mergeCell ref="F19:H19"/>
    <mergeCell ref="B19:D19"/>
    <mergeCell ref="J4:L4"/>
    <mergeCell ref="F4:H4"/>
    <mergeCell ref="B4:D4"/>
  </mergeCells>
  <conditionalFormatting sqref="A50:A52">
    <cfRule type="expression" dxfId="382" priority="12">
      <formula>kvartal &lt; 4</formula>
    </cfRule>
  </conditionalFormatting>
  <conditionalFormatting sqref="A69:A74">
    <cfRule type="expression" dxfId="381" priority="10">
      <formula>kvartal &lt; 4</formula>
    </cfRule>
  </conditionalFormatting>
  <conditionalFormatting sqref="A80:A85">
    <cfRule type="expression" dxfId="380" priority="9">
      <formula>kvartal &lt; 4</formula>
    </cfRule>
  </conditionalFormatting>
  <conditionalFormatting sqref="A90:A95">
    <cfRule type="expression" dxfId="379" priority="6">
      <formula>kvartal &lt; 4</formula>
    </cfRule>
  </conditionalFormatting>
  <conditionalFormatting sqref="A101:A106">
    <cfRule type="expression" dxfId="378" priority="5">
      <formula>kvartal &lt; 4</formula>
    </cfRule>
  </conditionalFormatting>
  <conditionalFormatting sqref="A115">
    <cfRule type="expression" dxfId="377" priority="4">
      <formula>kvartal &lt; 4</formula>
    </cfRule>
  </conditionalFormatting>
  <conditionalFormatting sqref="A123">
    <cfRule type="expression" dxfId="376" priority="3">
      <formula>kvartal &lt; 4</formula>
    </cfRule>
  </conditionalFormatting>
  <pageMargins left="0.70866141732283472" right="0.70866141732283472" top="0.78740157480314965" bottom="0.78740157480314965" header="0.31496062992125984" footer="0.31496062992125984"/>
  <pageSetup paperSize="9" scale="55" orientation="portrait" r:id="rId1"/>
  <rowBreaks count="1" manualBreakCount="1">
    <brk id="59"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4"/>
  <dimension ref="A1:Q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7" x14ac:dyDescent="0.2">
      <c r="A1" s="170" t="s">
        <v>133</v>
      </c>
      <c r="B1" s="670"/>
      <c r="C1" s="244" t="s">
        <v>123</v>
      </c>
      <c r="D1" s="24"/>
      <c r="E1" s="24"/>
      <c r="F1" s="24"/>
      <c r="G1" s="24"/>
      <c r="H1" s="24"/>
      <c r="I1" s="24"/>
      <c r="J1" s="24"/>
      <c r="K1" s="24"/>
      <c r="L1" s="24"/>
      <c r="M1" s="24"/>
    </row>
    <row r="2" spans="1:17" ht="15.75" x14ac:dyDescent="0.25">
      <c r="A2" s="163" t="s">
        <v>28</v>
      </c>
      <c r="B2" s="704"/>
      <c r="C2" s="704"/>
      <c r="D2" s="704"/>
      <c r="E2" s="291"/>
      <c r="F2" s="704"/>
      <c r="G2" s="704"/>
      <c r="H2" s="704"/>
      <c r="I2" s="291"/>
      <c r="J2" s="704"/>
      <c r="K2" s="704"/>
      <c r="L2" s="704"/>
      <c r="M2" s="291"/>
    </row>
    <row r="3" spans="1:17" ht="15.75" x14ac:dyDescent="0.25">
      <c r="A3" s="161"/>
      <c r="B3" s="291"/>
      <c r="C3" s="291"/>
      <c r="D3" s="291"/>
      <c r="E3" s="291"/>
      <c r="F3" s="291"/>
      <c r="G3" s="291"/>
      <c r="H3" s="291"/>
      <c r="I3" s="291"/>
      <c r="J3" s="291"/>
      <c r="K3" s="291"/>
      <c r="L3" s="291"/>
      <c r="M3" s="291"/>
    </row>
    <row r="4" spans="1:17" x14ac:dyDescent="0.2">
      <c r="A4" s="142"/>
      <c r="B4" s="705" t="s">
        <v>0</v>
      </c>
      <c r="C4" s="706"/>
      <c r="D4" s="706"/>
      <c r="E4" s="293"/>
      <c r="F4" s="705" t="s">
        <v>1</v>
      </c>
      <c r="G4" s="706"/>
      <c r="H4" s="706"/>
      <c r="I4" s="296"/>
      <c r="J4" s="705" t="s">
        <v>2</v>
      </c>
      <c r="K4" s="706"/>
      <c r="L4" s="706"/>
      <c r="M4" s="296"/>
    </row>
    <row r="5" spans="1:17"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7" x14ac:dyDescent="0.2">
      <c r="A6" s="671"/>
      <c r="B6" s="154"/>
      <c r="C6" s="154"/>
      <c r="D6" s="242" t="s">
        <v>4</v>
      </c>
      <c r="E6" s="154" t="s">
        <v>30</v>
      </c>
      <c r="F6" s="159"/>
      <c r="G6" s="159"/>
      <c r="H6" s="241" t="s">
        <v>4</v>
      </c>
      <c r="I6" s="154" t="s">
        <v>30</v>
      </c>
      <c r="J6" s="159"/>
      <c r="K6" s="159"/>
      <c r="L6" s="241" t="s">
        <v>4</v>
      </c>
      <c r="M6" s="154" t="s">
        <v>30</v>
      </c>
    </row>
    <row r="7" spans="1:17" ht="15.75" x14ac:dyDescent="0.2">
      <c r="A7" s="14" t="s">
        <v>23</v>
      </c>
      <c r="B7" s="298">
        <v>217165</v>
      </c>
      <c r="C7" s="299">
        <v>235107</v>
      </c>
      <c r="D7" s="341">
        <f>IF(B7=0, "    ---- ", IF(ABS(ROUND(100/B7*C7-100,1))&lt;999,ROUND(100/B7*C7-100,1),IF(ROUND(100/B7*C7-100,1)&gt;999,999,-999)))</f>
        <v>8.3000000000000007</v>
      </c>
      <c r="E7" s="11">
        <f>IFERROR(100/'Skjema total MA'!C7*C7,0)</f>
        <v>5.8986302484818927</v>
      </c>
      <c r="F7" s="298"/>
      <c r="G7" s="299"/>
      <c r="H7" s="341"/>
      <c r="I7" s="158"/>
      <c r="J7" s="300">
        <f t="shared" ref="J7:K10" si="0">SUM(B7,F7)</f>
        <v>217165</v>
      </c>
      <c r="K7" s="301">
        <f t="shared" si="0"/>
        <v>235107</v>
      </c>
      <c r="L7" s="413">
        <f>IF(J7=0, "    ---- ", IF(ABS(ROUND(100/J7*K7-100,1))&lt;999,ROUND(100/J7*K7-100,1),IF(ROUND(100/J7*K7-100,1)&gt;999,999,-999)))</f>
        <v>8.3000000000000007</v>
      </c>
      <c r="M7" s="11">
        <f>IFERROR(100/'Skjema total MA'!I7*K7,0)</f>
        <v>2.0995490850994853</v>
      </c>
    </row>
    <row r="8" spans="1:17" ht="15.75" x14ac:dyDescent="0.2">
      <c r="A8" s="19" t="s">
        <v>25</v>
      </c>
      <c r="B8" s="276">
        <v>188637</v>
      </c>
      <c r="C8" s="277">
        <v>205021</v>
      </c>
      <c r="D8" s="164">
        <f t="shared" ref="D8:D10" si="1">IF(B8=0, "    ---- ", IF(ABS(ROUND(100/B8*C8-100,1))&lt;999,ROUND(100/B8*C8-100,1),IF(ROUND(100/B8*C8-100,1)&gt;999,999,-999)))</f>
        <v>8.6999999999999993</v>
      </c>
      <c r="E8" s="25">
        <f>IFERROR(100/'Skjema total MA'!C8*C8,0)</f>
        <v>7.8642266478804661</v>
      </c>
      <c r="F8" s="280"/>
      <c r="G8" s="281"/>
      <c r="H8" s="164"/>
      <c r="I8" s="172"/>
      <c r="J8" s="230">
        <f t="shared" si="0"/>
        <v>188637</v>
      </c>
      <c r="K8" s="282">
        <f t="shared" si="0"/>
        <v>205021</v>
      </c>
      <c r="L8" s="164">
        <f t="shared" ref="L8:L9" si="2">IF(J8=0, "    ---- ", IF(ABS(ROUND(100/J8*K8-100,1))&lt;999,ROUND(100/J8*K8-100,1),IF(ROUND(100/J8*K8-100,1)&gt;999,999,-999)))</f>
        <v>8.6999999999999993</v>
      </c>
      <c r="M8" s="25">
        <f>IFERROR(100/'Skjema total MA'!I8*K8,0)</f>
        <v>7.8642266478804661</v>
      </c>
    </row>
    <row r="9" spans="1:17" ht="15.75" x14ac:dyDescent="0.2">
      <c r="A9" s="19" t="s">
        <v>24</v>
      </c>
      <c r="B9" s="276">
        <v>28528</v>
      </c>
      <c r="C9" s="277">
        <v>30086</v>
      </c>
      <c r="D9" s="164">
        <f t="shared" si="1"/>
        <v>5.5</v>
      </c>
      <c r="E9" s="25">
        <f>IFERROR(100/'Skjema total MA'!C9*C9,0)</f>
        <v>3.709246385110295</v>
      </c>
      <c r="F9" s="280"/>
      <c r="G9" s="281"/>
      <c r="H9" s="164"/>
      <c r="I9" s="172"/>
      <c r="J9" s="230">
        <f t="shared" si="0"/>
        <v>28528</v>
      </c>
      <c r="K9" s="282">
        <f t="shared" si="0"/>
        <v>30086</v>
      </c>
      <c r="L9" s="164">
        <f t="shared" si="2"/>
        <v>5.5</v>
      </c>
      <c r="M9" s="25">
        <f>IFERROR(100/'Skjema total MA'!I9*K9,0)</f>
        <v>3.709246385110295</v>
      </c>
    </row>
    <row r="10" spans="1:17" ht="15.75" x14ac:dyDescent="0.2">
      <c r="A10" s="13" t="s">
        <v>350</v>
      </c>
      <c r="B10" s="302">
        <v>118217</v>
      </c>
      <c r="C10" s="303">
        <v>123214</v>
      </c>
      <c r="D10" s="169">
        <f t="shared" si="1"/>
        <v>4.2</v>
      </c>
      <c r="E10" s="11">
        <f>IFERROR(100/'Skjema total MA'!C10*C10,0)</f>
        <v>0.78322296915791367</v>
      </c>
      <c r="F10" s="302"/>
      <c r="G10" s="303"/>
      <c r="H10" s="169"/>
      <c r="I10" s="158"/>
      <c r="J10" s="300">
        <f t="shared" si="0"/>
        <v>118217</v>
      </c>
      <c r="K10" s="301">
        <f t="shared" si="0"/>
        <v>123214</v>
      </c>
      <c r="L10" s="414">
        <f t="shared" ref="L10" si="3">IF(J10=0, "    ---- ", IF(ABS(ROUND(100/J10*K10-100,1))&lt;999,ROUND(100/J10*K10-100,1),IF(ROUND(100/J10*K10-100,1)&gt;999,999,-999)))</f>
        <v>4.2</v>
      </c>
      <c r="M10" s="11">
        <f>IFERROR(100/'Skjema total MA'!I10*K10,0)</f>
        <v>0.14545187613293059</v>
      </c>
    </row>
    <row r="11" spans="1:17" s="41" customFormat="1" ht="15.75" x14ac:dyDescent="0.2">
      <c r="A11" s="13" t="s">
        <v>351</v>
      </c>
      <c r="B11" s="302"/>
      <c r="C11" s="303"/>
      <c r="D11" s="169"/>
      <c r="E11" s="11"/>
      <c r="F11" s="302"/>
      <c r="G11" s="303"/>
      <c r="H11" s="169"/>
      <c r="I11" s="158"/>
      <c r="J11" s="300"/>
      <c r="K11" s="301"/>
      <c r="L11" s="414"/>
      <c r="M11" s="11"/>
      <c r="N11" s="141"/>
      <c r="Q11" s="141"/>
    </row>
    <row r="12" spans="1:17" s="41" customFormat="1" ht="15.75" x14ac:dyDescent="0.2">
      <c r="A12" s="39" t="s">
        <v>352</v>
      </c>
      <c r="B12" s="304"/>
      <c r="C12" s="305"/>
      <c r="D12" s="167"/>
      <c r="E12" s="34"/>
      <c r="F12" s="304"/>
      <c r="G12" s="305"/>
      <c r="H12" s="167"/>
      <c r="I12" s="167"/>
      <c r="J12" s="306"/>
      <c r="K12" s="307"/>
      <c r="L12" s="415"/>
      <c r="M12" s="34"/>
      <c r="N12" s="141"/>
    </row>
    <row r="13" spans="1:17" s="41" customFormat="1" x14ac:dyDescent="0.2">
      <c r="A13" s="166"/>
      <c r="B13" s="143"/>
      <c r="C13" s="31"/>
      <c r="D13" s="157"/>
      <c r="E13" s="157"/>
      <c r="F13" s="143"/>
      <c r="G13" s="31"/>
      <c r="H13" s="157"/>
      <c r="I13" s="157"/>
      <c r="J13" s="46"/>
      <c r="K13" s="46"/>
      <c r="L13" s="157"/>
      <c r="M13" s="157"/>
      <c r="N13" s="141"/>
    </row>
    <row r="14" spans="1:17" x14ac:dyDescent="0.2">
      <c r="A14" s="151" t="s">
        <v>270</v>
      </c>
      <c r="B14" s="24"/>
    </row>
    <row r="15" spans="1:17" x14ac:dyDescent="0.2">
      <c r="F15" s="144"/>
      <c r="G15" s="144"/>
      <c r="H15" s="144"/>
      <c r="I15" s="144"/>
      <c r="J15" s="144"/>
      <c r="K15" s="144"/>
      <c r="L15" s="144"/>
      <c r="M15" s="144"/>
    </row>
    <row r="16" spans="1:17"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291"/>
      <c r="F18" s="707"/>
      <c r="G18" s="707"/>
      <c r="H18" s="707"/>
      <c r="I18" s="291"/>
      <c r="J18" s="707"/>
      <c r="K18" s="707"/>
      <c r="L18" s="707"/>
      <c r="M18" s="291"/>
    </row>
    <row r="19" spans="1:14" x14ac:dyDescent="0.2">
      <c r="A19" s="142"/>
      <c r="B19" s="705" t="s">
        <v>0</v>
      </c>
      <c r="C19" s="706"/>
      <c r="D19" s="706"/>
      <c r="E19" s="293"/>
      <c r="F19" s="705" t="s">
        <v>1</v>
      </c>
      <c r="G19" s="706"/>
      <c r="H19" s="706"/>
      <c r="I19" s="296"/>
      <c r="J19" s="705" t="s">
        <v>2</v>
      </c>
      <c r="K19" s="706"/>
      <c r="L19" s="706"/>
      <c r="M19" s="296"/>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302">
        <v>206967</v>
      </c>
      <c r="C22" s="302">
        <v>236416</v>
      </c>
      <c r="D22" s="341">
        <f t="shared" ref="D22:D30" si="4">IF(B22=0, "    ---- ", IF(ABS(ROUND(100/B22*C22-100,1))&lt;999,ROUND(100/B22*C22-100,1),IF(ROUND(100/B22*C22-100,1)&gt;999,999,-999)))</f>
        <v>14.2</v>
      </c>
      <c r="E22" s="11">
        <f>IFERROR(100/'Skjema total MA'!C22*C22,0)</f>
        <v>14.097093231652227</v>
      </c>
      <c r="F22" s="310"/>
      <c r="G22" s="310"/>
      <c r="H22" s="341"/>
      <c r="I22" s="11"/>
      <c r="J22" s="308">
        <f t="shared" ref="J22:K29" si="5">SUM(B22,F22)</f>
        <v>206967</v>
      </c>
      <c r="K22" s="308">
        <f t="shared" si="5"/>
        <v>236416</v>
      </c>
      <c r="L22" s="413">
        <f t="shared" ref="L22:L30" si="6">IF(J22=0, "    ---- ", IF(ABS(ROUND(100/J22*K22-100,1))&lt;999,ROUND(100/J22*K22-100,1),IF(ROUND(100/J22*K22-100,1)&gt;999,999,-999)))</f>
        <v>14.2</v>
      </c>
      <c r="M22" s="22">
        <f>IFERROR(100/'Skjema total MA'!I22*K22,0)</f>
        <v>9.9298810701568687</v>
      </c>
    </row>
    <row r="23" spans="1:14" ht="15.75" x14ac:dyDescent="0.2">
      <c r="A23" s="496" t="s">
        <v>353</v>
      </c>
      <c r="B23" s="276">
        <v>206967</v>
      </c>
      <c r="C23" s="276">
        <v>236416</v>
      </c>
      <c r="D23" s="164">
        <f t="shared" si="4"/>
        <v>14.2</v>
      </c>
      <c r="E23" s="11">
        <f>IFERROR(100/'Skjema total MA'!C23*C23,0)</f>
        <v>38.978048170589567</v>
      </c>
      <c r="F23" s="285"/>
      <c r="G23" s="285"/>
      <c r="H23" s="164"/>
      <c r="I23" s="403"/>
      <c r="J23" s="285">
        <f t="shared" ref="J23" si="7">SUM(B23,F23)</f>
        <v>206967</v>
      </c>
      <c r="K23" s="285">
        <f t="shared" ref="K23" si="8">SUM(C23,G23)</f>
        <v>236416</v>
      </c>
      <c r="L23" s="164">
        <f t="shared" si="6"/>
        <v>14.2</v>
      </c>
      <c r="M23" s="21">
        <f>IFERROR(100/'Skjema total MA'!I23*K23,0)</f>
        <v>34.801692997476835</v>
      </c>
    </row>
    <row r="24" spans="1:14" ht="15.75" x14ac:dyDescent="0.2">
      <c r="A24" s="496" t="s">
        <v>354</v>
      </c>
      <c r="B24" s="276"/>
      <c r="C24" s="276"/>
      <c r="D24" s="164"/>
      <c r="E24" s="11"/>
      <c r="F24" s="285"/>
      <c r="G24" s="285"/>
      <c r="H24" s="164"/>
      <c r="I24" s="403"/>
      <c r="J24" s="285"/>
      <c r="K24" s="285"/>
      <c r="L24" s="164"/>
      <c r="M24" s="21"/>
    </row>
    <row r="25" spans="1:14" ht="15.75" x14ac:dyDescent="0.2">
      <c r="A25" s="496" t="s">
        <v>355</v>
      </c>
      <c r="B25" s="276"/>
      <c r="C25" s="276"/>
      <c r="D25" s="164"/>
      <c r="E25" s="11"/>
      <c r="F25" s="285"/>
      <c r="G25" s="285"/>
      <c r="H25" s="164"/>
      <c r="I25" s="403"/>
      <c r="J25" s="285"/>
      <c r="K25" s="285"/>
      <c r="L25" s="164"/>
      <c r="M25" s="21"/>
    </row>
    <row r="26" spans="1:14" ht="15.75" x14ac:dyDescent="0.2">
      <c r="A26" s="496" t="s">
        <v>356</v>
      </c>
      <c r="B26" s="276"/>
      <c r="C26" s="276"/>
      <c r="D26" s="164"/>
      <c r="E26" s="11"/>
      <c r="F26" s="285"/>
      <c r="G26" s="285"/>
      <c r="H26" s="164"/>
      <c r="I26" s="403"/>
      <c r="J26" s="285"/>
      <c r="K26" s="285"/>
      <c r="L26" s="164"/>
      <c r="M26" s="21"/>
    </row>
    <row r="27" spans="1:14" x14ac:dyDescent="0.2">
      <c r="A27" s="496" t="s">
        <v>11</v>
      </c>
      <c r="B27" s="276"/>
      <c r="C27" s="276"/>
      <c r="D27" s="164"/>
      <c r="E27" s="11"/>
      <c r="F27" s="285"/>
      <c r="G27" s="285"/>
      <c r="H27" s="164"/>
      <c r="I27" s="403"/>
      <c r="J27" s="285"/>
      <c r="K27" s="285"/>
      <c r="L27" s="164"/>
      <c r="M27" s="21"/>
    </row>
    <row r="28" spans="1:14" ht="15.75" x14ac:dyDescent="0.2">
      <c r="A28" s="47" t="s">
        <v>271</v>
      </c>
      <c r="B28" s="42">
        <v>206967</v>
      </c>
      <c r="C28" s="282">
        <v>236416</v>
      </c>
      <c r="D28" s="164">
        <f t="shared" si="4"/>
        <v>14.2</v>
      </c>
      <c r="E28" s="11">
        <f>IFERROR(100/'Skjema total MA'!C28*C28,0)</f>
        <v>12.557983470421666</v>
      </c>
      <c r="F28" s="230"/>
      <c r="G28" s="282"/>
      <c r="H28" s="164"/>
      <c r="I28" s="25"/>
      <c r="J28" s="42">
        <f t="shared" si="5"/>
        <v>206967</v>
      </c>
      <c r="K28" s="42">
        <f t="shared" si="5"/>
        <v>236416</v>
      </c>
      <c r="L28" s="249">
        <f t="shared" si="6"/>
        <v>14.2</v>
      </c>
      <c r="M28" s="21">
        <f>IFERROR(100/'Skjema total MA'!I28*K28,0)</f>
        <v>12.557983470421666</v>
      </c>
    </row>
    <row r="29" spans="1:14" s="3" customFormat="1" ht="15.75" x14ac:dyDescent="0.2">
      <c r="A29" s="13" t="s">
        <v>350</v>
      </c>
      <c r="B29" s="232">
        <v>932447</v>
      </c>
      <c r="C29" s="232">
        <v>1141221</v>
      </c>
      <c r="D29" s="169">
        <f t="shared" si="4"/>
        <v>22.4</v>
      </c>
      <c r="E29" s="11">
        <f>IFERROR(100/'Skjema total MA'!C29*C29,0)</f>
        <v>2.5604280830887793</v>
      </c>
      <c r="F29" s="300"/>
      <c r="G29" s="300"/>
      <c r="H29" s="169"/>
      <c r="I29" s="11"/>
      <c r="J29" s="232">
        <f t="shared" si="5"/>
        <v>932447</v>
      </c>
      <c r="K29" s="232">
        <f t="shared" si="5"/>
        <v>1141221</v>
      </c>
      <c r="L29" s="414">
        <f t="shared" si="6"/>
        <v>22.4</v>
      </c>
      <c r="M29" s="22">
        <f>IFERROR(100/'Skjema total MA'!I29*K29,0)</f>
        <v>1.6863676323992596</v>
      </c>
      <c r="N29" s="146"/>
    </row>
    <row r="30" spans="1:14" s="3" customFormat="1" ht="15.75" x14ac:dyDescent="0.2">
      <c r="A30" s="496" t="s">
        <v>353</v>
      </c>
      <c r="B30" s="276">
        <v>932447</v>
      </c>
      <c r="C30" s="276">
        <v>1141221</v>
      </c>
      <c r="D30" s="164">
        <f t="shared" si="4"/>
        <v>22.4</v>
      </c>
      <c r="E30" s="11">
        <f>IFERROR(100/'Skjema total MA'!C30*C30,0)</f>
        <v>11.660275018644606</v>
      </c>
      <c r="F30" s="285"/>
      <c r="G30" s="285"/>
      <c r="H30" s="164"/>
      <c r="I30" s="403"/>
      <c r="J30" s="285">
        <f t="shared" ref="J30" si="9">SUM(B30,F30)</f>
        <v>932447</v>
      </c>
      <c r="K30" s="285">
        <f t="shared" ref="K30" si="10">SUM(C30,G30)</f>
        <v>1141221</v>
      </c>
      <c r="L30" s="164">
        <f t="shared" si="6"/>
        <v>22.4</v>
      </c>
      <c r="M30" s="21">
        <f>IFERROR(100/'Skjema total MA'!I30*K30,0)</f>
        <v>8.6421714426402545</v>
      </c>
      <c r="N30" s="146"/>
    </row>
    <row r="31" spans="1:14" s="3" customFormat="1" ht="15.75" x14ac:dyDescent="0.2">
      <c r="A31" s="496" t="s">
        <v>354</v>
      </c>
      <c r="B31" s="276"/>
      <c r="C31" s="276"/>
      <c r="D31" s="164"/>
      <c r="E31" s="11"/>
      <c r="F31" s="285"/>
      <c r="G31" s="285"/>
      <c r="H31" s="164"/>
      <c r="I31" s="403"/>
      <c r="J31" s="285"/>
      <c r="K31" s="285"/>
      <c r="L31" s="164"/>
      <c r="M31" s="21"/>
      <c r="N31" s="146"/>
    </row>
    <row r="32" spans="1:14" ht="15.75" x14ac:dyDescent="0.2">
      <c r="A32" s="496" t="s">
        <v>355</v>
      </c>
      <c r="B32" s="276"/>
      <c r="C32" s="276"/>
      <c r="D32" s="164"/>
      <c r="E32" s="11"/>
      <c r="F32" s="285"/>
      <c r="G32" s="285"/>
      <c r="H32" s="164"/>
      <c r="I32" s="403"/>
      <c r="J32" s="285"/>
      <c r="K32" s="285"/>
      <c r="L32" s="164"/>
      <c r="M32" s="21"/>
    </row>
    <row r="33" spans="1:14" ht="15.75" x14ac:dyDescent="0.2">
      <c r="A33" s="496" t="s">
        <v>356</v>
      </c>
      <c r="B33" s="276"/>
      <c r="C33" s="276"/>
      <c r="D33" s="164"/>
      <c r="E33" s="11"/>
      <c r="F33" s="285"/>
      <c r="G33" s="285"/>
      <c r="H33" s="164"/>
      <c r="I33" s="403"/>
      <c r="J33" s="285"/>
      <c r="K33" s="285"/>
      <c r="L33" s="164"/>
      <c r="M33" s="21"/>
    </row>
    <row r="34" spans="1:14" ht="15.75" x14ac:dyDescent="0.2">
      <c r="A34" s="13" t="s">
        <v>351</v>
      </c>
      <c r="B34" s="232"/>
      <c r="C34" s="301"/>
      <c r="D34" s="169"/>
      <c r="E34" s="11"/>
      <c r="F34" s="300"/>
      <c r="G34" s="301"/>
      <c r="H34" s="169"/>
      <c r="I34" s="11"/>
      <c r="J34" s="232"/>
      <c r="K34" s="232"/>
      <c r="L34" s="414"/>
      <c r="M34" s="22"/>
    </row>
    <row r="35" spans="1:14" ht="15.75" x14ac:dyDescent="0.2">
      <c r="A35" s="13" t="s">
        <v>352</v>
      </c>
      <c r="B35" s="232"/>
      <c r="C35" s="301"/>
      <c r="D35" s="169"/>
      <c r="E35" s="11"/>
      <c r="F35" s="300"/>
      <c r="G35" s="301"/>
      <c r="H35" s="169"/>
      <c r="I35" s="11"/>
      <c r="J35" s="232"/>
      <c r="K35" s="232"/>
      <c r="L35" s="414"/>
      <c r="M35" s="22"/>
    </row>
    <row r="36" spans="1:14" ht="15.75" x14ac:dyDescent="0.2">
      <c r="A36" s="12" t="s">
        <v>279</v>
      </c>
      <c r="B36" s="232"/>
      <c r="C36" s="301"/>
      <c r="D36" s="169"/>
      <c r="E36" s="11"/>
      <c r="F36" s="311"/>
      <c r="G36" s="312"/>
      <c r="H36" s="169"/>
      <c r="I36" s="420"/>
      <c r="J36" s="232"/>
      <c r="K36" s="232"/>
      <c r="L36" s="414"/>
      <c r="M36" s="22"/>
    </row>
    <row r="37" spans="1:14" ht="15.75" x14ac:dyDescent="0.2">
      <c r="A37" s="12" t="s">
        <v>358</v>
      </c>
      <c r="B37" s="232"/>
      <c r="C37" s="301"/>
      <c r="D37" s="169"/>
      <c r="E37" s="11"/>
      <c r="F37" s="311"/>
      <c r="G37" s="313"/>
      <c r="H37" s="169"/>
      <c r="I37" s="420"/>
      <c r="J37" s="232"/>
      <c r="K37" s="232"/>
      <c r="L37" s="414"/>
      <c r="M37" s="22"/>
    </row>
    <row r="38" spans="1:14" ht="15.75" x14ac:dyDescent="0.2">
      <c r="A38" s="12" t="s">
        <v>359</v>
      </c>
      <c r="B38" s="232"/>
      <c r="C38" s="301"/>
      <c r="D38" s="169"/>
      <c r="E38" s="22"/>
      <c r="F38" s="311"/>
      <c r="G38" s="312"/>
      <c r="H38" s="169"/>
      <c r="I38" s="420"/>
      <c r="J38" s="232"/>
      <c r="K38" s="232"/>
      <c r="L38" s="414"/>
      <c r="M38" s="22"/>
    </row>
    <row r="39" spans="1:14" ht="15.75" x14ac:dyDescent="0.2">
      <c r="A39" s="18" t="s">
        <v>360</v>
      </c>
      <c r="B39" s="271"/>
      <c r="C39" s="307"/>
      <c r="D39" s="167"/>
      <c r="E39" s="34"/>
      <c r="F39" s="314"/>
      <c r="G39" s="315"/>
      <c r="H39" s="167"/>
      <c r="I39" s="34"/>
      <c r="J39" s="232"/>
      <c r="K39" s="232"/>
      <c r="L39" s="415"/>
      <c r="M39" s="34"/>
    </row>
    <row r="40" spans="1:14" ht="15.75" x14ac:dyDescent="0.25">
      <c r="A40" s="45"/>
      <c r="B40" s="248"/>
      <c r="C40" s="248"/>
      <c r="D40" s="708"/>
      <c r="E40" s="708"/>
      <c r="F40" s="708"/>
      <c r="G40" s="708"/>
      <c r="H40" s="708"/>
      <c r="I40" s="708"/>
      <c r="J40" s="708"/>
      <c r="K40" s="708"/>
      <c r="L40" s="708"/>
      <c r="M40" s="294"/>
    </row>
    <row r="41" spans="1:14" x14ac:dyDescent="0.2">
      <c r="A41" s="153"/>
    </row>
    <row r="42" spans="1:14" ht="15.75" x14ac:dyDescent="0.25">
      <c r="A42" s="145" t="s">
        <v>268</v>
      </c>
      <c r="B42" s="704"/>
      <c r="C42" s="704"/>
      <c r="D42" s="704"/>
      <c r="E42" s="291"/>
      <c r="F42" s="709"/>
      <c r="G42" s="709"/>
      <c r="H42" s="709"/>
      <c r="I42" s="294"/>
      <c r="J42" s="709"/>
      <c r="K42" s="709"/>
      <c r="L42" s="709"/>
      <c r="M42" s="294"/>
    </row>
    <row r="43" spans="1:14" ht="15.75" x14ac:dyDescent="0.25">
      <c r="A43" s="161"/>
      <c r="B43" s="295"/>
      <c r="C43" s="295"/>
      <c r="D43" s="295"/>
      <c r="E43" s="295"/>
      <c r="F43" s="294"/>
      <c r="G43" s="294"/>
      <c r="H43" s="294"/>
      <c r="I43" s="294"/>
      <c r="J43" s="294"/>
      <c r="K43" s="294"/>
      <c r="L43" s="294"/>
      <c r="M43" s="294"/>
    </row>
    <row r="44" spans="1:14" ht="15.75" x14ac:dyDescent="0.25">
      <c r="A44" s="243"/>
      <c r="B44" s="705" t="s">
        <v>0</v>
      </c>
      <c r="C44" s="706"/>
      <c r="D44" s="706"/>
      <c r="E44" s="239"/>
      <c r="F44" s="294"/>
      <c r="G44" s="294"/>
      <c r="H44" s="294"/>
      <c r="I44" s="294"/>
      <c r="J44" s="294"/>
      <c r="K44" s="294"/>
      <c r="L44" s="294"/>
      <c r="M44" s="294"/>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v>35232</v>
      </c>
      <c r="C47" s="303">
        <v>36270</v>
      </c>
      <c r="D47" s="413">
        <f t="shared" ref="D47:D48" si="11">IF(B47=0, "    ---- ", IF(ABS(ROUND(100/B47*C47-100,1))&lt;999,ROUND(100/B47*C47-100,1),IF(ROUND(100/B47*C47-100,1)&gt;999,999,-999)))</f>
        <v>2.9</v>
      </c>
      <c r="E47" s="11">
        <f>IFERROR(100/'Skjema total MA'!C47*C47,0)</f>
        <v>0.74592471955325912</v>
      </c>
      <c r="F47" s="143"/>
      <c r="G47" s="31"/>
      <c r="H47" s="157"/>
      <c r="I47" s="157"/>
      <c r="J47" s="35"/>
      <c r="K47" s="35"/>
      <c r="L47" s="157"/>
      <c r="M47" s="157"/>
      <c r="N47" s="146"/>
    </row>
    <row r="48" spans="1:14" s="3" customFormat="1" ht="15.75" x14ac:dyDescent="0.2">
      <c r="A48" s="36" t="s">
        <v>361</v>
      </c>
      <c r="B48" s="276">
        <v>35232</v>
      </c>
      <c r="C48" s="277">
        <v>36270</v>
      </c>
      <c r="D48" s="249">
        <f t="shared" si="11"/>
        <v>2.9</v>
      </c>
      <c r="E48" s="25">
        <f>IFERROR(100/'Skjema total MA'!C48*C48,0)</f>
        <v>1.3373854065983193</v>
      </c>
      <c r="F48" s="143"/>
      <c r="G48" s="31"/>
      <c r="H48" s="143"/>
      <c r="I48" s="143"/>
      <c r="J48" s="31"/>
      <c r="K48" s="31"/>
      <c r="L48" s="157"/>
      <c r="M48" s="157"/>
      <c r="N48" s="146"/>
    </row>
    <row r="49" spans="1:14" s="3" customFormat="1" ht="15.75" x14ac:dyDescent="0.2">
      <c r="A49" s="36" t="s">
        <v>362</v>
      </c>
      <c r="B49" s="42"/>
      <c r="C49" s="282"/>
      <c r="D49" s="249"/>
      <c r="E49" s="25"/>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c r="C53" s="303"/>
      <c r="D53" s="414"/>
      <c r="E53" s="11"/>
      <c r="F53" s="143"/>
      <c r="G53" s="31"/>
      <c r="H53" s="143"/>
      <c r="I53" s="143"/>
      <c r="J53" s="31"/>
      <c r="K53" s="31"/>
      <c r="L53" s="157"/>
      <c r="M53" s="157"/>
      <c r="N53" s="146"/>
    </row>
    <row r="54" spans="1:14" s="3" customFormat="1" ht="15.75" x14ac:dyDescent="0.2">
      <c r="A54" s="36" t="s">
        <v>361</v>
      </c>
      <c r="B54" s="276"/>
      <c r="C54" s="277"/>
      <c r="D54" s="249"/>
      <c r="E54" s="25"/>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c r="C56" s="303"/>
      <c r="D56" s="414"/>
      <c r="E56" s="11"/>
      <c r="F56" s="143"/>
      <c r="G56" s="31"/>
      <c r="H56" s="143"/>
      <c r="I56" s="143"/>
      <c r="J56" s="31"/>
      <c r="K56" s="31"/>
      <c r="L56" s="157"/>
      <c r="M56" s="157"/>
      <c r="N56" s="146"/>
    </row>
    <row r="57" spans="1:14" s="3" customFormat="1" ht="15.75" x14ac:dyDescent="0.2">
      <c r="A57" s="36" t="s">
        <v>361</v>
      </c>
      <c r="B57" s="276"/>
      <c r="C57" s="277"/>
      <c r="D57" s="249"/>
      <c r="E57" s="25"/>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291"/>
      <c r="F62" s="707"/>
      <c r="G62" s="707"/>
      <c r="H62" s="707"/>
      <c r="I62" s="291"/>
      <c r="J62" s="707"/>
      <c r="K62" s="707"/>
      <c r="L62" s="707"/>
      <c r="M62" s="291"/>
    </row>
    <row r="63" spans="1:14" x14ac:dyDescent="0.2">
      <c r="A63" s="142"/>
      <c r="B63" s="705" t="s">
        <v>0</v>
      </c>
      <c r="C63" s="706"/>
      <c r="D63" s="710"/>
      <c r="E63" s="292"/>
      <c r="F63" s="706" t="s">
        <v>1</v>
      </c>
      <c r="G63" s="706"/>
      <c r="H63" s="706"/>
      <c r="I63" s="296"/>
      <c r="J63" s="705" t="s">
        <v>2</v>
      </c>
      <c r="K63" s="706"/>
      <c r="L63" s="706"/>
      <c r="M63" s="296"/>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c r="C66" s="344"/>
      <c r="D66" s="341"/>
      <c r="E66" s="11"/>
      <c r="F66" s="343"/>
      <c r="G66" s="343"/>
      <c r="H66" s="341"/>
      <c r="I66" s="11"/>
      <c r="J66" s="301"/>
      <c r="K66" s="308"/>
      <c r="L66" s="414"/>
      <c r="M66" s="11"/>
    </row>
    <row r="67" spans="1:14" x14ac:dyDescent="0.2">
      <c r="A67" s="405" t="s">
        <v>9</v>
      </c>
      <c r="B67" s="42"/>
      <c r="C67" s="143"/>
      <c r="D67" s="164"/>
      <c r="E67" s="25"/>
      <c r="F67" s="230"/>
      <c r="G67" s="143"/>
      <c r="H67" s="164"/>
      <c r="I67" s="25"/>
      <c r="J67" s="282"/>
      <c r="K67" s="42"/>
      <c r="L67" s="249"/>
      <c r="M67" s="25"/>
    </row>
    <row r="68" spans="1:14" x14ac:dyDescent="0.2">
      <c r="A68" s="19" t="s">
        <v>10</v>
      </c>
      <c r="B68" s="286"/>
      <c r="C68" s="287"/>
      <c r="D68" s="164"/>
      <c r="E68" s="25"/>
      <c r="F68" s="286"/>
      <c r="G68" s="287"/>
      <c r="H68" s="164"/>
      <c r="I68" s="25"/>
      <c r="J68" s="282"/>
      <c r="K68" s="42"/>
      <c r="L68" s="249"/>
      <c r="M68" s="25"/>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c r="C75" s="143"/>
      <c r="D75" s="164"/>
      <c r="E75" s="25"/>
      <c r="F75" s="230"/>
      <c r="G75" s="143"/>
      <c r="H75" s="164"/>
      <c r="I75" s="25"/>
      <c r="J75" s="282"/>
      <c r="K75" s="42"/>
      <c r="L75" s="249"/>
      <c r="M75" s="25"/>
      <c r="N75" s="146"/>
    </row>
    <row r="76" spans="1:14" s="3" customFormat="1" x14ac:dyDescent="0.2">
      <c r="A76" s="19" t="s">
        <v>336</v>
      </c>
      <c r="B76" s="230"/>
      <c r="C76" s="143"/>
      <c r="D76" s="164"/>
      <c r="E76" s="25"/>
      <c r="F76" s="230"/>
      <c r="G76" s="143"/>
      <c r="H76" s="164"/>
      <c r="I76" s="25"/>
      <c r="J76" s="282"/>
      <c r="K76" s="42"/>
      <c r="L76" s="249"/>
      <c r="M76" s="25"/>
      <c r="N76" s="146"/>
    </row>
    <row r="77" spans="1:14" ht="15.75" x14ac:dyDescent="0.2">
      <c r="A77" s="19" t="s">
        <v>367</v>
      </c>
      <c r="B77" s="230"/>
      <c r="C77" s="230"/>
      <c r="D77" s="164"/>
      <c r="E77" s="25"/>
      <c r="F77" s="230"/>
      <c r="G77" s="143"/>
      <c r="H77" s="164"/>
      <c r="I77" s="25"/>
      <c r="J77" s="282"/>
      <c r="K77" s="42"/>
      <c r="L77" s="249"/>
      <c r="M77" s="25"/>
    </row>
    <row r="78" spans="1:14" x14ac:dyDescent="0.2">
      <c r="A78" s="19" t="s">
        <v>9</v>
      </c>
      <c r="B78" s="230"/>
      <c r="C78" s="143"/>
      <c r="D78" s="164"/>
      <c r="E78" s="25"/>
      <c r="F78" s="230"/>
      <c r="G78" s="143"/>
      <c r="H78" s="164"/>
      <c r="I78" s="25"/>
      <c r="J78" s="282"/>
      <c r="K78" s="42"/>
      <c r="L78" s="249"/>
      <c r="M78" s="25"/>
    </row>
    <row r="79" spans="1:14" x14ac:dyDescent="0.2">
      <c r="A79" s="36" t="s">
        <v>400</v>
      </c>
      <c r="B79" s="286"/>
      <c r="C79" s="287"/>
      <c r="D79" s="164"/>
      <c r="E79" s="25"/>
      <c r="F79" s="286"/>
      <c r="G79" s="287"/>
      <c r="H79" s="164"/>
      <c r="I79" s="25"/>
      <c r="J79" s="282"/>
      <c r="K79" s="42"/>
      <c r="L79" s="249"/>
      <c r="M79" s="25"/>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c r="C86" s="143"/>
      <c r="D86" s="164"/>
      <c r="E86" s="25"/>
      <c r="F86" s="230"/>
      <c r="G86" s="143"/>
      <c r="H86" s="164"/>
      <c r="I86" s="25"/>
      <c r="J86" s="282"/>
      <c r="K86" s="42"/>
      <c r="L86" s="249"/>
      <c r="M86" s="25"/>
    </row>
    <row r="87" spans="1:13" ht="15.75" x14ac:dyDescent="0.2">
      <c r="A87" s="13" t="s">
        <v>350</v>
      </c>
      <c r="B87" s="344"/>
      <c r="C87" s="344"/>
      <c r="D87" s="169"/>
      <c r="E87" s="11"/>
      <c r="F87" s="343"/>
      <c r="G87" s="343"/>
      <c r="H87" s="169"/>
      <c r="I87" s="11"/>
      <c r="J87" s="301"/>
      <c r="K87" s="232"/>
      <c r="L87" s="414"/>
      <c r="M87" s="11"/>
    </row>
    <row r="88" spans="1:13" x14ac:dyDescent="0.2">
      <c r="A88" s="19" t="s">
        <v>9</v>
      </c>
      <c r="B88" s="230"/>
      <c r="C88" s="143"/>
      <c r="D88" s="164"/>
      <c r="E88" s="25"/>
      <c r="F88" s="230"/>
      <c r="G88" s="143"/>
      <c r="H88" s="164"/>
      <c r="I88" s="25"/>
      <c r="J88" s="282"/>
      <c r="K88" s="42"/>
      <c r="L88" s="249"/>
      <c r="M88" s="25"/>
    </row>
    <row r="89" spans="1:13" x14ac:dyDescent="0.2">
      <c r="A89" s="19" t="s">
        <v>10</v>
      </c>
      <c r="B89" s="230"/>
      <c r="C89" s="143"/>
      <c r="D89" s="164"/>
      <c r="E89" s="25"/>
      <c r="F89" s="230"/>
      <c r="G89" s="143"/>
      <c r="H89" s="164"/>
      <c r="I89" s="25"/>
      <c r="J89" s="282"/>
      <c r="K89" s="42"/>
      <c r="L89" s="249"/>
      <c r="M89" s="25"/>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c r="C96" s="143"/>
      <c r="D96" s="164"/>
      <c r="E96" s="25"/>
      <c r="F96" s="230"/>
      <c r="G96" s="143"/>
      <c r="H96" s="164"/>
      <c r="I96" s="25"/>
      <c r="J96" s="282"/>
      <c r="K96" s="42"/>
      <c r="L96" s="249"/>
      <c r="M96" s="25"/>
    </row>
    <row r="97" spans="1:13" x14ac:dyDescent="0.2">
      <c r="A97" s="19" t="s">
        <v>334</v>
      </c>
      <c r="B97" s="230"/>
      <c r="C97" s="143"/>
      <c r="D97" s="164"/>
      <c r="E97" s="25"/>
      <c r="F97" s="230"/>
      <c r="G97" s="143"/>
      <c r="H97" s="164"/>
      <c r="I97" s="25"/>
      <c r="J97" s="282"/>
      <c r="K97" s="42"/>
      <c r="L97" s="249"/>
      <c r="M97" s="25"/>
    </row>
    <row r="98" spans="1:13" ht="15.75" x14ac:dyDescent="0.2">
      <c r="A98" s="19" t="s">
        <v>367</v>
      </c>
      <c r="B98" s="230"/>
      <c r="C98" s="230"/>
      <c r="D98" s="164"/>
      <c r="E98" s="25"/>
      <c r="F98" s="286"/>
      <c r="G98" s="286"/>
      <c r="H98" s="164"/>
      <c r="I98" s="25"/>
      <c r="J98" s="282"/>
      <c r="K98" s="42"/>
      <c r="L98" s="249"/>
      <c r="M98" s="25"/>
    </row>
    <row r="99" spans="1:13" x14ac:dyDescent="0.2">
      <c r="A99" s="19" t="s">
        <v>9</v>
      </c>
      <c r="B99" s="286"/>
      <c r="C99" s="287"/>
      <c r="D99" s="164"/>
      <c r="E99" s="25"/>
      <c r="F99" s="230"/>
      <c r="G99" s="143"/>
      <c r="H99" s="164"/>
      <c r="I99" s="25"/>
      <c r="J99" s="282"/>
      <c r="K99" s="42"/>
      <c r="L99" s="249"/>
      <c r="M99" s="25"/>
    </row>
    <row r="100" spans="1:13" x14ac:dyDescent="0.2">
      <c r="A100" s="36" t="s">
        <v>400</v>
      </c>
      <c r="B100" s="286"/>
      <c r="C100" s="287"/>
      <c r="D100" s="164"/>
      <c r="E100" s="25"/>
      <c r="F100" s="230"/>
      <c r="G100" s="230"/>
      <c r="H100" s="164"/>
      <c r="I100" s="25"/>
      <c r="J100" s="282"/>
      <c r="K100" s="42"/>
      <c r="L100" s="249"/>
      <c r="M100" s="25"/>
    </row>
    <row r="101" spans="1:13" ht="15.75" x14ac:dyDescent="0.2">
      <c r="A101" s="288" t="s">
        <v>365</v>
      </c>
      <c r="B101" s="311"/>
      <c r="C101" s="311"/>
      <c r="D101" s="164"/>
      <c r="E101" s="21"/>
      <c r="F101" s="311"/>
      <c r="G101" s="311"/>
      <c r="H101" s="164"/>
      <c r="I101" s="21"/>
      <c r="J101" s="311"/>
      <c r="K101" s="311"/>
      <c r="L101" s="164"/>
      <c r="M101" s="21"/>
    </row>
    <row r="102" spans="1:13" x14ac:dyDescent="0.2">
      <c r="A102" s="288" t="s">
        <v>12</v>
      </c>
      <c r="B102" s="311"/>
      <c r="C102" s="311"/>
      <c r="D102" s="164"/>
      <c r="E102" s="21"/>
      <c r="F102" s="311"/>
      <c r="G102" s="311"/>
      <c r="H102" s="164"/>
      <c r="I102" s="21"/>
      <c r="J102" s="311"/>
      <c r="K102" s="311"/>
      <c r="L102" s="164"/>
      <c r="M102" s="21"/>
    </row>
    <row r="103" spans="1:13" x14ac:dyDescent="0.2">
      <c r="A103" s="288" t="s">
        <v>13</v>
      </c>
      <c r="B103" s="311"/>
      <c r="C103" s="311"/>
      <c r="D103" s="164"/>
      <c r="E103" s="21"/>
      <c r="F103" s="311"/>
      <c r="G103" s="311"/>
      <c r="H103" s="164"/>
      <c r="I103" s="21"/>
      <c r="J103" s="311"/>
      <c r="K103" s="311"/>
      <c r="L103" s="164"/>
      <c r="M103" s="21"/>
    </row>
    <row r="104" spans="1:13" ht="15.75" x14ac:dyDescent="0.2">
      <c r="A104" s="288" t="s">
        <v>366</v>
      </c>
      <c r="B104" s="311"/>
      <c r="C104" s="311"/>
      <c r="D104" s="164"/>
      <c r="E104" s="21"/>
      <c r="F104" s="311"/>
      <c r="G104" s="311"/>
      <c r="H104" s="164"/>
      <c r="I104" s="21"/>
      <c r="J104" s="311"/>
      <c r="K104" s="311"/>
      <c r="L104" s="164"/>
      <c r="M104" s="21"/>
    </row>
    <row r="105" spans="1:13" x14ac:dyDescent="0.2">
      <c r="A105" s="288" t="s">
        <v>12</v>
      </c>
      <c r="B105" s="231"/>
      <c r="C105" s="284"/>
      <c r="D105" s="164"/>
      <c r="E105" s="21"/>
      <c r="F105" s="311"/>
      <c r="G105" s="311"/>
      <c r="H105" s="164"/>
      <c r="I105" s="21"/>
      <c r="J105" s="311"/>
      <c r="K105" s="311"/>
      <c r="L105" s="164"/>
      <c r="M105" s="21"/>
    </row>
    <row r="106" spans="1:13" x14ac:dyDescent="0.2">
      <c r="A106" s="288" t="s">
        <v>13</v>
      </c>
      <c r="B106" s="231"/>
      <c r="C106" s="284"/>
      <c r="D106" s="164"/>
      <c r="E106" s="21"/>
      <c r="F106" s="311"/>
      <c r="G106" s="311"/>
      <c r="H106" s="164"/>
      <c r="I106" s="21"/>
      <c r="J106" s="311"/>
      <c r="K106" s="311"/>
      <c r="L106" s="164"/>
      <c r="M106" s="21"/>
    </row>
    <row r="107" spans="1:13" ht="15.75" x14ac:dyDescent="0.2">
      <c r="A107" s="19" t="s">
        <v>368</v>
      </c>
      <c r="B107" s="230"/>
      <c r="C107" s="143"/>
      <c r="D107" s="164"/>
      <c r="E107" s="25"/>
      <c r="F107" s="230"/>
      <c r="G107" s="143"/>
      <c r="H107" s="164"/>
      <c r="I107" s="25"/>
      <c r="J107" s="282"/>
      <c r="K107" s="42"/>
      <c r="L107" s="249"/>
      <c r="M107" s="25"/>
    </row>
    <row r="108" spans="1:13" ht="15.75" x14ac:dyDescent="0.2">
      <c r="A108" s="19" t="s">
        <v>369</v>
      </c>
      <c r="B108" s="230"/>
      <c r="C108" s="230"/>
      <c r="D108" s="164"/>
      <c r="E108" s="25"/>
      <c r="F108" s="230"/>
      <c r="G108" s="230"/>
      <c r="H108" s="164"/>
      <c r="I108" s="25"/>
      <c r="J108" s="282"/>
      <c r="K108" s="42"/>
      <c r="L108" s="249"/>
      <c r="M108" s="25"/>
    </row>
    <row r="109" spans="1:13" ht="15.75" x14ac:dyDescent="0.2">
      <c r="A109" s="36" t="s">
        <v>408</v>
      </c>
      <c r="B109" s="230"/>
      <c r="C109" s="230"/>
      <c r="D109" s="164"/>
      <c r="E109" s="25"/>
      <c r="F109" s="230"/>
      <c r="G109" s="230"/>
      <c r="H109" s="164"/>
      <c r="I109" s="25"/>
      <c r="J109" s="282"/>
      <c r="K109" s="42"/>
      <c r="L109" s="249"/>
      <c r="M109" s="25"/>
    </row>
    <row r="110" spans="1:13" ht="15.75" x14ac:dyDescent="0.2">
      <c r="A110" s="19" t="s">
        <v>370</v>
      </c>
      <c r="B110" s="230"/>
      <c r="C110" s="230"/>
      <c r="D110" s="164"/>
      <c r="E110" s="25"/>
      <c r="F110" s="230"/>
      <c r="G110" s="230"/>
      <c r="H110" s="164"/>
      <c r="I110" s="25"/>
      <c r="J110" s="282"/>
      <c r="K110" s="42"/>
      <c r="L110" s="249"/>
      <c r="M110" s="25"/>
    </row>
    <row r="111" spans="1:13" ht="15.75" x14ac:dyDescent="0.2">
      <c r="A111" s="13" t="s">
        <v>351</v>
      </c>
      <c r="B111" s="300"/>
      <c r="C111" s="157"/>
      <c r="D111" s="169"/>
      <c r="E111" s="11"/>
      <c r="F111" s="300"/>
      <c r="G111" s="157"/>
      <c r="H111" s="169"/>
      <c r="I111" s="11"/>
      <c r="J111" s="301"/>
      <c r="K111" s="232"/>
      <c r="L111" s="414"/>
      <c r="M111" s="11"/>
    </row>
    <row r="112" spans="1:13" x14ac:dyDescent="0.2">
      <c r="A112" s="19" t="s">
        <v>9</v>
      </c>
      <c r="B112" s="230"/>
      <c r="C112" s="143"/>
      <c r="D112" s="164"/>
      <c r="E112" s="25"/>
      <c r="F112" s="230"/>
      <c r="G112" s="143"/>
      <c r="H112" s="164"/>
      <c r="I112" s="25"/>
      <c r="J112" s="282"/>
      <c r="K112" s="42"/>
      <c r="L112" s="249"/>
      <c r="M112" s="25"/>
    </row>
    <row r="113" spans="1:14" x14ac:dyDescent="0.2">
      <c r="A113" s="19" t="s">
        <v>10</v>
      </c>
      <c r="B113" s="230"/>
      <c r="C113" s="143"/>
      <c r="D113" s="164"/>
      <c r="E113" s="25"/>
      <c r="F113" s="230"/>
      <c r="G113" s="143"/>
      <c r="H113" s="164"/>
      <c r="I113" s="25"/>
      <c r="J113" s="282"/>
      <c r="K113" s="42"/>
      <c r="L113" s="249"/>
      <c r="M113" s="25"/>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c r="C116" s="230"/>
      <c r="D116" s="164"/>
      <c r="E116" s="25"/>
      <c r="F116" s="230"/>
      <c r="G116" s="230"/>
      <c r="H116" s="164"/>
      <c r="I116" s="25"/>
      <c r="J116" s="282"/>
      <c r="K116" s="42"/>
      <c r="L116" s="249"/>
      <c r="M116" s="25"/>
    </row>
    <row r="117" spans="1:14" ht="15.75" x14ac:dyDescent="0.2">
      <c r="A117" s="36" t="s">
        <v>408</v>
      </c>
      <c r="B117" s="230"/>
      <c r="C117" s="230"/>
      <c r="D117" s="164"/>
      <c r="E117" s="25"/>
      <c r="F117" s="230"/>
      <c r="G117" s="230"/>
      <c r="H117" s="164"/>
      <c r="I117" s="25"/>
      <c r="J117" s="282"/>
      <c r="K117" s="42"/>
      <c r="L117" s="249"/>
      <c r="M117" s="25"/>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c r="C119" s="157"/>
      <c r="D119" s="169"/>
      <c r="E119" s="11"/>
      <c r="F119" s="300"/>
      <c r="G119" s="157"/>
      <c r="H119" s="169"/>
      <c r="I119" s="11"/>
      <c r="J119" s="301"/>
      <c r="K119" s="232"/>
      <c r="L119" s="414"/>
      <c r="M119" s="11"/>
    </row>
    <row r="120" spans="1:14" x14ac:dyDescent="0.2">
      <c r="A120" s="19" t="s">
        <v>9</v>
      </c>
      <c r="B120" s="230"/>
      <c r="C120" s="143"/>
      <c r="D120" s="164"/>
      <c r="E120" s="25"/>
      <c r="F120" s="230"/>
      <c r="G120" s="143"/>
      <c r="H120" s="164"/>
      <c r="I120" s="25"/>
      <c r="J120" s="282"/>
      <c r="K120" s="42"/>
      <c r="L120" s="249"/>
      <c r="M120" s="25"/>
    </row>
    <row r="121" spans="1:14" x14ac:dyDescent="0.2">
      <c r="A121" s="19" t="s">
        <v>10</v>
      </c>
      <c r="B121" s="230"/>
      <c r="C121" s="143"/>
      <c r="D121" s="164"/>
      <c r="E121" s="25"/>
      <c r="F121" s="230"/>
      <c r="G121" s="143"/>
      <c r="H121" s="164"/>
      <c r="I121" s="25"/>
      <c r="J121" s="282"/>
      <c r="K121" s="42"/>
      <c r="L121" s="249"/>
      <c r="M121" s="25"/>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c r="C125" s="230"/>
      <c r="D125" s="164"/>
      <c r="E125" s="25"/>
      <c r="F125" s="230"/>
      <c r="G125" s="230"/>
      <c r="H125" s="164"/>
      <c r="I125" s="25"/>
      <c r="J125" s="282"/>
      <c r="K125" s="42"/>
      <c r="L125" s="249"/>
      <c r="M125" s="25"/>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291"/>
      <c r="F130" s="707"/>
      <c r="G130" s="707"/>
      <c r="H130" s="707"/>
      <c r="I130" s="291"/>
      <c r="J130" s="707"/>
      <c r="K130" s="707"/>
      <c r="L130" s="707"/>
      <c r="M130" s="291"/>
    </row>
    <row r="131" spans="1:14" s="3" customFormat="1" x14ac:dyDescent="0.2">
      <c r="A131" s="142"/>
      <c r="B131" s="705" t="s">
        <v>0</v>
      </c>
      <c r="C131" s="706"/>
      <c r="D131" s="706"/>
      <c r="E131" s="293"/>
      <c r="F131" s="705" t="s">
        <v>1</v>
      </c>
      <c r="G131" s="706"/>
      <c r="H131" s="706"/>
      <c r="I131" s="296"/>
      <c r="J131" s="705" t="s">
        <v>2</v>
      </c>
      <c r="K131" s="706"/>
      <c r="L131" s="706"/>
      <c r="M131" s="296"/>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c r="C134" s="301"/>
      <c r="D134" s="341"/>
      <c r="E134" s="11"/>
      <c r="F134" s="308"/>
      <c r="G134" s="309"/>
      <c r="H134" s="417"/>
      <c r="I134" s="22"/>
      <c r="J134" s="310"/>
      <c r="K134" s="310"/>
      <c r="L134" s="413"/>
      <c r="M134" s="11"/>
      <c r="N134" s="146"/>
    </row>
    <row r="135" spans="1:14" s="3" customFormat="1" ht="15.75" x14ac:dyDescent="0.2">
      <c r="A135" s="13" t="s">
        <v>377</v>
      </c>
      <c r="B135" s="232"/>
      <c r="C135" s="301"/>
      <c r="D135" s="169"/>
      <c r="E135" s="11"/>
      <c r="F135" s="232"/>
      <c r="G135" s="301"/>
      <c r="H135" s="418"/>
      <c r="I135" s="22"/>
      <c r="J135" s="300"/>
      <c r="K135" s="300"/>
      <c r="L135" s="414"/>
      <c r="M135" s="11"/>
      <c r="N135" s="146"/>
    </row>
    <row r="136" spans="1:14" s="3" customFormat="1" ht="15.75" x14ac:dyDescent="0.2">
      <c r="A136" s="13" t="s">
        <v>374</v>
      </c>
      <c r="B136" s="232"/>
      <c r="C136" s="301"/>
      <c r="D136" s="169"/>
      <c r="E136" s="11"/>
      <c r="F136" s="232"/>
      <c r="G136" s="301"/>
      <c r="H136" s="418"/>
      <c r="I136" s="22"/>
      <c r="J136" s="300"/>
      <c r="K136" s="300"/>
      <c r="L136" s="414"/>
      <c r="M136" s="11"/>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375" priority="12">
      <formula>kvartal &lt; 4</formula>
    </cfRule>
  </conditionalFormatting>
  <conditionalFormatting sqref="A69:A74">
    <cfRule type="expression" dxfId="374" priority="10">
      <formula>kvartal &lt; 4</formula>
    </cfRule>
  </conditionalFormatting>
  <conditionalFormatting sqref="A80:A85">
    <cfRule type="expression" dxfId="373" priority="9">
      <formula>kvartal &lt; 4</formula>
    </cfRule>
  </conditionalFormatting>
  <conditionalFormatting sqref="A90:A95">
    <cfRule type="expression" dxfId="372" priority="6">
      <formula>kvartal &lt; 4</formula>
    </cfRule>
  </conditionalFormatting>
  <conditionalFormatting sqref="A101:A106">
    <cfRule type="expression" dxfId="371" priority="5">
      <formula>kvartal &lt; 4</formula>
    </cfRule>
  </conditionalFormatting>
  <conditionalFormatting sqref="A115">
    <cfRule type="expression" dxfId="370" priority="4">
      <formula>kvartal &lt; 4</formula>
    </cfRule>
  </conditionalFormatting>
  <conditionalFormatting sqref="A123">
    <cfRule type="expression" dxfId="369" priority="3">
      <formula>kvartal &lt; 4</formula>
    </cfRule>
  </conditionalFormatting>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N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244" t="s">
        <v>124</v>
      </c>
      <c r="D1" s="24"/>
      <c r="E1" s="24"/>
      <c r="F1" s="24"/>
      <c r="G1" s="24"/>
      <c r="H1" s="24"/>
      <c r="I1" s="24"/>
      <c r="J1" s="24"/>
      <c r="K1" s="24"/>
      <c r="L1" s="24"/>
      <c r="M1" s="24"/>
    </row>
    <row r="2" spans="1:14" ht="15.75" x14ac:dyDescent="0.25">
      <c r="A2" s="163" t="s">
        <v>28</v>
      </c>
      <c r="B2" s="704"/>
      <c r="C2" s="704"/>
      <c r="D2" s="704"/>
      <c r="E2" s="291"/>
      <c r="F2" s="704"/>
      <c r="G2" s="704"/>
      <c r="H2" s="704"/>
      <c r="I2" s="291"/>
      <c r="J2" s="704"/>
      <c r="K2" s="704"/>
      <c r="L2" s="704"/>
      <c r="M2" s="291"/>
    </row>
    <row r="3" spans="1:14" ht="15.75" x14ac:dyDescent="0.25">
      <c r="A3" s="161"/>
      <c r="B3" s="291"/>
      <c r="C3" s="291"/>
      <c r="D3" s="291"/>
      <c r="E3" s="291"/>
      <c r="F3" s="291"/>
      <c r="G3" s="291"/>
      <c r="H3" s="291"/>
      <c r="I3" s="291"/>
      <c r="J3" s="291"/>
      <c r="K3" s="291"/>
      <c r="L3" s="291"/>
      <c r="M3" s="291"/>
    </row>
    <row r="4" spans="1:14" x14ac:dyDescent="0.2">
      <c r="A4" s="142"/>
      <c r="B4" s="705" t="s">
        <v>0</v>
      </c>
      <c r="C4" s="706"/>
      <c r="D4" s="706"/>
      <c r="E4" s="293"/>
      <c r="F4" s="705" t="s">
        <v>1</v>
      </c>
      <c r="G4" s="706"/>
      <c r="H4" s="706"/>
      <c r="I4" s="296"/>
      <c r="J4" s="705" t="s">
        <v>2</v>
      </c>
      <c r="K4" s="706"/>
      <c r="L4" s="706"/>
      <c r="M4" s="296"/>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c r="C7" s="299"/>
      <c r="D7" s="341"/>
      <c r="E7" s="11"/>
      <c r="F7" s="298"/>
      <c r="G7" s="299"/>
      <c r="H7" s="341"/>
      <c r="I7" s="158"/>
      <c r="J7" s="300"/>
      <c r="K7" s="301"/>
      <c r="L7" s="413"/>
      <c r="M7" s="11"/>
    </row>
    <row r="8" spans="1:14" ht="15.75" x14ac:dyDescent="0.2">
      <c r="A8" s="19" t="s">
        <v>25</v>
      </c>
      <c r="B8" s="276"/>
      <c r="C8" s="277"/>
      <c r="D8" s="164"/>
      <c r="E8" s="25"/>
      <c r="F8" s="280"/>
      <c r="G8" s="281"/>
      <c r="H8" s="164"/>
      <c r="I8" s="172"/>
      <c r="J8" s="230"/>
      <c r="K8" s="282"/>
      <c r="L8" s="164"/>
      <c r="M8" s="25"/>
    </row>
    <row r="9" spans="1:14" ht="15.75" x14ac:dyDescent="0.2">
      <c r="A9" s="19" t="s">
        <v>24</v>
      </c>
      <c r="B9" s="276"/>
      <c r="C9" s="277"/>
      <c r="D9" s="164"/>
      <c r="E9" s="25"/>
      <c r="F9" s="280"/>
      <c r="G9" s="281"/>
      <c r="H9" s="164"/>
      <c r="I9" s="172"/>
      <c r="J9" s="230"/>
      <c r="K9" s="282"/>
      <c r="L9" s="164"/>
      <c r="M9" s="25"/>
    </row>
    <row r="10" spans="1:14" ht="15.75" x14ac:dyDescent="0.2">
      <c r="A10" s="13" t="s">
        <v>350</v>
      </c>
      <c r="B10" s="302"/>
      <c r="C10" s="303"/>
      <c r="D10" s="169"/>
      <c r="E10" s="11"/>
      <c r="F10" s="302"/>
      <c r="G10" s="303"/>
      <c r="H10" s="169"/>
      <c r="I10" s="158"/>
      <c r="J10" s="300"/>
      <c r="K10" s="301"/>
      <c r="L10" s="414"/>
      <c r="M10" s="11"/>
    </row>
    <row r="11" spans="1:14" s="41" customFormat="1" ht="15.75" x14ac:dyDescent="0.2">
      <c r="A11" s="13" t="s">
        <v>351</v>
      </c>
      <c r="B11" s="302"/>
      <c r="C11" s="303"/>
      <c r="D11" s="169"/>
      <c r="E11" s="11"/>
      <c r="F11" s="302"/>
      <c r="G11" s="303"/>
      <c r="H11" s="169"/>
      <c r="I11" s="158"/>
      <c r="J11" s="300"/>
      <c r="K11" s="301"/>
      <c r="L11" s="414"/>
      <c r="M11" s="11"/>
      <c r="N11" s="141"/>
    </row>
    <row r="12" spans="1:14" s="41" customFormat="1" ht="15.75" x14ac:dyDescent="0.2">
      <c r="A12" s="39" t="s">
        <v>352</v>
      </c>
      <c r="B12" s="304"/>
      <c r="C12" s="305"/>
      <c r="D12" s="167"/>
      <c r="E12" s="34"/>
      <c r="F12" s="304"/>
      <c r="G12" s="305"/>
      <c r="H12" s="167"/>
      <c r="I12" s="167"/>
      <c r="J12" s="306"/>
      <c r="K12" s="307"/>
      <c r="L12" s="415"/>
      <c r="M12" s="34"/>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291"/>
      <c r="F18" s="707"/>
      <c r="G18" s="707"/>
      <c r="H18" s="707"/>
      <c r="I18" s="291"/>
      <c r="J18" s="707"/>
      <c r="K18" s="707"/>
      <c r="L18" s="707"/>
      <c r="M18" s="291"/>
    </row>
    <row r="19" spans="1:14" x14ac:dyDescent="0.2">
      <c r="A19" s="142"/>
      <c r="B19" s="705" t="s">
        <v>0</v>
      </c>
      <c r="C19" s="706"/>
      <c r="D19" s="706"/>
      <c r="E19" s="293"/>
      <c r="F19" s="705" t="s">
        <v>1</v>
      </c>
      <c r="G19" s="706"/>
      <c r="H19" s="706"/>
      <c r="I19" s="296"/>
      <c r="J19" s="705" t="s">
        <v>2</v>
      </c>
      <c r="K19" s="706"/>
      <c r="L19" s="706"/>
      <c r="M19" s="296"/>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302"/>
      <c r="C22" s="302"/>
      <c r="D22" s="341"/>
      <c r="E22" s="11"/>
      <c r="F22" s="310"/>
      <c r="G22" s="310"/>
      <c r="H22" s="341"/>
      <c r="I22" s="11"/>
      <c r="J22" s="308"/>
      <c r="K22" s="308"/>
      <c r="L22" s="413"/>
      <c r="M22" s="22"/>
    </row>
    <row r="23" spans="1:14" ht="15.75" x14ac:dyDescent="0.2">
      <c r="A23" s="496" t="s">
        <v>353</v>
      </c>
      <c r="B23" s="276"/>
      <c r="C23" s="276"/>
      <c r="D23" s="164"/>
      <c r="E23" s="11"/>
      <c r="F23" s="285"/>
      <c r="G23" s="285"/>
      <c r="H23" s="164"/>
      <c r="I23" s="403"/>
      <c r="J23" s="285"/>
      <c r="K23" s="285"/>
      <c r="L23" s="164"/>
      <c r="M23" s="21"/>
    </row>
    <row r="24" spans="1:14" ht="15.75" x14ac:dyDescent="0.2">
      <c r="A24" s="496" t="s">
        <v>354</v>
      </c>
      <c r="B24" s="276"/>
      <c r="C24" s="276"/>
      <c r="D24" s="164"/>
      <c r="E24" s="11"/>
      <c r="F24" s="285"/>
      <c r="G24" s="285"/>
      <c r="H24" s="164"/>
      <c r="I24" s="403"/>
      <c r="J24" s="285"/>
      <c r="K24" s="285"/>
      <c r="L24" s="164"/>
      <c r="M24" s="21"/>
    </row>
    <row r="25" spans="1:14" ht="15.75" x14ac:dyDescent="0.2">
      <c r="A25" s="496" t="s">
        <v>355</v>
      </c>
      <c r="B25" s="276"/>
      <c r="C25" s="276"/>
      <c r="D25" s="164"/>
      <c r="E25" s="11"/>
      <c r="F25" s="285"/>
      <c r="G25" s="285"/>
      <c r="H25" s="164"/>
      <c r="I25" s="403"/>
      <c r="J25" s="285"/>
      <c r="K25" s="285"/>
      <c r="L25" s="164"/>
      <c r="M25" s="21"/>
    </row>
    <row r="26" spans="1:14" ht="15.75" x14ac:dyDescent="0.2">
      <c r="A26" s="496" t="s">
        <v>356</v>
      </c>
      <c r="B26" s="276"/>
      <c r="C26" s="276"/>
      <c r="D26" s="164"/>
      <c r="E26" s="11"/>
      <c r="F26" s="285"/>
      <c r="G26" s="285"/>
      <c r="H26" s="164"/>
      <c r="I26" s="403"/>
      <c r="J26" s="285"/>
      <c r="K26" s="285"/>
      <c r="L26" s="164"/>
      <c r="M26" s="21"/>
    </row>
    <row r="27" spans="1:14" x14ac:dyDescent="0.2">
      <c r="A27" s="496" t="s">
        <v>11</v>
      </c>
      <c r="B27" s="276"/>
      <c r="C27" s="276"/>
      <c r="D27" s="164"/>
      <c r="E27" s="11"/>
      <c r="F27" s="285"/>
      <c r="G27" s="285"/>
      <c r="H27" s="164"/>
      <c r="I27" s="403"/>
      <c r="J27" s="285"/>
      <c r="K27" s="285"/>
      <c r="L27" s="164"/>
      <c r="M27" s="21"/>
    </row>
    <row r="28" spans="1:14" ht="15.75" x14ac:dyDescent="0.2">
      <c r="A28" s="47" t="s">
        <v>271</v>
      </c>
      <c r="B28" s="42"/>
      <c r="C28" s="282"/>
      <c r="D28" s="164"/>
      <c r="E28" s="11"/>
      <c r="F28" s="230"/>
      <c r="G28" s="282"/>
      <c r="H28" s="164"/>
      <c r="I28" s="25"/>
      <c r="J28" s="42"/>
      <c r="K28" s="42"/>
      <c r="L28" s="249"/>
      <c r="M28" s="21"/>
    </row>
    <row r="29" spans="1:14" s="3" customFormat="1" ht="15.75" x14ac:dyDescent="0.2">
      <c r="A29" s="13" t="s">
        <v>350</v>
      </c>
      <c r="B29" s="232"/>
      <c r="C29" s="232"/>
      <c r="D29" s="169"/>
      <c r="E29" s="11"/>
      <c r="F29" s="300"/>
      <c r="G29" s="300"/>
      <c r="H29" s="169"/>
      <c r="I29" s="11"/>
      <c r="J29" s="232"/>
      <c r="K29" s="232"/>
      <c r="L29" s="414"/>
      <c r="M29" s="22"/>
      <c r="N29" s="146"/>
    </row>
    <row r="30" spans="1:14" s="3" customFormat="1" ht="15.75" x14ac:dyDescent="0.2">
      <c r="A30" s="496" t="s">
        <v>353</v>
      </c>
      <c r="B30" s="276"/>
      <c r="C30" s="276"/>
      <c r="D30" s="164"/>
      <c r="E30" s="11"/>
      <c r="F30" s="285"/>
      <c r="G30" s="285"/>
      <c r="H30" s="164"/>
      <c r="I30" s="403"/>
      <c r="J30" s="285"/>
      <c r="K30" s="285"/>
      <c r="L30" s="164"/>
      <c r="M30" s="21"/>
      <c r="N30" s="146"/>
    </row>
    <row r="31" spans="1:14" s="3" customFormat="1" ht="15.75" x14ac:dyDescent="0.2">
      <c r="A31" s="496" t="s">
        <v>354</v>
      </c>
      <c r="B31" s="276"/>
      <c r="C31" s="276"/>
      <c r="D31" s="164"/>
      <c r="E31" s="11"/>
      <c r="F31" s="285"/>
      <c r="G31" s="285"/>
      <c r="H31" s="164"/>
      <c r="I31" s="403"/>
      <c r="J31" s="285"/>
      <c r="K31" s="285"/>
      <c r="L31" s="164"/>
      <c r="M31" s="21"/>
      <c r="N31" s="146"/>
    </row>
    <row r="32" spans="1:14" ht="15.75" x14ac:dyDescent="0.2">
      <c r="A32" s="496" t="s">
        <v>355</v>
      </c>
      <c r="B32" s="276"/>
      <c r="C32" s="276"/>
      <c r="D32" s="164"/>
      <c r="E32" s="11"/>
      <c r="F32" s="285"/>
      <c r="G32" s="285"/>
      <c r="H32" s="164"/>
      <c r="I32" s="403"/>
      <c r="J32" s="285"/>
      <c r="K32" s="285"/>
      <c r="L32" s="164"/>
      <c r="M32" s="21"/>
    </row>
    <row r="33" spans="1:14" ht="15.75" x14ac:dyDescent="0.2">
      <c r="A33" s="496" t="s">
        <v>356</v>
      </c>
      <c r="B33" s="276"/>
      <c r="C33" s="276"/>
      <c r="D33" s="164"/>
      <c r="E33" s="11"/>
      <c r="F33" s="285"/>
      <c r="G33" s="285"/>
      <c r="H33" s="164"/>
      <c r="I33" s="403"/>
      <c r="J33" s="285"/>
      <c r="K33" s="285"/>
      <c r="L33" s="164"/>
      <c r="M33" s="21"/>
    </row>
    <row r="34" spans="1:14" ht="15.75" x14ac:dyDescent="0.2">
      <c r="A34" s="13" t="s">
        <v>351</v>
      </c>
      <c r="B34" s="232"/>
      <c r="C34" s="301"/>
      <c r="D34" s="169"/>
      <c r="E34" s="11"/>
      <c r="F34" s="300"/>
      <c r="G34" s="301"/>
      <c r="H34" s="169"/>
      <c r="I34" s="11"/>
      <c r="J34" s="232"/>
      <c r="K34" s="232"/>
      <c r="L34" s="414"/>
      <c r="M34" s="22"/>
    </row>
    <row r="35" spans="1:14" ht="15.75" x14ac:dyDescent="0.2">
      <c r="A35" s="13" t="s">
        <v>352</v>
      </c>
      <c r="B35" s="232"/>
      <c r="C35" s="301"/>
      <c r="D35" s="169"/>
      <c r="E35" s="11"/>
      <c r="F35" s="300"/>
      <c r="G35" s="301"/>
      <c r="H35" s="169"/>
      <c r="I35" s="11"/>
      <c r="J35" s="232"/>
      <c r="K35" s="232"/>
      <c r="L35" s="414"/>
      <c r="M35" s="22"/>
    </row>
    <row r="36" spans="1:14" ht="15.75" x14ac:dyDescent="0.2">
      <c r="A36" s="12" t="s">
        <v>279</v>
      </c>
      <c r="B36" s="232"/>
      <c r="C36" s="301"/>
      <c r="D36" s="169"/>
      <c r="E36" s="11"/>
      <c r="F36" s="311"/>
      <c r="G36" s="312"/>
      <c r="H36" s="169"/>
      <c r="I36" s="420"/>
      <c r="J36" s="232"/>
      <c r="K36" s="232"/>
      <c r="L36" s="414"/>
      <c r="M36" s="22"/>
    </row>
    <row r="37" spans="1:14" ht="15.75" x14ac:dyDescent="0.2">
      <c r="A37" s="12" t="s">
        <v>358</v>
      </c>
      <c r="B37" s="232"/>
      <c r="C37" s="301"/>
      <c r="D37" s="169"/>
      <c r="E37" s="11"/>
      <c r="F37" s="311"/>
      <c r="G37" s="313"/>
      <c r="H37" s="169"/>
      <c r="I37" s="420"/>
      <c r="J37" s="232"/>
      <c r="K37" s="232"/>
      <c r="L37" s="414"/>
      <c r="M37" s="22"/>
    </row>
    <row r="38" spans="1:14" ht="15.75" x14ac:dyDescent="0.2">
      <c r="A38" s="12" t="s">
        <v>359</v>
      </c>
      <c r="B38" s="232"/>
      <c r="C38" s="301"/>
      <c r="D38" s="169"/>
      <c r="E38" s="22"/>
      <c r="F38" s="311"/>
      <c r="G38" s="312"/>
      <c r="H38" s="169"/>
      <c r="I38" s="420"/>
      <c r="J38" s="232"/>
      <c r="K38" s="232"/>
      <c r="L38" s="414"/>
      <c r="M38" s="22"/>
    </row>
    <row r="39" spans="1:14" ht="15.75" x14ac:dyDescent="0.2">
      <c r="A39" s="18" t="s">
        <v>360</v>
      </c>
      <c r="B39" s="271"/>
      <c r="C39" s="307"/>
      <c r="D39" s="167"/>
      <c r="E39" s="34"/>
      <c r="F39" s="314"/>
      <c r="G39" s="315"/>
      <c r="H39" s="167"/>
      <c r="I39" s="34"/>
      <c r="J39" s="232"/>
      <c r="K39" s="232"/>
      <c r="L39" s="415"/>
      <c r="M39" s="34"/>
    </row>
    <row r="40" spans="1:14" ht="15.75" x14ac:dyDescent="0.25">
      <c r="A40" s="45"/>
      <c r="B40" s="248"/>
      <c r="C40" s="248"/>
      <c r="D40" s="708"/>
      <c r="E40" s="708"/>
      <c r="F40" s="708"/>
      <c r="G40" s="708"/>
      <c r="H40" s="708"/>
      <c r="I40" s="708"/>
      <c r="J40" s="708"/>
      <c r="K40" s="708"/>
      <c r="L40" s="708"/>
      <c r="M40" s="294"/>
    </row>
    <row r="41" spans="1:14" x14ac:dyDescent="0.2">
      <c r="A41" s="153"/>
    </row>
    <row r="42" spans="1:14" ht="15.75" x14ac:dyDescent="0.25">
      <c r="A42" s="145" t="s">
        <v>268</v>
      </c>
      <c r="B42" s="704"/>
      <c r="C42" s="704"/>
      <c r="D42" s="704"/>
      <c r="E42" s="291"/>
      <c r="F42" s="709"/>
      <c r="G42" s="709"/>
      <c r="H42" s="709"/>
      <c r="I42" s="294"/>
      <c r="J42" s="709"/>
      <c r="K42" s="709"/>
      <c r="L42" s="709"/>
      <c r="M42" s="294"/>
    </row>
    <row r="43" spans="1:14" ht="15.75" x14ac:dyDescent="0.25">
      <c r="A43" s="161"/>
      <c r="B43" s="295"/>
      <c r="C43" s="295"/>
      <c r="D43" s="295"/>
      <c r="E43" s="295"/>
      <c r="F43" s="294"/>
      <c r="G43" s="294"/>
      <c r="H43" s="294"/>
      <c r="I43" s="294"/>
      <c r="J43" s="294"/>
      <c r="K43" s="294"/>
      <c r="L43" s="294"/>
      <c r="M43" s="294"/>
    </row>
    <row r="44" spans="1:14" ht="15.75" x14ac:dyDescent="0.25">
      <c r="A44" s="243"/>
      <c r="B44" s="705" t="s">
        <v>0</v>
      </c>
      <c r="C44" s="706"/>
      <c r="D44" s="706"/>
      <c r="E44" s="239"/>
      <c r="F44" s="294"/>
      <c r="G44" s="294"/>
      <c r="H44" s="294"/>
      <c r="I44" s="294"/>
      <c r="J44" s="294"/>
      <c r="K44" s="294"/>
      <c r="L44" s="294"/>
      <c r="M44" s="294"/>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v>5330.2790000000005</v>
      </c>
      <c r="C47" s="303">
        <v>6370.085</v>
      </c>
      <c r="D47" s="413">
        <f t="shared" ref="D47:D57" si="0">IF(B47=0, "    ---- ", IF(ABS(ROUND(100/B47*C47-100,1))&lt;999,ROUND(100/B47*C47-100,1),IF(ROUND(100/B47*C47-100,1)&gt;999,999,-999)))</f>
        <v>19.5</v>
      </c>
      <c r="E47" s="11">
        <f>IFERROR(100/'Skjema total MA'!C47*C47,0)</f>
        <v>0.13100644795024599</v>
      </c>
      <c r="F47" s="143"/>
      <c r="G47" s="31"/>
      <c r="H47" s="157"/>
      <c r="I47" s="157"/>
      <c r="J47" s="35"/>
      <c r="K47" s="35"/>
      <c r="L47" s="157"/>
      <c r="M47" s="157"/>
      <c r="N47" s="146"/>
    </row>
    <row r="48" spans="1:14" s="3" customFormat="1" ht="15.75" x14ac:dyDescent="0.2">
      <c r="A48" s="36" t="s">
        <v>361</v>
      </c>
      <c r="B48" s="276">
        <v>5330.2790000000005</v>
      </c>
      <c r="C48" s="277">
        <v>6370.085</v>
      </c>
      <c r="D48" s="249">
        <f t="shared" si="0"/>
        <v>19.5</v>
      </c>
      <c r="E48" s="25">
        <f>IFERROR(100/'Skjema total MA'!C48*C48,0)</f>
        <v>0.23488444217785648</v>
      </c>
      <c r="F48" s="143"/>
      <c r="G48" s="31"/>
      <c r="H48" s="143"/>
      <c r="I48" s="143"/>
      <c r="J48" s="31"/>
      <c r="K48" s="31"/>
      <c r="L48" s="157"/>
      <c r="M48" s="157"/>
      <c r="N48" s="146"/>
    </row>
    <row r="49" spans="1:14" s="3" customFormat="1" ht="15.75" x14ac:dyDescent="0.2">
      <c r="A49" s="36" t="s">
        <v>362</v>
      </c>
      <c r="B49" s="42"/>
      <c r="C49" s="282"/>
      <c r="D49" s="249"/>
      <c r="E49" s="25"/>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v>371.29</v>
      </c>
      <c r="C53" s="303">
        <v>215.715</v>
      </c>
      <c r="D53" s="414">
        <f t="shared" si="0"/>
        <v>-41.9</v>
      </c>
      <c r="E53" s="11">
        <f>IFERROR(100/'Skjema total MA'!C53*C53,0)</f>
        <v>0.18730671499544313</v>
      </c>
      <c r="F53" s="143"/>
      <c r="G53" s="31"/>
      <c r="H53" s="143"/>
      <c r="I53" s="143"/>
      <c r="J53" s="31"/>
      <c r="K53" s="31"/>
      <c r="L53" s="157"/>
      <c r="M53" s="157"/>
      <c r="N53" s="146"/>
    </row>
    <row r="54" spans="1:14" s="3" customFormat="1" ht="15.75" x14ac:dyDescent="0.2">
      <c r="A54" s="36" t="s">
        <v>361</v>
      </c>
      <c r="B54" s="276">
        <v>371.29</v>
      </c>
      <c r="C54" s="277">
        <v>215.715</v>
      </c>
      <c r="D54" s="249">
        <f t="shared" si="0"/>
        <v>-41.9</v>
      </c>
      <c r="E54" s="25">
        <f>IFERROR(100/'Skjema total MA'!C54*C54,0)</f>
        <v>0.18886298903532656</v>
      </c>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v>137.988</v>
      </c>
      <c r="C56" s="303">
        <v>0</v>
      </c>
      <c r="D56" s="414">
        <f t="shared" si="0"/>
        <v>-100</v>
      </c>
      <c r="E56" s="11">
        <f>IFERROR(100/'Skjema total MA'!C56*C56,0)</f>
        <v>0</v>
      </c>
      <c r="F56" s="143"/>
      <c r="G56" s="31"/>
      <c r="H56" s="143"/>
      <c r="I56" s="143"/>
      <c r="J56" s="31"/>
      <c r="K56" s="31"/>
      <c r="L56" s="157"/>
      <c r="M56" s="157"/>
      <c r="N56" s="146"/>
    </row>
    <row r="57" spans="1:14" s="3" customFormat="1" ht="15.75" x14ac:dyDescent="0.2">
      <c r="A57" s="36" t="s">
        <v>361</v>
      </c>
      <c r="B57" s="276">
        <v>137.988</v>
      </c>
      <c r="C57" s="277">
        <v>0</v>
      </c>
      <c r="D57" s="249">
        <f t="shared" si="0"/>
        <v>-100</v>
      </c>
      <c r="E57" s="25">
        <f>IFERROR(100/'Skjema total MA'!C57*C57,0)</f>
        <v>0</v>
      </c>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291"/>
      <c r="F62" s="707"/>
      <c r="G62" s="707"/>
      <c r="H62" s="707"/>
      <c r="I62" s="291"/>
      <c r="J62" s="707"/>
      <c r="K62" s="707"/>
      <c r="L62" s="707"/>
      <c r="M62" s="291"/>
    </row>
    <row r="63" spans="1:14" x14ac:dyDescent="0.2">
      <c r="A63" s="142"/>
      <c r="B63" s="705" t="s">
        <v>0</v>
      </c>
      <c r="C63" s="706"/>
      <c r="D63" s="710"/>
      <c r="E63" s="292"/>
      <c r="F63" s="706" t="s">
        <v>1</v>
      </c>
      <c r="G63" s="706"/>
      <c r="H63" s="706"/>
      <c r="I63" s="296"/>
      <c r="J63" s="705" t="s">
        <v>2</v>
      </c>
      <c r="K63" s="706"/>
      <c r="L63" s="706"/>
      <c r="M63" s="296"/>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c r="C66" s="344"/>
      <c r="D66" s="341"/>
      <c r="E66" s="11"/>
      <c r="F66" s="343"/>
      <c r="G66" s="343"/>
      <c r="H66" s="341"/>
      <c r="I66" s="11"/>
      <c r="J66" s="301"/>
      <c r="K66" s="308"/>
      <c r="L66" s="414"/>
      <c r="M66" s="11"/>
    </row>
    <row r="67" spans="1:14" x14ac:dyDescent="0.2">
      <c r="A67" s="405" t="s">
        <v>9</v>
      </c>
      <c r="B67" s="42"/>
      <c r="C67" s="143"/>
      <c r="D67" s="164"/>
      <c r="E67" s="25"/>
      <c r="F67" s="230"/>
      <c r="G67" s="143"/>
      <c r="H67" s="164"/>
      <c r="I67" s="25"/>
      <c r="J67" s="282"/>
      <c r="K67" s="42"/>
      <c r="L67" s="249"/>
      <c r="M67" s="25"/>
    </row>
    <row r="68" spans="1:14" x14ac:dyDescent="0.2">
      <c r="A68" s="19" t="s">
        <v>10</v>
      </c>
      <c r="B68" s="286"/>
      <c r="C68" s="287"/>
      <c r="D68" s="164"/>
      <c r="E68" s="25"/>
      <c r="F68" s="286"/>
      <c r="G68" s="287"/>
      <c r="H68" s="164"/>
      <c r="I68" s="25"/>
      <c r="J68" s="282"/>
      <c r="K68" s="42"/>
      <c r="L68" s="249"/>
      <c r="M68" s="25"/>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c r="C75" s="143"/>
      <c r="D75" s="164"/>
      <c r="E75" s="25"/>
      <c r="F75" s="230"/>
      <c r="G75" s="143"/>
      <c r="H75" s="164"/>
      <c r="I75" s="25"/>
      <c r="J75" s="282"/>
      <c r="K75" s="42"/>
      <c r="L75" s="249"/>
      <c r="M75" s="25"/>
      <c r="N75" s="146"/>
    </row>
    <row r="76" spans="1:14" s="3" customFormat="1" x14ac:dyDescent="0.2">
      <c r="A76" s="19" t="s">
        <v>336</v>
      </c>
      <c r="B76" s="230"/>
      <c r="C76" s="143"/>
      <c r="D76" s="164"/>
      <c r="E76" s="25"/>
      <c r="F76" s="230"/>
      <c r="G76" s="143"/>
      <c r="H76" s="164"/>
      <c r="I76" s="25"/>
      <c r="J76" s="282"/>
      <c r="K76" s="42"/>
      <c r="L76" s="249"/>
      <c r="M76" s="25"/>
      <c r="N76" s="146"/>
    </row>
    <row r="77" spans="1:14" ht="15.75" x14ac:dyDescent="0.2">
      <c r="A77" s="19" t="s">
        <v>367</v>
      </c>
      <c r="B77" s="230"/>
      <c r="C77" s="230"/>
      <c r="D77" s="164"/>
      <c r="E77" s="25"/>
      <c r="F77" s="230"/>
      <c r="G77" s="143"/>
      <c r="H77" s="164"/>
      <c r="I77" s="25"/>
      <c r="J77" s="282"/>
      <c r="K77" s="42"/>
      <c r="L77" s="249"/>
      <c r="M77" s="25"/>
    </row>
    <row r="78" spans="1:14" x14ac:dyDescent="0.2">
      <c r="A78" s="19" t="s">
        <v>9</v>
      </c>
      <c r="B78" s="230"/>
      <c r="C78" s="143"/>
      <c r="D78" s="164"/>
      <c r="E78" s="25"/>
      <c r="F78" s="230"/>
      <c r="G78" s="143"/>
      <c r="H78" s="164"/>
      <c r="I78" s="25"/>
      <c r="J78" s="282"/>
      <c r="K78" s="42"/>
      <c r="L78" s="249"/>
      <c r="M78" s="25"/>
    </row>
    <row r="79" spans="1:14" x14ac:dyDescent="0.2">
      <c r="A79" s="36" t="s">
        <v>400</v>
      </c>
      <c r="B79" s="286"/>
      <c r="C79" s="287"/>
      <c r="D79" s="164"/>
      <c r="E79" s="25"/>
      <c r="F79" s="286"/>
      <c r="G79" s="287"/>
      <c r="H79" s="164"/>
      <c r="I79" s="25"/>
      <c r="J79" s="282"/>
      <c r="K79" s="42"/>
      <c r="L79" s="249"/>
      <c r="M79" s="25"/>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c r="C86" s="143"/>
      <c r="D86" s="164"/>
      <c r="E86" s="25"/>
      <c r="F86" s="230"/>
      <c r="G86" s="143"/>
      <c r="H86" s="164"/>
      <c r="I86" s="25"/>
      <c r="J86" s="282"/>
      <c r="K86" s="42"/>
      <c r="L86" s="249"/>
      <c r="M86" s="25"/>
    </row>
    <row r="87" spans="1:13" ht="15.75" x14ac:dyDescent="0.2">
      <c r="A87" s="13" t="s">
        <v>350</v>
      </c>
      <c r="B87" s="344"/>
      <c r="C87" s="344"/>
      <c r="D87" s="169"/>
      <c r="E87" s="11"/>
      <c r="F87" s="343"/>
      <c r="G87" s="343"/>
      <c r="H87" s="169"/>
      <c r="I87" s="11"/>
      <c r="J87" s="301"/>
      <c r="K87" s="232"/>
      <c r="L87" s="414"/>
      <c r="M87" s="11"/>
    </row>
    <row r="88" spans="1:13" x14ac:dyDescent="0.2">
      <c r="A88" s="19" t="s">
        <v>9</v>
      </c>
      <c r="B88" s="230"/>
      <c r="C88" s="143"/>
      <c r="D88" s="164"/>
      <c r="E88" s="25"/>
      <c r="F88" s="230"/>
      <c r="G88" s="143"/>
      <c r="H88" s="164"/>
      <c r="I88" s="25"/>
      <c r="J88" s="282"/>
      <c r="K88" s="42"/>
      <c r="L88" s="249"/>
      <c r="M88" s="25"/>
    </row>
    <row r="89" spans="1:13" x14ac:dyDescent="0.2">
      <c r="A89" s="19" t="s">
        <v>10</v>
      </c>
      <c r="B89" s="230"/>
      <c r="C89" s="143"/>
      <c r="D89" s="164"/>
      <c r="E89" s="25"/>
      <c r="F89" s="230"/>
      <c r="G89" s="143"/>
      <c r="H89" s="164"/>
      <c r="I89" s="25"/>
      <c r="J89" s="282"/>
      <c r="K89" s="42"/>
      <c r="L89" s="249"/>
      <c r="M89" s="25"/>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c r="C96" s="143"/>
      <c r="D96" s="164"/>
      <c r="E96" s="25"/>
      <c r="F96" s="230"/>
      <c r="G96" s="143"/>
      <c r="H96" s="164"/>
      <c r="I96" s="25"/>
      <c r="J96" s="282"/>
      <c r="K96" s="42"/>
      <c r="L96" s="249"/>
      <c r="M96" s="25"/>
    </row>
    <row r="97" spans="1:13" x14ac:dyDescent="0.2">
      <c r="A97" s="19" t="s">
        <v>334</v>
      </c>
      <c r="B97" s="230"/>
      <c r="C97" s="143"/>
      <c r="D97" s="164"/>
      <c r="E97" s="25"/>
      <c r="F97" s="230"/>
      <c r="G97" s="143"/>
      <c r="H97" s="164"/>
      <c r="I97" s="25"/>
      <c r="J97" s="282"/>
      <c r="K97" s="42"/>
      <c r="L97" s="249"/>
      <c r="M97" s="25"/>
    </row>
    <row r="98" spans="1:13" ht="15.75" x14ac:dyDescent="0.2">
      <c r="A98" s="19" t="s">
        <v>367</v>
      </c>
      <c r="B98" s="230"/>
      <c r="C98" s="230"/>
      <c r="D98" s="164"/>
      <c r="E98" s="25"/>
      <c r="F98" s="286"/>
      <c r="G98" s="286"/>
      <c r="H98" s="164"/>
      <c r="I98" s="25"/>
      <c r="J98" s="282"/>
      <c r="K98" s="42"/>
      <c r="L98" s="249"/>
      <c r="M98" s="25"/>
    </row>
    <row r="99" spans="1:13" x14ac:dyDescent="0.2">
      <c r="A99" s="19" t="s">
        <v>9</v>
      </c>
      <c r="B99" s="286"/>
      <c r="C99" s="287"/>
      <c r="D99" s="164"/>
      <c r="E99" s="25"/>
      <c r="F99" s="230"/>
      <c r="G99" s="143"/>
      <c r="H99" s="164"/>
      <c r="I99" s="25"/>
      <c r="J99" s="282"/>
      <c r="K99" s="42"/>
      <c r="L99" s="249"/>
      <c r="M99" s="25"/>
    </row>
    <row r="100" spans="1:13" x14ac:dyDescent="0.2">
      <c r="A100" s="36" t="s">
        <v>400</v>
      </c>
      <c r="B100" s="286"/>
      <c r="C100" s="287"/>
      <c r="D100" s="164"/>
      <c r="E100" s="25"/>
      <c r="F100" s="230"/>
      <c r="G100" s="230"/>
      <c r="H100" s="164"/>
      <c r="I100" s="25"/>
      <c r="J100" s="282"/>
      <c r="K100" s="42"/>
      <c r="L100" s="249"/>
      <c r="M100" s="25"/>
    </row>
    <row r="101" spans="1:13" ht="15.75" x14ac:dyDescent="0.2">
      <c r="A101" s="288" t="s">
        <v>365</v>
      </c>
      <c r="B101" s="311"/>
      <c r="C101" s="311"/>
      <c r="D101" s="164"/>
      <c r="E101" s="21"/>
      <c r="F101" s="311"/>
      <c r="G101" s="311"/>
      <c r="H101" s="164"/>
      <c r="I101" s="21"/>
      <c r="J101" s="311"/>
      <c r="K101" s="311"/>
      <c r="L101" s="164"/>
      <c r="M101" s="21"/>
    </row>
    <row r="102" spans="1:13" x14ac:dyDescent="0.2">
      <c r="A102" s="288" t="s">
        <v>12</v>
      </c>
      <c r="B102" s="311"/>
      <c r="C102" s="311"/>
      <c r="D102" s="164"/>
      <c r="E102" s="21"/>
      <c r="F102" s="311"/>
      <c r="G102" s="311"/>
      <c r="H102" s="164"/>
      <c r="I102" s="21"/>
      <c r="J102" s="311"/>
      <c r="K102" s="311"/>
      <c r="L102" s="164"/>
      <c r="M102" s="21"/>
    </row>
    <row r="103" spans="1:13" x14ac:dyDescent="0.2">
      <c r="A103" s="288" t="s">
        <v>13</v>
      </c>
      <c r="B103" s="311"/>
      <c r="C103" s="311"/>
      <c r="D103" s="164"/>
      <c r="E103" s="21"/>
      <c r="F103" s="311"/>
      <c r="G103" s="311"/>
      <c r="H103" s="164"/>
      <c r="I103" s="21"/>
      <c r="J103" s="311"/>
      <c r="K103" s="311"/>
      <c r="L103" s="164"/>
      <c r="M103" s="21"/>
    </row>
    <row r="104" spans="1:13" ht="15.75" x14ac:dyDescent="0.2">
      <c r="A104" s="288" t="s">
        <v>366</v>
      </c>
      <c r="B104" s="311"/>
      <c r="C104" s="311"/>
      <c r="D104" s="164"/>
      <c r="E104" s="21"/>
      <c r="F104" s="311"/>
      <c r="G104" s="311"/>
      <c r="H104" s="164"/>
      <c r="I104" s="21"/>
      <c r="J104" s="311"/>
      <c r="K104" s="311"/>
      <c r="L104" s="164"/>
      <c r="M104" s="21"/>
    </row>
    <row r="105" spans="1:13" x14ac:dyDescent="0.2">
      <c r="A105" s="288" t="s">
        <v>12</v>
      </c>
      <c r="B105" s="231"/>
      <c r="C105" s="284"/>
      <c r="D105" s="164"/>
      <c r="E105" s="21"/>
      <c r="F105" s="311"/>
      <c r="G105" s="311"/>
      <c r="H105" s="164"/>
      <c r="I105" s="21"/>
      <c r="J105" s="311"/>
      <c r="K105" s="311"/>
      <c r="L105" s="164"/>
      <c r="M105" s="21"/>
    </row>
    <row r="106" spans="1:13" x14ac:dyDescent="0.2">
      <c r="A106" s="288" t="s">
        <v>13</v>
      </c>
      <c r="B106" s="231"/>
      <c r="C106" s="284"/>
      <c r="D106" s="164"/>
      <c r="E106" s="21"/>
      <c r="F106" s="311"/>
      <c r="G106" s="311"/>
      <c r="H106" s="164"/>
      <c r="I106" s="21"/>
      <c r="J106" s="311"/>
      <c r="K106" s="311"/>
      <c r="L106" s="164"/>
      <c r="M106" s="21"/>
    </row>
    <row r="107" spans="1:13" ht="15.75" x14ac:dyDescent="0.2">
      <c r="A107" s="19" t="s">
        <v>368</v>
      </c>
      <c r="B107" s="230"/>
      <c r="C107" s="143"/>
      <c r="D107" s="164"/>
      <c r="E107" s="25"/>
      <c r="F107" s="230"/>
      <c r="G107" s="143"/>
      <c r="H107" s="164"/>
      <c r="I107" s="25"/>
      <c r="J107" s="282"/>
      <c r="K107" s="42"/>
      <c r="L107" s="249"/>
      <c r="M107" s="25"/>
    </row>
    <row r="108" spans="1:13" ht="15.75" x14ac:dyDescent="0.2">
      <c r="A108" s="19" t="s">
        <v>369</v>
      </c>
      <c r="B108" s="230"/>
      <c r="C108" s="230"/>
      <c r="D108" s="164"/>
      <c r="E108" s="25"/>
      <c r="F108" s="230"/>
      <c r="G108" s="230"/>
      <c r="H108" s="164"/>
      <c r="I108" s="25"/>
      <c r="J108" s="282"/>
      <c r="K108" s="42"/>
      <c r="L108" s="249"/>
      <c r="M108" s="25"/>
    </row>
    <row r="109" spans="1:13" ht="15.75" x14ac:dyDescent="0.2">
      <c r="A109" s="36" t="s">
        <v>408</v>
      </c>
      <c r="B109" s="230"/>
      <c r="C109" s="230"/>
      <c r="D109" s="164"/>
      <c r="E109" s="25"/>
      <c r="F109" s="230"/>
      <c r="G109" s="230"/>
      <c r="H109" s="164"/>
      <c r="I109" s="25"/>
      <c r="J109" s="282"/>
      <c r="K109" s="42"/>
      <c r="L109" s="249"/>
      <c r="M109" s="25"/>
    </row>
    <row r="110" spans="1:13" ht="15.75" x14ac:dyDescent="0.2">
      <c r="A110" s="19" t="s">
        <v>370</v>
      </c>
      <c r="B110" s="230"/>
      <c r="C110" s="230"/>
      <c r="D110" s="164"/>
      <c r="E110" s="25"/>
      <c r="F110" s="230"/>
      <c r="G110" s="230"/>
      <c r="H110" s="164"/>
      <c r="I110" s="25"/>
      <c r="J110" s="282"/>
      <c r="K110" s="42"/>
      <c r="L110" s="249"/>
      <c r="M110" s="25"/>
    </row>
    <row r="111" spans="1:13" ht="15.75" x14ac:dyDescent="0.2">
      <c r="A111" s="13" t="s">
        <v>351</v>
      </c>
      <c r="B111" s="300"/>
      <c r="C111" s="157"/>
      <c r="D111" s="169"/>
      <c r="E111" s="11"/>
      <c r="F111" s="300"/>
      <c r="G111" s="157"/>
      <c r="H111" s="169"/>
      <c r="I111" s="11"/>
      <c r="J111" s="301"/>
      <c r="K111" s="232"/>
      <c r="L111" s="414"/>
      <c r="M111" s="11"/>
    </row>
    <row r="112" spans="1:13" x14ac:dyDescent="0.2">
      <c r="A112" s="19" t="s">
        <v>9</v>
      </c>
      <c r="B112" s="230"/>
      <c r="C112" s="143"/>
      <c r="D112" s="164"/>
      <c r="E112" s="25"/>
      <c r="F112" s="230"/>
      <c r="G112" s="143"/>
      <c r="H112" s="164"/>
      <c r="I112" s="25"/>
      <c r="J112" s="282"/>
      <c r="K112" s="42"/>
      <c r="L112" s="249"/>
      <c r="M112" s="25"/>
    </row>
    <row r="113" spans="1:14" x14ac:dyDescent="0.2">
      <c r="A113" s="19" t="s">
        <v>10</v>
      </c>
      <c r="B113" s="230"/>
      <c r="C113" s="143"/>
      <c r="D113" s="164"/>
      <c r="E113" s="25"/>
      <c r="F113" s="230"/>
      <c r="G113" s="143"/>
      <c r="H113" s="164"/>
      <c r="I113" s="25"/>
      <c r="J113" s="282"/>
      <c r="K113" s="42"/>
      <c r="L113" s="249"/>
      <c r="M113" s="25"/>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c r="C116" s="230"/>
      <c r="D116" s="164"/>
      <c r="E116" s="25"/>
      <c r="F116" s="230"/>
      <c r="G116" s="230"/>
      <c r="H116" s="164"/>
      <c r="I116" s="25"/>
      <c r="J116" s="282"/>
      <c r="K116" s="42"/>
      <c r="L116" s="249"/>
      <c r="M116" s="25"/>
    </row>
    <row r="117" spans="1:14" ht="15.75" x14ac:dyDescent="0.2">
      <c r="A117" s="36" t="s">
        <v>408</v>
      </c>
      <c r="B117" s="230"/>
      <c r="C117" s="230"/>
      <c r="D117" s="164"/>
      <c r="E117" s="25"/>
      <c r="F117" s="230"/>
      <c r="G117" s="230"/>
      <c r="H117" s="164"/>
      <c r="I117" s="25"/>
      <c r="J117" s="282"/>
      <c r="K117" s="42"/>
      <c r="L117" s="249"/>
      <c r="M117" s="25"/>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c r="C119" s="157"/>
      <c r="D119" s="169"/>
      <c r="E119" s="11"/>
      <c r="F119" s="300"/>
      <c r="G119" s="157"/>
      <c r="H119" s="169"/>
      <c r="I119" s="11"/>
      <c r="J119" s="301"/>
      <c r="K119" s="232"/>
      <c r="L119" s="414"/>
      <c r="M119" s="11"/>
    </row>
    <row r="120" spans="1:14" x14ac:dyDescent="0.2">
      <c r="A120" s="19" t="s">
        <v>9</v>
      </c>
      <c r="B120" s="230"/>
      <c r="C120" s="143"/>
      <c r="D120" s="164"/>
      <c r="E120" s="25"/>
      <c r="F120" s="230"/>
      <c r="G120" s="143"/>
      <c r="H120" s="164"/>
      <c r="I120" s="25"/>
      <c r="J120" s="282"/>
      <c r="K120" s="42"/>
      <c r="L120" s="249"/>
      <c r="M120" s="25"/>
    </row>
    <row r="121" spans="1:14" x14ac:dyDescent="0.2">
      <c r="A121" s="19" t="s">
        <v>10</v>
      </c>
      <c r="B121" s="230"/>
      <c r="C121" s="143"/>
      <c r="D121" s="164"/>
      <c r="E121" s="25"/>
      <c r="F121" s="230"/>
      <c r="G121" s="143"/>
      <c r="H121" s="164"/>
      <c r="I121" s="25"/>
      <c r="J121" s="282"/>
      <c r="K121" s="42"/>
      <c r="L121" s="249"/>
      <c r="M121" s="25"/>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c r="C125" s="230"/>
      <c r="D125" s="164"/>
      <c r="E125" s="25"/>
      <c r="F125" s="230"/>
      <c r="G125" s="230"/>
      <c r="H125" s="164"/>
      <c r="I125" s="25"/>
      <c r="J125" s="282"/>
      <c r="K125" s="42"/>
      <c r="L125" s="249"/>
      <c r="M125" s="25"/>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291"/>
      <c r="F130" s="707"/>
      <c r="G130" s="707"/>
      <c r="H130" s="707"/>
      <c r="I130" s="291"/>
      <c r="J130" s="707"/>
      <c r="K130" s="707"/>
      <c r="L130" s="707"/>
      <c r="M130" s="291"/>
    </row>
    <row r="131" spans="1:14" s="3" customFormat="1" x14ac:dyDescent="0.2">
      <c r="A131" s="142"/>
      <c r="B131" s="705" t="s">
        <v>0</v>
      </c>
      <c r="C131" s="706"/>
      <c r="D131" s="706"/>
      <c r="E131" s="293"/>
      <c r="F131" s="705" t="s">
        <v>1</v>
      </c>
      <c r="G131" s="706"/>
      <c r="H131" s="706"/>
      <c r="I131" s="296"/>
      <c r="J131" s="705" t="s">
        <v>2</v>
      </c>
      <c r="K131" s="706"/>
      <c r="L131" s="706"/>
      <c r="M131" s="296"/>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c r="C134" s="301"/>
      <c r="D134" s="341"/>
      <c r="E134" s="11"/>
      <c r="F134" s="308"/>
      <c r="G134" s="309"/>
      <c r="H134" s="417"/>
      <c r="I134" s="22"/>
      <c r="J134" s="310"/>
      <c r="K134" s="310"/>
      <c r="L134" s="413"/>
      <c r="M134" s="11"/>
      <c r="N134" s="146"/>
    </row>
    <row r="135" spans="1:14" s="3" customFormat="1" ht="15.75" x14ac:dyDescent="0.2">
      <c r="A135" s="13" t="s">
        <v>377</v>
      </c>
      <c r="B135" s="232"/>
      <c r="C135" s="301"/>
      <c r="D135" s="169"/>
      <c r="E135" s="11"/>
      <c r="F135" s="232"/>
      <c r="G135" s="301"/>
      <c r="H135" s="418"/>
      <c r="I135" s="22"/>
      <c r="J135" s="300"/>
      <c r="K135" s="300"/>
      <c r="L135" s="414"/>
      <c r="M135" s="11"/>
      <c r="N135" s="146"/>
    </row>
    <row r="136" spans="1:14" s="3" customFormat="1" ht="15.75" x14ac:dyDescent="0.2">
      <c r="A136" s="13" t="s">
        <v>374</v>
      </c>
      <c r="B136" s="232"/>
      <c r="C136" s="301"/>
      <c r="D136" s="169"/>
      <c r="E136" s="11"/>
      <c r="F136" s="232"/>
      <c r="G136" s="301"/>
      <c r="H136" s="418"/>
      <c r="I136" s="22"/>
      <c r="J136" s="300"/>
      <c r="K136" s="300"/>
      <c r="L136" s="414"/>
      <c r="M136" s="11"/>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368" priority="12">
      <formula>kvartal &lt; 4</formula>
    </cfRule>
  </conditionalFormatting>
  <conditionalFormatting sqref="A69:A74">
    <cfRule type="expression" dxfId="367" priority="10">
      <formula>kvartal &lt; 4</formula>
    </cfRule>
  </conditionalFormatting>
  <conditionalFormatting sqref="A80:A85">
    <cfRule type="expression" dxfId="366" priority="9">
      <formula>kvartal &lt; 4</formula>
    </cfRule>
  </conditionalFormatting>
  <conditionalFormatting sqref="A90:A95">
    <cfRule type="expression" dxfId="365" priority="6">
      <formula>kvartal &lt; 4</formula>
    </cfRule>
  </conditionalFormatting>
  <conditionalFormatting sqref="A101:A106">
    <cfRule type="expression" dxfId="364" priority="5">
      <formula>kvartal &lt; 4</formula>
    </cfRule>
  </conditionalFormatting>
  <conditionalFormatting sqref="A115">
    <cfRule type="expression" dxfId="363" priority="4">
      <formula>kvartal &lt; 4</formula>
    </cfRule>
  </conditionalFormatting>
  <conditionalFormatting sqref="A123">
    <cfRule type="expression" dxfId="362" priority="3">
      <formula>kvartal &lt; 4</formula>
    </cfRule>
  </conditionalFormatting>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N144"/>
  <sheetViews>
    <sheetView showGridLines="0" zoomScaleNormal="100" zoomScaleSheetLayoutView="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244" t="s">
        <v>125</v>
      </c>
      <c r="D1" s="24"/>
      <c r="E1" s="24"/>
      <c r="F1" s="24"/>
      <c r="G1" s="24"/>
      <c r="H1" s="24"/>
      <c r="I1" s="24"/>
      <c r="J1" s="24"/>
      <c r="K1" s="24"/>
      <c r="L1" s="24"/>
      <c r="M1" s="24"/>
    </row>
    <row r="2" spans="1:14" ht="15.75" x14ac:dyDescent="0.25">
      <c r="A2" s="163" t="s">
        <v>28</v>
      </c>
      <c r="B2" s="704"/>
      <c r="C2" s="704"/>
      <c r="D2" s="704"/>
      <c r="E2" s="291"/>
      <c r="F2" s="704"/>
      <c r="G2" s="704"/>
      <c r="H2" s="704"/>
      <c r="I2" s="291"/>
      <c r="J2" s="704"/>
      <c r="K2" s="704"/>
      <c r="L2" s="704"/>
      <c r="M2" s="291"/>
    </row>
    <row r="3" spans="1:14" ht="15.75" x14ac:dyDescent="0.25">
      <c r="A3" s="161"/>
      <c r="B3" s="291"/>
      <c r="C3" s="291"/>
      <c r="D3" s="291"/>
      <c r="E3" s="291"/>
      <c r="F3" s="291"/>
      <c r="G3" s="291"/>
      <c r="H3" s="291"/>
      <c r="I3" s="291"/>
      <c r="J3" s="291"/>
      <c r="K3" s="291"/>
      <c r="L3" s="291"/>
      <c r="M3" s="291"/>
    </row>
    <row r="4" spans="1:14" x14ac:dyDescent="0.2">
      <c r="A4" s="142"/>
      <c r="B4" s="705" t="s">
        <v>0</v>
      </c>
      <c r="C4" s="706"/>
      <c r="D4" s="706"/>
      <c r="E4" s="293"/>
      <c r="F4" s="705" t="s">
        <v>1</v>
      </c>
      <c r="G4" s="706"/>
      <c r="H4" s="706"/>
      <c r="I4" s="296"/>
      <c r="J4" s="705" t="s">
        <v>2</v>
      </c>
      <c r="K4" s="706"/>
      <c r="L4" s="706"/>
      <c r="M4" s="296"/>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v>681568.00699999998</v>
      </c>
      <c r="C7" s="299">
        <v>698698.80200000003</v>
      </c>
      <c r="D7" s="341">
        <f>IF(B7=0, "    ---- ", IF(ABS(ROUND(100/B7*C7-100,1))&lt;999,ROUND(100/B7*C7-100,1),IF(ROUND(100/B7*C7-100,1)&gt;999,999,-999)))</f>
        <v>2.5</v>
      </c>
      <c r="E7" s="11">
        <f>IFERROR(100/'Skjema total MA'!C7*C7,0)</f>
        <v>17.529745554386984</v>
      </c>
      <c r="F7" s="298"/>
      <c r="G7" s="299"/>
      <c r="H7" s="341"/>
      <c r="I7" s="158"/>
      <c r="J7" s="300">
        <f t="shared" ref="J7:K9" si="0">SUM(B7,F7)</f>
        <v>681568.00699999998</v>
      </c>
      <c r="K7" s="301">
        <f t="shared" si="0"/>
        <v>698698.80200000003</v>
      </c>
      <c r="L7" s="413">
        <f>IF(J7=0, "    ---- ", IF(ABS(ROUND(100/J7*K7-100,1))&lt;999,ROUND(100/J7*K7-100,1),IF(ROUND(100/J7*K7-100,1)&gt;999,999,-999)))</f>
        <v>2.5</v>
      </c>
      <c r="M7" s="11">
        <f>IFERROR(100/'Skjema total MA'!I7*K7,0)</f>
        <v>6.2395097997899107</v>
      </c>
    </row>
    <row r="8" spans="1:14" ht="15.75" x14ac:dyDescent="0.2">
      <c r="A8" s="19" t="s">
        <v>25</v>
      </c>
      <c r="B8" s="276">
        <v>429044.20899999997</v>
      </c>
      <c r="C8" s="277">
        <v>449956.842</v>
      </c>
      <c r="D8" s="164">
        <f t="shared" ref="D8:D9" si="1">IF(B8=0, "    ---- ", IF(ABS(ROUND(100/B8*C8-100,1))&lt;999,ROUND(100/B8*C8-100,1),IF(ROUND(100/B8*C8-100,1)&gt;999,999,-999)))</f>
        <v>4.9000000000000004</v>
      </c>
      <c r="E8" s="25">
        <f>IFERROR(100/'Skjema total MA'!C8*C8,0)</f>
        <v>17.259512865767608</v>
      </c>
      <c r="F8" s="280"/>
      <c r="G8" s="281"/>
      <c r="H8" s="164"/>
      <c r="I8" s="172"/>
      <c r="J8" s="230">
        <f t="shared" si="0"/>
        <v>429044.20899999997</v>
      </c>
      <c r="K8" s="282">
        <f t="shared" si="0"/>
        <v>449956.842</v>
      </c>
      <c r="L8" s="164">
        <f t="shared" ref="L8:L9" si="2">IF(J8=0, "    ---- ", IF(ABS(ROUND(100/J8*K8-100,1))&lt;999,ROUND(100/J8*K8-100,1),IF(ROUND(100/J8*K8-100,1)&gt;999,999,-999)))</f>
        <v>4.9000000000000004</v>
      </c>
      <c r="M8" s="25">
        <f>IFERROR(100/'Skjema total MA'!I8*K8,0)</f>
        <v>17.259512865767608</v>
      </c>
    </row>
    <row r="9" spans="1:14" ht="15.75" x14ac:dyDescent="0.2">
      <c r="A9" s="19" t="s">
        <v>24</v>
      </c>
      <c r="B9" s="276">
        <v>252523.79800000001</v>
      </c>
      <c r="C9" s="277">
        <v>248741.96</v>
      </c>
      <c r="D9" s="164">
        <f t="shared" si="1"/>
        <v>-1.5</v>
      </c>
      <c r="E9" s="25">
        <f>IFERROR(100/'Skjema total MA'!C9*C9,0)</f>
        <v>30.666928669655306</v>
      </c>
      <c r="F9" s="280"/>
      <c r="G9" s="281"/>
      <c r="H9" s="164"/>
      <c r="I9" s="172"/>
      <c r="J9" s="230">
        <f t="shared" si="0"/>
        <v>252523.79800000001</v>
      </c>
      <c r="K9" s="282">
        <f t="shared" si="0"/>
        <v>248741.96</v>
      </c>
      <c r="L9" s="164">
        <f t="shared" si="2"/>
        <v>-1.5</v>
      </c>
      <c r="M9" s="25">
        <f>IFERROR(100/'Skjema total MA'!I9*K9,0)</f>
        <v>30.666928669655306</v>
      </c>
    </row>
    <row r="10" spans="1:14" ht="15.75" x14ac:dyDescent="0.2">
      <c r="A10" s="13" t="s">
        <v>350</v>
      </c>
      <c r="B10" s="302"/>
      <c r="C10" s="303"/>
      <c r="D10" s="169"/>
      <c r="E10" s="11"/>
      <c r="F10" s="302"/>
      <c r="G10" s="303"/>
      <c r="H10" s="169"/>
      <c r="I10" s="158"/>
      <c r="J10" s="300"/>
      <c r="K10" s="301"/>
      <c r="L10" s="414"/>
      <c r="M10" s="11"/>
    </row>
    <row r="11" spans="1:14" s="41" customFormat="1" ht="15.75" x14ac:dyDescent="0.2">
      <c r="A11" s="13" t="s">
        <v>351</v>
      </c>
      <c r="B11" s="302"/>
      <c r="C11" s="303"/>
      <c r="D11" s="169"/>
      <c r="E11" s="11"/>
      <c r="F11" s="302"/>
      <c r="G11" s="303"/>
      <c r="H11" s="169"/>
      <c r="I11" s="158"/>
      <c r="J11" s="300"/>
      <c r="K11" s="301"/>
      <c r="L11" s="414"/>
      <c r="M11" s="11"/>
      <c r="N11" s="141"/>
    </row>
    <row r="12" spans="1:14" s="41" customFormat="1" ht="15.75" x14ac:dyDescent="0.2">
      <c r="A12" s="39" t="s">
        <v>352</v>
      </c>
      <c r="B12" s="304"/>
      <c r="C12" s="305"/>
      <c r="D12" s="167"/>
      <c r="E12" s="34"/>
      <c r="F12" s="304"/>
      <c r="G12" s="305"/>
      <c r="H12" s="167"/>
      <c r="I12" s="167"/>
      <c r="J12" s="306"/>
      <c r="K12" s="307"/>
      <c r="L12" s="415"/>
      <c r="M12" s="34"/>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291"/>
      <c r="F18" s="707"/>
      <c r="G18" s="707"/>
      <c r="H18" s="707"/>
      <c r="I18" s="291"/>
      <c r="J18" s="707"/>
      <c r="K18" s="707"/>
      <c r="L18" s="707"/>
      <c r="M18" s="291"/>
    </row>
    <row r="19" spans="1:14" x14ac:dyDescent="0.2">
      <c r="A19" s="142"/>
      <c r="B19" s="705" t="s">
        <v>0</v>
      </c>
      <c r="C19" s="706"/>
      <c r="D19" s="706"/>
      <c r="E19" s="293"/>
      <c r="F19" s="705" t="s">
        <v>1</v>
      </c>
      <c r="G19" s="706"/>
      <c r="H19" s="706"/>
      <c r="I19" s="296"/>
      <c r="J19" s="705" t="s">
        <v>2</v>
      </c>
      <c r="K19" s="706"/>
      <c r="L19" s="706"/>
      <c r="M19" s="296"/>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302"/>
      <c r="C22" s="302"/>
      <c r="D22" s="341"/>
      <c r="E22" s="11"/>
      <c r="F22" s="310"/>
      <c r="G22" s="310"/>
      <c r="H22" s="341"/>
      <c r="I22" s="11"/>
      <c r="J22" s="308"/>
      <c r="K22" s="308"/>
      <c r="L22" s="413"/>
      <c r="M22" s="22"/>
    </row>
    <row r="23" spans="1:14" ht="15.75" x14ac:dyDescent="0.2">
      <c r="A23" s="496" t="s">
        <v>353</v>
      </c>
      <c r="B23" s="276"/>
      <c r="C23" s="276"/>
      <c r="D23" s="164"/>
      <c r="E23" s="11"/>
      <c r="F23" s="285"/>
      <c r="G23" s="285"/>
      <c r="H23" s="164"/>
      <c r="I23" s="403"/>
      <c r="J23" s="285"/>
      <c r="K23" s="285"/>
      <c r="L23" s="164"/>
      <c r="M23" s="21"/>
    </row>
    <row r="24" spans="1:14" ht="15.75" x14ac:dyDescent="0.2">
      <c r="A24" s="496" t="s">
        <v>354</v>
      </c>
      <c r="B24" s="276"/>
      <c r="C24" s="276"/>
      <c r="D24" s="164"/>
      <c r="E24" s="11"/>
      <c r="F24" s="285"/>
      <c r="G24" s="285"/>
      <c r="H24" s="164"/>
      <c r="I24" s="403"/>
      <c r="J24" s="285"/>
      <c r="K24" s="285"/>
      <c r="L24" s="164"/>
      <c r="M24" s="21"/>
    </row>
    <row r="25" spans="1:14" ht="15.75" x14ac:dyDescent="0.2">
      <c r="A25" s="496" t="s">
        <v>355</v>
      </c>
      <c r="B25" s="276"/>
      <c r="C25" s="276"/>
      <c r="D25" s="164"/>
      <c r="E25" s="11"/>
      <c r="F25" s="285"/>
      <c r="G25" s="285"/>
      <c r="H25" s="164"/>
      <c r="I25" s="403"/>
      <c r="J25" s="285"/>
      <c r="K25" s="285"/>
      <c r="L25" s="164"/>
      <c r="M25" s="21"/>
    </row>
    <row r="26" spans="1:14" ht="15.75" x14ac:dyDescent="0.2">
      <c r="A26" s="496" t="s">
        <v>356</v>
      </c>
      <c r="B26" s="276"/>
      <c r="C26" s="276"/>
      <c r="D26" s="164"/>
      <c r="E26" s="11"/>
      <c r="F26" s="285"/>
      <c r="G26" s="285"/>
      <c r="H26" s="164"/>
      <c r="I26" s="403"/>
      <c r="J26" s="285"/>
      <c r="K26" s="285"/>
      <c r="L26" s="164"/>
      <c r="M26" s="21"/>
    </row>
    <row r="27" spans="1:14" x14ac:dyDescent="0.2">
      <c r="A27" s="496" t="s">
        <v>11</v>
      </c>
      <c r="B27" s="276"/>
      <c r="C27" s="276"/>
      <c r="D27" s="164"/>
      <c r="E27" s="11"/>
      <c r="F27" s="285"/>
      <c r="G27" s="285"/>
      <c r="H27" s="164"/>
      <c r="I27" s="403"/>
      <c r="J27" s="285"/>
      <c r="K27" s="285"/>
      <c r="L27" s="164"/>
      <c r="M27" s="21"/>
    </row>
    <row r="28" spans="1:14" ht="15.75" x14ac:dyDescent="0.2">
      <c r="A28" s="47" t="s">
        <v>271</v>
      </c>
      <c r="B28" s="42"/>
      <c r="C28" s="282"/>
      <c r="D28" s="164"/>
      <c r="E28" s="11"/>
      <c r="F28" s="230"/>
      <c r="G28" s="282"/>
      <c r="H28" s="164"/>
      <c r="I28" s="25"/>
      <c r="J28" s="42"/>
      <c r="K28" s="42"/>
      <c r="L28" s="249"/>
      <c r="M28" s="21"/>
    </row>
    <row r="29" spans="1:14" s="3" customFormat="1" ht="15.75" x14ac:dyDescent="0.2">
      <c r="A29" s="13" t="s">
        <v>350</v>
      </c>
      <c r="B29" s="232"/>
      <c r="C29" s="232"/>
      <c r="D29" s="169"/>
      <c r="E29" s="11"/>
      <c r="F29" s="300"/>
      <c r="G29" s="300"/>
      <c r="H29" s="169"/>
      <c r="I29" s="11"/>
      <c r="J29" s="232"/>
      <c r="K29" s="232"/>
      <c r="L29" s="414"/>
      <c r="M29" s="22"/>
      <c r="N29" s="146"/>
    </row>
    <row r="30" spans="1:14" s="3" customFormat="1" ht="15.75" x14ac:dyDescent="0.2">
      <c r="A30" s="496" t="s">
        <v>353</v>
      </c>
      <c r="B30" s="276"/>
      <c r="C30" s="276"/>
      <c r="D30" s="164"/>
      <c r="E30" s="11"/>
      <c r="F30" s="285"/>
      <c r="G30" s="285"/>
      <c r="H30" s="164"/>
      <c r="I30" s="403"/>
      <c r="J30" s="285"/>
      <c r="K30" s="285"/>
      <c r="L30" s="164"/>
      <c r="M30" s="21"/>
      <c r="N30" s="146"/>
    </row>
    <row r="31" spans="1:14" s="3" customFormat="1" ht="15.75" x14ac:dyDescent="0.2">
      <c r="A31" s="496" t="s">
        <v>354</v>
      </c>
      <c r="B31" s="276"/>
      <c r="C31" s="276"/>
      <c r="D31" s="164"/>
      <c r="E31" s="11"/>
      <c r="F31" s="285"/>
      <c r="G31" s="285"/>
      <c r="H31" s="164"/>
      <c r="I31" s="403"/>
      <c r="J31" s="285"/>
      <c r="K31" s="285"/>
      <c r="L31" s="164"/>
      <c r="M31" s="21"/>
      <c r="N31" s="146"/>
    </row>
    <row r="32" spans="1:14" ht="15.75" x14ac:dyDescent="0.2">
      <c r="A32" s="496" t="s">
        <v>355</v>
      </c>
      <c r="B32" s="276"/>
      <c r="C32" s="276"/>
      <c r="D32" s="164"/>
      <c r="E32" s="11"/>
      <c r="F32" s="285"/>
      <c r="G32" s="285"/>
      <c r="H32" s="164"/>
      <c r="I32" s="403"/>
      <c r="J32" s="285"/>
      <c r="K32" s="285"/>
      <c r="L32" s="164"/>
      <c r="M32" s="21"/>
    </row>
    <row r="33" spans="1:14" ht="15.75" x14ac:dyDescent="0.2">
      <c r="A33" s="496" t="s">
        <v>356</v>
      </c>
      <c r="B33" s="276"/>
      <c r="C33" s="276"/>
      <c r="D33" s="164"/>
      <c r="E33" s="11"/>
      <c r="F33" s="285"/>
      <c r="G33" s="285"/>
      <c r="H33" s="164"/>
      <c r="I33" s="403"/>
      <c r="J33" s="285"/>
      <c r="K33" s="285"/>
      <c r="L33" s="164"/>
      <c r="M33" s="21"/>
    </row>
    <row r="34" spans="1:14" ht="15.75" x14ac:dyDescent="0.2">
      <c r="A34" s="13" t="s">
        <v>351</v>
      </c>
      <c r="B34" s="232"/>
      <c r="C34" s="301"/>
      <c r="D34" s="169"/>
      <c r="E34" s="11"/>
      <c r="F34" s="300"/>
      <c r="G34" s="301"/>
      <c r="H34" s="169"/>
      <c r="I34" s="11"/>
      <c r="J34" s="232"/>
      <c r="K34" s="232"/>
      <c r="L34" s="414"/>
      <c r="M34" s="22"/>
    </row>
    <row r="35" spans="1:14" ht="15.75" x14ac:dyDescent="0.2">
      <c r="A35" s="13" t="s">
        <v>352</v>
      </c>
      <c r="B35" s="232"/>
      <c r="C35" s="301"/>
      <c r="D35" s="169"/>
      <c r="E35" s="11"/>
      <c r="F35" s="300"/>
      <c r="G35" s="301"/>
      <c r="H35" s="169"/>
      <c r="I35" s="11"/>
      <c r="J35" s="232"/>
      <c r="K35" s="232"/>
      <c r="L35" s="414"/>
      <c r="M35" s="22"/>
    </row>
    <row r="36" spans="1:14" ht="15.75" x14ac:dyDescent="0.2">
      <c r="A36" s="12" t="s">
        <v>279</v>
      </c>
      <c r="B36" s="232"/>
      <c r="C36" s="301"/>
      <c r="D36" s="169"/>
      <c r="E36" s="11"/>
      <c r="F36" s="311"/>
      <c r="G36" s="312"/>
      <c r="H36" s="169"/>
      <c r="I36" s="420"/>
      <c r="J36" s="232"/>
      <c r="K36" s="232"/>
      <c r="L36" s="414"/>
      <c r="M36" s="22"/>
    </row>
    <row r="37" spans="1:14" ht="15.75" x14ac:dyDescent="0.2">
      <c r="A37" s="12" t="s">
        <v>358</v>
      </c>
      <c r="B37" s="232"/>
      <c r="C37" s="301"/>
      <c r="D37" s="169"/>
      <c r="E37" s="11"/>
      <c r="F37" s="311"/>
      <c r="G37" s="313"/>
      <c r="H37" s="169"/>
      <c r="I37" s="420"/>
      <c r="J37" s="232"/>
      <c r="K37" s="232"/>
      <c r="L37" s="414"/>
      <c r="M37" s="22"/>
    </row>
    <row r="38" spans="1:14" ht="15.75" x14ac:dyDescent="0.2">
      <c r="A38" s="12" t="s">
        <v>359</v>
      </c>
      <c r="B38" s="232"/>
      <c r="C38" s="301"/>
      <c r="D38" s="169"/>
      <c r="E38" s="22"/>
      <c r="F38" s="311"/>
      <c r="G38" s="312"/>
      <c r="H38" s="169"/>
      <c r="I38" s="420"/>
      <c r="J38" s="232"/>
      <c r="K38" s="232"/>
      <c r="L38" s="414"/>
      <c r="M38" s="22"/>
    </row>
    <row r="39" spans="1:14" ht="15.75" x14ac:dyDescent="0.2">
      <c r="A39" s="18" t="s">
        <v>360</v>
      </c>
      <c r="B39" s="271"/>
      <c r="C39" s="307"/>
      <c r="D39" s="167"/>
      <c r="E39" s="34"/>
      <c r="F39" s="314"/>
      <c r="G39" s="315"/>
      <c r="H39" s="167"/>
      <c r="I39" s="34"/>
      <c r="J39" s="232"/>
      <c r="K39" s="232"/>
      <c r="L39" s="415"/>
      <c r="M39" s="34"/>
    </row>
    <row r="40" spans="1:14" ht="15.75" x14ac:dyDescent="0.25">
      <c r="A40" s="45"/>
      <c r="B40" s="248"/>
      <c r="C40" s="248"/>
      <c r="D40" s="708"/>
      <c r="E40" s="708"/>
      <c r="F40" s="708"/>
      <c r="G40" s="708"/>
      <c r="H40" s="708"/>
      <c r="I40" s="708"/>
      <c r="J40" s="708"/>
      <c r="K40" s="708"/>
      <c r="L40" s="708"/>
      <c r="M40" s="294"/>
    </row>
    <row r="41" spans="1:14" x14ac:dyDescent="0.2">
      <c r="A41" s="153"/>
    </row>
    <row r="42" spans="1:14" ht="15.75" x14ac:dyDescent="0.25">
      <c r="A42" s="145" t="s">
        <v>268</v>
      </c>
      <c r="B42" s="704"/>
      <c r="C42" s="704"/>
      <c r="D42" s="704"/>
      <c r="E42" s="291"/>
      <c r="F42" s="709"/>
      <c r="G42" s="709"/>
      <c r="H42" s="709"/>
      <c r="I42" s="294"/>
      <c r="J42" s="709"/>
      <c r="K42" s="709"/>
      <c r="L42" s="709"/>
      <c r="M42" s="294"/>
    </row>
    <row r="43" spans="1:14" ht="15.75" x14ac:dyDescent="0.25">
      <c r="A43" s="161"/>
      <c r="B43" s="295"/>
      <c r="C43" s="295"/>
      <c r="D43" s="295"/>
      <c r="E43" s="295"/>
      <c r="F43" s="294"/>
      <c r="G43" s="294"/>
      <c r="H43" s="294"/>
      <c r="I43" s="294"/>
      <c r="J43" s="294"/>
      <c r="K43" s="294"/>
      <c r="L43" s="294"/>
      <c r="M43" s="294"/>
    </row>
    <row r="44" spans="1:14" ht="15.75" x14ac:dyDescent="0.25">
      <c r="A44" s="243"/>
      <c r="B44" s="705" t="s">
        <v>0</v>
      </c>
      <c r="C44" s="706"/>
      <c r="D44" s="706"/>
      <c r="E44" s="239"/>
      <c r="F44" s="294"/>
      <c r="G44" s="294"/>
      <c r="H44" s="294"/>
      <c r="I44" s="294"/>
      <c r="J44" s="294"/>
      <c r="K44" s="294"/>
      <c r="L44" s="294"/>
      <c r="M44" s="294"/>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v>990317.94400000002</v>
      </c>
      <c r="C47" s="303">
        <v>1103507.9479999999</v>
      </c>
      <c r="D47" s="413">
        <f t="shared" ref="D47:D57" si="3">IF(B47=0, "    ---- ", IF(ABS(ROUND(100/B47*C47-100,1))&lt;999,ROUND(100/B47*C47-100,1),IF(ROUND(100/B47*C47-100,1)&gt;999,999,-999)))</f>
        <v>11.4</v>
      </c>
      <c r="E47" s="11">
        <f>IFERROR(100/'Skjema total MA'!C47*C47,0)</f>
        <v>22.694619703244893</v>
      </c>
      <c r="F47" s="143"/>
      <c r="G47" s="31"/>
      <c r="H47" s="157"/>
      <c r="I47" s="157"/>
      <c r="J47" s="35"/>
      <c r="K47" s="35"/>
      <c r="L47" s="157"/>
      <c r="M47" s="157"/>
      <c r="N47" s="146"/>
    </row>
    <row r="48" spans="1:14" s="3" customFormat="1" ht="15.75" x14ac:dyDescent="0.2">
      <c r="A48" s="36" t="s">
        <v>361</v>
      </c>
      <c r="B48" s="276">
        <v>662538.87</v>
      </c>
      <c r="C48" s="277">
        <v>736742.75399999996</v>
      </c>
      <c r="D48" s="249">
        <f t="shared" si="3"/>
        <v>11.2</v>
      </c>
      <c r="E48" s="25">
        <f>IFERROR(100/'Skjema total MA'!C48*C48,0)</f>
        <v>27.1659500307873</v>
      </c>
      <c r="F48" s="143"/>
      <c r="G48" s="31"/>
      <c r="H48" s="143"/>
      <c r="I48" s="143"/>
      <c r="J48" s="31"/>
      <c r="K48" s="31"/>
      <c r="L48" s="157"/>
      <c r="M48" s="157"/>
      <c r="N48" s="146"/>
    </row>
    <row r="49" spans="1:14" s="3" customFormat="1" ht="15.75" x14ac:dyDescent="0.2">
      <c r="A49" s="36" t="s">
        <v>362</v>
      </c>
      <c r="B49" s="42">
        <v>327779.07400000002</v>
      </c>
      <c r="C49" s="282">
        <v>366765.19400000002</v>
      </c>
      <c r="D49" s="249">
        <f>IF(B49=0, "    ---- ", IF(ABS(ROUND(100/B49*C49-100,1))&lt;999,ROUND(100/B49*C49-100,1),IF(ROUND(100/B49*C49-100,1)&gt;999,999,-999)))</f>
        <v>11.9</v>
      </c>
      <c r="E49" s="25">
        <f>IFERROR(100/'Skjema total MA'!C49*C49,0)</f>
        <v>17.055570661346433</v>
      </c>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v>176361</v>
      </c>
      <c r="C53" s="303">
        <v>52707</v>
      </c>
      <c r="D53" s="414">
        <f t="shared" si="3"/>
        <v>-70.099999999999994</v>
      </c>
      <c r="E53" s="11">
        <f>IFERROR(100/'Skjema total MA'!C53*C53,0)</f>
        <v>45.765825405117035</v>
      </c>
      <c r="F53" s="143"/>
      <c r="G53" s="31"/>
      <c r="H53" s="143"/>
      <c r="I53" s="143"/>
      <c r="J53" s="31"/>
      <c r="K53" s="31"/>
      <c r="L53" s="157"/>
      <c r="M53" s="157"/>
      <c r="N53" s="146"/>
    </row>
    <row r="54" spans="1:14" s="3" customFormat="1" ht="15.75" x14ac:dyDescent="0.2">
      <c r="A54" s="36" t="s">
        <v>361</v>
      </c>
      <c r="B54" s="276">
        <v>176361</v>
      </c>
      <c r="C54" s="277">
        <v>52707</v>
      </c>
      <c r="D54" s="249">
        <f t="shared" si="3"/>
        <v>-70.099999999999994</v>
      </c>
      <c r="E54" s="25">
        <f>IFERROR(100/'Skjema total MA'!C54*C54,0)</f>
        <v>46.146079610064007</v>
      </c>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v>29960</v>
      </c>
      <c r="C56" s="303">
        <v>24428</v>
      </c>
      <c r="D56" s="414">
        <f t="shared" si="3"/>
        <v>-18.5</v>
      </c>
      <c r="E56" s="11">
        <f>IFERROR(100/'Skjema total MA'!C56*C56,0)</f>
        <v>26.087814222638887</v>
      </c>
      <c r="F56" s="143"/>
      <c r="G56" s="31"/>
      <c r="H56" s="143"/>
      <c r="I56" s="143"/>
      <c r="J56" s="31"/>
      <c r="K56" s="31"/>
      <c r="L56" s="157"/>
      <c r="M56" s="157"/>
      <c r="N56" s="146"/>
    </row>
    <row r="57" spans="1:14" s="3" customFormat="1" ht="15.75" x14ac:dyDescent="0.2">
      <c r="A57" s="36" t="s">
        <v>361</v>
      </c>
      <c r="B57" s="276">
        <v>29960</v>
      </c>
      <c r="C57" s="277">
        <v>24428</v>
      </c>
      <c r="D57" s="249">
        <f t="shared" si="3"/>
        <v>-18.5</v>
      </c>
      <c r="E57" s="25">
        <f>IFERROR(100/'Skjema total MA'!C57*C57,0)</f>
        <v>26.087814222638887</v>
      </c>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291"/>
      <c r="F62" s="707"/>
      <c r="G62" s="707"/>
      <c r="H62" s="707"/>
      <c r="I62" s="291"/>
      <c r="J62" s="707"/>
      <c r="K62" s="707"/>
      <c r="L62" s="707"/>
      <c r="M62" s="291"/>
    </row>
    <row r="63" spans="1:14" x14ac:dyDescent="0.2">
      <c r="A63" s="142"/>
      <c r="B63" s="705" t="s">
        <v>0</v>
      </c>
      <c r="C63" s="706"/>
      <c r="D63" s="710"/>
      <c r="E63" s="292"/>
      <c r="F63" s="706" t="s">
        <v>1</v>
      </c>
      <c r="G63" s="706"/>
      <c r="H63" s="706"/>
      <c r="I63" s="296"/>
      <c r="J63" s="705" t="s">
        <v>2</v>
      </c>
      <c r="K63" s="706"/>
      <c r="L63" s="706"/>
      <c r="M63" s="296"/>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c r="C66" s="344"/>
      <c r="D66" s="341"/>
      <c r="E66" s="11"/>
      <c r="F66" s="343"/>
      <c r="G66" s="343"/>
      <c r="H66" s="341"/>
      <c r="I66" s="11"/>
      <c r="J66" s="301"/>
      <c r="K66" s="308"/>
      <c r="L66" s="414"/>
      <c r="M66" s="11"/>
    </row>
    <row r="67" spans="1:14" x14ac:dyDescent="0.2">
      <c r="A67" s="405" t="s">
        <v>9</v>
      </c>
      <c r="B67" s="42"/>
      <c r="C67" s="143"/>
      <c r="D67" s="164"/>
      <c r="E67" s="25"/>
      <c r="F67" s="230"/>
      <c r="G67" s="143"/>
      <c r="H67" s="164"/>
      <c r="I67" s="25"/>
      <c r="J67" s="282"/>
      <c r="K67" s="42"/>
      <c r="L67" s="249"/>
      <c r="M67" s="25"/>
    </row>
    <row r="68" spans="1:14" x14ac:dyDescent="0.2">
      <c r="A68" s="19" t="s">
        <v>10</v>
      </c>
      <c r="B68" s="286"/>
      <c r="C68" s="287"/>
      <c r="D68" s="164"/>
      <c r="E68" s="25"/>
      <c r="F68" s="286"/>
      <c r="G68" s="287"/>
      <c r="H68" s="164"/>
      <c r="I68" s="25"/>
      <c r="J68" s="282"/>
      <c r="K68" s="42"/>
      <c r="L68" s="249"/>
      <c r="M68" s="25"/>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c r="C75" s="143"/>
      <c r="D75" s="164"/>
      <c r="E75" s="25"/>
      <c r="F75" s="230"/>
      <c r="G75" s="143"/>
      <c r="H75" s="164"/>
      <c r="I75" s="25"/>
      <c r="J75" s="282"/>
      <c r="K75" s="42"/>
      <c r="L75" s="249"/>
      <c r="M75" s="25"/>
      <c r="N75" s="146"/>
    </row>
    <row r="76" spans="1:14" s="3" customFormat="1" x14ac:dyDescent="0.2">
      <c r="A76" s="19" t="s">
        <v>336</v>
      </c>
      <c r="B76" s="230"/>
      <c r="C76" s="143"/>
      <c r="D76" s="164"/>
      <c r="E76" s="25"/>
      <c r="F76" s="230"/>
      <c r="G76" s="143"/>
      <c r="H76" s="164"/>
      <c r="I76" s="25"/>
      <c r="J76" s="282"/>
      <c r="K76" s="42"/>
      <c r="L76" s="249"/>
      <c r="M76" s="25"/>
      <c r="N76" s="146"/>
    </row>
    <row r="77" spans="1:14" ht="15.75" x14ac:dyDescent="0.2">
      <c r="A77" s="19" t="s">
        <v>367</v>
      </c>
      <c r="B77" s="230"/>
      <c r="C77" s="230"/>
      <c r="D77" s="164"/>
      <c r="E77" s="25"/>
      <c r="F77" s="230"/>
      <c r="G77" s="143"/>
      <c r="H77" s="164"/>
      <c r="I77" s="25"/>
      <c r="J77" s="282"/>
      <c r="K77" s="42"/>
      <c r="L77" s="249"/>
      <c r="M77" s="25"/>
    </row>
    <row r="78" spans="1:14" x14ac:dyDescent="0.2">
      <c r="A78" s="19" t="s">
        <v>9</v>
      </c>
      <c r="B78" s="230"/>
      <c r="C78" s="143"/>
      <c r="D78" s="164"/>
      <c r="E78" s="25"/>
      <c r="F78" s="230"/>
      <c r="G78" s="143"/>
      <c r="H78" s="164"/>
      <c r="I78" s="25"/>
      <c r="J78" s="282"/>
      <c r="K78" s="42"/>
      <c r="L78" s="249"/>
      <c r="M78" s="25"/>
    </row>
    <row r="79" spans="1:14" x14ac:dyDescent="0.2">
      <c r="A79" s="36" t="s">
        <v>400</v>
      </c>
      <c r="B79" s="286"/>
      <c r="C79" s="287"/>
      <c r="D79" s="164"/>
      <c r="E79" s="25"/>
      <c r="F79" s="286"/>
      <c r="G79" s="287"/>
      <c r="H79" s="164"/>
      <c r="I79" s="25"/>
      <c r="J79" s="282"/>
      <c r="K79" s="42"/>
      <c r="L79" s="249"/>
      <c r="M79" s="25"/>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c r="C86" s="143"/>
      <c r="D86" s="164"/>
      <c r="E86" s="25"/>
      <c r="F86" s="230"/>
      <c r="G86" s="143"/>
      <c r="H86" s="164"/>
      <c r="I86" s="25"/>
      <c r="J86" s="282"/>
      <c r="K86" s="42"/>
      <c r="L86" s="249"/>
      <c r="M86" s="25"/>
    </row>
    <row r="87" spans="1:13" ht="15.75" x14ac:dyDescent="0.2">
      <c r="A87" s="13" t="s">
        <v>350</v>
      </c>
      <c r="B87" s="344"/>
      <c r="C87" s="344"/>
      <c r="D87" s="169"/>
      <c r="E87" s="11"/>
      <c r="F87" s="343"/>
      <c r="G87" s="343"/>
      <c r="H87" s="169"/>
      <c r="I87" s="11"/>
      <c r="J87" s="301"/>
      <c r="K87" s="232"/>
      <c r="L87" s="414"/>
      <c r="M87" s="11"/>
    </row>
    <row r="88" spans="1:13" x14ac:dyDescent="0.2">
      <c r="A88" s="19" t="s">
        <v>9</v>
      </c>
      <c r="B88" s="230"/>
      <c r="C88" s="143"/>
      <c r="D88" s="164"/>
      <c r="E88" s="25"/>
      <c r="F88" s="230"/>
      <c r="G88" s="143"/>
      <c r="H88" s="164"/>
      <c r="I88" s="25"/>
      <c r="J88" s="282"/>
      <c r="K88" s="42"/>
      <c r="L88" s="249"/>
      <c r="M88" s="25"/>
    </row>
    <row r="89" spans="1:13" x14ac:dyDescent="0.2">
      <c r="A89" s="19" t="s">
        <v>10</v>
      </c>
      <c r="B89" s="230"/>
      <c r="C89" s="143"/>
      <c r="D89" s="164"/>
      <c r="E89" s="25"/>
      <c r="F89" s="230"/>
      <c r="G89" s="143"/>
      <c r="H89" s="164"/>
      <c r="I89" s="25"/>
      <c r="J89" s="282"/>
      <c r="K89" s="42"/>
      <c r="L89" s="249"/>
      <c r="M89" s="25"/>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c r="C96" s="143"/>
      <c r="D96" s="164"/>
      <c r="E96" s="25"/>
      <c r="F96" s="230"/>
      <c r="G96" s="143"/>
      <c r="H96" s="164"/>
      <c r="I96" s="25"/>
      <c r="J96" s="282"/>
      <c r="K96" s="42"/>
      <c r="L96" s="249"/>
      <c r="M96" s="25"/>
    </row>
    <row r="97" spans="1:13" x14ac:dyDescent="0.2">
      <c r="A97" s="19" t="s">
        <v>334</v>
      </c>
      <c r="B97" s="230"/>
      <c r="C97" s="143"/>
      <c r="D97" s="164"/>
      <c r="E97" s="25"/>
      <c r="F97" s="230"/>
      <c r="G97" s="143"/>
      <c r="H97" s="164"/>
      <c r="I97" s="25"/>
      <c r="J97" s="282"/>
      <c r="K97" s="42"/>
      <c r="L97" s="249"/>
      <c r="M97" s="25"/>
    </row>
    <row r="98" spans="1:13" ht="15.75" x14ac:dyDescent="0.2">
      <c r="A98" s="19" t="s">
        <v>367</v>
      </c>
      <c r="B98" s="230"/>
      <c r="C98" s="230"/>
      <c r="D98" s="164"/>
      <c r="E98" s="25"/>
      <c r="F98" s="286"/>
      <c r="G98" s="286"/>
      <c r="H98" s="164"/>
      <c r="I98" s="25"/>
      <c r="J98" s="282"/>
      <c r="K98" s="42"/>
      <c r="L98" s="249"/>
      <c r="M98" s="25"/>
    </row>
    <row r="99" spans="1:13" x14ac:dyDescent="0.2">
      <c r="A99" s="19" t="s">
        <v>9</v>
      </c>
      <c r="B99" s="286"/>
      <c r="C99" s="287"/>
      <c r="D99" s="164"/>
      <c r="E99" s="25"/>
      <c r="F99" s="230"/>
      <c r="G99" s="143"/>
      <c r="H99" s="164"/>
      <c r="I99" s="25"/>
      <c r="J99" s="282"/>
      <c r="K99" s="42"/>
      <c r="L99" s="249"/>
      <c r="M99" s="25"/>
    </row>
    <row r="100" spans="1:13" x14ac:dyDescent="0.2">
      <c r="A100" s="36" t="s">
        <v>400</v>
      </c>
      <c r="B100" s="286"/>
      <c r="C100" s="287"/>
      <c r="D100" s="164"/>
      <c r="E100" s="25"/>
      <c r="F100" s="230"/>
      <c r="G100" s="230"/>
      <c r="H100" s="164"/>
      <c r="I100" s="25"/>
      <c r="J100" s="282"/>
      <c r="K100" s="42"/>
      <c r="L100" s="249"/>
      <c r="M100" s="25"/>
    </row>
    <row r="101" spans="1:13" ht="15.75" x14ac:dyDescent="0.2">
      <c r="A101" s="288" t="s">
        <v>365</v>
      </c>
      <c r="B101" s="311"/>
      <c r="C101" s="311"/>
      <c r="D101" s="164"/>
      <c r="E101" s="21"/>
      <c r="F101" s="311"/>
      <c r="G101" s="311"/>
      <c r="H101" s="164"/>
      <c r="I101" s="21"/>
      <c r="J101" s="311"/>
      <c r="K101" s="311"/>
      <c r="L101" s="164"/>
      <c r="M101" s="21"/>
    </row>
    <row r="102" spans="1:13" x14ac:dyDescent="0.2">
      <c r="A102" s="288" t="s">
        <v>12</v>
      </c>
      <c r="B102" s="311"/>
      <c r="C102" s="311"/>
      <c r="D102" s="164"/>
      <c r="E102" s="21"/>
      <c r="F102" s="311"/>
      <c r="G102" s="311"/>
      <c r="H102" s="164"/>
      <c r="I102" s="21"/>
      <c r="J102" s="311"/>
      <c r="K102" s="311"/>
      <c r="L102" s="164"/>
      <c r="M102" s="21"/>
    </row>
    <row r="103" spans="1:13" x14ac:dyDescent="0.2">
      <c r="A103" s="288" t="s">
        <v>13</v>
      </c>
      <c r="B103" s="311"/>
      <c r="C103" s="311"/>
      <c r="D103" s="164"/>
      <c r="E103" s="21"/>
      <c r="F103" s="311"/>
      <c r="G103" s="311"/>
      <c r="H103" s="164"/>
      <c r="I103" s="21"/>
      <c r="J103" s="311"/>
      <c r="K103" s="311"/>
      <c r="L103" s="164"/>
      <c r="M103" s="21"/>
    </row>
    <row r="104" spans="1:13" ht="15.75" x14ac:dyDescent="0.2">
      <c r="A104" s="288" t="s">
        <v>366</v>
      </c>
      <c r="B104" s="311"/>
      <c r="C104" s="311"/>
      <c r="D104" s="164"/>
      <c r="E104" s="21"/>
      <c r="F104" s="311"/>
      <c r="G104" s="311"/>
      <c r="H104" s="164"/>
      <c r="I104" s="21"/>
      <c r="J104" s="311"/>
      <c r="K104" s="311"/>
      <c r="L104" s="164"/>
      <c r="M104" s="21"/>
    </row>
    <row r="105" spans="1:13" x14ac:dyDescent="0.2">
      <c r="A105" s="288" t="s">
        <v>12</v>
      </c>
      <c r="B105" s="231"/>
      <c r="C105" s="284"/>
      <c r="D105" s="164"/>
      <c r="E105" s="21"/>
      <c r="F105" s="311"/>
      <c r="G105" s="311"/>
      <c r="H105" s="164"/>
      <c r="I105" s="21"/>
      <c r="J105" s="311"/>
      <c r="K105" s="311"/>
      <c r="L105" s="164"/>
      <c r="M105" s="21"/>
    </row>
    <row r="106" spans="1:13" x14ac:dyDescent="0.2">
      <c r="A106" s="288" t="s">
        <v>13</v>
      </c>
      <c r="B106" s="231"/>
      <c r="C106" s="284"/>
      <c r="D106" s="164"/>
      <c r="E106" s="21"/>
      <c r="F106" s="311"/>
      <c r="G106" s="311"/>
      <c r="H106" s="164"/>
      <c r="I106" s="21"/>
      <c r="J106" s="311"/>
      <c r="K106" s="311"/>
      <c r="L106" s="164"/>
      <c r="M106" s="21"/>
    </row>
    <row r="107" spans="1:13" ht="15.75" x14ac:dyDescent="0.2">
      <c r="A107" s="19" t="s">
        <v>368</v>
      </c>
      <c r="B107" s="230"/>
      <c r="C107" s="143"/>
      <c r="D107" s="164"/>
      <c r="E107" s="25"/>
      <c r="F107" s="230"/>
      <c r="G107" s="143"/>
      <c r="H107" s="164"/>
      <c r="I107" s="25"/>
      <c r="J107" s="282"/>
      <c r="K107" s="42"/>
      <c r="L107" s="249"/>
      <c r="M107" s="25"/>
    </row>
    <row r="108" spans="1:13" ht="15.75" x14ac:dyDescent="0.2">
      <c r="A108" s="19" t="s">
        <v>369</v>
      </c>
      <c r="B108" s="230"/>
      <c r="C108" s="230"/>
      <c r="D108" s="164"/>
      <c r="E108" s="25"/>
      <c r="F108" s="230"/>
      <c r="G108" s="230"/>
      <c r="H108" s="164"/>
      <c r="I108" s="25"/>
      <c r="J108" s="282"/>
      <c r="K108" s="42"/>
      <c r="L108" s="249"/>
      <c r="M108" s="25"/>
    </row>
    <row r="109" spans="1:13" ht="15.75" x14ac:dyDescent="0.2">
      <c r="A109" s="36" t="s">
        <v>408</v>
      </c>
      <c r="B109" s="230"/>
      <c r="C109" s="230"/>
      <c r="D109" s="164"/>
      <c r="E109" s="25"/>
      <c r="F109" s="230"/>
      <c r="G109" s="230"/>
      <c r="H109" s="164"/>
      <c r="I109" s="25"/>
      <c r="J109" s="282"/>
      <c r="K109" s="42"/>
      <c r="L109" s="249"/>
      <c r="M109" s="25"/>
    </row>
    <row r="110" spans="1:13" ht="15.75" x14ac:dyDescent="0.2">
      <c r="A110" s="19" t="s">
        <v>370</v>
      </c>
      <c r="B110" s="230"/>
      <c r="C110" s="230"/>
      <c r="D110" s="164"/>
      <c r="E110" s="25"/>
      <c r="F110" s="230"/>
      <c r="G110" s="230"/>
      <c r="H110" s="164"/>
      <c r="I110" s="25"/>
      <c r="J110" s="282"/>
      <c r="K110" s="42"/>
      <c r="L110" s="249"/>
      <c r="M110" s="25"/>
    </row>
    <row r="111" spans="1:13" ht="15.75" x14ac:dyDescent="0.2">
      <c r="A111" s="13" t="s">
        <v>351</v>
      </c>
      <c r="B111" s="300"/>
      <c r="C111" s="157"/>
      <c r="D111" s="169"/>
      <c r="E111" s="11"/>
      <c r="F111" s="300"/>
      <c r="G111" s="157"/>
      <c r="H111" s="169"/>
      <c r="I111" s="11"/>
      <c r="J111" s="301"/>
      <c r="K111" s="232"/>
      <c r="L111" s="414"/>
      <c r="M111" s="11"/>
    </row>
    <row r="112" spans="1:13" x14ac:dyDescent="0.2">
      <c r="A112" s="19" t="s">
        <v>9</v>
      </c>
      <c r="B112" s="230"/>
      <c r="C112" s="143"/>
      <c r="D112" s="164"/>
      <c r="E112" s="25"/>
      <c r="F112" s="230"/>
      <c r="G112" s="143"/>
      <c r="H112" s="164"/>
      <c r="I112" s="25"/>
      <c r="J112" s="282"/>
      <c r="K112" s="42"/>
      <c r="L112" s="249"/>
      <c r="M112" s="25"/>
    </row>
    <row r="113" spans="1:14" x14ac:dyDescent="0.2">
      <c r="A113" s="19" t="s">
        <v>10</v>
      </c>
      <c r="B113" s="230"/>
      <c r="C113" s="143"/>
      <c r="D113" s="164"/>
      <c r="E113" s="25"/>
      <c r="F113" s="230"/>
      <c r="G113" s="143"/>
      <c r="H113" s="164"/>
      <c r="I113" s="25"/>
      <c r="J113" s="282"/>
      <c r="K113" s="42"/>
      <c r="L113" s="249"/>
      <c r="M113" s="25"/>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c r="C116" s="230"/>
      <c r="D116" s="164"/>
      <c r="E116" s="25"/>
      <c r="F116" s="230"/>
      <c r="G116" s="230"/>
      <c r="H116" s="164"/>
      <c r="I116" s="25"/>
      <c r="J116" s="282"/>
      <c r="K116" s="42"/>
      <c r="L116" s="249"/>
      <c r="M116" s="25"/>
    </row>
    <row r="117" spans="1:14" ht="15.75" x14ac:dyDescent="0.2">
      <c r="A117" s="36" t="s">
        <v>408</v>
      </c>
      <c r="B117" s="230"/>
      <c r="C117" s="230"/>
      <c r="D117" s="164"/>
      <c r="E117" s="25"/>
      <c r="F117" s="230"/>
      <c r="G117" s="230"/>
      <c r="H117" s="164"/>
      <c r="I117" s="25"/>
      <c r="J117" s="282"/>
      <c r="K117" s="42"/>
      <c r="L117" s="249"/>
      <c r="M117" s="25"/>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c r="C119" s="157"/>
      <c r="D119" s="169"/>
      <c r="E119" s="11"/>
      <c r="F119" s="300"/>
      <c r="G119" s="157"/>
      <c r="H119" s="169"/>
      <c r="I119" s="11"/>
      <c r="J119" s="301"/>
      <c r="K119" s="232"/>
      <c r="L119" s="414"/>
      <c r="M119" s="11"/>
    </row>
    <row r="120" spans="1:14" x14ac:dyDescent="0.2">
      <c r="A120" s="19" t="s">
        <v>9</v>
      </c>
      <c r="B120" s="230"/>
      <c r="C120" s="143"/>
      <c r="D120" s="164"/>
      <c r="E120" s="25"/>
      <c r="F120" s="230"/>
      <c r="G120" s="143"/>
      <c r="H120" s="164"/>
      <c r="I120" s="25"/>
      <c r="J120" s="282"/>
      <c r="K120" s="42"/>
      <c r="L120" s="249"/>
      <c r="M120" s="25"/>
    </row>
    <row r="121" spans="1:14" x14ac:dyDescent="0.2">
      <c r="A121" s="19" t="s">
        <v>10</v>
      </c>
      <c r="B121" s="230"/>
      <c r="C121" s="143"/>
      <c r="D121" s="164"/>
      <c r="E121" s="25"/>
      <c r="F121" s="230"/>
      <c r="G121" s="143"/>
      <c r="H121" s="164"/>
      <c r="I121" s="25"/>
      <c r="J121" s="282"/>
      <c r="K121" s="42"/>
      <c r="L121" s="249"/>
      <c r="M121" s="25"/>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c r="C125" s="230"/>
      <c r="D125" s="164"/>
      <c r="E125" s="25"/>
      <c r="F125" s="230"/>
      <c r="G125" s="230"/>
      <c r="H125" s="164"/>
      <c r="I125" s="25"/>
      <c r="J125" s="282"/>
      <c r="K125" s="42"/>
      <c r="L125" s="249"/>
      <c r="M125" s="25"/>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291"/>
      <c r="F130" s="707"/>
      <c r="G130" s="707"/>
      <c r="H130" s="707"/>
      <c r="I130" s="291"/>
      <c r="J130" s="707"/>
      <c r="K130" s="707"/>
      <c r="L130" s="707"/>
      <c r="M130" s="291"/>
    </row>
    <row r="131" spans="1:14" s="3" customFormat="1" x14ac:dyDescent="0.2">
      <c r="A131" s="142"/>
      <c r="B131" s="705" t="s">
        <v>0</v>
      </c>
      <c r="C131" s="706"/>
      <c r="D131" s="706"/>
      <c r="E131" s="293"/>
      <c r="F131" s="705" t="s">
        <v>1</v>
      </c>
      <c r="G131" s="706"/>
      <c r="H131" s="706"/>
      <c r="I131" s="296"/>
      <c r="J131" s="705" t="s">
        <v>2</v>
      </c>
      <c r="K131" s="706"/>
      <c r="L131" s="706"/>
      <c r="M131" s="296"/>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c r="C134" s="301"/>
      <c r="D134" s="341"/>
      <c r="E134" s="11"/>
      <c r="F134" s="308"/>
      <c r="G134" s="309"/>
      <c r="H134" s="417"/>
      <c r="I134" s="22"/>
      <c r="J134" s="310"/>
      <c r="K134" s="310"/>
      <c r="L134" s="413"/>
      <c r="M134" s="11"/>
      <c r="N134" s="146"/>
    </row>
    <row r="135" spans="1:14" s="3" customFormat="1" ht="15.75" x14ac:dyDescent="0.2">
      <c r="A135" s="13" t="s">
        <v>377</v>
      </c>
      <c r="B135" s="232"/>
      <c r="C135" s="301"/>
      <c r="D135" s="169"/>
      <c r="E135" s="11"/>
      <c r="F135" s="232"/>
      <c r="G135" s="301"/>
      <c r="H135" s="418"/>
      <c r="I135" s="22"/>
      <c r="J135" s="300"/>
      <c r="K135" s="300"/>
      <c r="L135" s="414"/>
      <c r="M135" s="11"/>
      <c r="N135" s="146"/>
    </row>
    <row r="136" spans="1:14" s="3" customFormat="1" ht="15.75" x14ac:dyDescent="0.2">
      <c r="A136" s="13" t="s">
        <v>374</v>
      </c>
      <c r="B136" s="232"/>
      <c r="C136" s="301"/>
      <c r="D136" s="169"/>
      <c r="E136" s="11"/>
      <c r="F136" s="232"/>
      <c r="G136" s="301"/>
      <c r="H136" s="418"/>
      <c r="I136" s="22"/>
      <c r="J136" s="300"/>
      <c r="K136" s="300"/>
      <c r="L136" s="414"/>
      <c r="M136" s="11"/>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361" priority="12">
      <formula>kvartal &lt; 4</formula>
    </cfRule>
  </conditionalFormatting>
  <conditionalFormatting sqref="A69:A74">
    <cfRule type="expression" dxfId="360" priority="10">
      <formula>kvartal &lt; 4</formula>
    </cfRule>
  </conditionalFormatting>
  <conditionalFormatting sqref="A80:A85">
    <cfRule type="expression" dxfId="359" priority="9">
      <formula>kvartal &lt; 4</formula>
    </cfRule>
  </conditionalFormatting>
  <conditionalFormatting sqref="A90:A95">
    <cfRule type="expression" dxfId="358" priority="6">
      <formula>kvartal &lt; 4</formula>
    </cfRule>
  </conditionalFormatting>
  <conditionalFormatting sqref="A101:A106">
    <cfRule type="expression" dxfId="357" priority="5">
      <formula>kvartal &lt; 4</formula>
    </cfRule>
  </conditionalFormatting>
  <conditionalFormatting sqref="A115">
    <cfRule type="expression" dxfId="356" priority="4">
      <formula>kvartal &lt; 4</formula>
    </cfRule>
  </conditionalFormatting>
  <conditionalFormatting sqref="A123">
    <cfRule type="expression" dxfId="355" priority="3">
      <formula>kvartal &lt; 4</formula>
    </cfRule>
  </conditionalFormatting>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N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244" t="s">
        <v>126</v>
      </c>
      <c r="D1" s="24"/>
      <c r="E1" s="24"/>
      <c r="F1" s="24"/>
      <c r="G1" s="24"/>
      <c r="H1" s="24"/>
      <c r="I1" s="24"/>
      <c r="J1" s="24"/>
      <c r="K1" s="24"/>
      <c r="L1" s="24"/>
      <c r="M1" s="24"/>
    </row>
    <row r="2" spans="1:14" ht="15.75" x14ac:dyDescent="0.25">
      <c r="A2" s="163" t="s">
        <v>28</v>
      </c>
      <c r="B2" s="704"/>
      <c r="C2" s="704"/>
      <c r="D2" s="704"/>
      <c r="E2" s="291"/>
      <c r="F2" s="704"/>
      <c r="G2" s="704"/>
      <c r="H2" s="704"/>
      <c r="I2" s="291"/>
      <c r="J2" s="704"/>
      <c r="K2" s="704"/>
      <c r="L2" s="704"/>
      <c r="M2" s="291"/>
    </row>
    <row r="3" spans="1:14" ht="15.75" x14ac:dyDescent="0.25">
      <c r="A3" s="161"/>
      <c r="B3" s="291"/>
      <c r="C3" s="291"/>
      <c r="D3" s="291"/>
      <c r="E3" s="291"/>
      <c r="F3" s="291"/>
      <c r="G3" s="291"/>
      <c r="H3" s="291"/>
      <c r="I3" s="291"/>
      <c r="J3" s="291"/>
      <c r="K3" s="291"/>
      <c r="L3" s="291"/>
      <c r="M3" s="291"/>
    </row>
    <row r="4" spans="1:14" x14ac:dyDescent="0.2">
      <c r="A4" s="142"/>
      <c r="B4" s="705" t="s">
        <v>0</v>
      </c>
      <c r="C4" s="706"/>
      <c r="D4" s="706"/>
      <c r="E4" s="293"/>
      <c r="F4" s="705" t="s">
        <v>1</v>
      </c>
      <c r="G4" s="706"/>
      <c r="H4" s="706"/>
      <c r="I4" s="296"/>
      <c r="J4" s="705" t="s">
        <v>2</v>
      </c>
      <c r="K4" s="706"/>
      <c r="L4" s="706"/>
      <c r="M4" s="296"/>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c r="C7" s="299"/>
      <c r="D7" s="341"/>
      <c r="E7" s="11"/>
      <c r="F7" s="298">
        <v>121922.6</v>
      </c>
      <c r="G7" s="299">
        <v>75012</v>
      </c>
      <c r="H7" s="341">
        <f>IF(F7=0, "    ---- ", IF(ABS(ROUND(100/F7*G7-100,1))&lt;999,ROUND(100/F7*G7-100,1),IF(ROUND(100/F7*G7-100,1)&gt;999,999,-999)))</f>
        <v>-38.5</v>
      </c>
      <c r="I7" s="158">
        <f>IFERROR(100/'Skjema total MA'!F7*G7,0)</f>
        <v>1.0400729923710781</v>
      </c>
      <c r="J7" s="300">
        <f t="shared" ref="J7:K12" si="0">SUM(B7,F7)</f>
        <v>121922.6</v>
      </c>
      <c r="K7" s="301">
        <f t="shared" si="0"/>
        <v>75012</v>
      </c>
      <c r="L7" s="413">
        <f>IF(J7=0, "    ---- ", IF(ABS(ROUND(100/J7*K7-100,1))&lt;999,ROUND(100/J7*K7-100,1),IF(ROUND(100/J7*K7-100,1)&gt;999,999,-999)))</f>
        <v>-38.5</v>
      </c>
      <c r="M7" s="11">
        <f>IFERROR(100/'Skjema total MA'!I7*K7,0)</f>
        <v>0.66987106284152576</v>
      </c>
    </row>
    <row r="8" spans="1:14" ht="15.75" x14ac:dyDescent="0.2">
      <c r="A8" s="19" t="s">
        <v>25</v>
      </c>
      <c r="B8" s="276"/>
      <c r="C8" s="277"/>
      <c r="D8" s="164"/>
      <c r="E8" s="25"/>
      <c r="F8" s="280"/>
      <c r="G8" s="281"/>
      <c r="H8" s="164"/>
      <c r="I8" s="172"/>
      <c r="J8" s="230"/>
      <c r="K8" s="282"/>
      <c r="L8" s="164"/>
      <c r="M8" s="25"/>
    </row>
    <row r="9" spans="1:14" ht="15.75" x14ac:dyDescent="0.2">
      <c r="A9" s="19" t="s">
        <v>24</v>
      </c>
      <c r="B9" s="276"/>
      <c r="C9" s="277"/>
      <c r="D9" s="164"/>
      <c r="E9" s="25"/>
      <c r="F9" s="280"/>
      <c r="G9" s="281"/>
      <c r="H9" s="164"/>
      <c r="I9" s="172"/>
      <c r="J9" s="230"/>
      <c r="K9" s="282"/>
      <c r="L9" s="164"/>
      <c r="M9" s="25"/>
    </row>
    <row r="10" spans="1:14" ht="15.75" x14ac:dyDescent="0.2">
      <c r="A10" s="13" t="s">
        <v>350</v>
      </c>
      <c r="B10" s="302"/>
      <c r="C10" s="303"/>
      <c r="D10" s="169"/>
      <c r="E10" s="11"/>
      <c r="F10" s="302">
        <v>984172.6</v>
      </c>
      <c r="G10" s="303">
        <v>893109</v>
      </c>
      <c r="H10" s="169">
        <f t="shared" ref="H10:H12" si="1">IF(F10=0, "    ---- ", IF(ABS(ROUND(100/F10*G10-100,1))&lt;999,ROUND(100/F10*G10-100,1),IF(ROUND(100/F10*G10-100,1)&gt;999,999,-999)))</f>
        <v>-9.3000000000000007</v>
      </c>
      <c r="I10" s="158">
        <f>IFERROR(100/'Skjema total MA'!F10*G10,0)</f>
        <v>1.294745233732052</v>
      </c>
      <c r="J10" s="300">
        <f t="shared" si="0"/>
        <v>984172.6</v>
      </c>
      <c r="K10" s="301">
        <f t="shared" si="0"/>
        <v>893109</v>
      </c>
      <c r="L10" s="414">
        <f t="shared" ref="L10:L12" si="2">IF(J10=0, "    ---- ", IF(ABS(ROUND(100/J10*K10-100,1))&lt;999,ROUND(100/J10*K10-100,1),IF(ROUND(100/J10*K10-100,1)&gt;999,999,-999)))</f>
        <v>-9.3000000000000007</v>
      </c>
      <c r="M10" s="11">
        <f>IFERROR(100/'Skjema total MA'!I10*K10,0)</f>
        <v>1.0542988592303268</v>
      </c>
    </row>
    <row r="11" spans="1:14" s="41" customFormat="1" ht="15.75" x14ac:dyDescent="0.2">
      <c r="A11" s="13" t="s">
        <v>351</v>
      </c>
      <c r="B11" s="302"/>
      <c r="C11" s="303"/>
      <c r="D11" s="169"/>
      <c r="E11" s="11"/>
      <c r="F11" s="302">
        <v>8234.2000000000007</v>
      </c>
      <c r="G11" s="303">
        <v>6014</v>
      </c>
      <c r="H11" s="169">
        <f t="shared" si="1"/>
        <v>-27</v>
      </c>
      <c r="I11" s="158">
        <f>IFERROR(100/'Skjema total MA'!F11*G11,0)</f>
        <v>3.557697155943174</v>
      </c>
      <c r="J11" s="300">
        <f t="shared" si="0"/>
        <v>8234.2000000000007</v>
      </c>
      <c r="K11" s="301">
        <f t="shared" si="0"/>
        <v>6014</v>
      </c>
      <c r="L11" s="414">
        <f t="shared" si="2"/>
        <v>-27</v>
      </c>
      <c r="M11" s="11">
        <f>IFERROR(100/'Skjema total MA'!I11*K11,0)</f>
        <v>2.9804895616956575</v>
      </c>
      <c r="N11" s="141"/>
    </row>
    <row r="12" spans="1:14" s="41" customFormat="1" ht="15.75" x14ac:dyDescent="0.2">
      <c r="A12" s="39" t="s">
        <v>352</v>
      </c>
      <c r="B12" s="304"/>
      <c r="C12" s="305"/>
      <c r="D12" s="167"/>
      <c r="E12" s="34"/>
      <c r="F12" s="304">
        <v>6281.2</v>
      </c>
      <c r="G12" s="305">
        <v>23415</v>
      </c>
      <c r="H12" s="167">
        <f t="shared" si="1"/>
        <v>272.8</v>
      </c>
      <c r="I12" s="167">
        <f>IFERROR(100/'Skjema total MA'!F12*G12,0)</f>
        <v>17.695466761653808</v>
      </c>
      <c r="J12" s="306">
        <f t="shared" si="0"/>
        <v>6281.2</v>
      </c>
      <c r="K12" s="307">
        <f t="shared" si="0"/>
        <v>23415</v>
      </c>
      <c r="L12" s="415">
        <f t="shared" si="2"/>
        <v>272.8</v>
      </c>
      <c r="M12" s="34">
        <f>IFERROR(100/'Skjema total MA'!I12*K12,0)</f>
        <v>17.313277304507317</v>
      </c>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291"/>
      <c r="F18" s="707"/>
      <c r="G18" s="707"/>
      <c r="H18" s="707"/>
      <c r="I18" s="291"/>
      <c r="J18" s="707"/>
      <c r="K18" s="707"/>
      <c r="L18" s="707"/>
      <c r="M18" s="291"/>
    </row>
    <row r="19" spans="1:14" x14ac:dyDescent="0.2">
      <c r="A19" s="142"/>
      <c r="B19" s="705" t="s">
        <v>0</v>
      </c>
      <c r="C19" s="706"/>
      <c r="D19" s="706"/>
      <c r="E19" s="293"/>
      <c r="F19" s="705" t="s">
        <v>1</v>
      </c>
      <c r="G19" s="706"/>
      <c r="H19" s="706"/>
      <c r="I19" s="296"/>
      <c r="J19" s="705" t="s">
        <v>2</v>
      </c>
      <c r="K19" s="706"/>
      <c r="L19" s="706"/>
      <c r="M19" s="296"/>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302">
        <v>362543.8</v>
      </c>
      <c r="C22" s="302">
        <v>407684</v>
      </c>
      <c r="D22" s="341">
        <f t="shared" ref="D22:D29" si="3">IF(B22=0, "    ---- ", IF(ABS(ROUND(100/B22*C22-100,1))&lt;999,ROUND(100/B22*C22-100,1),IF(ROUND(100/B22*C22-100,1)&gt;999,999,-999)))</f>
        <v>12.5</v>
      </c>
      <c r="E22" s="11">
        <f>IFERROR(100/'Skjema total MA'!C22*C22,0)</f>
        <v>24.309519478600887</v>
      </c>
      <c r="F22" s="310">
        <v>62269.46</v>
      </c>
      <c r="G22" s="310">
        <v>35600</v>
      </c>
      <c r="H22" s="341">
        <f t="shared" ref="H22:H35" si="4">IF(F22=0, "    ---- ", IF(ABS(ROUND(100/F22*G22-100,1))&lt;999,ROUND(100/F22*G22-100,1),IF(ROUND(100/F22*G22-100,1)&gt;999,999,-999)))</f>
        <v>-42.8</v>
      </c>
      <c r="I22" s="11">
        <f>IFERROR(100/'Skjema total MA'!F22*G22,0)</f>
        <v>5.0582598976161917</v>
      </c>
      <c r="J22" s="308">
        <f t="shared" ref="J22:K35" si="5">SUM(B22,F22)</f>
        <v>424813.26</v>
      </c>
      <c r="K22" s="308">
        <f t="shared" si="5"/>
        <v>443284</v>
      </c>
      <c r="L22" s="413">
        <f t="shared" ref="L22:L35" si="6">IF(J22=0, "    ---- ", IF(ABS(ROUND(100/J22*K22-100,1))&lt;999,ROUND(100/J22*K22-100,1),IF(ROUND(100/J22*K22-100,1)&gt;999,999,-999)))</f>
        <v>4.3</v>
      </c>
      <c r="M22" s="22">
        <f>IFERROR(100/'Skjema total MA'!I22*K22,0)</f>
        <v>18.618695013465324</v>
      </c>
    </row>
    <row r="23" spans="1:14" ht="15.75" x14ac:dyDescent="0.2">
      <c r="A23" s="496" t="s">
        <v>353</v>
      </c>
      <c r="B23" s="276"/>
      <c r="C23" s="276"/>
      <c r="D23" s="164"/>
      <c r="E23" s="11"/>
      <c r="F23" s="285"/>
      <c r="G23" s="285">
        <v>25</v>
      </c>
      <c r="H23" s="164" t="str">
        <f t="shared" si="4"/>
        <v xml:space="preserve">    ---- </v>
      </c>
      <c r="I23" s="403">
        <f>IFERROR(100/'Skjema total MA'!F23*G23,0)</f>
        <v>3.4346791799924378E-2</v>
      </c>
      <c r="J23" s="285"/>
      <c r="K23" s="285">
        <f t="shared" ref="K23:K26" si="7">SUM(C23,G23)</f>
        <v>25</v>
      </c>
      <c r="L23" s="164" t="str">
        <f t="shared" si="6"/>
        <v xml:space="preserve">    ---- </v>
      </c>
      <c r="M23" s="21">
        <f>IFERROR(100/'Skjema total MA'!I23*K23,0)</f>
        <v>3.680133006805465E-3</v>
      </c>
    </row>
    <row r="24" spans="1:14" ht="15.75" x14ac:dyDescent="0.2">
      <c r="A24" s="496" t="s">
        <v>354</v>
      </c>
      <c r="B24" s="276"/>
      <c r="C24" s="276"/>
      <c r="D24" s="164"/>
      <c r="E24" s="11"/>
      <c r="F24" s="285"/>
      <c r="G24" s="285">
        <v>712</v>
      </c>
      <c r="H24" s="164" t="str">
        <f t="shared" si="4"/>
        <v xml:space="preserve">    ---- </v>
      </c>
      <c r="I24" s="403">
        <f>IFERROR(100/'Skjema total MA'!F24*G24,0)</f>
        <v>68.945427302503475</v>
      </c>
      <c r="J24" s="285"/>
      <c r="K24" s="285">
        <f t="shared" si="7"/>
        <v>712</v>
      </c>
      <c r="L24" s="164" t="str">
        <f t="shared" si="6"/>
        <v xml:space="preserve">    ---- </v>
      </c>
      <c r="M24" s="21">
        <f>IFERROR(100/'Skjema total MA'!I24*K24,0)</f>
        <v>4.2959559032000749</v>
      </c>
    </row>
    <row r="25" spans="1:14" ht="15.75" x14ac:dyDescent="0.2">
      <c r="A25" s="496" t="s">
        <v>355</v>
      </c>
      <c r="B25" s="276"/>
      <c r="C25" s="276"/>
      <c r="D25" s="164"/>
      <c r="E25" s="11"/>
      <c r="F25" s="285"/>
      <c r="G25" s="285">
        <v>157</v>
      </c>
      <c r="H25" s="164" t="str">
        <f t="shared" si="4"/>
        <v xml:space="preserve">    ---- </v>
      </c>
      <c r="I25" s="403">
        <f>IFERROR(100/'Skjema total MA'!F25*G25,0)</f>
        <v>1.19448305708142</v>
      </c>
      <c r="J25" s="285"/>
      <c r="K25" s="285">
        <f t="shared" si="7"/>
        <v>157</v>
      </c>
      <c r="L25" s="164" t="str">
        <f t="shared" si="6"/>
        <v xml:space="preserve">    ---- </v>
      </c>
      <c r="M25" s="21">
        <f>IFERROR(100/'Skjema total MA'!I25*K25,0)</f>
        <v>0.45748905155486813</v>
      </c>
    </row>
    <row r="26" spans="1:14" ht="15.75" x14ac:dyDescent="0.2">
      <c r="A26" s="496" t="s">
        <v>356</v>
      </c>
      <c r="B26" s="276"/>
      <c r="C26" s="276"/>
      <c r="D26" s="164"/>
      <c r="E26" s="11"/>
      <c r="F26" s="285">
        <v>62269.46</v>
      </c>
      <c r="G26" s="285">
        <v>34706</v>
      </c>
      <c r="H26" s="164">
        <f t="shared" si="4"/>
        <v>-44.3</v>
      </c>
      <c r="I26" s="403">
        <f>IFERROR(100/'Skjema total MA'!F26*G26,0)</f>
        <v>5.6264560952467937</v>
      </c>
      <c r="J26" s="285">
        <f t="shared" ref="J26" si="8">SUM(B26,F26)</f>
        <v>62269.46</v>
      </c>
      <c r="K26" s="285">
        <f t="shared" si="7"/>
        <v>34706</v>
      </c>
      <c r="L26" s="164">
        <f t="shared" si="6"/>
        <v>-44.3</v>
      </c>
      <c r="M26" s="21">
        <f>IFERROR(100/'Skjema total MA'!I26*K26,0)</f>
        <v>5.6264560952467937</v>
      </c>
    </row>
    <row r="27" spans="1:14" x14ac:dyDescent="0.2">
      <c r="A27" s="496" t="s">
        <v>11</v>
      </c>
      <c r="B27" s="276"/>
      <c r="C27" s="276"/>
      <c r="D27" s="164"/>
      <c r="E27" s="11"/>
      <c r="F27" s="285"/>
      <c r="G27" s="285"/>
      <c r="H27" s="164"/>
      <c r="I27" s="403"/>
      <c r="J27" s="285"/>
      <c r="K27" s="285"/>
      <c r="L27" s="164"/>
      <c r="M27" s="21"/>
    </row>
    <row r="28" spans="1:14" ht="15.75" x14ac:dyDescent="0.2">
      <c r="A28" s="47" t="s">
        <v>271</v>
      </c>
      <c r="B28" s="42">
        <v>362543.8</v>
      </c>
      <c r="C28" s="282">
        <v>407684</v>
      </c>
      <c r="D28" s="164">
        <f t="shared" si="3"/>
        <v>12.5</v>
      </c>
      <c r="E28" s="11">
        <f>IFERROR(100/'Skjema total MA'!C28*C28,0)</f>
        <v>21.655424899987256</v>
      </c>
      <c r="F28" s="230"/>
      <c r="G28" s="282"/>
      <c r="H28" s="164"/>
      <c r="I28" s="25"/>
      <c r="J28" s="42">
        <f t="shared" si="5"/>
        <v>362543.8</v>
      </c>
      <c r="K28" s="42">
        <f t="shared" si="5"/>
        <v>407684</v>
      </c>
      <c r="L28" s="249">
        <f t="shared" si="6"/>
        <v>12.5</v>
      </c>
      <c r="M28" s="21">
        <f>IFERROR(100/'Skjema total MA'!I28*K28,0)</f>
        <v>21.655424899987256</v>
      </c>
    </row>
    <row r="29" spans="1:14" s="3" customFormat="1" ht="15.75" x14ac:dyDescent="0.2">
      <c r="A29" s="13" t="s">
        <v>350</v>
      </c>
      <c r="B29" s="232">
        <v>2553122</v>
      </c>
      <c r="C29" s="232">
        <v>2969718</v>
      </c>
      <c r="D29" s="169">
        <f t="shared" si="3"/>
        <v>16.3</v>
      </c>
      <c r="E29" s="11">
        <f>IFERROR(100/'Skjema total MA'!C29*C29,0)</f>
        <v>6.6628193540552116</v>
      </c>
      <c r="F29" s="300">
        <v>1707289.7</v>
      </c>
      <c r="G29" s="300">
        <v>1482429</v>
      </c>
      <c r="H29" s="169">
        <f t="shared" si="4"/>
        <v>-13.2</v>
      </c>
      <c r="I29" s="11">
        <f>IFERROR(100/'Skjema total MA'!F29*G29,0)</f>
        <v>6.4169331899906803</v>
      </c>
      <c r="J29" s="232">
        <f t="shared" si="5"/>
        <v>4260411.7</v>
      </c>
      <c r="K29" s="232">
        <f t="shared" si="5"/>
        <v>4452147</v>
      </c>
      <c r="L29" s="414">
        <f t="shared" si="6"/>
        <v>4.5</v>
      </c>
      <c r="M29" s="22">
        <f>IFERROR(100/'Skjema total MA'!I29*K29,0)</f>
        <v>6.578880510859392</v>
      </c>
      <c r="N29" s="146"/>
    </row>
    <row r="30" spans="1:14" s="3" customFormat="1" ht="15.75" x14ac:dyDescent="0.2">
      <c r="A30" s="496" t="s">
        <v>353</v>
      </c>
      <c r="B30" s="276"/>
      <c r="C30" s="276"/>
      <c r="D30" s="164"/>
      <c r="E30" s="11"/>
      <c r="F30" s="285">
        <v>25744.400000000001</v>
      </c>
      <c r="G30" s="285">
        <v>19991</v>
      </c>
      <c r="H30" s="164">
        <f t="shared" si="4"/>
        <v>-22.3</v>
      </c>
      <c r="I30" s="403">
        <f>IFERROR(100/'Skjema total MA'!F30*G30,0)</f>
        <v>0.58487397343395531</v>
      </c>
      <c r="J30" s="285">
        <f t="shared" ref="J30:J33" si="9">SUM(B30,F30)</f>
        <v>25744.400000000001</v>
      </c>
      <c r="K30" s="285">
        <f t="shared" ref="K30:K33" si="10">SUM(C30,G30)</f>
        <v>19991</v>
      </c>
      <c r="L30" s="164">
        <f t="shared" si="6"/>
        <v>-22.3</v>
      </c>
      <c r="M30" s="21">
        <f>IFERROR(100/'Skjema total MA'!I30*K30,0)</f>
        <v>0.15138667209052525</v>
      </c>
      <c r="N30" s="146"/>
    </row>
    <row r="31" spans="1:14" s="3" customFormat="1" ht="15.75" x14ac:dyDescent="0.2">
      <c r="A31" s="496" t="s">
        <v>354</v>
      </c>
      <c r="B31" s="276"/>
      <c r="C31" s="276"/>
      <c r="D31" s="164"/>
      <c r="E31" s="11"/>
      <c r="F31" s="285">
        <v>1054481.2</v>
      </c>
      <c r="G31" s="285">
        <v>838514</v>
      </c>
      <c r="H31" s="164">
        <f t="shared" si="4"/>
        <v>-20.5</v>
      </c>
      <c r="I31" s="403">
        <f>IFERROR(100/'Skjema total MA'!F31*G31,0)</f>
        <v>11.116738972512421</v>
      </c>
      <c r="J31" s="285">
        <f t="shared" si="9"/>
        <v>1054481.2</v>
      </c>
      <c r="K31" s="285">
        <f t="shared" si="10"/>
        <v>838514</v>
      </c>
      <c r="L31" s="164">
        <f t="shared" si="6"/>
        <v>-20.5</v>
      </c>
      <c r="M31" s="21">
        <f>IFERROR(100/'Skjema total MA'!I31*K31,0)</f>
        <v>2.5681723152521148</v>
      </c>
      <c r="N31" s="146"/>
    </row>
    <row r="32" spans="1:14" ht="15.75" x14ac:dyDescent="0.2">
      <c r="A32" s="496" t="s">
        <v>355</v>
      </c>
      <c r="B32" s="276"/>
      <c r="C32" s="276"/>
      <c r="D32" s="164"/>
      <c r="E32" s="11"/>
      <c r="F32" s="285">
        <v>132984.1</v>
      </c>
      <c r="G32" s="285">
        <v>113530</v>
      </c>
      <c r="H32" s="164">
        <f t="shared" si="4"/>
        <v>-14.6</v>
      </c>
      <c r="I32" s="403">
        <f>IFERROR(100/'Skjema total MA'!F32*G32,0)</f>
        <v>2.1902648229900947</v>
      </c>
      <c r="J32" s="285">
        <f t="shared" si="9"/>
        <v>132984.1</v>
      </c>
      <c r="K32" s="285">
        <f t="shared" si="10"/>
        <v>113530</v>
      </c>
      <c r="L32" s="164">
        <f t="shared" si="6"/>
        <v>-14.6</v>
      </c>
      <c r="M32" s="21">
        <f>IFERROR(100/'Skjema total MA'!I32*K32,0)</f>
        <v>1.4866476817382737</v>
      </c>
    </row>
    <row r="33" spans="1:14" ht="15.75" x14ac:dyDescent="0.2">
      <c r="A33" s="496" t="s">
        <v>356</v>
      </c>
      <c r="B33" s="276"/>
      <c r="C33" s="276"/>
      <c r="D33" s="164"/>
      <c r="E33" s="11"/>
      <c r="F33" s="285">
        <v>494080</v>
      </c>
      <c r="G33" s="285">
        <v>510394</v>
      </c>
      <c r="H33" s="164">
        <f t="shared" si="4"/>
        <v>3.3</v>
      </c>
      <c r="I33" s="403">
        <f>IFERROR(100/'Skjema total MA'!F34*G33,0)</f>
        <v>741.41994142768817</v>
      </c>
      <c r="J33" s="285">
        <f t="shared" si="9"/>
        <v>494080</v>
      </c>
      <c r="K33" s="285">
        <f t="shared" si="10"/>
        <v>510394</v>
      </c>
      <c r="L33" s="164">
        <f t="shared" si="6"/>
        <v>3.3</v>
      </c>
      <c r="M33" s="21">
        <f>IFERROR(100/'Skjema total MA'!I34*K33,0)</f>
        <v>554.88320975364059</v>
      </c>
    </row>
    <row r="34" spans="1:14" ht="15.75" x14ac:dyDescent="0.2">
      <c r="A34" s="13" t="s">
        <v>351</v>
      </c>
      <c r="B34" s="232"/>
      <c r="C34" s="301"/>
      <c r="D34" s="169"/>
      <c r="E34" s="11"/>
      <c r="F34" s="300">
        <v>59994.1</v>
      </c>
      <c r="G34" s="301">
        <v>28510</v>
      </c>
      <c r="H34" s="169">
        <f t="shared" si="4"/>
        <v>-52.5</v>
      </c>
      <c r="I34" s="11">
        <f>IFERROR(100/'Skjema total MA'!F34*G34,0)</f>
        <v>41.414833501380087</v>
      </c>
      <c r="J34" s="232">
        <f t="shared" si="5"/>
        <v>59994.1</v>
      </c>
      <c r="K34" s="232">
        <f t="shared" si="5"/>
        <v>28510</v>
      </c>
      <c r="L34" s="414">
        <f t="shared" si="6"/>
        <v>-52.5</v>
      </c>
      <c r="M34" s="22">
        <f>IFERROR(100/'Skjema total MA'!I34*K34,0)</f>
        <v>30.995114186444773</v>
      </c>
    </row>
    <row r="35" spans="1:14" ht="15.75" x14ac:dyDescent="0.2">
      <c r="A35" s="13" t="s">
        <v>352</v>
      </c>
      <c r="B35" s="232"/>
      <c r="C35" s="301"/>
      <c r="D35" s="169"/>
      <c r="E35" s="11"/>
      <c r="F35" s="300">
        <v>13690.8</v>
      </c>
      <c r="G35" s="301">
        <v>7880</v>
      </c>
      <c r="H35" s="169">
        <f t="shared" si="4"/>
        <v>-42.4</v>
      </c>
      <c r="I35" s="11">
        <f>IFERROR(100/'Skjema total MA'!F35*G35,0)</f>
        <v>10.372555109535028</v>
      </c>
      <c r="J35" s="232">
        <f t="shared" si="5"/>
        <v>13690.8</v>
      </c>
      <c r="K35" s="232">
        <f t="shared" si="5"/>
        <v>7880</v>
      </c>
      <c r="L35" s="414">
        <f t="shared" si="6"/>
        <v>-42.4</v>
      </c>
      <c r="M35" s="22">
        <f>IFERROR(100/'Skjema total MA'!I35*K35,0)</f>
        <v>14.25869040707641</v>
      </c>
    </row>
    <row r="36" spans="1:14" ht="15.75" x14ac:dyDescent="0.2">
      <c r="A36" s="12" t="s">
        <v>279</v>
      </c>
      <c r="B36" s="232"/>
      <c r="C36" s="301"/>
      <c r="D36" s="169"/>
      <c r="E36" s="11"/>
      <c r="F36" s="311"/>
      <c r="G36" s="312"/>
      <c r="H36" s="169"/>
      <c r="I36" s="420"/>
      <c r="J36" s="232"/>
      <c r="K36" s="232"/>
      <c r="L36" s="414"/>
      <c r="M36" s="22"/>
    </row>
    <row r="37" spans="1:14" ht="15.75" x14ac:dyDescent="0.2">
      <c r="A37" s="12" t="s">
        <v>358</v>
      </c>
      <c r="B37" s="232"/>
      <c r="C37" s="301"/>
      <c r="D37" s="169"/>
      <c r="E37" s="11"/>
      <c r="F37" s="311"/>
      <c r="G37" s="313"/>
      <c r="H37" s="169"/>
      <c r="I37" s="420"/>
      <c r="J37" s="232"/>
      <c r="K37" s="232"/>
      <c r="L37" s="414"/>
      <c r="M37" s="22"/>
    </row>
    <row r="38" spans="1:14" ht="15.75" x14ac:dyDescent="0.2">
      <c r="A38" s="12" t="s">
        <v>359</v>
      </c>
      <c r="B38" s="232"/>
      <c r="C38" s="301"/>
      <c r="D38" s="169"/>
      <c r="E38" s="22"/>
      <c r="F38" s="311"/>
      <c r="G38" s="312"/>
      <c r="H38" s="169"/>
      <c r="I38" s="420"/>
      <c r="J38" s="232"/>
      <c r="K38" s="232"/>
      <c r="L38" s="414"/>
      <c r="M38" s="22"/>
    </row>
    <row r="39" spans="1:14" ht="15.75" x14ac:dyDescent="0.2">
      <c r="A39" s="18" t="s">
        <v>360</v>
      </c>
      <c r="B39" s="271"/>
      <c r="C39" s="307"/>
      <c r="D39" s="167"/>
      <c r="E39" s="34"/>
      <c r="F39" s="314"/>
      <c r="G39" s="315"/>
      <c r="H39" s="167"/>
      <c r="I39" s="34"/>
      <c r="J39" s="232"/>
      <c r="K39" s="232"/>
      <c r="L39" s="415"/>
      <c r="M39" s="34"/>
    </row>
    <row r="40" spans="1:14" ht="15.75" x14ac:dyDescent="0.25">
      <c r="A40" s="45"/>
      <c r="B40" s="248"/>
      <c r="C40" s="248"/>
      <c r="D40" s="708"/>
      <c r="E40" s="708"/>
      <c r="F40" s="708"/>
      <c r="G40" s="708"/>
      <c r="H40" s="708"/>
      <c r="I40" s="708"/>
      <c r="J40" s="708"/>
      <c r="K40" s="708"/>
      <c r="L40" s="708"/>
      <c r="M40" s="294"/>
    </row>
    <row r="41" spans="1:14" x14ac:dyDescent="0.2">
      <c r="A41" s="153"/>
    </row>
    <row r="42" spans="1:14" ht="15.75" x14ac:dyDescent="0.25">
      <c r="A42" s="145" t="s">
        <v>268</v>
      </c>
      <c r="B42" s="704"/>
      <c r="C42" s="704"/>
      <c r="D42" s="704"/>
      <c r="E42" s="291"/>
      <c r="F42" s="709"/>
      <c r="G42" s="709"/>
      <c r="H42" s="709"/>
      <c r="I42" s="294"/>
      <c r="J42" s="709"/>
      <c r="K42" s="709"/>
      <c r="L42" s="709"/>
      <c r="M42" s="294"/>
    </row>
    <row r="43" spans="1:14" ht="15.75" x14ac:dyDescent="0.25">
      <c r="A43" s="161"/>
      <c r="B43" s="295"/>
      <c r="C43" s="295"/>
      <c r="D43" s="295"/>
      <c r="E43" s="295"/>
      <c r="F43" s="294"/>
      <c r="G43" s="294"/>
      <c r="H43" s="294"/>
      <c r="I43" s="294"/>
      <c r="J43" s="294"/>
      <c r="K43" s="294"/>
      <c r="L43" s="294"/>
      <c r="M43" s="294"/>
    </row>
    <row r="44" spans="1:14" ht="15.75" x14ac:dyDescent="0.25">
      <c r="A44" s="243"/>
      <c r="B44" s="705" t="s">
        <v>0</v>
      </c>
      <c r="C44" s="706"/>
      <c r="D44" s="706"/>
      <c r="E44" s="239"/>
      <c r="F44" s="294"/>
      <c r="G44" s="294"/>
      <c r="H44" s="294"/>
      <c r="I44" s="294"/>
      <c r="J44" s="294"/>
      <c r="K44" s="294"/>
      <c r="L44" s="294"/>
      <c r="M44" s="294"/>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c r="C47" s="303"/>
      <c r="D47" s="413"/>
      <c r="E47" s="11"/>
      <c r="F47" s="143"/>
      <c r="G47" s="31"/>
      <c r="H47" s="157"/>
      <c r="I47" s="157"/>
      <c r="J47" s="35"/>
      <c r="K47" s="35"/>
      <c r="L47" s="157"/>
      <c r="M47" s="157"/>
      <c r="N47" s="146"/>
    </row>
    <row r="48" spans="1:14" s="3" customFormat="1" ht="15.75" x14ac:dyDescent="0.2">
      <c r="A48" s="36" t="s">
        <v>361</v>
      </c>
      <c r="B48" s="276"/>
      <c r="C48" s="277"/>
      <c r="D48" s="249"/>
      <c r="E48" s="25"/>
      <c r="F48" s="143"/>
      <c r="G48" s="31"/>
      <c r="H48" s="143"/>
      <c r="I48" s="143"/>
      <c r="J48" s="31"/>
      <c r="K48" s="31"/>
      <c r="L48" s="157"/>
      <c r="M48" s="157"/>
      <c r="N48" s="146"/>
    </row>
    <row r="49" spans="1:14" s="3" customFormat="1" ht="15.75" x14ac:dyDescent="0.2">
      <c r="A49" s="36" t="s">
        <v>362</v>
      </c>
      <c r="B49" s="42"/>
      <c r="C49" s="282"/>
      <c r="D49" s="249"/>
      <c r="E49" s="25"/>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c r="C53" s="303"/>
      <c r="D53" s="414"/>
      <c r="E53" s="11"/>
      <c r="F53" s="143"/>
      <c r="G53" s="31"/>
      <c r="H53" s="143"/>
      <c r="I53" s="143"/>
      <c r="J53" s="31"/>
      <c r="K53" s="31"/>
      <c r="L53" s="157"/>
      <c r="M53" s="157"/>
      <c r="N53" s="146"/>
    </row>
    <row r="54" spans="1:14" s="3" customFormat="1" ht="15.75" x14ac:dyDescent="0.2">
      <c r="A54" s="36" t="s">
        <v>361</v>
      </c>
      <c r="B54" s="276"/>
      <c r="C54" s="277"/>
      <c r="D54" s="249"/>
      <c r="E54" s="25"/>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c r="C56" s="303"/>
      <c r="D56" s="414"/>
      <c r="E56" s="11"/>
      <c r="F56" s="143"/>
      <c r="G56" s="31"/>
      <c r="H56" s="143"/>
      <c r="I56" s="143"/>
      <c r="J56" s="31"/>
      <c r="K56" s="31"/>
      <c r="L56" s="157"/>
      <c r="M56" s="157"/>
      <c r="N56" s="146"/>
    </row>
    <row r="57" spans="1:14" s="3" customFormat="1" ht="15.75" x14ac:dyDescent="0.2">
      <c r="A57" s="36" t="s">
        <v>361</v>
      </c>
      <c r="B57" s="276"/>
      <c r="C57" s="277"/>
      <c r="D57" s="249"/>
      <c r="E57" s="25"/>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291"/>
      <c r="F62" s="707"/>
      <c r="G62" s="707"/>
      <c r="H62" s="707"/>
      <c r="I62" s="291"/>
      <c r="J62" s="707"/>
      <c r="K62" s="707"/>
      <c r="L62" s="707"/>
      <c r="M62" s="291"/>
    </row>
    <row r="63" spans="1:14" x14ac:dyDescent="0.2">
      <c r="A63" s="142"/>
      <c r="B63" s="705" t="s">
        <v>0</v>
      </c>
      <c r="C63" s="706"/>
      <c r="D63" s="710"/>
      <c r="E63" s="292"/>
      <c r="F63" s="706" t="s">
        <v>1</v>
      </c>
      <c r="G63" s="706"/>
      <c r="H63" s="706"/>
      <c r="I63" s="296"/>
      <c r="J63" s="705" t="s">
        <v>2</v>
      </c>
      <c r="K63" s="706"/>
      <c r="L63" s="706"/>
      <c r="M63" s="296"/>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v>193965.7</v>
      </c>
      <c r="C66" s="344">
        <v>217808</v>
      </c>
      <c r="D66" s="341">
        <f t="shared" ref="D66:D111" si="11">IF(B66=0, "    ---- ", IF(ABS(ROUND(100/B66*C66-100,1))&lt;999,ROUND(100/B66*C66-100,1),IF(ROUND(100/B66*C66-100,1)&gt;999,999,-999)))</f>
        <v>12.3</v>
      </c>
      <c r="E66" s="11">
        <f>IFERROR(100/'Skjema total MA'!C66*C66,0)</f>
        <v>3.5374212004762384</v>
      </c>
      <c r="F66" s="343">
        <v>2522965.7000000002</v>
      </c>
      <c r="G66" s="343">
        <v>3089347</v>
      </c>
      <c r="H66" s="341">
        <f t="shared" ref="H66:H111" si="12">IF(F66=0, "    ---- ", IF(ABS(ROUND(100/F66*G66-100,1))&lt;999,ROUND(100/F66*G66-100,1),IF(ROUND(100/F66*G66-100,1)&gt;999,999,-999)))</f>
        <v>22.4</v>
      </c>
      <c r="I66" s="11">
        <f>IFERROR(100/'Skjema total MA'!F66*G66,0)</f>
        <v>9.80611332433139</v>
      </c>
      <c r="J66" s="301">
        <f t="shared" ref="J66:K86" si="13">SUM(B66,F66)</f>
        <v>2716931.4000000004</v>
      </c>
      <c r="K66" s="308">
        <f t="shared" si="13"/>
        <v>3307155</v>
      </c>
      <c r="L66" s="414">
        <f t="shared" ref="L66:L111" si="14">IF(J66=0, "    ---- ", IF(ABS(ROUND(100/J66*K66-100,1))&lt;999,ROUND(100/J66*K66-100,1),IF(ROUND(100/J66*K66-100,1)&gt;999,999,-999)))</f>
        <v>21.7</v>
      </c>
      <c r="M66" s="11">
        <f>IFERROR(100/'Skjema total MA'!I66*K66,0)</f>
        <v>8.7812503519358405</v>
      </c>
    </row>
    <row r="67" spans="1:14" x14ac:dyDescent="0.2">
      <c r="A67" s="405" t="s">
        <v>9</v>
      </c>
      <c r="B67" s="42">
        <v>193965.7</v>
      </c>
      <c r="C67" s="143">
        <v>217808</v>
      </c>
      <c r="D67" s="164">
        <f t="shared" si="11"/>
        <v>12.3</v>
      </c>
      <c r="E67" s="25">
        <f>IFERROR(100/'Skjema total MA'!C67*C67,0)</f>
        <v>5.4528503939752229</v>
      </c>
      <c r="F67" s="230"/>
      <c r="G67" s="143"/>
      <c r="H67" s="164"/>
      <c r="I67" s="25"/>
      <c r="J67" s="282">
        <f t="shared" si="13"/>
        <v>193965.7</v>
      </c>
      <c r="K67" s="42">
        <f t="shared" si="13"/>
        <v>217808</v>
      </c>
      <c r="L67" s="249">
        <f t="shared" si="14"/>
        <v>12.3</v>
      </c>
      <c r="M67" s="25">
        <f>IFERROR(100/'Skjema total MA'!I67*K67,0)</f>
        <v>5.4528503939752229</v>
      </c>
    </row>
    <row r="68" spans="1:14" x14ac:dyDescent="0.2">
      <c r="A68" s="19" t="s">
        <v>10</v>
      </c>
      <c r="B68" s="286"/>
      <c r="C68" s="287"/>
      <c r="D68" s="164"/>
      <c r="E68" s="25"/>
      <c r="F68" s="286">
        <v>2522965.7000000002</v>
      </c>
      <c r="G68" s="286">
        <v>3089347</v>
      </c>
      <c r="H68" s="164">
        <f t="shared" si="12"/>
        <v>22.4</v>
      </c>
      <c r="I68" s="25">
        <f>IFERROR(100/'Skjema total MA'!F68*G68,0)</f>
        <v>10.195648972439395</v>
      </c>
      <c r="J68" s="282">
        <f t="shared" si="13"/>
        <v>2522965.7000000002</v>
      </c>
      <c r="K68" s="42">
        <f t="shared" si="13"/>
        <v>3089347</v>
      </c>
      <c r="L68" s="249">
        <f t="shared" si="14"/>
        <v>22.4</v>
      </c>
      <c r="M68" s="25">
        <f>IFERROR(100/'Skjema total MA'!I68*K68,0)</f>
        <v>10.180762131413882</v>
      </c>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c r="C75" s="143"/>
      <c r="D75" s="164"/>
      <c r="E75" s="25"/>
      <c r="F75" s="230"/>
      <c r="G75" s="143"/>
      <c r="H75" s="164"/>
      <c r="I75" s="25"/>
      <c r="J75" s="282"/>
      <c r="K75" s="42"/>
      <c r="L75" s="249"/>
      <c r="M75" s="25"/>
      <c r="N75" s="146"/>
    </row>
    <row r="76" spans="1:14" s="3" customFormat="1" x14ac:dyDescent="0.2">
      <c r="A76" s="19" t="s">
        <v>336</v>
      </c>
      <c r="B76" s="230"/>
      <c r="C76" s="143"/>
      <c r="D76" s="164"/>
      <c r="E76" s="25"/>
      <c r="F76" s="230"/>
      <c r="G76" s="143"/>
      <c r="H76" s="164"/>
      <c r="I76" s="25"/>
      <c r="J76" s="282"/>
      <c r="K76" s="42"/>
      <c r="L76" s="249"/>
      <c r="M76" s="25"/>
      <c r="N76" s="146"/>
    </row>
    <row r="77" spans="1:14" ht="15.75" x14ac:dyDescent="0.2">
      <c r="A77" s="19" t="s">
        <v>367</v>
      </c>
      <c r="B77" s="230">
        <v>193433.1</v>
      </c>
      <c r="C77" s="230">
        <v>217045</v>
      </c>
      <c r="D77" s="164">
        <f t="shared" si="11"/>
        <v>12.2</v>
      </c>
      <c r="E77" s="25">
        <f>IFERROR(100/'Skjema total MA'!C77*C77,0)</f>
        <v>5.4822392800565138</v>
      </c>
      <c r="F77" s="230">
        <v>2522965.7000000002</v>
      </c>
      <c r="G77" s="143">
        <v>3089306</v>
      </c>
      <c r="H77" s="164">
        <f t="shared" si="12"/>
        <v>22.4</v>
      </c>
      <c r="I77" s="25">
        <f>IFERROR(100/'Skjema total MA'!F77*G77,0)</f>
        <v>10.198832367685162</v>
      </c>
      <c r="J77" s="282">
        <f t="shared" si="13"/>
        <v>2716398.8000000003</v>
      </c>
      <c r="K77" s="42">
        <f t="shared" si="13"/>
        <v>3306351</v>
      </c>
      <c r="L77" s="249">
        <f t="shared" si="14"/>
        <v>21.7</v>
      </c>
      <c r="M77" s="25">
        <f>IFERROR(100/'Skjema total MA'!I77*K77,0)</f>
        <v>9.6536250463247644</v>
      </c>
    </row>
    <row r="78" spans="1:14" x14ac:dyDescent="0.2">
      <c r="A78" s="19" t="s">
        <v>9</v>
      </c>
      <c r="B78" s="230">
        <v>193433.1</v>
      </c>
      <c r="C78" s="143">
        <v>217045</v>
      </c>
      <c r="D78" s="164">
        <f t="shared" si="11"/>
        <v>12.2</v>
      </c>
      <c r="E78" s="25">
        <f>IFERROR(100/'Skjema total MA'!C78*C78,0)</f>
        <v>5.5413704224465583</v>
      </c>
      <c r="F78" s="230"/>
      <c r="G78" s="143"/>
      <c r="H78" s="164"/>
      <c r="I78" s="25"/>
      <c r="J78" s="282">
        <f t="shared" si="13"/>
        <v>193433.1</v>
      </c>
      <c r="K78" s="42">
        <f t="shared" si="13"/>
        <v>217045</v>
      </c>
      <c r="L78" s="249">
        <f t="shared" si="14"/>
        <v>12.2</v>
      </c>
      <c r="M78" s="25">
        <f>IFERROR(100/'Skjema total MA'!I78*K78,0)</f>
        <v>5.5413704224465583</v>
      </c>
    </row>
    <row r="79" spans="1:14" x14ac:dyDescent="0.2">
      <c r="A79" s="36" t="s">
        <v>400</v>
      </c>
      <c r="B79" s="286"/>
      <c r="C79" s="287"/>
      <c r="D79" s="164"/>
      <c r="E79" s="25"/>
      <c r="F79" s="286">
        <v>2522965.7000000002</v>
      </c>
      <c r="G79" s="287">
        <v>3089306</v>
      </c>
      <c r="H79" s="164">
        <f t="shared" si="12"/>
        <v>22.4</v>
      </c>
      <c r="I79" s="25">
        <f>IFERROR(100/'Skjema total MA'!F79*G79,0)</f>
        <v>10.198832367685162</v>
      </c>
      <c r="J79" s="282">
        <f t="shared" si="13"/>
        <v>2522965.7000000002</v>
      </c>
      <c r="K79" s="42">
        <f t="shared" si="13"/>
        <v>3089306</v>
      </c>
      <c r="L79" s="249">
        <f t="shared" si="14"/>
        <v>22.4</v>
      </c>
      <c r="M79" s="25">
        <f>IFERROR(100/'Skjema total MA'!I79*K79,0)</f>
        <v>10.184627879918894</v>
      </c>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v>532.6</v>
      </c>
      <c r="C86" s="143">
        <v>763</v>
      </c>
      <c r="D86" s="164">
        <f t="shared" si="11"/>
        <v>43.3</v>
      </c>
      <c r="E86" s="25">
        <f>IFERROR(100/'Skjema total MA'!C86*C86,0)</f>
        <v>0.95809438317105067</v>
      </c>
      <c r="F86" s="230"/>
      <c r="G86" s="143">
        <v>41</v>
      </c>
      <c r="H86" s="164" t="str">
        <f t="shared" si="12"/>
        <v xml:space="preserve">    ---- </v>
      </c>
      <c r="I86" s="25">
        <f>IFERROR(100/'Skjema total MA'!F86*G86,0)</f>
        <v>0.41582799484732719</v>
      </c>
      <c r="J86" s="282">
        <f t="shared" si="13"/>
        <v>532.6</v>
      </c>
      <c r="K86" s="42">
        <f t="shared" si="13"/>
        <v>804</v>
      </c>
      <c r="L86" s="249">
        <f t="shared" si="14"/>
        <v>51</v>
      </c>
      <c r="M86" s="25">
        <f>IFERROR(100/'Skjema total MA'!I86*K86,0)</f>
        <v>0.89835319102129652</v>
      </c>
    </row>
    <row r="87" spans="1:13" ht="15.75" x14ac:dyDescent="0.2">
      <c r="A87" s="13" t="s">
        <v>350</v>
      </c>
      <c r="B87" s="344">
        <v>5554398.2000000002</v>
      </c>
      <c r="C87" s="344">
        <v>5747259</v>
      </c>
      <c r="D87" s="169">
        <f t="shared" si="11"/>
        <v>3.5</v>
      </c>
      <c r="E87" s="11">
        <f>IFERROR(100/'Skjema total MA'!C87*C87,0)</f>
        <v>1.4285877079497407</v>
      </c>
      <c r="F87" s="343">
        <v>37310643</v>
      </c>
      <c r="G87" s="343">
        <v>38552818</v>
      </c>
      <c r="H87" s="169">
        <f t="shared" si="12"/>
        <v>3.3</v>
      </c>
      <c r="I87" s="11">
        <f>IFERROR(100/'Skjema total MA'!F87*G87,0)</f>
        <v>9.3141614571944746</v>
      </c>
      <c r="J87" s="301">
        <f t="shared" ref="J87:K111" si="15">SUM(B87,F87)</f>
        <v>42865041.200000003</v>
      </c>
      <c r="K87" s="232">
        <f t="shared" si="15"/>
        <v>44300077</v>
      </c>
      <c r="L87" s="414">
        <f t="shared" si="14"/>
        <v>3.3</v>
      </c>
      <c r="M87" s="11">
        <f>IFERROR(100/'Skjema total MA'!I87*K87,0)</f>
        <v>5.4274697779523153</v>
      </c>
    </row>
    <row r="88" spans="1:13" x14ac:dyDescent="0.2">
      <c r="A88" s="19" t="s">
        <v>9</v>
      </c>
      <c r="B88" s="230">
        <v>5554398.2000000002</v>
      </c>
      <c r="C88" s="143">
        <v>5747259</v>
      </c>
      <c r="D88" s="164">
        <f t="shared" si="11"/>
        <v>3.5</v>
      </c>
      <c r="E88" s="25">
        <f>IFERROR(100/'Skjema total MA'!C88*C88,0)</f>
        <v>1.4850093663774639</v>
      </c>
      <c r="F88" s="230"/>
      <c r="G88" s="143"/>
      <c r="H88" s="164"/>
      <c r="I88" s="25"/>
      <c r="J88" s="282">
        <f t="shared" si="15"/>
        <v>5554398.2000000002</v>
      </c>
      <c r="K88" s="42">
        <f t="shared" si="15"/>
        <v>5747259</v>
      </c>
      <c r="L88" s="249">
        <f t="shared" si="14"/>
        <v>3.5</v>
      </c>
      <c r="M88" s="25">
        <f>IFERROR(100/'Skjema total MA'!I88*K88,0)</f>
        <v>1.4850093663774639</v>
      </c>
    </row>
    <row r="89" spans="1:13" x14ac:dyDescent="0.2">
      <c r="A89" s="19" t="s">
        <v>10</v>
      </c>
      <c r="B89" s="230"/>
      <c r="C89" s="143"/>
      <c r="D89" s="164"/>
      <c r="E89" s="25"/>
      <c r="F89" s="230">
        <v>37310643</v>
      </c>
      <c r="G89" s="143">
        <v>38552818</v>
      </c>
      <c r="H89" s="164">
        <f t="shared" si="12"/>
        <v>3.3</v>
      </c>
      <c r="I89" s="25">
        <f>IFERROR(100/'Skjema total MA'!F89*G89,0)</f>
        <v>9.4269369827357465</v>
      </c>
      <c r="J89" s="282">
        <f t="shared" si="15"/>
        <v>37310643</v>
      </c>
      <c r="K89" s="42">
        <f t="shared" si="15"/>
        <v>38552818</v>
      </c>
      <c r="L89" s="249">
        <f t="shared" si="14"/>
        <v>3.3</v>
      </c>
      <c r="M89" s="25">
        <f>IFERROR(100/'Skjema total MA'!I89*K89,0)</f>
        <v>9.3509541393526678</v>
      </c>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c r="C96" s="143"/>
      <c r="D96" s="164"/>
      <c r="E96" s="25"/>
      <c r="F96" s="230"/>
      <c r="G96" s="143"/>
      <c r="H96" s="164"/>
      <c r="I96" s="25"/>
      <c r="J96" s="282"/>
      <c r="K96" s="42"/>
      <c r="L96" s="249"/>
      <c r="M96" s="25"/>
    </row>
    <row r="97" spans="1:13" x14ac:dyDescent="0.2">
      <c r="A97" s="19" t="s">
        <v>334</v>
      </c>
      <c r="B97" s="230"/>
      <c r="C97" s="143"/>
      <c r="D97" s="164"/>
      <c r="E97" s="25"/>
      <c r="F97" s="230"/>
      <c r="G97" s="143"/>
      <c r="H97" s="164"/>
      <c r="I97" s="25"/>
      <c r="J97" s="282"/>
      <c r="K97" s="42"/>
      <c r="L97" s="249"/>
      <c r="M97" s="25"/>
    </row>
    <row r="98" spans="1:13" ht="15.75" x14ac:dyDescent="0.2">
      <c r="A98" s="19" t="s">
        <v>367</v>
      </c>
      <c r="B98" s="230">
        <v>5552411</v>
      </c>
      <c r="C98" s="230">
        <v>5744804</v>
      </c>
      <c r="D98" s="164">
        <f t="shared" si="11"/>
        <v>3.5</v>
      </c>
      <c r="E98" s="25">
        <f>IFERROR(100/'Skjema total MA'!C98*C98,0)</f>
        <v>1.488677391434466</v>
      </c>
      <c r="F98" s="286">
        <v>37310643</v>
      </c>
      <c r="G98" s="286">
        <v>38552818</v>
      </c>
      <c r="H98" s="164">
        <f t="shared" si="12"/>
        <v>3.3</v>
      </c>
      <c r="I98" s="25">
        <f>IFERROR(100/'Skjema total MA'!F98*G98,0)</f>
        <v>9.4451397249543962</v>
      </c>
      <c r="J98" s="282">
        <f t="shared" si="15"/>
        <v>42863054</v>
      </c>
      <c r="K98" s="42">
        <f t="shared" si="15"/>
        <v>44297622</v>
      </c>
      <c r="L98" s="249">
        <f t="shared" si="14"/>
        <v>3.3</v>
      </c>
      <c r="M98" s="25">
        <f>IFERROR(100/'Skjema total MA'!I98*K98,0)</f>
        <v>5.5785107771806519</v>
      </c>
    </row>
    <row r="99" spans="1:13" x14ac:dyDescent="0.2">
      <c r="A99" s="19" t="s">
        <v>9</v>
      </c>
      <c r="B99" s="286">
        <v>5552411</v>
      </c>
      <c r="C99" s="287">
        <v>5744804</v>
      </c>
      <c r="D99" s="164">
        <f t="shared" si="11"/>
        <v>3.5</v>
      </c>
      <c r="E99" s="25">
        <f>IFERROR(100/'Skjema total MA'!C99*C99,0)</f>
        <v>1.501608243975975</v>
      </c>
      <c r="F99" s="230"/>
      <c r="G99" s="143"/>
      <c r="H99" s="164"/>
      <c r="I99" s="25"/>
      <c r="J99" s="282">
        <f t="shared" si="15"/>
        <v>5552411</v>
      </c>
      <c r="K99" s="42">
        <f t="shared" si="15"/>
        <v>5744804</v>
      </c>
      <c r="L99" s="249">
        <f t="shared" si="14"/>
        <v>3.5</v>
      </c>
      <c r="M99" s="25">
        <f>IFERROR(100/'Skjema total MA'!I99*K99,0)</f>
        <v>1.501608243975975</v>
      </c>
    </row>
    <row r="100" spans="1:13" x14ac:dyDescent="0.2">
      <c r="A100" s="36" t="s">
        <v>400</v>
      </c>
      <c r="B100" s="286"/>
      <c r="C100" s="287"/>
      <c r="D100" s="164"/>
      <c r="E100" s="25"/>
      <c r="F100" s="230">
        <v>37310643</v>
      </c>
      <c r="G100" s="230">
        <v>38552818</v>
      </c>
      <c r="H100" s="164">
        <f t="shared" si="12"/>
        <v>3.3</v>
      </c>
      <c r="I100" s="25">
        <f>IFERROR(100/'Skjema total MA'!F100*G100,0)</f>
        <v>9.4451397249543962</v>
      </c>
      <c r="J100" s="282">
        <f t="shared" si="15"/>
        <v>37310643</v>
      </c>
      <c r="K100" s="42">
        <f t="shared" si="15"/>
        <v>38552818</v>
      </c>
      <c r="L100" s="249">
        <f t="shared" si="14"/>
        <v>3.3</v>
      </c>
      <c r="M100" s="25">
        <f>IFERROR(100/'Skjema total MA'!I100*K100,0)</f>
        <v>9.3688643504935474</v>
      </c>
    </row>
    <row r="101" spans="1:13" ht="15.75" x14ac:dyDescent="0.2">
      <c r="A101" s="288" t="s">
        <v>365</v>
      </c>
      <c r="B101" s="311"/>
      <c r="C101" s="311"/>
      <c r="D101" s="164"/>
      <c r="E101" s="21"/>
      <c r="F101" s="311"/>
      <c r="G101" s="311"/>
      <c r="H101" s="164"/>
      <c r="I101" s="21"/>
      <c r="J101" s="311"/>
      <c r="K101" s="311"/>
      <c r="L101" s="164"/>
      <c r="M101" s="21"/>
    </row>
    <row r="102" spans="1:13" x14ac:dyDescent="0.2">
      <c r="A102" s="288" t="s">
        <v>12</v>
      </c>
      <c r="B102" s="311"/>
      <c r="C102" s="311"/>
      <c r="D102" s="164"/>
      <c r="E102" s="21"/>
      <c r="F102" s="311"/>
      <c r="G102" s="311"/>
      <c r="H102" s="164"/>
      <c r="I102" s="21"/>
      <c r="J102" s="311"/>
      <c r="K102" s="311"/>
      <c r="L102" s="164"/>
      <c r="M102" s="21"/>
    </row>
    <row r="103" spans="1:13" x14ac:dyDescent="0.2">
      <c r="A103" s="288" t="s">
        <v>13</v>
      </c>
      <c r="B103" s="311"/>
      <c r="C103" s="311"/>
      <c r="D103" s="164"/>
      <c r="E103" s="21"/>
      <c r="F103" s="311"/>
      <c r="G103" s="311"/>
      <c r="H103" s="164"/>
      <c r="I103" s="21"/>
      <c r="J103" s="311"/>
      <c r="K103" s="311"/>
      <c r="L103" s="164"/>
      <c r="M103" s="21"/>
    </row>
    <row r="104" spans="1:13" ht="15.75" x14ac:dyDescent="0.2">
      <c r="A104" s="288" t="s">
        <v>366</v>
      </c>
      <c r="B104" s="311"/>
      <c r="C104" s="311"/>
      <c r="D104" s="164"/>
      <c r="E104" s="21"/>
      <c r="F104" s="311"/>
      <c r="G104" s="311"/>
      <c r="H104" s="164"/>
      <c r="I104" s="21"/>
      <c r="J104" s="311"/>
      <c r="K104" s="311"/>
      <c r="L104" s="164"/>
      <c r="M104" s="21"/>
    </row>
    <row r="105" spans="1:13" x14ac:dyDescent="0.2">
      <c r="A105" s="288" t="s">
        <v>12</v>
      </c>
      <c r="B105" s="231"/>
      <c r="C105" s="284"/>
      <c r="D105" s="164"/>
      <c r="E105" s="21"/>
      <c r="F105" s="311"/>
      <c r="G105" s="311"/>
      <c r="H105" s="164"/>
      <c r="I105" s="21"/>
      <c r="J105" s="311"/>
      <c r="K105" s="311"/>
      <c r="L105" s="164"/>
      <c r="M105" s="21"/>
    </row>
    <row r="106" spans="1:13" x14ac:dyDescent="0.2">
      <c r="A106" s="288" t="s">
        <v>13</v>
      </c>
      <c r="B106" s="231"/>
      <c r="C106" s="284"/>
      <c r="D106" s="164"/>
      <c r="E106" s="21"/>
      <c r="F106" s="311"/>
      <c r="G106" s="311"/>
      <c r="H106" s="164"/>
      <c r="I106" s="21"/>
      <c r="J106" s="311"/>
      <c r="K106" s="311"/>
      <c r="L106" s="164"/>
      <c r="M106" s="21"/>
    </row>
    <row r="107" spans="1:13" ht="15.75" x14ac:dyDescent="0.2">
      <c r="A107" s="19" t="s">
        <v>368</v>
      </c>
      <c r="B107" s="230">
        <v>1987.2</v>
      </c>
      <c r="C107" s="143">
        <v>2455</v>
      </c>
      <c r="D107" s="164">
        <f t="shared" si="11"/>
        <v>23.5</v>
      </c>
      <c r="E107" s="25">
        <f>IFERROR(100/'Skjema total MA'!C107*C107,0)</f>
        <v>5.5272648178212459E-2</v>
      </c>
      <c r="F107" s="230"/>
      <c r="G107" s="143"/>
      <c r="H107" s="164"/>
      <c r="I107" s="25"/>
      <c r="J107" s="282">
        <f t="shared" si="15"/>
        <v>1987.2</v>
      </c>
      <c r="K107" s="42">
        <f t="shared" si="15"/>
        <v>2455</v>
      </c>
      <c r="L107" s="249">
        <f t="shared" si="14"/>
        <v>23.5</v>
      </c>
      <c r="M107" s="25">
        <f>IFERROR(100/'Skjema total MA'!I107*K107,0)</f>
        <v>4.6942724469574759E-2</v>
      </c>
    </row>
    <row r="108" spans="1:13" ht="15.75" x14ac:dyDescent="0.2">
      <c r="A108" s="19" t="s">
        <v>369</v>
      </c>
      <c r="B108" s="230">
        <v>4184600.4</v>
      </c>
      <c r="C108" s="230">
        <v>4155820</v>
      </c>
      <c r="D108" s="164">
        <f t="shared" si="11"/>
        <v>-0.7</v>
      </c>
      <c r="E108" s="25">
        <f>IFERROR(100/'Skjema total MA'!C108*C108,0)</f>
        <v>1.2479553120070992</v>
      </c>
      <c r="F108" s="230"/>
      <c r="G108" s="230"/>
      <c r="H108" s="164"/>
      <c r="I108" s="25"/>
      <c r="J108" s="282">
        <f t="shared" si="15"/>
        <v>4184600.4</v>
      </c>
      <c r="K108" s="42">
        <f t="shared" si="15"/>
        <v>4155820</v>
      </c>
      <c r="L108" s="249">
        <f t="shared" si="14"/>
        <v>-0.7</v>
      </c>
      <c r="M108" s="25">
        <f>IFERROR(100/'Skjema total MA'!I108*K108,0)</f>
        <v>1.1821668263773046</v>
      </c>
    </row>
    <row r="109" spans="1:13" ht="15.75" x14ac:dyDescent="0.2">
      <c r="A109" s="36" t="s">
        <v>408</v>
      </c>
      <c r="B109" s="230"/>
      <c r="C109" s="230"/>
      <c r="D109" s="164"/>
      <c r="E109" s="25"/>
      <c r="F109" s="230">
        <v>14480096.1</v>
      </c>
      <c r="G109" s="230">
        <v>16157470</v>
      </c>
      <c r="H109" s="164">
        <f t="shared" si="12"/>
        <v>11.6</v>
      </c>
      <c r="I109" s="25">
        <f>IFERROR(100/'Skjema total MA'!F109*G109,0)</f>
        <v>10.650857053690478</v>
      </c>
      <c r="J109" s="282">
        <f t="shared" si="15"/>
        <v>14480096.1</v>
      </c>
      <c r="K109" s="42">
        <f t="shared" si="15"/>
        <v>16157470</v>
      </c>
      <c r="L109" s="249">
        <f t="shared" si="14"/>
        <v>11.6</v>
      </c>
      <c r="M109" s="25">
        <f>IFERROR(100/'Skjema total MA'!I109*K109,0)</f>
        <v>10.521328598183247</v>
      </c>
    </row>
    <row r="110" spans="1:13" ht="15.75" x14ac:dyDescent="0.2">
      <c r="A110" s="19" t="s">
        <v>370</v>
      </c>
      <c r="B110" s="230"/>
      <c r="C110" s="230"/>
      <c r="D110" s="164"/>
      <c r="E110" s="25"/>
      <c r="F110" s="230"/>
      <c r="G110" s="230"/>
      <c r="H110" s="164"/>
      <c r="I110" s="25"/>
      <c r="J110" s="282"/>
      <c r="K110" s="42"/>
      <c r="L110" s="249"/>
      <c r="M110" s="25"/>
    </row>
    <row r="111" spans="1:13" ht="15.75" x14ac:dyDescent="0.2">
      <c r="A111" s="13" t="s">
        <v>351</v>
      </c>
      <c r="B111" s="300">
        <v>61992.2</v>
      </c>
      <c r="C111" s="157">
        <v>104121</v>
      </c>
      <c r="D111" s="169">
        <f t="shared" si="11"/>
        <v>68</v>
      </c>
      <c r="E111" s="11">
        <f>IFERROR(100/'Skjema total MA'!C111*C111,0)</f>
        <v>16.792152221551277</v>
      </c>
      <c r="F111" s="300">
        <v>6972144.7000000002</v>
      </c>
      <c r="G111" s="157">
        <v>5436772</v>
      </c>
      <c r="H111" s="169">
        <f t="shared" si="12"/>
        <v>-22</v>
      </c>
      <c r="I111" s="11">
        <f>IFERROR(100/'Skjema total MA'!F111*G111,0)</f>
        <v>18.437520635045761</v>
      </c>
      <c r="J111" s="301">
        <f t="shared" si="15"/>
        <v>7034136.9000000004</v>
      </c>
      <c r="K111" s="232">
        <f t="shared" si="15"/>
        <v>5540893</v>
      </c>
      <c r="L111" s="414">
        <f t="shared" si="14"/>
        <v>-21.2</v>
      </c>
      <c r="M111" s="11">
        <f>IFERROR(100/'Skjema total MA'!I111*K111,0)</f>
        <v>18.403634739686872</v>
      </c>
    </row>
    <row r="112" spans="1:13" x14ac:dyDescent="0.2">
      <c r="A112" s="19" t="s">
        <v>9</v>
      </c>
      <c r="B112" s="230">
        <v>61992.2</v>
      </c>
      <c r="C112" s="143">
        <v>104121</v>
      </c>
      <c r="D112" s="164">
        <f t="shared" ref="D112:D120" si="16">IF(B112=0, "    ---- ", IF(ABS(ROUND(100/B112*C112-100,1))&lt;999,ROUND(100/B112*C112-100,1),IF(ROUND(100/B112*C112-100,1)&gt;999,999,-999)))</f>
        <v>68</v>
      </c>
      <c r="E112" s="25">
        <f>IFERROR(100/'Skjema total MA'!C112*C112,0)</f>
        <v>29.332857917444134</v>
      </c>
      <c r="F112" s="230"/>
      <c r="G112" s="143"/>
      <c r="H112" s="164"/>
      <c r="I112" s="25"/>
      <c r="J112" s="282">
        <f t="shared" ref="J112:K125" si="17">SUM(B112,F112)</f>
        <v>61992.2</v>
      </c>
      <c r="K112" s="42">
        <f t="shared" si="17"/>
        <v>104121</v>
      </c>
      <c r="L112" s="249">
        <f t="shared" ref="L112:L125" si="18">IF(J112=0, "    ---- ", IF(ABS(ROUND(100/J112*K112-100,1))&lt;999,ROUND(100/J112*K112-100,1),IF(ROUND(100/J112*K112-100,1)&gt;999,999,-999)))</f>
        <v>68</v>
      </c>
      <c r="M112" s="25">
        <f>IFERROR(100/'Skjema total MA'!I112*K112,0)</f>
        <v>29.077901142580174</v>
      </c>
    </row>
    <row r="113" spans="1:14" x14ac:dyDescent="0.2">
      <c r="A113" s="19" t="s">
        <v>10</v>
      </c>
      <c r="B113" s="230"/>
      <c r="C113" s="143"/>
      <c r="D113" s="164"/>
      <c r="E113" s="25"/>
      <c r="F113" s="230">
        <v>6972144.7000000002</v>
      </c>
      <c r="G113" s="143">
        <v>5436772</v>
      </c>
      <c r="H113" s="164">
        <f t="shared" ref="H113:H125" si="19">IF(F113=0, "    ---- ", IF(ABS(ROUND(100/F113*G113-100,1))&lt;999,ROUND(100/F113*G113-100,1),IF(ROUND(100/F113*G113-100,1)&gt;999,999,-999)))</f>
        <v>-22</v>
      </c>
      <c r="I113" s="25">
        <f>IFERROR(100/'Skjema total MA'!F113*G113,0)</f>
        <v>18.44013011140051</v>
      </c>
      <c r="J113" s="282">
        <f t="shared" si="17"/>
        <v>6972144.7000000002</v>
      </c>
      <c r="K113" s="42">
        <f t="shared" si="17"/>
        <v>5436772</v>
      </c>
      <c r="L113" s="249">
        <f t="shared" si="18"/>
        <v>-22</v>
      </c>
      <c r="M113" s="25">
        <f>IFERROR(100/'Skjema total MA'!I113*K113,0)</f>
        <v>18.440016888382655</v>
      </c>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v>23356.9</v>
      </c>
      <c r="C116" s="230">
        <v>17062</v>
      </c>
      <c r="D116" s="164">
        <f t="shared" si="16"/>
        <v>-27</v>
      </c>
      <c r="E116" s="25">
        <f>IFERROR(100/'Skjema total MA'!C116*C116,0)</f>
        <v>15.927792719320157</v>
      </c>
      <c r="F116" s="230"/>
      <c r="G116" s="230"/>
      <c r="H116" s="164"/>
      <c r="I116" s="25"/>
      <c r="J116" s="282">
        <f t="shared" si="17"/>
        <v>23356.9</v>
      </c>
      <c r="K116" s="42">
        <f t="shared" si="17"/>
        <v>17062</v>
      </c>
      <c r="L116" s="249">
        <f t="shared" si="18"/>
        <v>-27</v>
      </c>
      <c r="M116" s="25">
        <f>IFERROR(100/'Skjema total MA'!I116*K116,0)</f>
        <v>15.287547330082344</v>
      </c>
    </row>
    <row r="117" spans="1:14" ht="15.75" x14ac:dyDescent="0.2">
      <c r="A117" s="36" t="s">
        <v>408</v>
      </c>
      <c r="B117" s="230"/>
      <c r="C117" s="230"/>
      <c r="D117" s="164"/>
      <c r="E117" s="25"/>
      <c r="F117" s="230">
        <v>124985.60000000001</v>
      </c>
      <c r="G117" s="230">
        <v>2611729</v>
      </c>
      <c r="H117" s="164">
        <f t="shared" si="19"/>
        <v>999</v>
      </c>
      <c r="I117" s="25">
        <f>IFERROR(100/'Skjema total MA'!F117*G117,0)</f>
        <v>15.60525842322318</v>
      </c>
      <c r="J117" s="282">
        <f t="shared" si="17"/>
        <v>124985.60000000001</v>
      </c>
      <c r="K117" s="42">
        <f t="shared" si="17"/>
        <v>2611729</v>
      </c>
      <c r="L117" s="249">
        <f t="shared" si="18"/>
        <v>999</v>
      </c>
      <c r="M117" s="25">
        <f>IFERROR(100/'Skjema total MA'!I117*K117,0)</f>
        <v>15.60508969065757</v>
      </c>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v>64930.6</v>
      </c>
      <c r="C119" s="157">
        <v>39438</v>
      </c>
      <c r="D119" s="169">
        <f t="shared" si="16"/>
        <v>-39.299999999999997</v>
      </c>
      <c r="E119" s="11">
        <f>IFERROR(100/'Skjema total MA'!C119*C119,0)</f>
        <v>7.0233594047918224</v>
      </c>
      <c r="F119" s="300">
        <v>6962132.4000000004</v>
      </c>
      <c r="G119" s="157">
        <v>3584416</v>
      </c>
      <c r="H119" s="169">
        <f t="shared" si="19"/>
        <v>-48.5</v>
      </c>
      <c r="I119" s="11">
        <f>IFERROR(100/'Skjema total MA'!F119*G119,0)</f>
        <v>11.215229060166379</v>
      </c>
      <c r="J119" s="301">
        <f t="shared" si="17"/>
        <v>7027063</v>
      </c>
      <c r="K119" s="232">
        <f t="shared" si="17"/>
        <v>3623854</v>
      </c>
      <c r="L119" s="414">
        <f t="shared" si="18"/>
        <v>-48.4</v>
      </c>
      <c r="M119" s="11">
        <f>IFERROR(100/'Skjema total MA'!I119*K119,0)</f>
        <v>11.142851587582809</v>
      </c>
    </row>
    <row r="120" spans="1:14" x14ac:dyDescent="0.2">
      <c r="A120" s="19" t="s">
        <v>9</v>
      </c>
      <c r="B120" s="230">
        <v>64930.6</v>
      </c>
      <c r="C120" s="143">
        <v>39438</v>
      </c>
      <c r="D120" s="164">
        <f t="shared" si="16"/>
        <v>-39.299999999999997</v>
      </c>
      <c r="E120" s="25">
        <f>IFERROR(100/'Skjema total MA'!C120*C120,0)</f>
        <v>20.010062545869278</v>
      </c>
      <c r="F120" s="230"/>
      <c r="G120" s="143"/>
      <c r="H120" s="164"/>
      <c r="I120" s="25"/>
      <c r="J120" s="282">
        <f t="shared" si="17"/>
        <v>64930.6</v>
      </c>
      <c r="K120" s="42">
        <f t="shared" si="17"/>
        <v>39438</v>
      </c>
      <c r="L120" s="249">
        <f t="shared" si="18"/>
        <v>-39.299999999999997</v>
      </c>
      <c r="M120" s="25">
        <f>IFERROR(100/'Skjema total MA'!I120*K120,0)</f>
        <v>20.010062545869278</v>
      </c>
    </row>
    <row r="121" spans="1:14" x14ac:dyDescent="0.2">
      <c r="A121" s="19" t="s">
        <v>10</v>
      </c>
      <c r="B121" s="230"/>
      <c r="C121" s="143"/>
      <c r="D121" s="164"/>
      <c r="E121" s="25"/>
      <c r="F121" s="230">
        <v>6962132.4000000004</v>
      </c>
      <c r="G121" s="143">
        <v>3584416</v>
      </c>
      <c r="H121" s="164">
        <f t="shared" si="19"/>
        <v>-48.5</v>
      </c>
      <c r="I121" s="25">
        <f>IFERROR(100/'Skjema total MA'!F121*G121,0)</f>
        <v>11.215229060166379</v>
      </c>
      <c r="J121" s="282">
        <f t="shared" si="17"/>
        <v>6962132.4000000004</v>
      </c>
      <c r="K121" s="42">
        <f t="shared" si="17"/>
        <v>3584416</v>
      </c>
      <c r="L121" s="249">
        <f t="shared" si="18"/>
        <v>-48.5</v>
      </c>
      <c r="M121" s="25">
        <f>IFERROR(100/'Skjema total MA'!I121*K121,0)</f>
        <v>11.213137307260533</v>
      </c>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c r="C125" s="230"/>
      <c r="D125" s="164"/>
      <c r="E125" s="25"/>
      <c r="F125" s="230">
        <v>932946.3</v>
      </c>
      <c r="G125" s="230">
        <v>1727963</v>
      </c>
      <c r="H125" s="164">
        <f t="shared" si="19"/>
        <v>85.2</v>
      </c>
      <c r="I125" s="25">
        <f>IFERROR(100/'Skjema total MA'!F125*G125,0)</f>
        <v>10.48601403690178</v>
      </c>
      <c r="J125" s="282">
        <f t="shared" si="17"/>
        <v>932946.3</v>
      </c>
      <c r="K125" s="42">
        <f t="shared" si="17"/>
        <v>1727963</v>
      </c>
      <c r="L125" s="249">
        <f t="shared" si="18"/>
        <v>85.2</v>
      </c>
      <c r="M125" s="25">
        <f>IFERROR(100/'Skjema total MA'!I125*K125,0)</f>
        <v>10.485465621684984</v>
      </c>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291"/>
      <c r="F130" s="707"/>
      <c r="G130" s="707"/>
      <c r="H130" s="707"/>
      <c r="I130" s="291"/>
      <c r="J130" s="707"/>
      <c r="K130" s="707"/>
      <c r="L130" s="707"/>
      <c r="M130" s="291"/>
    </row>
    <row r="131" spans="1:14" s="3" customFormat="1" x14ac:dyDescent="0.2">
      <c r="A131" s="142"/>
      <c r="B131" s="705" t="s">
        <v>0</v>
      </c>
      <c r="C131" s="706"/>
      <c r="D131" s="706"/>
      <c r="E131" s="293"/>
      <c r="F131" s="705" t="s">
        <v>1</v>
      </c>
      <c r="G131" s="706"/>
      <c r="H131" s="706"/>
      <c r="I131" s="296"/>
      <c r="J131" s="705" t="s">
        <v>2</v>
      </c>
      <c r="K131" s="706"/>
      <c r="L131" s="706"/>
      <c r="M131" s="296"/>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c r="C134" s="301"/>
      <c r="D134" s="341"/>
      <c r="E134" s="11"/>
      <c r="F134" s="308"/>
      <c r="G134" s="309"/>
      <c r="H134" s="417"/>
      <c r="I134" s="22"/>
      <c r="J134" s="310"/>
      <c r="K134" s="310"/>
      <c r="L134" s="413"/>
      <c r="M134" s="11"/>
      <c r="N134" s="146"/>
    </row>
    <row r="135" spans="1:14" s="3" customFormat="1" ht="15.75" x14ac:dyDescent="0.2">
      <c r="A135" s="13" t="s">
        <v>377</v>
      </c>
      <c r="B135" s="232"/>
      <c r="C135" s="301"/>
      <c r="D135" s="169"/>
      <c r="E135" s="11"/>
      <c r="F135" s="232"/>
      <c r="G135" s="301"/>
      <c r="H135" s="418"/>
      <c r="I135" s="22"/>
      <c r="J135" s="300"/>
      <c r="K135" s="300"/>
      <c r="L135" s="414"/>
      <c r="M135" s="11"/>
      <c r="N135" s="146"/>
    </row>
    <row r="136" spans="1:14" s="3" customFormat="1" ht="15.75" x14ac:dyDescent="0.2">
      <c r="A136" s="13" t="s">
        <v>374</v>
      </c>
      <c r="B136" s="232"/>
      <c r="C136" s="301"/>
      <c r="D136" s="169"/>
      <c r="E136" s="11"/>
      <c r="F136" s="232"/>
      <c r="G136" s="301"/>
      <c r="H136" s="418"/>
      <c r="I136" s="22"/>
      <c r="J136" s="300"/>
      <c r="K136" s="300"/>
      <c r="L136" s="414"/>
      <c r="M136" s="11"/>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354" priority="13">
      <formula>kvartal &lt; 4</formula>
    </cfRule>
  </conditionalFormatting>
  <conditionalFormatting sqref="A69:A74">
    <cfRule type="expression" dxfId="353" priority="11">
      <formula>kvartal &lt; 4</formula>
    </cfRule>
  </conditionalFormatting>
  <conditionalFormatting sqref="A80:A85">
    <cfRule type="expression" dxfId="352" priority="10">
      <formula>kvartal &lt; 4</formula>
    </cfRule>
  </conditionalFormatting>
  <conditionalFormatting sqref="A90:A95">
    <cfRule type="expression" dxfId="351" priority="7">
      <formula>kvartal &lt; 4</formula>
    </cfRule>
  </conditionalFormatting>
  <conditionalFormatting sqref="A101:A106">
    <cfRule type="expression" dxfId="350" priority="6">
      <formula>kvartal &lt; 4</formula>
    </cfRule>
  </conditionalFormatting>
  <conditionalFormatting sqref="A115">
    <cfRule type="expression" dxfId="349" priority="5">
      <formula>kvartal &lt; 4</formula>
    </cfRule>
  </conditionalFormatting>
  <conditionalFormatting sqref="A123">
    <cfRule type="expression" dxfId="348" priority="4">
      <formula>kvartal &lt; 4</formula>
    </cfRule>
  </conditionalFormatting>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N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244" t="s">
        <v>88</v>
      </c>
      <c r="D1" s="24"/>
      <c r="E1" s="24"/>
      <c r="F1" s="24"/>
      <c r="G1" s="24"/>
      <c r="H1" s="24"/>
      <c r="I1" s="24"/>
      <c r="J1" s="24"/>
      <c r="K1" s="24"/>
      <c r="L1" s="24"/>
      <c r="M1" s="24"/>
    </row>
    <row r="2" spans="1:14" ht="15.75" x14ac:dyDescent="0.25">
      <c r="A2" s="163" t="s">
        <v>28</v>
      </c>
      <c r="B2" s="704"/>
      <c r="C2" s="704"/>
      <c r="D2" s="704"/>
      <c r="E2" s="291"/>
      <c r="F2" s="704"/>
      <c r="G2" s="704"/>
      <c r="H2" s="704"/>
      <c r="I2" s="291"/>
      <c r="J2" s="704"/>
      <c r="K2" s="704"/>
      <c r="L2" s="704"/>
      <c r="M2" s="291"/>
    </row>
    <row r="3" spans="1:14" ht="15.75" x14ac:dyDescent="0.25">
      <c r="A3" s="161"/>
      <c r="B3" s="291"/>
      <c r="C3" s="291"/>
      <c r="D3" s="291"/>
      <c r="E3" s="291"/>
      <c r="F3" s="291"/>
      <c r="G3" s="291"/>
      <c r="H3" s="291"/>
      <c r="I3" s="291"/>
      <c r="J3" s="291"/>
      <c r="K3" s="291"/>
      <c r="L3" s="291"/>
      <c r="M3" s="291"/>
    </row>
    <row r="4" spans="1:14" x14ac:dyDescent="0.2">
      <c r="A4" s="142"/>
      <c r="B4" s="705" t="s">
        <v>0</v>
      </c>
      <c r="C4" s="706"/>
      <c r="D4" s="706"/>
      <c r="E4" s="293"/>
      <c r="F4" s="705" t="s">
        <v>1</v>
      </c>
      <c r="G4" s="706"/>
      <c r="H4" s="706"/>
      <c r="I4" s="296"/>
      <c r="J4" s="705" t="s">
        <v>2</v>
      </c>
      <c r="K4" s="706"/>
      <c r="L4" s="706"/>
      <c r="M4" s="296"/>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v>25866.788830000001</v>
      </c>
      <c r="C7" s="299">
        <v>37583.932999999997</v>
      </c>
      <c r="D7" s="341">
        <f>IF(B7=0, "    ---- ", IF(ABS(ROUND(100/B7*C7-100,1))&lt;999,ROUND(100/B7*C7-100,1),IF(ROUND(100/B7*C7-100,1)&gt;999,999,-999)))</f>
        <v>45.3</v>
      </c>
      <c r="E7" s="11">
        <f>IFERROR(100/'Skjema total MA'!C7*C7,0)</f>
        <v>0.94294820677698576</v>
      </c>
      <c r="F7" s="298"/>
      <c r="G7" s="299"/>
      <c r="H7" s="341"/>
      <c r="I7" s="158"/>
      <c r="J7" s="300">
        <f t="shared" ref="J7:K10" si="0">SUM(B7,F7)</f>
        <v>25866.788830000001</v>
      </c>
      <c r="K7" s="301">
        <f t="shared" si="0"/>
        <v>37583.932999999997</v>
      </c>
      <c r="L7" s="413">
        <f>IF(J7=0, "    ---- ", IF(ABS(ROUND(100/J7*K7-100,1))&lt;999,ROUND(100/J7*K7-100,1),IF(ROUND(100/J7*K7-100,1)&gt;999,999,-999)))</f>
        <v>45.3</v>
      </c>
      <c r="M7" s="11">
        <f>IFERROR(100/'Skjema total MA'!I7*K7,0)</f>
        <v>0.33563148755498706</v>
      </c>
    </row>
    <row r="8" spans="1:14" ht="15.75" x14ac:dyDescent="0.2">
      <c r="A8" s="19" t="s">
        <v>25</v>
      </c>
      <c r="B8" s="276">
        <v>15876.5822577</v>
      </c>
      <c r="C8" s="277">
        <v>6346.4939999999997</v>
      </c>
      <c r="D8" s="164">
        <f t="shared" ref="D8:D10" si="1">IF(B8=0, "    ---- ", IF(ABS(ROUND(100/B8*C8-100,1))&lt;999,ROUND(100/B8*C8-100,1),IF(ROUND(100/B8*C8-100,1)&gt;999,999,-999)))</f>
        <v>-60</v>
      </c>
      <c r="E8" s="25">
        <f>IFERROR(100/'Skjema total MA'!C8*C8,0)</f>
        <v>0.24343978048791826</v>
      </c>
      <c r="F8" s="280"/>
      <c r="G8" s="281"/>
      <c r="H8" s="164"/>
      <c r="I8" s="172"/>
      <c r="J8" s="230">
        <f t="shared" si="0"/>
        <v>15876.5822577</v>
      </c>
      <c r="K8" s="282">
        <f t="shared" si="0"/>
        <v>6346.4939999999997</v>
      </c>
      <c r="L8" s="164">
        <f t="shared" ref="L8:L9" si="2">IF(J8=0, "    ---- ", IF(ABS(ROUND(100/J8*K8-100,1))&lt;999,ROUND(100/J8*K8-100,1),IF(ROUND(100/J8*K8-100,1)&gt;999,999,-999)))</f>
        <v>-60</v>
      </c>
      <c r="M8" s="25">
        <f>IFERROR(100/'Skjema total MA'!I8*K8,0)</f>
        <v>0.24343978048791826</v>
      </c>
    </row>
    <row r="9" spans="1:14" ht="15.75" x14ac:dyDescent="0.2">
      <c r="A9" s="19" t="s">
        <v>24</v>
      </c>
      <c r="B9" s="276">
        <v>9509.0367408999991</v>
      </c>
      <c r="C9" s="277">
        <v>3702.1968000000002</v>
      </c>
      <c r="D9" s="164">
        <f t="shared" si="1"/>
        <v>-61.1</v>
      </c>
      <c r="E9" s="25">
        <f>IFERROR(100/'Skjema total MA'!C9*C9,0)</f>
        <v>0.45643688417758765</v>
      </c>
      <c r="F9" s="280"/>
      <c r="G9" s="281"/>
      <c r="H9" s="164"/>
      <c r="I9" s="172"/>
      <c r="J9" s="230">
        <f t="shared" si="0"/>
        <v>9509.0367408999991</v>
      </c>
      <c r="K9" s="282">
        <f t="shared" si="0"/>
        <v>3702.1968000000002</v>
      </c>
      <c r="L9" s="164">
        <f t="shared" si="2"/>
        <v>-61.1</v>
      </c>
      <c r="M9" s="25">
        <f>IFERROR(100/'Skjema total MA'!I9*K9,0)</f>
        <v>0.45643688417758765</v>
      </c>
    </row>
    <row r="10" spans="1:14" ht="15.75" x14ac:dyDescent="0.2">
      <c r="A10" s="13" t="s">
        <v>350</v>
      </c>
      <c r="B10" s="302">
        <v>19591.939218636198</v>
      </c>
      <c r="C10" s="303">
        <v>4.1253200000000003</v>
      </c>
      <c r="D10" s="169">
        <f t="shared" si="1"/>
        <v>-100</v>
      </c>
      <c r="E10" s="11">
        <f>IFERROR(100/'Skjema total MA'!C10*C10,0)</f>
        <v>2.6223037797056544E-5</v>
      </c>
      <c r="F10" s="302"/>
      <c r="G10" s="303"/>
      <c r="H10" s="169"/>
      <c r="I10" s="158"/>
      <c r="J10" s="300">
        <f t="shared" si="0"/>
        <v>19591.939218636198</v>
      </c>
      <c r="K10" s="301">
        <f t="shared" si="0"/>
        <v>4.1253200000000003</v>
      </c>
      <c r="L10" s="414">
        <f t="shared" ref="L10" si="3">IF(J10=0, "    ---- ", IF(ABS(ROUND(100/J10*K10-100,1))&lt;999,ROUND(100/J10*K10-100,1),IF(ROUND(100/J10*K10-100,1)&gt;999,999,-999)))</f>
        <v>-100</v>
      </c>
      <c r="M10" s="11">
        <f>IFERROR(100/'Skjema total MA'!I10*K10,0)</f>
        <v>4.869864898864587E-6</v>
      </c>
    </row>
    <row r="11" spans="1:14" s="41" customFormat="1" ht="15.75" x14ac:dyDescent="0.2">
      <c r="A11" s="13" t="s">
        <v>351</v>
      </c>
      <c r="B11" s="302"/>
      <c r="C11" s="303"/>
      <c r="D11" s="169"/>
      <c r="E11" s="11"/>
      <c r="F11" s="302"/>
      <c r="G11" s="303"/>
      <c r="H11" s="169"/>
      <c r="I11" s="158"/>
      <c r="J11" s="300"/>
      <c r="K11" s="301"/>
      <c r="L11" s="414"/>
      <c r="M11" s="11"/>
      <c r="N11" s="141"/>
    </row>
    <row r="12" spans="1:14" s="41" customFormat="1" ht="15.75" x14ac:dyDescent="0.2">
      <c r="A12" s="39" t="s">
        <v>352</v>
      </c>
      <c r="B12" s="304"/>
      <c r="C12" s="305"/>
      <c r="D12" s="167"/>
      <c r="E12" s="34"/>
      <c r="F12" s="304"/>
      <c r="G12" s="305"/>
      <c r="H12" s="167"/>
      <c r="I12" s="167"/>
      <c r="J12" s="306"/>
      <c r="K12" s="307"/>
      <c r="L12" s="415"/>
      <c r="M12" s="34"/>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291"/>
      <c r="F18" s="707"/>
      <c r="G18" s="707"/>
      <c r="H18" s="707"/>
      <c r="I18" s="291"/>
      <c r="J18" s="707"/>
      <c r="K18" s="707"/>
      <c r="L18" s="707"/>
      <c r="M18" s="291"/>
    </row>
    <row r="19" spans="1:14" x14ac:dyDescent="0.2">
      <c r="A19" s="142"/>
      <c r="B19" s="705" t="s">
        <v>0</v>
      </c>
      <c r="C19" s="706"/>
      <c r="D19" s="706"/>
      <c r="E19" s="293"/>
      <c r="F19" s="705" t="s">
        <v>1</v>
      </c>
      <c r="G19" s="706"/>
      <c r="H19" s="706"/>
      <c r="I19" s="296"/>
      <c r="J19" s="705" t="s">
        <v>2</v>
      </c>
      <c r="K19" s="706"/>
      <c r="L19" s="706"/>
      <c r="M19" s="296"/>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302">
        <v>158.51983000000001</v>
      </c>
      <c r="C22" s="302">
        <v>132.72809000000001</v>
      </c>
      <c r="D22" s="341">
        <f t="shared" ref="D22:D31" si="4">IF(B22=0, "    ---- ", IF(ABS(ROUND(100/B22*C22-100,1))&lt;999,ROUND(100/B22*C22-100,1),IF(ROUND(100/B22*C22-100,1)&gt;999,999,-999)))</f>
        <v>-16.3</v>
      </c>
      <c r="E22" s="11">
        <f>IFERROR(100/'Skjema total MA'!C22*C22,0)</f>
        <v>7.9143554547455672E-3</v>
      </c>
      <c r="F22" s="310"/>
      <c r="G22" s="310"/>
      <c r="H22" s="341"/>
      <c r="I22" s="11"/>
      <c r="J22" s="308">
        <f t="shared" ref="J22:K29" si="5">SUM(B22,F22)</f>
        <v>158.51983000000001</v>
      </c>
      <c r="K22" s="308">
        <f t="shared" si="5"/>
        <v>132.72809000000001</v>
      </c>
      <c r="L22" s="413">
        <f t="shared" ref="L22:L31" si="6">IF(J22=0, "    ---- ", IF(ABS(ROUND(100/J22*K22-100,1))&lt;999,ROUND(100/J22*K22-100,1),IF(ROUND(100/J22*K22-100,1)&gt;999,999,-999)))</f>
        <v>-16.3</v>
      </c>
      <c r="M22" s="22">
        <f>IFERROR(100/'Skjema total MA'!I22*K22,0)</f>
        <v>5.5748094391626516E-3</v>
      </c>
    </row>
    <row r="23" spans="1:14" ht="15.75" x14ac:dyDescent="0.2">
      <c r="A23" s="496" t="s">
        <v>353</v>
      </c>
      <c r="B23" s="276"/>
      <c r="C23" s="276"/>
      <c r="D23" s="164"/>
      <c r="E23" s="11"/>
      <c r="F23" s="285"/>
      <c r="G23" s="285"/>
      <c r="H23" s="164"/>
      <c r="I23" s="403"/>
      <c r="J23" s="285"/>
      <c r="K23" s="285"/>
      <c r="L23" s="164"/>
      <c r="M23" s="21"/>
    </row>
    <row r="24" spans="1:14" ht="15.75" x14ac:dyDescent="0.2">
      <c r="A24" s="496" t="s">
        <v>354</v>
      </c>
      <c r="B24" s="276">
        <v>158.51983000000001</v>
      </c>
      <c r="C24" s="276">
        <v>132.72809000000001</v>
      </c>
      <c r="D24" s="164">
        <f t="shared" si="4"/>
        <v>-16.3</v>
      </c>
      <c r="E24" s="11">
        <f>IFERROR(100/'Skjema total MA'!C24*C24,0)</f>
        <v>0.85404972124334178</v>
      </c>
      <c r="F24" s="285"/>
      <c r="G24" s="285"/>
      <c r="H24" s="164"/>
      <c r="I24" s="403"/>
      <c r="J24" s="285">
        <f t="shared" ref="J24" si="7">SUM(B24,F24)</f>
        <v>158.51983000000001</v>
      </c>
      <c r="K24" s="285">
        <f t="shared" ref="K24" si="8">SUM(C24,G24)</f>
        <v>132.72809000000001</v>
      </c>
      <c r="L24" s="164">
        <f t="shared" si="6"/>
        <v>-16.3</v>
      </c>
      <c r="M24" s="21">
        <f>IFERROR(100/'Skjema total MA'!I24*K24,0)</f>
        <v>0.8008343002190601</v>
      </c>
    </row>
    <row r="25" spans="1:14" ht="15.75" x14ac:dyDescent="0.2">
      <c r="A25" s="496" t="s">
        <v>355</v>
      </c>
      <c r="B25" s="276"/>
      <c r="C25" s="276"/>
      <c r="D25" s="164"/>
      <c r="E25" s="11"/>
      <c r="F25" s="285"/>
      <c r="G25" s="285"/>
      <c r="H25" s="164"/>
      <c r="I25" s="403"/>
      <c r="J25" s="285"/>
      <c r="K25" s="285"/>
      <c r="L25" s="164"/>
      <c r="M25" s="21"/>
    </row>
    <row r="26" spans="1:14" ht="15.75" x14ac:dyDescent="0.2">
      <c r="A26" s="496" t="s">
        <v>356</v>
      </c>
      <c r="B26" s="276"/>
      <c r="C26" s="276"/>
      <c r="D26" s="164"/>
      <c r="E26" s="11"/>
      <c r="F26" s="285"/>
      <c r="G26" s="285"/>
      <c r="H26" s="164"/>
      <c r="I26" s="403"/>
      <c r="J26" s="285"/>
      <c r="K26" s="285"/>
      <c r="L26" s="164"/>
      <c r="M26" s="21"/>
    </row>
    <row r="27" spans="1:14" x14ac:dyDescent="0.2">
      <c r="A27" s="496" t="s">
        <v>11</v>
      </c>
      <c r="B27" s="276"/>
      <c r="C27" s="276"/>
      <c r="D27" s="164"/>
      <c r="E27" s="11"/>
      <c r="F27" s="285"/>
      <c r="G27" s="285"/>
      <c r="H27" s="164"/>
      <c r="I27" s="403"/>
      <c r="J27" s="285"/>
      <c r="K27" s="285"/>
      <c r="L27" s="164"/>
      <c r="M27" s="21"/>
    </row>
    <row r="28" spans="1:14" ht="15.75" x14ac:dyDescent="0.2">
      <c r="A28" s="47" t="s">
        <v>271</v>
      </c>
      <c r="B28" s="42">
        <v>158.51983000000001</v>
      </c>
      <c r="C28" s="282">
        <v>132.72809000000001</v>
      </c>
      <c r="D28" s="164">
        <f t="shared" si="4"/>
        <v>-16.3</v>
      </c>
      <c r="E28" s="11">
        <f>IFERROR(100/'Skjema total MA'!C28*C28,0)</f>
        <v>7.0502722331848922E-3</v>
      </c>
      <c r="F28" s="230"/>
      <c r="G28" s="282"/>
      <c r="H28" s="164"/>
      <c r="I28" s="25"/>
      <c r="J28" s="42">
        <f t="shared" si="5"/>
        <v>158.51983000000001</v>
      </c>
      <c r="K28" s="42">
        <f t="shared" si="5"/>
        <v>132.72809000000001</v>
      </c>
      <c r="L28" s="249">
        <f t="shared" si="6"/>
        <v>-16.3</v>
      </c>
      <c r="M28" s="21">
        <f>IFERROR(100/'Skjema total MA'!I28*K28,0)</f>
        <v>7.0502722331848922E-3</v>
      </c>
    </row>
    <row r="29" spans="1:14" s="3" customFormat="1" ht="15.75" x14ac:dyDescent="0.2">
      <c r="A29" s="13" t="s">
        <v>350</v>
      </c>
      <c r="B29" s="232">
        <v>1637.5682968306401</v>
      </c>
      <c r="C29" s="232">
        <v>1515.47009</v>
      </c>
      <c r="D29" s="169">
        <f t="shared" si="4"/>
        <v>-7.5</v>
      </c>
      <c r="E29" s="11">
        <f>IFERROR(100/'Skjema total MA'!C29*C29,0)</f>
        <v>3.4000883067495952E-3</v>
      </c>
      <c r="F29" s="300"/>
      <c r="G29" s="300"/>
      <c r="H29" s="169"/>
      <c r="I29" s="11"/>
      <c r="J29" s="232">
        <f t="shared" si="5"/>
        <v>1637.5682968306401</v>
      </c>
      <c r="K29" s="232">
        <f t="shared" si="5"/>
        <v>1515.47009</v>
      </c>
      <c r="L29" s="414">
        <f t="shared" si="6"/>
        <v>-7.5</v>
      </c>
      <c r="M29" s="22">
        <f>IFERROR(100/'Skjema total MA'!I29*K29,0)</f>
        <v>2.2393907119174924E-3</v>
      </c>
      <c r="N29" s="146"/>
    </row>
    <row r="30" spans="1:14" s="3" customFormat="1" ht="15.75" x14ac:dyDescent="0.2">
      <c r="A30" s="496" t="s">
        <v>353</v>
      </c>
      <c r="B30" s="276"/>
      <c r="C30" s="276"/>
      <c r="D30" s="164"/>
      <c r="E30" s="11"/>
      <c r="F30" s="285"/>
      <c r="G30" s="285"/>
      <c r="H30" s="164"/>
      <c r="I30" s="403"/>
      <c r="J30" s="285"/>
      <c r="K30" s="285"/>
      <c r="L30" s="164"/>
      <c r="M30" s="21"/>
      <c r="N30" s="146"/>
    </row>
    <row r="31" spans="1:14" s="3" customFormat="1" ht="15.75" x14ac:dyDescent="0.2">
      <c r="A31" s="496" t="s">
        <v>354</v>
      </c>
      <c r="B31" s="276">
        <v>1637.5682968306401</v>
      </c>
      <c r="C31" s="276">
        <v>1515.47009</v>
      </c>
      <c r="D31" s="164">
        <f t="shared" si="4"/>
        <v>-7.5</v>
      </c>
      <c r="E31" s="11">
        <f>IFERROR(100/'Skjema total MA'!C31*C31,0)</f>
        <v>6.0359456022404962E-3</v>
      </c>
      <c r="F31" s="285"/>
      <c r="G31" s="285"/>
      <c r="H31" s="164"/>
      <c r="I31" s="403"/>
      <c r="J31" s="285">
        <f t="shared" ref="J31" si="9">SUM(B31,F31)</f>
        <v>1637.5682968306401</v>
      </c>
      <c r="K31" s="285">
        <f t="shared" ref="K31" si="10">SUM(C31,G31)</f>
        <v>1515.47009</v>
      </c>
      <c r="L31" s="164">
        <f t="shared" si="6"/>
        <v>-7.5</v>
      </c>
      <c r="M31" s="21">
        <f>IFERROR(100/'Skjema total MA'!I31*K31,0)</f>
        <v>4.6415305286860217E-3</v>
      </c>
      <c r="N31" s="146"/>
    </row>
    <row r="32" spans="1:14" ht="15.75" x14ac:dyDescent="0.2">
      <c r="A32" s="496" t="s">
        <v>355</v>
      </c>
      <c r="B32" s="276"/>
      <c r="C32" s="276"/>
      <c r="D32" s="164"/>
      <c r="E32" s="11"/>
      <c r="F32" s="285"/>
      <c r="G32" s="285"/>
      <c r="H32" s="164"/>
      <c r="I32" s="403"/>
      <c r="J32" s="285"/>
      <c r="K32" s="285"/>
      <c r="L32" s="164"/>
      <c r="M32" s="21"/>
    </row>
    <row r="33" spans="1:14" ht="15.75" x14ac:dyDescent="0.2">
      <c r="A33" s="496" t="s">
        <v>356</v>
      </c>
      <c r="B33" s="276"/>
      <c r="C33" s="276"/>
      <c r="D33" s="164"/>
      <c r="E33" s="11"/>
      <c r="F33" s="285"/>
      <c r="G33" s="285"/>
      <c r="H33" s="164"/>
      <c r="I33" s="403"/>
      <c r="J33" s="285"/>
      <c r="K33" s="285"/>
      <c r="L33" s="164"/>
      <c r="M33" s="21"/>
    </row>
    <row r="34" spans="1:14" ht="15.75" x14ac:dyDescent="0.2">
      <c r="A34" s="13" t="s">
        <v>351</v>
      </c>
      <c r="B34" s="232"/>
      <c r="C34" s="301"/>
      <c r="D34" s="169"/>
      <c r="E34" s="11"/>
      <c r="F34" s="300"/>
      <c r="G34" s="301"/>
      <c r="H34" s="169"/>
      <c r="I34" s="11"/>
      <c r="J34" s="232"/>
      <c r="K34" s="232"/>
      <c r="L34" s="414"/>
      <c r="M34" s="22"/>
    </row>
    <row r="35" spans="1:14" ht="15.75" x14ac:dyDescent="0.2">
      <c r="A35" s="13" t="s">
        <v>352</v>
      </c>
      <c r="B35" s="232"/>
      <c r="C35" s="301"/>
      <c r="D35" s="169"/>
      <c r="E35" s="11"/>
      <c r="F35" s="300"/>
      <c r="G35" s="301"/>
      <c r="H35" s="169"/>
      <c r="I35" s="11"/>
      <c r="J35" s="232"/>
      <c r="K35" s="232"/>
      <c r="L35" s="414"/>
      <c r="M35" s="22"/>
    </row>
    <row r="36" spans="1:14" ht="15.75" x14ac:dyDescent="0.2">
      <c r="A36" s="12" t="s">
        <v>279</v>
      </c>
      <c r="B36" s="232"/>
      <c r="C36" s="301"/>
      <c r="D36" s="169"/>
      <c r="E36" s="11"/>
      <c r="F36" s="311"/>
      <c r="G36" s="312"/>
      <c r="H36" s="169"/>
      <c r="I36" s="420"/>
      <c r="J36" s="232"/>
      <c r="K36" s="232"/>
      <c r="L36" s="414"/>
      <c r="M36" s="22"/>
    </row>
    <row r="37" spans="1:14" ht="15.75" x14ac:dyDescent="0.2">
      <c r="A37" s="12" t="s">
        <v>358</v>
      </c>
      <c r="B37" s="232"/>
      <c r="C37" s="301"/>
      <c r="D37" s="169"/>
      <c r="E37" s="11"/>
      <c r="F37" s="311"/>
      <c r="G37" s="313"/>
      <c r="H37" s="169"/>
      <c r="I37" s="420"/>
      <c r="J37" s="232"/>
      <c r="K37" s="232"/>
      <c r="L37" s="414"/>
      <c r="M37" s="22"/>
    </row>
    <row r="38" spans="1:14" ht="15.75" x14ac:dyDescent="0.2">
      <c r="A38" s="12" t="s">
        <v>359</v>
      </c>
      <c r="B38" s="232"/>
      <c r="C38" s="301"/>
      <c r="D38" s="169"/>
      <c r="E38" s="22"/>
      <c r="F38" s="311"/>
      <c r="G38" s="312"/>
      <c r="H38" s="169"/>
      <c r="I38" s="420"/>
      <c r="J38" s="232"/>
      <c r="K38" s="232"/>
      <c r="L38" s="414"/>
      <c r="M38" s="22"/>
    </row>
    <row r="39" spans="1:14" ht="15.75" x14ac:dyDescent="0.2">
      <c r="A39" s="18" t="s">
        <v>360</v>
      </c>
      <c r="B39" s="271"/>
      <c r="C39" s="307"/>
      <c r="D39" s="167"/>
      <c r="E39" s="34"/>
      <c r="F39" s="314"/>
      <c r="G39" s="315"/>
      <c r="H39" s="167"/>
      <c r="I39" s="34"/>
      <c r="J39" s="232"/>
      <c r="K39" s="232"/>
      <c r="L39" s="415"/>
      <c r="M39" s="34"/>
    </row>
    <row r="40" spans="1:14" ht="15.75" x14ac:dyDescent="0.25">
      <c r="A40" s="45"/>
      <c r="B40" s="248"/>
      <c r="C40" s="248"/>
      <c r="D40" s="708"/>
      <c r="E40" s="708"/>
      <c r="F40" s="708"/>
      <c r="G40" s="708"/>
      <c r="H40" s="708"/>
      <c r="I40" s="708"/>
      <c r="J40" s="708"/>
      <c r="K40" s="708"/>
      <c r="L40" s="708"/>
      <c r="M40" s="294"/>
    </row>
    <row r="41" spans="1:14" x14ac:dyDescent="0.2">
      <c r="A41" s="153"/>
    </row>
    <row r="42" spans="1:14" ht="15.75" x14ac:dyDescent="0.25">
      <c r="A42" s="145" t="s">
        <v>268</v>
      </c>
      <c r="B42" s="704"/>
      <c r="C42" s="704"/>
      <c r="D42" s="704"/>
      <c r="E42" s="291"/>
      <c r="F42" s="709"/>
      <c r="G42" s="709"/>
      <c r="H42" s="709"/>
      <c r="I42" s="294"/>
      <c r="J42" s="709"/>
      <c r="K42" s="709"/>
      <c r="L42" s="709"/>
      <c r="M42" s="294"/>
    </row>
    <row r="43" spans="1:14" ht="15.75" x14ac:dyDescent="0.25">
      <c r="A43" s="161"/>
      <c r="B43" s="295"/>
      <c r="C43" s="295"/>
      <c r="D43" s="295"/>
      <c r="E43" s="295"/>
      <c r="F43" s="294"/>
      <c r="G43" s="294"/>
      <c r="H43" s="294"/>
      <c r="I43" s="294"/>
      <c r="J43" s="294"/>
      <c r="K43" s="294"/>
      <c r="L43" s="294"/>
      <c r="M43" s="294"/>
    </row>
    <row r="44" spans="1:14" ht="15.75" x14ac:dyDescent="0.25">
      <c r="A44" s="243"/>
      <c r="B44" s="705" t="s">
        <v>0</v>
      </c>
      <c r="C44" s="706"/>
      <c r="D44" s="706"/>
      <c r="E44" s="239"/>
      <c r="F44" s="294"/>
      <c r="G44" s="294"/>
      <c r="H44" s="294"/>
      <c r="I44" s="294"/>
      <c r="J44" s="294"/>
      <c r="K44" s="294"/>
      <c r="L44" s="294"/>
      <c r="M44" s="294"/>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c r="C47" s="303"/>
      <c r="D47" s="413"/>
      <c r="E47" s="11"/>
      <c r="F47" s="143"/>
      <c r="G47" s="31"/>
      <c r="H47" s="157"/>
      <c r="I47" s="157"/>
      <c r="J47" s="35"/>
      <c r="K47" s="35"/>
      <c r="L47" s="157"/>
      <c r="M47" s="157"/>
      <c r="N47" s="146"/>
    </row>
    <row r="48" spans="1:14" s="3" customFormat="1" ht="15.75" x14ac:dyDescent="0.2">
      <c r="A48" s="36" t="s">
        <v>361</v>
      </c>
      <c r="B48" s="276"/>
      <c r="C48" s="277"/>
      <c r="D48" s="249"/>
      <c r="E48" s="25"/>
      <c r="F48" s="143"/>
      <c r="G48" s="31"/>
      <c r="H48" s="143"/>
      <c r="I48" s="143"/>
      <c r="J48" s="31"/>
      <c r="K48" s="31"/>
      <c r="L48" s="157"/>
      <c r="M48" s="157"/>
      <c r="N48" s="146"/>
    </row>
    <row r="49" spans="1:14" s="3" customFormat="1" ht="15.75" x14ac:dyDescent="0.2">
      <c r="A49" s="36" t="s">
        <v>362</v>
      </c>
      <c r="B49" s="42"/>
      <c r="C49" s="282"/>
      <c r="D49" s="249"/>
      <c r="E49" s="25"/>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c r="C53" s="303"/>
      <c r="D53" s="414"/>
      <c r="E53" s="11"/>
      <c r="F53" s="143"/>
      <c r="G53" s="31"/>
      <c r="H53" s="143"/>
      <c r="I53" s="143"/>
      <c r="J53" s="31"/>
      <c r="K53" s="31"/>
      <c r="L53" s="157"/>
      <c r="M53" s="157"/>
      <c r="N53" s="146"/>
    </row>
    <row r="54" spans="1:14" s="3" customFormat="1" ht="15.75" x14ac:dyDescent="0.2">
      <c r="A54" s="36" t="s">
        <v>361</v>
      </c>
      <c r="B54" s="276"/>
      <c r="C54" s="277"/>
      <c r="D54" s="249"/>
      <c r="E54" s="25"/>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c r="C56" s="303"/>
      <c r="D56" s="414"/>
      <c r="E56" s="11"/>
      <c r="F56" s="143"/>
      <c r="G56" s="31"/>
      <c r="H56" s="143"/>
      <c r="I56" s="143"/>
      <c r="J56" s="31"/>
      <c r="K56" s="31"/>
      <c r="L56" s="157"/>
      <c r="M56" s="157"/>
      <c r="N56" s="146"/>
    </row>
    <row r="57" spans="1:14" s="3" customFormat="1" ht="15.75" x14ac:dyDescent="0.2">
      <c r="A57" s="36" t="s">
        <v>361</v>
      </c>
      <c r="B57" s="276"/>
      <c r="C57" s="277"/>
      <c r="D57" s="249"/>
      <c r="E57" s="25"/>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291"/>
      <c r="F62" s="707"/>
      <c r="G62" s="707"/>
      <c r="H62" s="707"/>
      <c r="I62" s="291"/>
      <c r="J62" s="707"/>
      <c r="K62" s="707"/>
      <c r="L62" s="707"/>
      <c r="M62" s="291"/>
    </row>
    <row r="63" spans="1:14" x14ac:dyDescent="0.2">
      <c r="A63" s="142"/>
      <c r="B63" s="705" t="s">
        <v>0</v>
      </c>
      <c r="C63" s="706"/>
      <c r="D63" s="710"/>
      <c r="E63" s="292"/>
      <c r="F63" s="706" t="s">
        <v>1</v>
      </c>
      <c r="G63" s="706"/>
      <c r="H63" s="706"/>
      <c r="I63" s="296"/>
      <c r="J63" s="705" t="s">
        <v>2</v>
      </c>
      <c r="K63" s="706"/>
      <c r="L63" s="706"/>
      <c r="M63" s="296"/>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c r="C66" s="344"/>
      <c r="D66" s="341"/>
      <c r="E66" s="11"/>
      <c r="F66" s="343"/>
      <c r="G66" s="343"/>
      <c r="H66" s="341"/>
      <c r="I66" s="11"/>
      <c r="J66" s="301"/>
      <c r="K66" s="308"/>
      <c r="L66" s="414"/>
      <c r="M66" s="11"/>
    </row>
    <row r="67" spans="1:14" x14ac:dyDescent="0.2">
      <c r="A67" s="405" t="s">
        <v>9</v>
      </c>
      <c r="B67" s="42"/>
      <c r="C67" s="143"/>
      <c r="D67" s="164"/>
      <c r="E67" s="25"/>
      <c r="F67" s="230"/>
      <c r="G67" s="143"/>
      <c r="H67" s="164"/>
      <c r="I67" s="25"/>
      <c r="J67" s="282"/>
      <c r="K67" s="42"/>
      <c r="L67" s="249"/>
      <c r="M67" s="25"/>
    </row>
    <row r="68" spans="1:14" x14ac:dyDescent="0.2">
      <c r="A68" s="19" t="s">
        <v>10</v>
      </c>
      <c r="B68" s="286"/>
      <c r="C68" s="287"/>
      <c r="D68" s="164"/>
      <c r="E68" s="25"/>
      <c r="F68" s="286"/>
      <c r="G68" s="287"/>
      <c r="H68" s="164"/>
      <c r="I68" s="25"/>
      <c r="J68" s="282"/>
      <c r="K68" s="42"/>
      <c r="L68" s="249"/>
      <c r="M68" s="25"/>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c r="C75" s="143"/>
      <c r="D75" s="164"/>
      <c r="E75" s="25"/>
      <c r="F75" s="230"/>
      <c r="G75" s="143"/>
      <c r="H75" s="164"/>
      <c r="I75" s="25"/>
      <c r="J75" s="282"/>
      <c r="K75" s="42"/>
      <c r="L75" s="249"/>
      <c r="M75" s="25"/>
      <c r="N75" s="146"/>
    </row>
    <row r="76" spans="1:14" s="3" customFormat="1" x14ac:dyDescent="0.2">
      <c r="A76" s="19" t="s">
        <v>336</v>
      </c>
      <c r="B76" s="230"/>
      <c r="C76" s="143"/>
      <c r="D76" s="164"/>
      <c r="E76" s="25"/>
      <c r="F76" s="230"/>
      <c r="G76" s="143"/>
      <c r="H76" s="164"/>
      <c r="I76" s="25"/>
      <c r="J76" s="282"/>
      <c r="K76" s="42"/>
      <c r="L76" s="249"/>
      <c r="M76" s="25"/>
      <c r="N76" s="146"/>
    </row>
    <row r="77" spans="1:14" ht="15.75" x14ac:dyDescent="0.2">
      <c r="A77" s="19" t="s">
        <v>367</v>
      </c>
      <c r="B77" s="230"/>
      <c r="C77" s="230"/>
      <c r="D77" s="164"/>
      <c r="E77" s="25"/>
      <c r="F77" s="230"/>
      <c r="G77" s="143"/>
      <c r="H77" s="164"/>
      <c r="I77" s="25"/>
      <c r="J77" s="282"/>
      <c r="K77" s="42"/>
      <c r="L77" s="249"/>
      <c r="M77" s="25"/>
    </row>
    <row r="78" spans="1:14" x14ac:dyDescent="0.2">
      <c r="A78" s="19" t="s">
        <v>9</v>
      </c>
      <c r="B78" s="230"/>
      <c r="C78" s="143"/>
      <c r="D78" s="164"/>
      <c r="E78" s="25"/>
      <c r="F78" s="230"/>
      <c r="G78" s="143"/>
      <c r="H78" s="164"/>
      <c r="I78" s="25"/>
      <c r="J78" s="282"/>
      <c r="K78" s="42"/>
      <c r="L78" s="249"/>
      <c r="M78" s="25"/>
    </row>
    <row r="79" spans="1:14" x14ac:dyDescent="0.2">
      <c r="A79" s="36" t="s">
        <v>400</v>
      </c>
      <c r="B79" s="286"/>
      <c r="C79" s="287"/>
      <c r="D79" s="164"/>
      <c r="E79" s="25"/>
      <c r="F79" s="286"/>
      <c r="G79" s="287"/>
      <c r="H79" s="164"/>
      <c r="I79" s="25"/>
      <c r="J79" s="282"/>
      <c r="K79" s="42"/>
      <c r="L79" s="249"/>
      <c r="M79" s="25"/>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c r="C86" s="143"/>
      <c r="D86" s="164"/>
      <c r="E86" s="25"/>
      <c r="F86" s="230"/>
      <c r="G86" s="143"/>
      <c r="H86" s="164"/>
      <c r="I86" s="25"/>
      <c r="J86" s="282"/>
      <c r="K86" s="42"/>
      <c r="L86" s="249"/>
      <c r="M86" s="25"/>
    </row>
    <row r="87" spans="1:13" ht="15.75" x14ac:dyDescent="0.2">
      <c r="A87" s="13" t="s">
        <v>350</v>
      </c>
      <c r="B87" s="344"/>
      <c r="C87" s="344"/>
      <c r="D87" s="169"/>
      <c r="E87" s="11"/>
      <c r="F87" s="343"/>
      <c r="G87" s="343"/>
      <c r="H87" s="169"/>
      <c r="I87" s="11"/>
      <c r="J87" s="301"/>
      <c r="K87" s="232"/>
      <c r="L87" s="414"/>
      <c r="M87" s="11"/>
    </row>
    <row r="88" spans="1:13" x14ac:dyDescent="0.2">
      <c r="A88" s="19" t="s">
        <v>9</v>
      </c>
      <c r="B88" s="230"/>
      <c r="C88" s="143"/>
      <c r="D88" s="164"/>
      <c r="E88" s="25"/>
      <c r="F88" s="230"/>
      <c r="G88" s="143"/>
      <c r="H88" s="164"/>
      <c r="I88" s="25"/>
      <c r="J88" s="282"/>
      <c r="K88" s="42"/>
      <c r="L88" s="249"/>
      <c r="M88" s="25"/>
    </row>
    <row r="89" spans="1:13" x14ac:dyDescent="0.2">
      <c r="A89" s="19" t="s">
        <v>10</v>
      </c>
      <c r="B89" s="230"/>
      <c r="C89" s="143"/>
      <c r="D89" s="164"/>
      <c r="E89" s="25"/>
      <c r="F89" s="230"/>
      <c r="G89" s="143"/>
      <c r="H89" s="164"/>
      <c r="I89" s="25"/>
      <c r="J89" s="282"/>
      <c r="K89" s="42"/>
      <c r="L89" s="249"/>
      <c r="M89" s="25"/>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c r="C96" s="143"/>
      <c r="D96" s="164"/>
      <c r="E96" s="25"/>
      <c r="F96" s="230"/>
      <c r="G96" s="143"/>
      <c r="H96" s="164"/>
      <c r="I96" s="25"/>
      <c r="J96" s="282"/>
      <c r="K96" s="42"/>
      <c r="L96" s="249"/>
      <c r="M96" s="25"/>
    </row>
    <row r="97" spans="1:13" x14ac:dyDescent="0.2">
      <c r="A97" s="19" t="s">
        <v>334</v>
      </c>
      <c r="B97" s="230"/>
      <c r="C97" s="143"/>
      <c r="D97" s="164"/>
      <c r="E97" s="25"/>
      <c r="F97" s="230"/>
      <c r="G97" s="143"/>
      <c r="H97" s="164"/>
      <c r="I97" s="25"/>
      <c r="J97" s="282"/>
      <c r="K97" s="42"/>
      <c r="L97" s="249"/>
      <c r="M97" s="25"/>
    </row>
    <row r="98" spans="1:13" ht="15.75" x14ac:dyDescent="0.2">
      <c r="A98" s="19" t="s">
        <v>367</v>
      </c>
      <c r="B98" s="230"/>
      <c r="C98" s="230"/>
      <c r="D98" s="164"/>
      <c r="E98" s="25"/>
      <c r="F98" s="286"/>
      <c r="G98" s="286"/>
      <c r="H98" s="164"/>
      <c r="I98" s="25"/>
      <c r="J98" s="282"/>
      <c r="K98" s="42"/>
      <c r="L98" s="249"/>
      <c r="M98" s="25"/>
    </row>
    <row r="99" spans="1:13" x14ac:dyDescent="0.2">
      <c r="A99" s="19" t="s">
        <v>9</v>
      </c>
      <c r="B99" s="286"/>
      <c r="C99" s="287"/>
      <c r="D99" s="164"/>
      <c r="E99" s="25"/>
      <c r="F99" s="230"/>
      <c r="G99" s="143"/>
      <c r="H99" s="164"/>
      <c r="I99" s="25"/>
      <c r="J99" s="282"/>
      <c r="K99" s="42"/>
      <c r="L99" s="249"/>
      <c r="M99" s="25"/>
    </row>
    <row r="100" spans="1:13" x14ac:dyDescent="0.2">
      <c r="A100" s="36" t="s">
        <v>400</v>
      </c>
      <c r="B100" s="286"/>
      <c r="C100" s="287"/>
      <c r="D100" s="164"/>
      <c r="E100" s="25"/>
      <c r="F100" s="230"/>
      <c r="G100" s="230"/>
      <c r="H100" s="164"/>
      <c r="I100" s="25"/>
      <c r="J100" s="282"/>
      <c r="K100" s="42"/>
      <c r="L100" s="249"/>
      <c r="M100" s="25"/>
    </row>
    <row r="101" spans="1:13" ht="15.75" x14ac:dyDescent="0.2">
      <c r="A101" s="288" t="s">
        <v>365</v>
      </c>
      <c r="B101" s="311"/>
      <c r="C101" s="311"/>
      <c r="D101" s="164"/>
      <c r="E101" s="21"/>
      <c r="F101" s="311"/>
      <c r="G101" s="311"/>
      <c r="H101" s="164"/>
      <c r="I101" s="21"/>
      <c r="J101" s="311"/>
      <c r="K101" s="311"/>
      <c r="L101" s="164"/>
      <c r="M101" s="21"/>
    </row>
    <row r="102" spans="1:13" x14ac:dyDescent="0.2">
      <c r="A102" s="288" t="s">
        <v>12</v>
      </c>
      <c r="B102" s="311"/>
      <c r="C102" s="311"/>
      <c r="D102" s="164"/>
      <c r="E102" s="21"/>
      <c r="F102" s="311"/>
      <c r="G102" s="311"/>
      <c r="H102" s="164"/>
      <c r="I102" s="21"/>
      <c r="J102" s="311"/>
      <c r="K102" s="311"/>
      <c r="L102" s="164"/>
      <c r="M102" s="21"/>
    </row>
    <row r="103" spans="1:13" x14ac:dyDescent="0.2">
      <c r="A103" s="288" t="s">
        <v>13</v>
      </c>
      <c r="B103" s="311"/>
      <c r="C103" s="311"/>
      <c r="D103" s="164"/>
      <c r="E103" s="21"/>
      <c r="F103" s="311"/>
      <c r="G103" s="311"/>
      <c r="H103" s="164"/>
      <c r="I103" s="21"/>
      <c r="J103" s="311"/>
      <c r="K103" s="311"/>
      <c r="L103" s="164"/>
      <c r="M103" s="21"/>
    </row>
    <row r="104" spans="1:13" ht="15.75" x14ac:dyDescent="0.2">
      <c r="A104" s="288" t="s">
        <v>366</v>
      </c>
      <c r="B104" s="311"/>
      <c r="C104" s="311"/>
      <c r="D104" s="164"/>
      <c r="E104" s="21"/>
      <c r="F104" s="311"/>
      <c r="G104" s="311"/>
      <c r="H104" s="164"/>
      <c r="I104" s="21"/>
      <c r="J104" s="311"/>
      <c r="K104" s="311"/>
      <c r="L104" s="164"/>
      <c r="M104" s="21"/>
    </row>
    <row r="105" spans="1:13" x14ac:dyDescent="0.2">
      <c r="A105" s="288" t="s">
        <v>12</v>
      </c>
      <c r="B105" s="231"/>
      <c r="C105" s="284"/>
      <c r="D105" s="164"/>
      <c r="E105" s="21"/>
      <c r="F105" s="311"/>
      <c r="G105" s="311"/>
      <c r="H105" s="164"/>
      <c r="I105" s="21"/>
      <c r="J105" s="311"/>
      <c r="K105" s="311"/>
      <c r="L105" s="164"/>
      <c r="M105" s="21"/>
    </row>
    <row r="106" spans="1:13" x14ac:dyDescent="0.2">
      <c r="A106" s="288" t="s">
        <v>13</v>
      </c>
      <c r="B106" s="231"/>
      <c r="C106" s="284"/>
      <c r="D106" s="164"/>
      <c r="E106" s="21"/>
      <c r="F106" s="311"/>
      <c r="G106" s="311"/>
      <c r="H106" s="164"/>
      <c r="I106" s="21"/>
      <c r="J106" s="311"/>
      <c r="K106" s="311"/>
      <c r="L106" s="164"/>
      <c r="M106" s="21"/>
    </row>
    <row r="107" spans="1:13" ht="15.75" x14ac:dyDescent="0.2">
      <c r="A107" s="19" t="s">
        <v>368</v>
      </c>
      <c r="B107" s="230"/>
      <c r="C107" s="143"/>
      <c r="D107" s="164"/>
      <c r="E107" s="25"/>
      <c r="F107" s="230"/>
      <c r="G107" s="143"/>
      <c r="H107" s="164"/>
      <c r="I107" s="25"/>
      <c r="J107" s="282"/>
      <c r="K107" s="42"/>
      <c r="L107" s="249"/>
      <c r="M107" s="25"/>
    </row>
    <row r="108" spans="1:13" ht="15.75" x14ac:dyDescent="0.2">
      <c r="A108" s="19" t="s">
        <v>369</v>
      </c>
      <c r="B108" s="230"/>
      <c r="C108" s="230"/>
      <c r="D108" s="164"/>
      <c r="E108" s="25"/>
      <c r="F108" s="230"/>
      <c r="G108" s="230"/>
      <c r="H108" s="164"/>
      <c r="I108" s="25"/>
      <c r="J108" s="282"/>
      <c r="K108" s="42"/>
      <c r="L108" s="249"/>
      <c r="M108" s="25"/>
    </row>
    <row r="109" spans="1:13" ht="15.75" x14ac:dyDescent="0.2">
      <c r="A109" s="36" t="s">
        <v>408</v>
      </c>
      <c r="B109" s="230"/>
      <c r="C109" s="230"/>
      <c r="D109" s="164"/>
      <c r="E109" s="25"/>
      <c r="F109" s="230"/>
      <c r="G109" s="230"/>
      <c r="H109" s="164"/>
      <c r="I109" s="25"/>
      <c r="J109" s="282"/>
      <c r="K109" s="42"/>
      <c r="L109" s="249"/>
      <c r="M109" s="25"/>
    </row>
    <row r="110" spans="1:13" ht="15.75" x14ac:dyDescent="0.2">
      <c r="A110" s="19" t="s">
        <v>370</v>
      </c>
      <c r="B110" s="230"/>
      <c r="C110" s="230"/>
      <c r="D110" s="164"/>
      <c r="E110" s="25"/>
      <c r="F110" s="230"/>
      <c r="G110" s="230"/>
      <c r="H110" s="164"/>
      <c r="I110" s="25"/>
      <c r="J110" s="282"/>
      <c r="K110" s="42"/>
      <c r="L110" s="249"/>
      <c r="M110" s="25"/>
    </row>
    <row r="111" spans="1:13" ht="15.75" x14ac:dyDescent="0.2">
      <c r="A111" s="13" t="s">
        <v>351</v>
      </c>
      <c r="B111" s="300"/>
      <c r="C111" s="157"/>
      <c r="D111" s="169"/>
      <c r="E111" s="11"/>
      <c r="F111" s="300"/>
      <c r="G111" s="157"/>
      <c r="H111" s="169"/>
      <c r="I111" s="11"/>
      <c r="J111" s="301"/>
      <c r="K111" s="232"/>
      <c r="L111" s="414"/>
      <c r="M111" s="11"/>
    </row>
    <row r="112" spans="1:13" x14ac:dyDescent="0.2">
      <c r="A112" s="19" t="s">
        <v>9</v>
      </c>
      <c r="B112" s="230"/>
      <c r="C112" s="143"/>
      <c r="D112" s="164"/>
      <c r="E112" s="25"/>
      <c r="F112" s="230"/>
      <c r="G112" s="143"/>
      <c r="H112" s="164"/>
      <c r="I112" s="25"/>
      <c r="J112" s="282"/>
      <c r="K112" s="42"/>
      <c r="L112" s="249"/>
      <c r="M112" s="25"/>
    </row>
    <row r="113" spans="1:14" x14ac:dyDescent="0.2">
      <c r="A113" s="19" t="s">
        <v>10</v>
      </c>
      <c r="B113" s="230"/>
      <c r="C113" s="143"/>
      <c r="D113" s="164"/>
      <c r="E113" s="25"/>
      <c r="F113" s="230"/>
      <c r="G113" s="143"/>
      <c r="H113" s="164"/>
      <c r="I113" s="25"/>
      <c r="J113" s="282"/>
      <c r="K113" s="42"/>
      <c r="L113" s="249"/>
      <c r="M113" s="25"/>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c r="C116" s="230"/>
      <c r="D116" s="164"/>
      <c r="E116" s="25"/>
      <c r="F116" s="230"/>
      <c r="G116" s="230"/>
      <c r="H116" s="164"/>
      <c r="I116" s="25"/>
      <c r="J116" s="282"/>
      <c r="K116" s="42"/>
      <c r="L116" s="249"/>
      <c r="M116" s="25"/>
    </row>
    <row r="117" spans="1:14" ht="15.75" x14ac:dyDescent="0.2">
      <c r="A117" s="36" t="s">
        <v>408</v>
      </c>
      <c r="B117" s="230"/>
      <c r="C117" s="230"/>
      <c r="D117" s="164"/>
      <c r="E117" s="25"/>
      <c r="F117" s="230"/>
      <c r="G117" s="230"/>
      <c r="H117" s="164"/>
      <c r="I117" s="25"/>
      <c r="J117" s="282"/>
      <c r="K117" s="42"/>
      <c r="L117" s="249"/>
      <c r="M117" s="25"/>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c r="C119" s="157"/>
      <c r="D119" s="169"/>
      <c r="E119" s="11"/>
      <c r="F119" s="300"/>
      <c r="G119" s="157"/>
      <c r="H119" s="169"/>
      <c r="I119" s="11"/>
      <c r="J119" s="301"/>
      <c r="K119" s="232"/>
      <c r="L119" s="414"/>
      <c r="M119" s="11"/>
    </row>
    <row r="120" spans="1:14" x14ac:dyDescent="0.2">
      <c r="A120" s="19" t="s">
        <v>9</v>
      </c>
      <c r="B120" s="230"/>
      <c r="C120" s="143"/>
      <c r="D120" s="164"/>
      <c r="E120" s="25"/>
      <c r="F120" s="230"/>
      <c r="G120" s="143"/>
      <c r="H120" s="164"/>
      <c r="I120" s="25"/>
      <c r="J120" s="282"/>
      <c r="K120" s="42"/>
      <c r="L120" s="249"/>
      <c r="M120" s="25"/>
    </row>
    <row r="121" spans="1:14" x14ac:dyDescent="0.2">
      <c r="A121" s="19" t="s">
        <v>10</v>
      </c>
      <c r="B121" s="230"/>
      <c r="C121" s="143"/>
      <c r="D121" s="164"/>
      <c r="E121" s="25"/>
      <c r="F121" s="230"/>
      <c r="G121" s="143"/>
      <c r="H121" s="164"/>
      <c r="I121" s="25"/>
      <c r="J121" s="282"/>
      <c r="K121" s="42"/>
      <c r="L121" s="249"/>
      <c r="M121" s="25"/>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c r="C125" s="230"/>
      <c r="D125" s="164"/>
      <c r="E125" s="25"/>
      <c r="F125" s="230"/>
      <c r="G125" s="230"/>
      <c r="H125" s="164"/>
      <c r="I125" s="25"/>
      <c r="J125" s="282"/>
      <c r="K125" s="42"/>
      <c r="L125" s="249"/>
      <c r="M125" s="25"/>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291"/>
      <c r="F130" s="707"/>
      <c r="G130" s="707"/>
      <c r="H130" s="707"/>
      <c r="I130" s="291"/>
      <c r="J130" s="707"/>
      <c r="K130" s="707"/>
      <c r="L130" s="707"/>
      <c r="M130" s="291"/>
    </row>
    <row r="131" spans="1:14" s="3" customFormat="1" x14ac:dyDescent="0.2">
      <c r="A131" s="142"/>
      <c r="B131" s="705" t="s">
        <v>0</v>
      </c>
      <c r="C131" s="706"/>
      <c r="D131" s="706"/>
      <c r="E131" s="293"/>
      <c r="F131" s="705" t="s">
        <v>1</v>
      </c>
      <c r="G131" s="706"/>
      <c r="H131" s="706"/>
      <c r="I131" s="296"/>
      <c r="J131" s="705" t="s">
        <v>2</v>
      </c>
      <c r="K131" s="706"/>
      <c r="L131" s="706"/>
      <c r="M131" s="296"/>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c r="C134" s="301"/>
      <c r="D134" s="341"/>
      <c r="E134" s="11"/>
      <c r="F134" s="308"/>
      <c r="G134" s="309"/>
      <c r="H134" s="417"/>
      <c r="I134" s="22"/>
      <c r="J134" s="310"/>
      <c r="K134" s="310"/>
      <c r="L134" s="413"/>
      <c r="M134" s="11"/>
      <c r="N134" s="146"/>
    </row>
    <row r="135" spans="1:14" s="3" customFormat="1" ht="15.75" x14ac:dyDescent="0.2">
      <c r="A135" s="13" t="s">
        <v>377</v>
      </c>
      <c r="B135" s="232"/>
      <c r="C135" s="301"/>
      <c r="D135" s="169"/>
      <c r="E135" s="11"/>
      <c r="F135" s="232"/>
      <c r="G135" s="301"/>
      <c r="H135" s="418"/>
      <c r="I135" s="22"/>
      <c r="J135" s="300"/>
      <c r="K135" s="300"/>
      <c r="L135" s="414"/>
      <c r="M135" s="11"/>
      <c r="N135" s="146"/>
    </row>
    <row r="136" spans="1:14" s="3" customFormat="1" ht="15.75" x14ac:dyDescent="0.2">
      <c r="A136" s="13" t="s">
        <v>374</v>
      </c>
      <c r="B136" s="232"/>
      <c r="C136" s="301"/>
      <c r="D136" s="169"/>
      <c r="E136" s="11"/>
      <c r="F136" s="232"/>
      <c r="G136" s="301"/>
      <c r="H136" s="418"/>
      <c r="I136" s="22"/>
      <c r="J136" s="300"/>
      <c r="K136" s="300"/>
      <c r="L136" s="414"/>
      <c r="M136" s="11"/>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347" priority="12">
      <formula>kvartal &lt; 4</formula>
    </cfRule>
  </conditionalFormatting>
  <conditionalFormatting sqref="A69:A74">
    <cfRule type="expression" dxfId="346" priority="10">
      <formula>kvartal &lt; 4</formula>
    </cfRule>
  </conditionalFormatting>
  <conditionalFormatting sqref="A80:A85">
    <cfRule type="expression" dxfId="345" priority="9">
      <formula>kvartal &lt; 4</formula>
    </cfRule>
  </conditionalFormatting>
  <conditionalFormatting sqref="A90:A95">
    <cfRule type="expression" dxfId="344" priority="6">
      <formula>kvartal &lt; 4</formula>
    </cfRule>
  </conditionalFormatting>
  <conditionalFormatting sqref="A101:A106">
    <cfRule type="expression" dxfId="343" priority="5">
      <formula>kvartal &lt; 4</formula>
    </cfRule>
  </conditionalFormatting>
  <conditionalFormatting sqref="A115">
    <cfRule type="expression" dxfId="342" priority="4">
      <formula>kvartal &lt; 4</formula>
    </cfRule>
  </conditionalFormatting>
  <conditionalFormatting sqref="A123">
    <cfRule type="expression" dxfId="341" priority="3">
      <formula>kvartal &lt; 4</formula>
    </cfRule>
  </conditionalFormatting>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9"/>
  <dimension ref="A1:N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244" t="s">
        <v>127</v>
      </c>
      <c r="D1" s="24"/>
      <c r="E1" s="24"/>
      <c r="F1" s="24"/>
      <c r="G1" s="24"/>
      <c r="H1" s="24"/>
      <c r="I1" s="24"/>
      <c r="J1" s="24"/>
      <c r="K1" s="24"/>
      <c r="L1" s="24"/>
      <c r="M1" s="24"/>
    </row>
    <row r="2" spans="1:14" ht="15.75" x14ac:dyDescent="0.25">
      <c r="A2" s="163" t="s">
        <v>28</v>
      </c>
      <c r="B2" s="704"/>
      <c r="C2" s="704"/>
      <c r="D2" s="704"/>
      <c r="E2" s="291"/>
      <c r="F2" s="704"/>
      <c r="G2" s="704"/>
      <c r="H2" s="704"/>
      <c r="I2" s="291"/>
      <c r="J2" s="704"/>
      <c r="K2" s="704"/>
      <c r="L2" s="704"/>
      <c r="M2" s="291"/>
    </row>
    <row r="3" spans="1:14" ht="15.75" x14ac:dyDescent="0.25">
      <c r="A3" s="161"/>
      <c r="B3" s="291"/>
      <c r="C3" s="291"/>
      <c r="D3" s="291"/>
      <c r="E3" s="291"/>
      <c r="F3" s="291"/>
      <c r="G3" s="291"/>
      <c r="H3" s="291"/>
      <c r="I3" s="291"/>
      <c r="J3" s="291"/>
      <c r="K3" s="291"/>
      <c r="L3" s="291"/>
      <c r="M3" s="291"/>
    </row>
    <row r="4" spans="1:14" x14ac:dyDescent="0.2">
      <c r="A4" s="142"/>
      <c r="B4" s="705" t="s">
        <v>0</v>
      </c>
      <c r="C4" s="706"/>
      <c r="D4" s="706"/>
      <c r="E4" s="293"/>
      <c r="F4" s="705" t="s">
        <v>1</v>
      </c>
      <c r="G4" s="706"/>
      <c r="H4" s="706"/>
      <c r="I4" s="296"/>
      <c r="J4" s="705" t="s">
        <v>2</v>
      </c>
      <c r="K4" s="706"/>
      <c r="L4" s="706"/>
      <c r="M4" s="296"/>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v>303758.99453554401</v>
      </c>
      <c r="C7" s="299">
        <v>326978.113817651</v>
      </c>
      <c r="D7" s="341">
        <f>IF(B7=0, "    ---- ", IF(ABS(ROUND(100/B7*C7-100,1))&lt;999,ROUND(100/B7*C7-100,1),IF(ROUND(100/B7*C7-100,1)&gt;999,999,-999)))</f>
        <v>7.6</v>
      </c>
      <c r="E7" s="11">
        <f>IFERROR(100/'Skjema total MA'!C7*C7,0)</f>
        <v>8.2035966294340508</v>
      </c>
      <c r="F7" s="298"/>
      <c r="G7" s="299"/>
      <c r="H7" s="341"/>
      <c r="I7" s="158"/>
      <c r="J7" s="300">
        <f t="shared" ref="J7:K9" si="0">SUM(B7,F7)</f>
        <v>303758.99453554401</v>
      </c>
      <c r="K7" s="301">
        <f t="shared" si="0"/>
        <v>326978.113817651</v>
      </c>
      <c r="L7" s="413">
        <f>IF(J7=0, "    ---- ", IF(ABS(ROUND(100/J7*K7-100,1))&lt;999,ROUND(100/J7*K7-100,1),IF(ROUND(100/J7*K7-100,1)&gt;999,999,-999)))</f>
        <v>7.6</v>
      </c>
      <c r="M7" s="11">
        <f>IFERROR(100/'Skjema total MA'!I7*K7,0)</f>
        <v>2.9199751590271856</v>
      </c>
    </row>
    <row r="8" spans="1:14" ht="15.75" x14ac:dyDescent="0.2">
      <c r="A8" s="19" t="s">
        <v>25</v>
      </c>
      <c r="B8" s="276">
        <v>211608.313332919</v>
      </c>
      <c r="C8" s="277">
        <v>231936.87422797299</v>
      </c>
      <c r="D8" s="164">
        <f t="shared" ref="D8:D9" si="1">IF(B8=0, "    ---- ", IF(ABS(ROUND(100/B8*C8-100,1))&lt;999,ROUND(100/B8*C8-100,1),IF(ROUND(100/B8*C8-100,1)&gt;999,999,-999)))</f>
        <v>9.6</v>
      </c>
      <c r="E8" s="25">
        <f>IFERROR(100/'Skjema total MA'!C8*C8,0)</f>
        <v>8.8966698383566829</v>
      </c>
      <c r="F8" s="280"/>
      <c r="G8" s="281"/>
      <c r="H8" s="164"/>
      <c r="I8" s="172"/>
      <c r="J8" s="230">
        <f t="shared" si="0"/>
        <v>211608.313332919</v>
      </c>
      <c r="K8" s="282">
        <f t="shared" si="0"/>
        <v>231936.87422797299</v>
      </c>
      <c r="L8" s="164">
        <f t="shared" ref="L8:L9" si="2">IF(J8=0, "    ---- ", IF(ABS(ROUND(100/J8*K8-100,1))&lt;999,ROUND(100/J8*K8-100,1),IF(ROUND(100/J8*K8-100,1)&gt;999,999,-999)))</f>
        <v>9.6</v>
      </c>
      <c r="M8" s="25">
        <f>IFERROR(100/'Skjema total MA'!I8*K8,0)</f>
        <v>8.8966698383566829</v>
      </c>
    </row>
    <row r="9" spans="1:14" ht="15.75" x14ac:dyDescent="0.2">
      <c r="A9" s="19" t="s">
        <v>24</v>
      </c>
      <c r="B9" s="276">
        <v>92150.681202624502</v>
      </c>
      <c r="C9" s="277">
        <v>95041.2395896776</v>
      </c>
      <c r="D9" s="164">
        <f t="shared" si="1"/>
        <v>3.1</v>
      </c>
      <c r="E9" s="25">
        <f>IFERROR(100/'Skjema total MA'!C9*C9,0)</f>
        <v>11.717455772931366</v>
      </c>
      <c r="F9" s="280"/>
      <c r="G9" s="281"/>
      <c r="H9" s="164"/>
      <c r="I9" s="172"/>
      <c r="J9" s="230">
        <f t="shared" si="0"/>
        <v>92150.681202624502</v>
      </c>
      <c r="K9" s="282">
        <f t="shared" si="0"/>
        <v>95041.2395896776</v>
      </c>
      <c r="L9" s="164">
        <f t="shared" si="2"/>
        <v>3.1</v>
      </c>
      <c r="M9" s="25">
        <f>IFERROR(100/'Skjema total MA'!I9*K9,0)</f>
        <v>11.717455772931366</v>
      </c>
    </row>
    <row r="10" spans="1:14" ht="15.75" x14ac:dyDescent="0.2">
      <c r="A10" s="13" t="s">
        <v>350</v>
      </c>
      <c r="B10" s="302"/>
      <c r="C10" s="303"/>
      <c r="D10" s="169"/>
      <c r="E10" s="11"/>
      <c r="F10" s="302"/>
      <c r="G10" s="303"/>
      <c r="H10" s="169"/>
      <c r="I10" s="158"/>
      <c r="J10" s="300"/>
      <c r="K10" s="301"/>
      <c r="L10" s="414"/>
      <c r="M10" s="11"/>
    </row>
    <row r="11" spans="1:14" s="41" customFormat="1" ht="15.75" x14ac:dyDescent="0.2">
      <c r="A11" s="13" t="s">
        <v>351</v>
      </c>
      <c r="B11" s="302"/>
      <c r="C11" s="303"/>
      <c r="D11" s="169"/>
      <c r="E11" s="11"/>
      <c r="F11" s="302"/>
      <c r="G11" s="303"/>
      <c r="H11" s="169"/>
      <c r="I11" s="158"/>
      <c r="J11" s="300"/>
      <c r="K11" s="301"/>
      <c r="L11" s="414"/>
      <c r="M11" s="11"/>
      <c r="N11" s="141"/>
    </row>
    <row r="12" spans="1:14" s="41" customFormat="1" ht="15.75" x14ac:dyDescent="0.2">
      <c r="A12" s="39" t="s">
        <v>352</v>
      </c>
      <c r="B12" s="304"/>
      <c r="C12" s="305"/>
      <c r="D12" s="167"/>
      <c r="E12" s="34"/>
      <c r="F12" s="304"/>
      <c r="G12" s="305"/>
      <c r="H12" s="167"/>
      <c r="I12" s="167"/>
      <c r="J12" s="306"/>
      <c r="K12" s="307"/>
      <c r="L12" s="415"/>
      <c r="M12" s="34"/>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291"/>
      <c r="F18" s="707"/>
      <c r="G18" s="707"/>
      <c r="H18" s="707"/>
      <c r="I18" s="291"/>
      <c r="J18" s="707"/>
      <c r="K18" s="707"/>
      <c r="L18" s="707"/>
      <c r="M18" s="291"/>
    </row>
    <row r="19" spans="1:14" x14ac:dyDescent="0.2">
      <c r="A19" s="142"/>
      <c r="B19" s="705" t="s">
        <v>0</v>
      </c>
      <c r="C19" s="706"/>
      <c r="D19" s="706"/>
      <c r="E19" s="293"/>
      <c r="F19" s="705" t="s">
        <v>1</v>
      </c>
      <c r="G19" s="706"/>
      <c r="H19" s="706"/>
      <c r="I19" s="296"/>
      <c r="J19" s="705" t="s">
        <v>2</v>
      </c>
      <c r="K19" s="706"/>
      <c r="L19" s="706"/>
      <c r="M19" s="296"/>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302"/>
      <c r="C22" s="302"/>
      <c r="D22" s="341"/>
      <c r="E22" s="11"/>
      <c r="F22" s="310"/>
      <c r="G22" s="310"/>
      <c r="H22" s="341"/>
      <c r="I22" s="11"/>
      <c r="J22" s="308"/>
      <c r="K22" s="308"/>
      <c r="L22" s="413"/>
      <c r="M22" s="22"/>
    </row>
    <row r="23" spans="1:14" ht="15.75" x14ac:dyDescent="0.2">
      <c r="A23" s="496" t="s">
        <v>353</v>
      </c>
      <c r="B23" s="276"/>
      <c r="C23" s="276"/>
      <c r="D23" s="164"/>
      <c r="E23" s="11"/>
      <c r="F23" s="285"/>
      <c r="G23" s="285"/>
      <c r="H23" s="164"/>
      <c r="I23" s="403"/>
      <c r="J23" s="285"/>
      <c r="K23" s="285"/>
      <c r="L23" s="164"/>
      <c r="M23" s="21"/>
    </row>
    <row r="24" spans="1:14" ht="15.75" x14ac:dyDescent="0.2">
      <c r="A24" s="496" t="s">
        <v>354</v>
      </c>
      <c r="B24" s="276"/>
      <c r="C24" s="276"/>
      <c r="D24" s="164"/>
      <c r="E24" s="11"/>
      <c r="F24" s="285"/>
      <c r="G24" s="285"/>
      <c r="H24" s="164"/>
      <c r="I24" s="403"/>
      <c r="J24" s="285"/>
      <c r="K24" s="285"/>
      <c r="L24" s="164"/>
      <c r="M24" s="21"/>
    </row>
    <row r="25" spans="1:14" ht="15.75" x14ac:dyDescent="0.2">
      <c r="A25" s="496" t="s">
        <v>355</v>
      </c>
      <c r="B25" s="276"/>
      <c r="C25" s="276"/>
      <c r="D25" s="164"/>
      <c r="E25" s="11"/>
      <c r="F25" s="285"/>
      <c r="G25" s="285"/>
      <c r="H25" s="164"/>
      <c r="I25" s="403"/>
      <c r="J25" s="285"/>
      <c r="K25" s="285"/>
      <c r="L25" s="164"/>
      <c r="M25" s="21"/>
    </row>
    <row r="26" spans="1:14" ht="15.75" x14ac:dyDescent="0.2">
      <c r="A26" s="496" t="s">
        <v>356</v>
      </c>
      <c r="B26" s="276"/>
      <c r="C26" s="276"/>
      <c r="D26" s="164"/>
      <c r="E26" s="11"/>
      <c r="F26" s="285"/>
      <c r="G26" s="285"/>
      <c r="H26" s="164"/>
      <c r="I26" s="403"/>
      <c r="J26" s="285"/>
      <c r="K26" s="285"/>
      <c r="L26" s="164"/>
      <c r="M26" s="21"/>
    </row>
    <row r="27" spans="1:14" x14ac:dyDescent="0.2">
      <c r="A27" s="496" t="s">
        <v>11</v>
      </c>
      <c r="B27" s="276"/>
      <c r="C27" s="276"/>
      <c r="D27" s="164"/>
      <c r="E27" s="11"/>
      <c r="F27" s="285"/>
      <c r="G27" s="285"/>
      <c r="H27" s="164"/>
      <c r="I27" s="403"/>
      <c r="J27" s="285"/>
      <c r="K27" s="285"/>
      <c r="L27" s="164"/>
      <c r="M27" s="21"/>
    </row>
    <row r="28" spans="1:14" ht="15.75" x14ac:dyDescent="0.2">
      <c r="A28" s="47" t="s">
        <v>271</v>
      </c>
      <c r="B28" s="42">
        <v>156719.69868014401</v>
      </c>
      <c r="C28" s="282">
        <v>184270.04622068099</v>
      </c>
      <c r="D28" s="164">
        <f t="shared" ref="D28" si="3">IF(B28=0, "    ---- ", IF(ABS(ROUND(100/B28*C28-100,1))&lt;999,ROUND(100/B28*C28-100,1),IF(ROUND(100/B28*C28-100,1)&gt;999,999,-999)))</f>
        <v>17.600000000000001</v>
      </c>
      <c r="E28" s="11">
        <f>IFERROR(100/'Skjema total MA'!C28*C28,0)</f>
        <v>9.7880862316135477</v>
      </c>
      <c r="F28" s="230"/>
      <c r="G28" s="282"/>
      <c r="H28" s="164"/>
      <c r="I28" s="25"/>
      <c r="J28" s="42">
        <f t="shared" ref="J28:K28" si="4">SUM(B28,F28)</f>
        <v>156719.69868014401</v>
      </c>
      <c r="K28" s="42">
        <f t="shared" si="4"/>
        <v>184270.04622068099</v>
      </c>
      <c r="L28" s="249">
        <f t="shared" ref="L28" si="5">IF(J28=0, "    ---- ", IF(ABS(ROUND(100/J28*K28-100,1))&lt;999,ROUND(100/J28*K28-100,1),IF(ROUND(100/J28*K28-100,1)&gt;999,999,-999)))</f>
        <v>17.600000000000001</v>
      </c>
      <c r="M28" s="21">
        <f>IFERROR(100/'Skjema total MA'!I28*K28,0)</f>
        <v>9.7880862316135477</v>
      </c>
    </row>
    <row r="29" spans="1:14" s="3" customFormat="1" ht="15.75" x14ac:dyDescent="0.2">
      <c r="A29" s="13" t="s">
        <v>350</v>
      </c>
      <c r="B29" s="232"/>
      <c r="C29" s="232"/>
      <c r="D29" s="169"/>
      <c r="E29" s="11"/>
      <c r="F29" s="300"/>
      <c r="G29" s="300"/>
      <c r="H29" s="169"/>
      <c r="I29" s="11"/>
      <c r="J29" s="232"/>
      <c r="K29" s="232"/>
      <c r="L29" s="414"/>
      <c r="M29" s="22"/>
      <c r="N29" s="146"/>
    </row>
    <row r="30" spans="1:14" s="3" customFormat="1" ht="15.75" x14ac:dyDescent="0.2">
      <c r="A30" s="496" t="s">
        <v>353</v>
      </c>
      <c r="B30" s="276"/>
      <c r="C30" s="276"/>
      <c r="D30" s="164"/>
      <c r="E30" s="11"/>
      <c r="F30" s="285"/>
      <c r="G30" s="285"/>
      <c r="H30" s="164"/>
      <c r="I30" s="403"/>
      <c r="J30" s="285"/>
      <c r="K30" s="285"/>
      <c r="L30" s="164"/>
      <c r="M30" s="21"/>
      <c r="N30" s="146"/>
    </row>
    <row r="31" spans="1:14" s="3" customFormat="1" ht="15.75" x14ac:dyDescent="0.2">
      <c r="A31" s="496" t="s">
        <v>354</v>
      </c>
      <c r="B31" s="276"/>
      <c r="C31" s="276"/>
      <c r="D31" s="164"/>
      <c r="E31" s="11"/>
      <c r="F31" s="285"/>
      <c r="G31" s="285"/>
      <c r="H31" s="164"/>
      <c r="I31" s="403"/>
      <c r="J31" s="285"/>
      <c r="K31" s="285"/>
      <c r="L31" s="164"/>
      <c r="M31" s="21"/>
      <c r="N31" s="146"/>
    </row>
    <row r="32" spans="1:14" ht="15.75" x14ac:dyDescent="0.2">
      <c r="A32" s="496" t="s">
        <v>355</v>
      </c>
      <c r="B32" s="276"/>
      <c r="C32" s="276"/>
      <c r="D32" s="164"/>
      <c r="E32" s="11"/>
      <c r="F32" s="285"/>
      <c r="G32" s="285"/>
      <c r="H32" s="164"/>
      <c r="I32" s="403"/>
      <c r="J32" s="285"/>
      <c r="K32" s="285"/>
      <c r="L32" s="164"/>
      <c r="M32" s="21"/>
    </row>
    <row r="33" spans="1:14" ht="15.75" x14ac:dyDescent="0.2">
      <c r="A33" s="496" t="s">
        <v>356</v>
      </c>
      <c r="B33" s="276"/>
      <c r="C33" s="276"/>
      <c r="D33" s="164"/>
      <c r="E33" s="11"/>
      <c r="F33" s="285"/>
      <c r="G33" s="285"/>
      <c r="H33" s="164"/>
      <c r="I33" s="403"/>
      <c r="J33" s="285"/>
      <c r="K33" s="285"/>
      <c r="L33" s="164"/>
      <c r="M33" s="21"/>
    </row>
    <row r="34" spans="1:14" ht="15.75" x14ac:dyDescent="0.2">
      <c r="A34" s="13" t="s">
        <v>351</v>
      </c>
      <c r="B34" s="232"/>
      <c r="C34" s="301"/>
      <c r="D34" s="169"/>
      <c r="E34" s="11"/>
      <c r="F34" s="300"/>
      <c r="G34" s="301"/>
      <c r="H34" s="169"/>
      <c r="I34" s="11"/>
      <c r="J34" s="232"/>
      <c r="K34" s="232"/>
      <c r="L34" s="414"/>
      <c r="M34" s="22"/>
    </row>
    <row r="35" spans="1:14" ht="15.75" x14ac:dyDescent="0.2">
      <c r="A35" s="13" t="s">
        <v>352</v>
      </c>
      <c r="B35" s="232"/>
      <c r="C35" s="301"/>
      <c r="D35" s="169"/>
      <c r="E35" s="11"/>
      <c r="F35" s="300"/>
      <c r="G35" s="301"/>
      <c r="H35" s="169"/>
      <c r="I35" s="11"/>
      <c r="J35" s="232"/>
      <c r="K35" s="232"/>
      <c r="L35" s="414"/>
      <c r="M35" s="22"/>
    </row>
    <row r="36" spans="1:14" ht="15.75" x14ac:dyDescent="0.2">
      <c r="A36" s="12" t="s">
        <v>279</v>
      </c>
      <c r="B36" s="232"/>
      <c r="C36" s="301"/>
      <c r="D36" s="169"/>
      <c r="E36" s="11"/>
      <c r="F36" s="311"/>
      <c r="G36" s="312"/>
      <c r="H36" s="169"/>
      <c r="I36" s="420"/>
      <c r="J36" s="232"/>
      <c r="K36" s="232"/>
      <c r="L36" s="414"/>
      <c r="M36" s="22"/>
    </row>
    <row r="37" spans="1:14" ht="15.75" x14ac:dyDescent="0.2">
      <c r="A37" s="12" t="s">
        <v>358</v>
      </c>
      <c r="B37" s="232"/>
      <c r="C37" s="301"/>
      <c r="D37" s="169"/>
      <c r="E37" s="11"/>
      <c r="F37" s="311"/>
      <c r="G37" s="313"/>
      <c r="H37" s="169"/>
      <c r="I37" s="420"/>
      <c r="J37" s="232"/>
      <c r="K37" s="232"/>
      <c r="L37" s="414"/>
      <c r="M37" s="22"/>
    </row>
    <row r="38" spans="1:14" ht="15.75" x14ac:dyDescent="0.2">
      <c r="A38" s="12" t="s">
        <v>359</v>
      </c>
      <c r="B38" s="232"/>
      <c r="C38" s="301"/>
      <c r="D38" s="169"/>
      <c r="E38" s="22"/>
      <c r="F38" s="311"/>
      <c r="G38" s="312"/>
      <c r="H38" s="169"/>
      <c r="I38" s="420"/>
      <c r="J38" s="232"/>
      <c r="K38" s="232"/>
      <c r="L38" s="414"/>
      <c r="M38" s="22"/>
    </row>
    <row r="39" spans="1:14" ht="15.75" x14ac:dyDescent="0.2">
      <c r="A39" s="18" t="s">
        <v>360</v>
      </c>
      <c r="B39" s="271"/>
      <c r="C39" s="307"/>
      <c r="D39" s="167"/>
      <c r="E39" s="34"/>
      <c r="F39" s="314"/>
      <c r="G39" s="315"/>
      <c r="H39" s="167"/>
      <c r="I39" s="34"/>
      <c r="J39" s="232"/>
      <c r="K39" s="232"/>
      <c r="L39" s="415"/>
      <c r="M39" s="34"/>
    </row>
    <row r="40" spans="1:14" ht="15.75" x14ac:dyDescent="0.25">
      <c r="A40" s="45"/>
      <c r="B40" s="248"/>
      <c r="C40" s="248"/>
      <c r="D40" s="708"/>
      <c r="E40" s="708"/>
      <c r="F40" s="708"/>
      <c r="G40" s="708"/>
      <c r="H40" s="708"/>
      <c r="I40" s="708"/>
      <c r="J40" s="708"/>
      <c r="K40" s="708"/>
      <c r="L40" s="708"/>
      <c r="M40" s="294"/>
    </row>
    <row r="41" spans="1:14" x14ac:dyDescent="0.2">
      <c r="A41" s="153"/>
    </row>
    <row r="42" spans="1:14" ht="15.75" x14ac:dyDescent="0.25">
      <c r="A42" s="145" t="s">
        <v>268</v>
      </c>
      <c r="B42" s="704"/>
      <c r="C42" s="704"/>
      <c r="D42" s="704"/>
      <c r="E42" s="291"/>
      <c r="F42" s="709"/>
      <c r="G42" s="709"/>
      <c r="H42" s="709"/>
      <c r="I42" s="294"/>
      <c r="J42" s="709"/>
      <c r="K42" s="709"/>
      <c r="L42" s="709"/>
      <c r="M42" s="294"/>
    </row>
    <row r="43" spans="1:14" ht="15.75" x14ac:dyDescent="0.25">
      <c r="A43" s="161"/>
      <c r="B43" s="295"/>
      <c r="C43" s="295"/>
      <c r="D43" s="295"/>
      <c r="E43" s="295"/>
      <c r="F43" s="294"/>
      <c r="G43" s="294"/>
      <c r="H43" s="294"/>
      <c r="I43" s="294"/>
      <c r="J43" s="294"/>
      <c r="K43" s="294"/>
      <c r="L43" s="294"/>
      <c r="M43" s="294"/>
    </row>
    <row r="44" spans="1:14" ht="15.75" x14ac:dyDescent="0.25">
      <c r="A44" s="243"/>
      <c r="B44" s="705" t="s">
        <v>0</v>
      </c>
      <c r="C44" s="706"/>
      <c r="D44" s="706"/>
      <c r="E44" s="239"/>
      <c r="F44" s="294"/>
      <c r="G44" s="294"/>
      <c r="H44" s="294"/>
      <c r="I44" s="294"/>
      <c r="J44" s="294"/>
      <c r="K44" s="294"/>
      <c r="L44" s="294"/>
      <c r="M44" s="294"/>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v>112967.04764999999</v>
      </c>
      <c r="C47" s="303">
        <v>134979.38141999999</v>
      </c>
      <c r="D47" s="413">
        <f t="shared" ref="D47:D57" si="6">IF(B47=0, "    ---- ", IF(ABS(ROUND(100/B47*C47-100,1))&lt;999,ROUND(100/B47*C47-100,1),IF(ROUND(100/B47*C47-100,1)&gt;999,999,-999)))</f>
        <v>19.5</v>
      </c>
      <c r="E47" s="11">
        <f>IFERROR(100/'Skjema total MA'!C47*C47,0)</f>
        <v>2.7759706984060073</v>
      </c>
      <c r="F47" s="143"/>
      <c r="G47" s="31"/>
      <c r="H47" s="157"/>
      <c r="I47" s="157"/>
      <c r="J47" s="35"/>
      <c r="K47" s="35"/>
      <c r="L47" s="157"/>
      <c r="M47" s="157"/>
      <c r="N47" s="146"/>
    </row>
    <row r="48" spans="1:14" s="3" customFormat="1" ht="15.75" x14ac:dyDescent="0.2">
      <c r="A48" s="36" t="s">
        <v>361</v>
      </c>
      <c r="B48" s="276">
        <v>112967.04764999999</v>
      </c>
      <c r="C48" s="277">
        <v>134979.38141999999</v>
      </c>
      <c r="D48" s="249">
        <f t="shared" si="6"/>
        <v>19.5</v>
      </c>
      <c r="E48" s="25">
        <f>IFERROR(100/'Skjema total MA'!C48*C48,0)</f>
        <v>4.9771010450172675</v>
      </c>
      <c r="F48" s="143"/>
      <c r="G48" s="31"/>
      <c r="H48" s="143"/>
      <c r="I48" s="143"/>
      <c r="J48" s="31"/>
      <c r="K48" s="31"/>
      <c r="L48" s="157"/>
      <c r="M48" s="157"/>
      <c r="N48" s="146"/>
    </row>
    <row r="49" spans="1:14" s="3" customFormat="1" ht="15.75" x14ac:dyDescent="0.2">
      <c r="A49" s="36" t="s">
        <v>362</v>
      </c>
      <c r="B49" s="42"/>
      <c r="C49" s="282"/>
      <c r="D49" s="249"/>
      <c r="E49" s="25"/>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v>4191.4989999999998</v>
      </c>
      <c r="C53" s="303">
        <v>3154.5819999999999</v>
      </c>
      <c r="D53" s="414">
        <f t="shared" si="6"/>
        <v>-24.7</v>
      </c>
      <c r="E53" s="11">
        <f>IFERROR(100/'Skjema total MA'!C53*C53,0)</f>
        <v>2.739143738746749</v>
      </c>
      <c r="F53" s="143"/>
      <c r="G53" s="31"/>
      <c r="H53" s="143"/>
      <c r="I53" s="143"/>
      <c r="J53" s="31"/>
      <c r="K53" s="31"/>
      <c r="L53" s="157"/>
      <c r="M53" s="157"/>
      <c r="N53" s="146"/>
    </row>
    <row r="54" spans="1:14" s="3" customFormat="1" ht="15.75" x14ac:dyDescent="0.2">
      <c r="A54" s="36" t="s">
        <v>361</v>
      </c>
      <c r="B54" s="276">
        <v>4191.4989999999998</v>
      </c>
      <c r="C54" s="277">
        <v>3154.5819999999999</v>
      </c>
      <c r="D54" s="249">
        <f t="shared" si="6"/>
        <v>-24.7</v>
      </c>
      <c r="E54" s="25">
        <f>IFERROR(100/'Skjema total MA'!C54*C54,0)</f>
        <v>2.7619024438589737</v>
      </c>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v>654.79300000000001</v>
      </c>
      <c r="C56" s="303">
        <v>1460.0830000000001</v>
      </c>
      <c r="D56" s="414">
        <f t="shared" si="6"/>
        <v>123</v>
      </c>
      <c r="E56" s="11">
        <f>IFERROR(100/'Skjema total MA'!C56*C56,0)</f>
        <v>1.5592915528751128</v>
      </c>
      <c r="F56" s="143"/>
      <c r="G56" s="31"/>
      <c r="H56" s="143"/>
      <c r="I56" s="143"/>
      <c r="J56" s="31"/>
      <c r="K56" s="31"/>
      <c r="L56" s="157"/>
      <c r="M56" s="157"/>
      <c r="N56" s="146"/>
    </row>
    <row r="57" spans="1:14" s="3" customFormat="1" ht="15.75" x14ac:dyDescent="0.2">
      <c r="A57" s="36" t="s">
        <v>361</v>
      </c>
      <c r="B57" s="276">
        <v>654.79300000000001</v>
      </c>
      <c r="C57" s="277">
        <v>1460.0830000000001</v>
      </c>
      <c r="D57" s="249">
        <f t="shared" si="6"/>
        <v>123</v>
      </c>
      <c r="E57" s="25">
        <f>IFERROR(100/'Skjema total MA'!C57*C57,0)</f>
        <v>1.5592915528751128</v>
      </c>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291"/>
      <c r="F62" s="707"/>
      <c r="G62" s="707"/>
      <c r="H62" s="707"/>
      <c r="I62" s="291"/>
      <c r="J62" s="707"/>
      <c r="K62" s="707"/>
      <c r="L62" s="707"/>
      <c r="M62" s="291"/>
    </row>
    <row r="63" spans="1:14" x14ac:dyDescent="0.2">
      <c r="A63" s="142"/>
      <c r="B63" s="705" t="s">
        <v>0</v>
      </c>
      <c r="C63" s="706"/>
      <c r="D63" s="710"/>
      <c r="E63" s="292"/>
      <c r="F63" s="706" t="s">
        <v>1</v>
      </c>
      <c r="G63" s="706"/>
      <c r="H63" s="706"/>
      <c r="I63" s="296"/>
      <c r="J63" s="705" t="s">
        <v>2</v>
      </c>
      <c r="K63" s="706"/>
      <c r="L63" s="706"/>
      <c r="M63" s="296"/>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c r="C66" s="344"/>
      <c r="D66" s="341"/>
      <c r="E66" s="11"/>
      <c r="F66" s="343"/>
      <c r="G66" s="343"/>
      <c r="H66" s="341"/>
      <c r="I66" s="11"/>
      <c r="J66" s="301"/>
      <c r="K66" s="308"/>
      <c r="L66" s="414"/>
      <c r="M66" s="11"/>
    </row>
    <row r="67" spans="1:14" x14ac:dyDescent="0.2">
      <c r="A67" s="405" t="s">
        <v>9</v>
      </c>
      <c r="B67" s="42"/>
      <c r="C67" s="143"/>
      <c r="D67" s="164"/>
      <c r="E67" s="25"/>
      <c r="F67" s="230"/>
      <c r="G67" s="143"/>
      <c r="H67" s="164"/>
      <c r="I67" s="25"/>
      <c r="J67" s="282"/>
      <c r="K67" s="42"/>
      <c r="L67" s="249"/>
      <c r="M67" s="25"/>
    </row>
    <row r="68" spans="1:14" x14ac:dyDescent="0.2">
      <c r="A68" s="19" t="s">
        <v>10</v>
      </c>
      <c r="B68" s="286"/>
      <c r="C68" s="287"/>
      <c r="D68" s="164"/>
      <c r="E68" s="25"/>
      <c r="F68" s="286"/>
      <c r="G68" s="287"/>
      <c r="H68" s="164"/>
      <c r="I68" s="25"/>
      <c r="J68" s="282"/>
      <c r="K68" s="42"/>
      <c r="L68" s="249"/>
      <c r="M68" s="25"/>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c r="C75" s="143"/>
      <c r="D75" s="164"/>
      <c r="E75" s="25"/>
      <c r="F75" s="230"/>
      <c r="G75" s="143"/>
      <c r="H75" s="164"/>
      <c r="I75" s="25"/>
      <c r="J75" s="282"/>
      <c r="K75" s="42"/>
      <c r="L75" s="249"/>
      <c r="M75" s="25"/>
      <c r="N75" s="146"/>
    </row>
    <row r="76" spans="1:14" s="3" customFormat="1" x14ac:dyDescent="0.2">
      <c r="A76" s="19" t="s">
        <v>336</v>
      </c>
      <c r="B76" s="230"/>
      <c r="C76" s="143"/>
      <c r="D76" s="164"/>
      <c r="E76" s="25"/>
      <c r="F76" s="230"/>
      <c r="G76" s="143"/>
      <c r="H76" s="164"/>
      <c r="I76" s="25"/>
      <c r="J76" s="282"/>
      <c r="K76" s="42"/>
      <c r="L76" s="249"/>
      <c r="M76" s="25"/>
      <c r="N76" s="146"/>
    </row>
    <row r="77" spans="1:14" ht="15.75" x14ac:dyDescent="0.2">
      <c r="A77" s="19" t="s">
        <v>367</v>
      </c>
      <c r="B77" s="230"/>
      <c r="C77" s="230"/>
      <c r="D77" s="164"/>
      <c r="E77" s="25"/>
      <c r="F77" s="230"/>
      <c r="G77" s="143"/>
      <c r="H77" s="164"/>
      <c r="I77" s="25"/>
      <c r="J77" s="282"/>
      <c r="K77" s="42"/>
      <c r="L77" s="249"/>
      <c r="M77" s="25"/>
    </row>
    <row r="78" spans="1:14" x14ac:dyDescent="0.2">
      <c r="A78" s="19" t="s">
        <v>9</v>
      </c>
      <c r="B78" s="230"/>
      <c r="C78" s="143"/>
      <c r="D78" s="164"/>
      <c r="E78" s="25"/>
      <c r="F78" s="230"/>
      <c r="G78" s="143"/>
      <c r="H78" s="164"/>
      <c r="I78" s="25"/>
      <c r="J78" s="282"/>
      <c r="K78" s="42"/>
      <c r="L78" s="249"/>
      <c r="M78" s="25"/>
    </row>
    <row r="79" spans="1:14" x14ac:dyDescent="0.2">
      <c r="A79" s="36" t="s">
        <v>400</v>
      </c>
      <c r="B79" s="286"/>
      <c r="C79" s="287"/>
      <c r="D79" s="164"/>
      <c r="E79" s="25"/>
      <c r="F79" s="286"/>
      <c r="G79" s="287"/>
      <c r="H79" s="164"/>
      <c r="I79" s="25"/>
      <c r="J79" s="282"/>
      <c r="K79" s="42"/>
      <c r="L79" s="249"/>
      <c r="M79" s="25"/>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c r="C86" s="143"/>
      <c r="D86" s="164"/>
      <c r="E86" s="25"/>
      <c r="F86" s="230"/>
      <c r="G86" s="143"/>
      <c r="H86" s="164"/>
      <c r="I86" s="25"/>
      <c r="J86" s="282"/>
      <c r="K86" s="42"/>
      <c r="L86" s="249"/>
      <c r="M86" s="25"/>
    </row>
    <row r="87" spans="1:13" ht="15.75" x14ac:dyDescent="0.2">
      <c r="A87" s="13" t="s">
        <v>350</v>
      </c>
      <c r="B87" s="344"/>
      <c r="C87" s="344"/>
      <c r="D87" s="169"/>
      <c r="E87" s="11"/>
      <c r="F87" s="343"/>
      <c r="G87" s="343"/>
      <c r="H87" s="169"/>
      <c r="I87" s="11"/>
      <c r="J87" s="301"/>
      <c r="K87" s="232"/>
      <c r="L87" s="414"/>
      <c r="M87" s="11"/>
    </row>
    <row r="88" spans="1:13" x14ac:dyDescent="0.2">
      <c r="A88" s="19" t="s">
        <v>9</v>
      </c>
      <c r="B88" s="230"/>
      <c r="C88" s="143"/>
      <c r="D88" s="164"/>
      <c r="E88" s="25"/>
      <c r="F88" s="230"/>
      <c r="G88" s="143"/>
      <c r="H88" s="164"/>
      <c r="I88" s="25"/>
      <c r="J88" s="282"/>
      <c r="K88" s="42"/>
      <c r="L88" s="249"/>
      <c r="M88" s="25"/>
    </row>
    <row r="89" spans="1:13" x14ac:dyDescent="0.2">
      <c r="A89" s="19" t="s">
        <v>10</v>
      </c>
      <c r="B89" s="230"/>
      <c r="C89" s="143"/>
      <c r="D89" s="164"/>
      <c r="E89" s="25"/>
      <c r="F89" s="230"/>
      <c r="G89" s="143"/>
      <c r="H89" s="164"/>
      <c r="I89" s="25"/>
      <c r="J89" s="282"/>
      <c r="K89" s="42"/>
      <c r="L89" s="249"/>
      <c r="M89" s="25"/>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c r="C96" s="143"/>
      <c r="D96" s="164"/>
      <c r="E96" s="25"/>
      <c r="F96" s="230"/>
      <c r="G96" s="143"/>
      <c r="H96" s="164"/>
      <c r="I96" s="25"/>
      <c r="J96" s="282"/>
      <c r="K96" s="42"/>
      <c r="L96" s="249"/>
      <c r="M96" s="25"/>
    </row>
    <row r="97" spans="1:13" x14ac:dyDescent="0.2">
      <c r="A97" s="19" t="s">
        <v>334</v>
      </c>
      <c r="B97" s="230"/>
      <c r="C97" s="143"/>
      <c r="D97" s="164"/>
      <c r="E97" s="25"/>
      <c r="F97" s="230"/>
      <c r="G97" s="143"/>
      <c r="H97" s="164"/>
      <c r="I97" s="25"/>
      <c r="J97" s="282"/>
      <c r="K97" s="42"/>
      <c r="L97" s="249"/>
      <c r="M97" s="25"/>
    </row>
    <row r="98" spans="1:13" ht="15.75" x14ac:dyDescent="0.2">
      <c r="A98" s="19" t="s">
        <v>367</v>
      </c>
      <c r="B98" s="230"/>
      <c r="C98" s="230"/>
      <c r="D98" s="164"/>
      <c r="E98" s="25"/>
      <c r="F98" s="286"/>
      <c r="G98" s="286"/>
      <c r="H98" s="164"/>
      <c r="I98" s="25"/>
      <c r="J98" s="282"/>
      <c r="K98" s="42"/>
      <c r="L98" s="249"/>
      <c r="M98" s="25"/>
    </row>
    <row r="99" spans="1:13" x14ac:dyDescent="0.2">
      <c r="A99" s="19" t="s">
        <v>9</v>
      </c>
      <c r="B99" s="286"/>
      <c r="C99" s="287"/>
      <c r="D99" s="164"/>
      <c r="E99" s="25"/>
      <c r="F99" s="230"/>
      <c r="G99" s="143"/>
      <c r="H99" s="164"/>
      <c r="I99" s="25"/>
      <c r="J99" s="282"/>
      <c r="K99" s="42"/>
      <c r="L99" s="249"/>
      <c r="M99" s="25"/>
    </row>
    <row r="100" spans="1:13" x14ac:dyDescent="0.2">
      <c r="A100" s="36" t="s">
        <v>400</v>
      </c>
      <c r="B100" s="286"/>
      <c r="C100" s="287"/>
      <c r="D100" s="164"/>
      <c r="E100" s="25"/>
      <c r="F100" s="230"/>
      <c r="G100" s="230"/>
      <c r="H100" s="164"/>
      <c r="I100" s="25"/>
      <c r="J100" s="282"/>
      <c r="K100" s="42"/>
      <c r="L100" s="249"/>
      <c r="M100" s="25"/>
    </row>
    <row r="101" spans="1:13" ht="15.75" x14ac:dyDescent="0.2">
      <c r="A101" s="288" t="s">
        <v>365</v>
      </c>
      <c r="B101" s="311"/>
      <c r="C101" s="311"/>
      <c r="D101" s="164"/>
      <c r="E101" s="21"/>
      <c r="F101" s="311"/>
      <c r="G101" s="311"/>
      <c r="H101" s="164"/>
      <c r="I101" s="21"/>
      <c r="J101" s="311"/>
      <c r="K101" s="311"/>
      <c r="L101" s="164"/>
      <c r="M101" s="21"/>
    </row>
    <row r="102" spans="1:13" x14ac:dyDescent="0.2">
      <c r="A102" s="288" t="s">
        <v>12</v>
      </c>
      <c r="B102" s="311"/>
      <c r="C102" s="311"/>
      <c r="D102" s="164"/>
      <c r="E102" s="21"/>
      <c r="F102" s="311"/>
      <c r="G102" s="311"/>
      <c r="H102" s="164"/>
      <c r="I102" s="21"/>
      <c r="J102" s="311"/>
      <c r="K102" s="311"/>
      <c r="L102" s="164"/>
      <c r="M102" s="21"/>
    </row>
    <row r="103" spans="1:13" x14ac:dyDescent="0.2">
      <c r="A103" s="288" t="s">
        <v>13</v>
      </c>
      <c r="B103" s="311"/>
      <c r="C103" s="311"/>
      <c r="D103" s="164"/>
      <c r="E103" s="21"/>
      <c r="F103" s="311"/>
      <c r="G103" s="311"/>
      <c r="H103" s="164"/>
      <c r="I103" s="21"/>
      <c r="J103" s="311"/>
      <c r="K103" s="311"/>
      <c r="L103" s="164"/>
      <c r="M103" s="21"/>
    </row>
    <row r="104" spans="1:13" ht="15.75" x14ac:dyDescent="0.2">
      <c r="A104" s="288" t="s">
        <v>366</v>
      </c>
      <c r="B104" s="311"/>
      <c r="C104" s="311"/>
      <c r="D104" s="164"/>
      <c r="E104" s="21"/>
      <c r="F104" s="311"/>
      <c r="G104" s="311"/>
      <c r="H104" s="164"/>
      <c r="I104" s="21"/>
      <c r="J104" s="311"/>
      <c r="K104" s="311"/>
      <c r="L104" s="164"/>
      <c r="M104" s="21"/>
    </row>
    <row r="105" spans="1:13" x14ac:dyDescent="0.2">
      <c r="A105" s="288" t="s">
        <v>12</v>
      </c>
      <c r="B105" s="231"/>
      <c r="C105" s="284"/>
      <c r="D105" s="164"/>
      <c r="E105" s="21"/>
      <c r="F105" s="311"/>
      <c r="G105" s="311"/>
      <c r="H105" s="164"/>
      <c r="I105" s="21"/>
      <c r="J105" s="311"/>
      <c r="K105" s="311"/>
      <c r="L105" s="164"/>
      <c r="M105" s="21"/>
    </row>
    <row r="106" spans="1:13" x14ac:dyDescent="0.2">
      <c r="A106" s="288" t="s">
        <v>13</v>
      </c>
      <c r="B106" s="231"/>
      <c r="C106" s="284"/>
      <c r="D106" s="164"/>
      <c r="E106" s="21"/>
      <c r="F106" s="311"/>
      <c r="G106" s="311"/>
      <c r="H106" s="164"/>
      <c r="I106" s="21"/>
      <c r="J106" s="311"/>
      <c r="K106" s="311"/>
      <c r="L106" s="164"/>
      <c r="M106" s="21"/>
    </row>
    <row r="107" spans="1:13" ht="15.75" x14ac:dyDescent="0.2">
      <c r="A107" s="19" t="s">
        <v>368</v>
      </c>
      <c r="B107" s="230"/>
      <c r="C107" s="143"/>
      <c r="D107" s="164"/>
      <c r="E107" s="25"/>
      <c r="F107" s="230"/>
      <c r="G107" s="143"/>
      <c r="H107" s="164"/>
      <c r="I107" s="25"/>
      <c r="J107" s="282"/>
      <c r="K107" s="42"/>
      <c r="L107" s="249"/>
      <c r="M107" s="25"/>
    </row>
    <row r="108" spans="1:13" ht="15.75" x14ac:dyDescent="0.2">
      <c r="A108" s="19" t="s">
        <v>369</v>
      </c>
      <c r="B108" s="230"/>
      <c r="C108" s="230"/>
      <c r="D108" s="164"/>
      <c r="E108" s="25"/>
      <c r="F108" s="230"/>
      <c r="G108" s="230"/>
      <c r="H108" s="164"/>
      <c r="I108" s="25"/>
      <c r="J108" s="282"/>
      <c r="K108" s="42"/>
      <c r="L108" s="249"/>
      <c r="M108" s="25"/>
    </row>
    <row r="109" spans="1:13" ht="15.75" x14ac:dyDescent="0.2">
      <c r="A109" s="36" t="s">
        <v>408</v>
      </c>
      <c r="B109" s="230"/>
      <c r="C109" s="230"/>
      <c r="D109" s="164"/>
      <c r="E109" s="25"/>
      <c r="F109" s="230"/>
      <c r="G109" s="230"/>
      <c r="H109" s="164"/>
      <c r="I109" s="25"/>
      <c r="J109" s="282"/>
      <c r="K109" s="42"/>
      <c r="L109" s="249"/>
      <c r="M109" s="25"/>
    </row>
    <row r="110" spans="1:13" ht="15.75" x14ac:dyDescent="0.2">
      <c r="A110" s="19" t="s">
        <v>370</v>
      </c>
      <c r="B110" s="230"/>
      <c r="C110" s="230"/>
      <c r="D110" s="164"/>
      <c r="E110" s="25"/>
      <c r="F110" s="230"/>
      <c r="G110" s="230"/>
      <c r="H110" s="164"/>
      <c r="I110" s="25"/>
      <c r="J110" s="282"/>
      <c r="K110" s="42"/>
      <c r="L110" s="249"/>
      <c r="M110" s="25"/>
    </row>
    <row r="111" spans="1:13" ht="15.75" x14ac:dyDescent="0.2">
      <c r="A111" s="13" t="s">
        <v>351</v>
      </c>
      <c r="B111" s="300"/>
      <c r="C111" s="157"/>
      <c r="D111" s="169"/>
      <c r="E111" s="11"/>
      <c r="F111" s="300"/>
      <c r="G111" s="157"/>
      <c r="H111" s="169"/>
      <c r="I111" s="11"/>
      <c r="J111" s="301"/>
      <c r="K111" s="232"/>
      <c r="L111" s="414"/>
      <c r="M111" s="11"/>
    </row>
    <row r="112" spans="1:13" x14ac:dyDescent="0.2">
      <c r="A112" s="19" t="s">
        <v>9</v>
      </c>
      <c r="B112" s="230"/>
      <c r="C112" s="143"/>
      <c r="D112" s="164"/>
      <c r="E112" s="25"/>
      <c r="F112" s="230"/>
      <c r="G112" s="143"/>
      <c r="H112" s="164"/>
      <c r="I112" s="25"/>
      <c r="J112" s="282"/>
      <c r="K112" s="42"/>
      <c r="L112" s="249"/>
      <c r="M112" s="25"/>
    </row>
    <row r="113" spans="1:14" x14ac:dyDescent="0.2">
      <c r="A113" s="19" t="s">
        <v>10</v>
      </c>
      <c r="B113" s="230"/>
      <c r="C113" s="143"/>
      <c r="D113" s="164"/>
      <c r="E113" s="25"/>
      <c r="F113" s="230"/>
      <c r="G113" s="143"/>
      <c r="H113" s="164"/>
      <c r="I113" s="25"/>
      <c r="J113" s="282"/>
      <c r="K113" s="42"/>
      <c r="L113" s="249"/>
      <c r="M113" s="25"/>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c r="C116" s="230"/>
      <c r="D116" s="164"/>
      <c r="E116" s="25"/>
      <c r="F116" s="230"/>
      <c r="G116" s="230"/>
      <c r="H116" s="164"/>
      <c r="I116" s="25"/>
      <c r="J116" s="282"/>
      <c r="K116" s="42"/>
      <c r="L116" s="249"/>
      <c r="M116" s="25"/>
    </row>
    <row r="117" spans="1:14" ht="15.75" x14ac:dyDescent="0.2">
      <c r="A117" s="36" t="s">
        <v>408</v>
      </c>
      <c r="B117" s="230"/>
      <c r="C117" s="230"/>
      <c r="D117" s="164"/>
      <c r="E117" s="25"/>
      <c r="F117" s="230"/>
      <c r="G117" s="230"/>
      <c r="H117" s="164"/>
      <c r="I117" s="25"/>
      <c r="J117" s="282"/>
      <c r="K117" s="42"/>
      <c r="L117" s="249"/>
      <c r="M117" s="25"/>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c r="C119" s="157"/>
      <c r="D119" s="169"/>
      <c r="E119" s="11"/>
      <c r="F119" s="300"/>
      <c r="G119" s="157"/>
      <c r="H119" s="169"/>
      <c r="I119" s="11"/>
      <c r="J119" s="301"/>
      <c r="K119" s="232"/>
      <c r="L119" s="414"/>
      <c r="M119" s="11"/>
    </row>
    <row r="120" spans="1:14" x14ac:dyDescent="0.2">
      <c r="A120" s="19" t="s">
        <v>9</v>
      </c>
      <c r="B120" s="230"/>
      <c r="C120" s="143"/>
      <c r="D120" s="164"/>
      <c r="E120" s="25"/>
      <c r="F120" s="230"/>
      <c r="G120" s="143"/>
      <c r="H120" s="164"/>
      <c r="I120" s="25"/>
      <c r="J120" s="282"/>
      <c r="K120" s="42"/>
      <c r="L120" s="249"/>
      <c r="M120" s="25"/>
    </row>
    <row r="121" spans="1:14" x14ac:dyDescent="0.2">
      <c r="A121" s="19" t="s">
        <v>10</v>
      </c>
      <c r="B121" s="230"/>
      <c r="C121" s="143"/>
      <c r="D121" s="164"/>
      <c r="E121" s="25"/>
      <c r="F121" s="230"/>
      <c r="G121" s="143"/>
      <c r="H121" s="164"/>
      <c r="I121" s="25"/>
      <c r="J121" s="282"/>
      <c r="K121" s="42"/>
      <c r="L121" s="249"/>
      <c r="M121" s="25"/>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c r="C125" s="230"/>
      <c r="D125" s="164"/>
      <c r="E125" s="25"/>
      <c r="F125" s="230"/>
      <c r="G125" s="230"/>
      <c r="H125" s="164"/>
      <c r="I125" s="25"/>
      <c r="J125" s="282"/>
      <c r="K125" s="42"/>
      <c r="L125" s="249"/>
      <c r="M125" s="25"/>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291"/>
      <c r="F130" s="707"/>
      <c r="G130" s="707"/>
      <c r="H130" s="707"/>
      <c r="I130" s="291"/>
      <c r="J130" s="707"/>
      <c r="K130" s="707"/>
      <c r="L130" s="707"/>
      <c r="M130" s="291"/>
    </row>
    <row r="131" spans="1:14" s="3" customFormat="1" x14ac:dyDescent="0.2">
      <c r="A131" s="142"/>
      <c r="B131" s="705" t="s">
        <v>0</v>
      </c>
      <c r="C131" s="706"/>
      <c r="D131" s="706"/>
      <c r="E131" s="293"/>
      <c r="F131" s="705" t="s">
        <v>1</v>
      </c>
      <c r="G131" s="706"/>
      <c r="H131" s="706"/>
      <c r="I131" s="296"/>
      <c r="J131" s="705" t="s">
        <v>2</v>
      </c>
      <c r="K131" s="706"/>
      <c r="L131" s="706"/>
      <c r="M131" s="296"/>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c r="C134" s="301"/>
      <c r="D134" s="341"/>
      <c r="E134" s="11"/>
      <c r="F134" s="308"/>
      <c r="G134" s="309"/>
      <c r="H134" s="417"/>
      <c r="I134" s="22"/>
      <c r="J134" s="310"/>
      <c r="K134" s="310"/>
      <c r="L134" s="413"/>
      <c r="M134" s="11"/>
      <c r="N134" s="146"/>
    </row>
    <row r="135" spans="1:14" s="3" customFormat="1" ht="15.75" x14ac:dyDescent="0.2">
      <c r="A135" s="13" t="s">
        <v>377</v>
      </c>
      <c r="B135" s="232"/>
      <c r="C135" s="301"/>
      <c r="D135" s="169"/>
      <c r="E135" s="11"/>
      <c r="F135" s="232"/>
      <c r="G135" s="301"/>
      <c r="H135" s="418"/>
      <c r="I135" s="22"/>
      <c r="J135" s="300"/>
      <c r="K135" s="300"/>
      <c r="L135" s="414"/>
      <c r="M135" s="11"/>
      <c r="N135" s="146"/>
    </row>
    <row r="136" spans="1:14" s="3" customFormat="1" ht="15.75" x14ac:dyDescent="0.2">
      <c r="A136" s="13" t="s">
        <v>374</v>
      </c>
      <c r="B136" s="232"/>
      <c r="C136" s="301"/>
      <c r="D136" s="169"/>
      <c r="E136" s="11"/>
      <c r="F136" s="232"/>
      <c r="G136" s="301"/>
      <c r="H136" s="418"/>
      <c r="I136" s="22"/>
      <c r="J136" s="300"/>
      <c r="K136" s="300"/>
      <c r="L136" s="414"/>
      <c r="M136" s="11"/>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340" priority="12">
      <formula>kvartal &lt; 4</formula>
    </cfRule>
  </conditionalFormatting>
  <conditionalFormatting sqref="A69:A74">
    <cfRule type="expression" dxfId="339" priority="10">
      <formula>kvartal &lt; 4</formula>
    </cfRule>
  </conditionalFormatting>
  <conditionalFormatting sqref="A80:A85">
    <cfRule type="expression" dxfId="338" priority="9">
      <formula>kvartal &lt; 4</formula>
    </cfRule>
  </conditionalFormatting>
  <conditionalFormatting sqref="A90:A95">
    <cfRule type="expression" dxfId="337" priority="6">
      <formula>kvartal &lt; 4</formula>
    </cfRule>
  </conditionalFormatting>
  <conditionalFormatting sqref="A101:A106">
    <cfRule type="expression" dxfId="336" priority="5">
      <formula>kvartal &lt; 4</formula>
    </cfRule>
  </conditionalFormatting>
  <conditionalFormatting sqref="A115">
    <cfRule type="expression" dxfId="335" priority="4">
      <formula>kvartal &lt; 4</formula>
    </cfRule>
  </conditionalFormatting>
  <conditionalFormatting sqref="A123">
    <cfRule type="expression" dxfId="334" priority="3">
      <formula>kvartal &lt; 4</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N58"/>
  <sheetViews>
    <sheetView showGridLines="0" tabSelected="1" zoomScale="70" zoomScaleNormal="70" workbookViewId="0"/>
  </sheetViews>
  <sheetFormatPr baseColWidth="10" defaultColWidth="11.42578125" defaultRowHeight="25.5" x14ac:dyDescent="0.35"/>
  <cols>
    <col min="1" max="1" width="11.42578125" style="65"/>
    <col min="2" max="2" width="25" style="65" customWidth="1"/>
    <col min="3" max="3" width="141.7109375" style="65" customWidth="1"/>
    <col min="4" max="16384" width="11.42578125" style="65"/>
  </cols>
  <sheetData>
    <row r="1" spans="1:14" ht="20.100000000000001" customHeight="1" x14ac:dyDescent="0.35">
      <c r="C1" s="66"/>
      <c r="D1" s="67"/>
      <c r="E1" s="67"/>
      <c r="F1" s="67"/>
      <c r="G1" s="67"/>
      <c r="H1" s="67"/>
      <c r="I1" s="67"/>
      <c r="J1" s="67"/>
      <c r="K1" s="67"/>
      <c r="L1" s="67"/>
      <c r="M1" s="67"/>
      <c r="N1" s="67"/>
    </row>
    <row r="2" spans="1:14" ht="20.100000000000001" customHeight="1" x14ac:dyDescent="0.35">
      <c r="C2" s="270" t="s">
        <v>31</v>
      </c>
      <c r="D2" s="67"/>
      <c r="E2" s="67"/>
      <c r="F2" s="67"/>
      <c r="G2" s="67"/>
      <c r="H2" s="67"/>
      <c r="I2" s="67"/>
      <c r="J2" s="67"/>
      <c r="K2" s="67"/>
      <c r="L2" s="67"/>
      <c r="M2" s="67"/>
      <c r="N2" s="67"/>
    </row>
    <row r="3" spans="1:14" ht="20.100000000000001" customHeight="1" x14ac:dyDescent="0.35">
      <c r="C3" s="68"/>
      <c r="D3" s="67"/>
      <c r="E3" s="67"/>
      <c r="F3" s="67"/>
      <c r="G3" s="67"/>
      <c r="H3" s="67"/>
      <c r="I3" s="67"/>
      <c r="J3" s="67"/>
      <c r="K3" s="67"/>
      <c r="L3" s="67"/>
      <c r="M3" s="67"/>
      <c r="N3" s="67"/>
    </row>
    <row r="4" spans="1:14" ht="20.100000000000001" customHeight="1" x14ac:dyDescent="0.35">
      <c r="C4" s="68"/>
      <c r="D4" s="67"/>
      <c r="E4" s="67"/>
      <c r="F4" s="67"/>
      <c r="G4" s="67"/>
      <c r="H4" s="67"/>
      <c r="I4" s="67"/>
      <c r="J4" s="67"/>
      <c r="K4" s="67"/>
      <c r="L4" s="67"/>
      <c r="M4" s="67"/>
      <c r="N4" s="67"/>
    </row>
    <row r="5" spans="1:14" ht="20.100000000000001" customHeight="1" x14ac:dyDescent="0.35">
      <c r="A5" s="68"/>
      <c r="B5" s="68"/>
      <c r="C5" s="68"/>
      <c r="D5" s="67"/>
      <c r="E5" s="67"/>
      <c r="F5" s="67"/>
      <c r="G5" s="67"/>
      <c r="H5" s="67"/>
      <c r="I5" s="67"/>
      <c r="J5" s="67"/>
      <c r="K5" s="67"/>
      <c r="L5" s="67"/>
      <c r="M5" s="67"/>
      <c r="N5" s="67"/>
    </row>
    <row r="6" spans="1:14" ht="20.100000000000001" customHeight="1" x14ac:dyDescent="0.35">
      <c r="A6" s="69" t="s">
        <v>32</v>
      </c>
      <c r="B6" s="69"/>
      <c r="C6" s="68"/>
      <c r="D6" s="67"/>
      <c r="E6" s="67"/>
      <c r="F6" s="67"/>
      <c r="G6" s="67"/>
      <c r="H6" s="67"/>
      <c r="I6" s="67"/>
      <c r="J6" s="67"/>
      <c r="K6" s="67"/>
      <c r="L6" s="67"/>
      <c r="M6" s="67"/>
      <c r="N6" s="67"/>
    </row>
    <row r="7" spans="1:14" ht="20.100000000000001" customHeight="1" x14ac:dyDescent="0.35">
      <c r="A7" s="68"/>
      <c r="B7" s="68" t="s">
        <v>33</v>
      </c>
      <c r="C7" s="68" t="s">
        <v>34</v>
      </c>
      <c r="D7" s="67"/>
      <c r="E7" s="67"/>
      <c r="F7" s="67"/>
      <c r="G7" s="67"/>
      <c r="H7" s="67"/>
      <c r="I7" s="67"/>
      <c r="J7" s="67"/>
      <c r="K7" s="67"/>
      <c r="L7" s="67"/>
      <c r="M7" s="67"/>
      <c r="N7" s="67"/>
    </row>
    <row r="8" spans="1:14" ht="20.100000000000001" customHeight="1" x14ac:dyDescent="0.35">
      <c r="A8" s="68"/>
      <c r="B8" s="68" t="s">
        <v>35</v>
      </c>
      <c r="C8" s="68" t="s">
        <v>36</v>
      </c>
      <c r="D8" s="67"/>
      <c r="E8" s="67"/>
      <c r="F8" s="67"/>
      <c r="G8" s="67"/>
      <c r="H8" s="67"/>
      <c r="I8" s="67"/>
      <c r="J8" s="67"/>
      <c r="K8" s="67"/>
      <c r="L8" s="67"/>
      <c r="M8" s="67"/>
      <c r="N8" s="67"/>
    </row>
    <row r="9" spans="1:14" ht="20.100000000000001" customHeight="1" x14ac:dyDescent="0.35">
      <c r="A9" s="68"/>
      <c r="B9" s="68" t="s">
        <v>37</v>
      </c>
      <c r="C9" s="68" t="s">
        <v>40</v>
      </c>
      <c r="D9" s="67"/>
      <c r="E9" s="67"/>
      <c r="F9" s="67"/>
      <c r="G9" s="67"/>
      <c r="H9" s="67"/>
      <c r="I9" s="67"/>
      <c r="J9" s="67"/>
      <c r="K9" s="67"/>
      <c r="L9" s="67"/>
      <c r="M9" s="67"/>
      <c r="N9" s="67"/>
    </row>
    <row r="10" spans="1:14" ht="20.100000000000001" customHeight="1" x14ac:dyDescent="0.35">
      <c r="A10" s="68"/>
      <c r="B10" s="68" t="s">
        <v>38</v>
      </c>
      <c r="C10" s="68" t="s">
        <v>42</v>
      </c>
      <c r="D10" s="67"/>
      <c r="E10" s="67"/>
      <c r="F10" s="67"/>
      <c r="G10" s="67"/>
      <c r="H10" s="67"/>
      <c r="I10" s="67"/>
      <c r="J10" s="67"/>
      <c r="K10" s="67"/>
      <c r="L10" s="67"/>
      <c r="M10" s="67"/>
      <c r="N10" s="67"/>
    </row>
    <row r="11" spans="1:14" ht="20.100000000000001" customHeight="1" x14ac:dyDescent="0.35">
      <c r="A11" s="68"/>
      <c r="B11" s="68" t="s">
        <v>39</v>
      </c>
      <c r="C11" s="68" t="s">
        <v>43</v>
      </c>
      <c r="D11" s="67"/>
      <c r="E11" s="67"/>
      <c r="F11" s="67"/>
      <c r="G11" s="67"/>
      <c r="H11" s="67"/>
      <c r="I11" s="67"/>
      <c r="J11" s="67"/>
      <c r="K11" s="67"/>
      <c r="L11" s="67"/>
      <c r="M11" s="67"/>
      <c r="N11" s="67"/>
    </row>
    <row r="12" spans="1:14" ht="20.100000000000001" customHeight="1" x14ac:dyDescent="0.35">
      <c r="A12" s="68"/>
      <c r="B12" s="68" t="s">
        <v>41</v>
      </c>
      <c r="C12" s="68" t="s">
        <v>44</v>
      </c>
      <c r="D12" s="67"/>
      <c r="E12" s="67"/>
      <c r="F12" s="67"/>
      <c r="G12" s="67"/>
      <c r="H12" s="67"/>
      <c r="I12" s="67"/>
      <c r="J12" s="67"/>
      <c r="K12" s="67"/>
      <c r="L12" s="67"/>
      <c r="M12" s="67"/>
      <c r="N12" s="67"/>
    </row>
    <row r="13" spans="1:14" ht="18.75" customHeight="1" x14ac:dyDescent="0.35">
      <c r="A13" s="68"/>
      <c r="B13" s="68"/>
      <c r="C13" s="68"/>
      <c r="D13" s="67"/>
      <c r="E13" s="67"/>
      <c r="F13" s="67"/>
      <c r="G13" s="67"/>
      <c r="H13" s="67"/>
      <c r="I13" s="67"/>
      <c r="J13" s="67"/>
      <c r="K13" s="67"/>
      <c r="L13" s="67"/>
      <c r="M13" s="67"/>
      <c r="N13" s="67"/>
    </row>
    <row r="14" spans="1:14" ht="20.100000000000001" customHeight="1" x14ac:dyDescent="0.35">
      <c r="A14" s="269" t="s">
        <v>45</v>
      </c>
      <c r="B14" s="69"/>
      <c r="C14" s="68"/>
      <c r="D14" s="67"/>
      <c r="E14" s="67"/>
      <c r="F14" s="67"/>
      <c r="G14" s="67"/>
      <c r="H14" s="67"/>
      <c r="I14" s="67"/>
      <c r="J14" s="67"/>
      <c r="K14" s="67"/>
      <c r="L14" s="67"/>
      <c r="M14" s="67"/>
      <c r="N14" s="67"/>
    </row>
    <row r="15" spans="1:14" ht="20.100000000000001" customHeight="1" x14ac:dyDescent="0.35">
      <c r="A15" s="68"/>
      <c r="B15" s="68" t="s">
        <v>46</v>
      </c>
      <c r="C15" s="68"/>
      <c r="D15" s="67"/>
      <c r="E15" s="67"/>
      <c r="F15" s="67"/>
      <c r="G15" s="67"/>
      <c r="H15" s="67"/>
      <c r="I15" s="67"/>
      <c r="J15" s="67"/>
      <c r="K15" s="67"/>
      <c r="L15" s="67"/>
      <c r="M15" s="67"/>
      <c r="N15" s="67"/>
    </row>
    <row r="16" spans="1:14" ht="20.100000000000001" customHeight="1" x14ac:dyDescent="0.35">
      <c r="A16" s="68"/>
      <c r="B16" s="69" t="s">
        <v>47</v>
      </c>
      <c r="C16" s="68" t="s">
        <v>48</v>
      </c>
      <c r="D16" s="67"/>
      <c r="E16" s="67"/>
      <c r="F16" s="67"/>
      <c r="G16" s="67"/>
      <c r="H16" s="67"/>
      <c r="I16" s="67"/>
      <c r="J16" s="67"/>
      <c r="K16" s="67"/>
      <c r="L16" s="67"/>
      <c r="M16" s="67"/>
      <c r="N16" s="67"/>
    </row>
    <row r="17" spans="1:14" ht="20.100000000000001" customHeight="1" x14ac:dyDescent="0.35">
      <c r="A17" s="68"/>
      <c r="B17" s="69" t="s">
        <v>49</v>
      </c>
      <c r="C17" s="68" t="s">
        <v>50</v>
      </c>
      <c r="D17" s="67"/>
      <c r="E17" s="67"/>
      <c r="F17" s="67"/>
      <c r="G17" s="67"/>
      <c r="H17" s="67"/>
      <c r="I17" s="67"/>
      <c r="J17" s="67"/>
      <c r="K17" s="67"/>
      <c r="L17" s="67"/>
      <c r="M17" s="67"/>
      <c r="N17" s="67"/>
    </row>
    <row r="18" spans="1:14" ht="20.100000000000001" customHeight="1" x14ac:dyDescent="0.35">
      <c r="A18" s="68"/>
      <c r="B18" s="69" t="s">
        <v>328</v>
      </c>
      <c r="C18" s="68" t="s">
        <v>329</v>
      </c>
      <c r="D18" s="67"/>
      <c r="E18" s="67"/>
      <c r="F18" s="67"/>
      <c r="G18" s="67"/>
      <c r="H18" s="67"/>
      <c r="I18" s="67"/>
      <c r="J18" s="67"/>
      <c r="K18" s="67"/>
      <c r="L18" s="67"/>
      <c r="M18" s="67"/>
      <c r="N18" s="67"/>
    </row>
    <row r="19" spans="1:14" ht="20.100000000000001" customHeight="1" x14ac:dyDescent="0.35">
      <c r="A19" s="68"/>
      <c r="B19" s="68" t="s">
        <v>330</v>
      </c>
      <c r="C19" s="68" t="s">
        <v>266</v>
      </c>
      <c r="D19" s="67"/>
      <c r="E19" s="67"/>
      <c r="F19" s="67"/>
      <c r="G19" s="67"/>
      <c r="H19" s="67"/>
      <c r="I19" s="67"/>
      <c r="J19" s="67"/>
      <c r="K19" s="67"/>
      <c r="L19" s="67"/>
      <c r="M19" s="67"/>
      <c r="N19" s="67"/>
    </row>
    <row r="20" spans="1:14" s="339" customFormat="1" ht="20.100000000000001" customHeight="1" x14ac:dyDescent="0.35">
      <c r="A20" s="337"/>
      <c r="B20" s="337" t="s">
        <v>332</v>
      </c>
      <c r="C20" s="337" t="s">
        <v>331</v>
      </c>
      <c r="D20" s="338"/>
      <c r="E20" s="338"/>
      <c r="F20" s="338"/>
      <c r="G20" s="338"/>
      <c r="H20" s="338"/>
      <c r="I20" s="338"/>
      <c r="J20" s="338"/>
      <c r="K20" s="338"/>
      <c r="L20" s="338"/>
      <c r="M20" s="338"/>
      <c r="N20" s="338"/>
    </row>
    <row r="21" spans="1:14" ht="20.100000000000001" customHeight="1" x14ac:dyDescent="0.35">
      <c r="A21" s="68"/>
      <c r="B21" s="68"/>
      <c r="C21" s="68"/>
    </row>
    <row r="22" spans="1:14" ht="18.75" customHeight="1" x14ac:dyDescent="0.35">
      <c r="A22" s="68"/>
      <c r="B22" s="337" t="s">
        <v>250</v>
      </c>
      <c r="C22" s="337"/>
    </row>
    <row r="23" spans="1:14" ht="20.100000000000001" customHeight="1" x14ac:dyDescent="0.35">
      <c r="A23" s="68"/>
      <c r="B23" s="340" t="s">
        <v>251</v>
      </c>
      <c r="C23" s="337" t="s">
        <v>252</v>
      </c>
    </row>
    <row r="24" spans="1:14" ht="20.100000000000001" hidden="1" customHeight="1" x14ac:dyDescent="0.35">
      <c r="A24" s="68"/>
      <c r="B24" s="340" t="s">
        <v>253</v>
      </c>
      <c r="C24" s="337" t="s">
        <v>254</v>
      </c>
    </row>
    <row r="25" spans="1:14" ht="20.100000000000001" hidden="1" customHeight="1" x14ac:dyDescent="0.35">
      <c r="A25" s="68"/>
      <c r="B25" s="340" t="s">
        <v>255</v>
      </c>
      <c r="C25" s="337" t="s">
        <v>256</v>
      </c>
    </row>
    <row r="26" spans="1:14" ht="20.100000000000001" hidden="1" customHeight="1" x14ac:dyDescent="0.35">
      <c r="A26" s="68"/>
      <c r="B26" s="340" t="s">
        <v>257</v>
      </c>
      <c r="C26" s="337" t="s">
        <v>258</v>
      </c>
    </row>
    <row r="27" spans="1:14" ht="20.100000000000001" customHeight="1" x14ac:dyDescent="0.35">
      <c r="A27" s="68"/>
      <c r="B27" s="340" t="s">
        <v>170</v>
      </c>
      <c r="C27" s="337" t="s">
        <v>259</v>
      </c>
    </row>
    <row r="28" spans="1:14" ht="20.100000000000001" hidden="1" customHeight="1" x14ac:dyDescent="0.35">
      <c r="A28" s="68"/>
      <c r="B28" s="334" t="s">
        <v>260</v>
      </c>
      <c r="C28" s="268" t="s">
        <v>261</v>
      </c>
    </row>
    <row r="29" spans="1:14" ht="20.100000000000001" hidden="1" customHeight="1" x14ac:dyDescent="0.35">
      <c r="A29" s="68"/>
      <c r="B29" s="334" t="s">
        <v>262</v>
      </c>
      <c r="C29" s="268" t="s">
        <v>263</v>
      </c>
    </row>
    <row r="30" spans="1:14" ht="18.75" customHeight="1" x14ac:dyDescent="0.35">
      <c r="A30" s="68"/>
      <c r="B30" s="340" t="s">
        <v>264</v>
      </c>
      <c r="C30" s="337" t="s">
        <v>265</v>
      </c>
    </row>
    <row r="31" spans="1:14" ht="18.75" customHeight="1" x14ac:dyDescent="0.35">
      <c r="A31" s="68"/>
      <c r="B31" s="340"/>
      <c r="C31" s="337"/>
    </row>
    <row r="32" spans="1:14" ht="20.100000000000001" customHeight="1" x14ac:dyDescent="0.35">
      <c r="A32" s="68"/>
      <c r="B32" s="68"/>
      <c r="C32" s="68"/>
    </row>
    <row r="33" spans="1:14" x14ac:dyDescent="0.35">
      <c r="A33" s="69" t="s">
        <v>51</v>
      </c>
      <c r="B33" s="68"/>
      <c r="C33" s="68"/>
    </row>
    <row r="34" spans="1:14" ht="26.25" hidden="1" customHeight="1" x14ac:dyDescent="0.4">
      <c r="C34" s="70"/>
    </row>
    <row r="35" spans="1:14" ht="26.25" hidden="1" customHeight="1" x14ac:dyDescent="0.4">
      <c r="C35" s="70"/>
    </row>
    <row r="36" spans="1:14" ht="18.75" customHeight="1" x14ac:dyDescent="0.4">
      <c r="C36" s="335"/>
      <c r="D36" s="336"/>
    </row>
    <row r="37" spans="1:14" ht="26.25" x14ac:dyDescent="0.4">
      <c r="C37" s="70"/>
    </row>
    <row r="38" spans="1:14" ht="26.25" x14ac:dyDescent="0.4">
      <c r="C38" s="70"/>
    </row>
    <row r="39" spans="1:14" ht="26.25" x14ac:dyDescent="0.4">
      <c r="C39" s="335"/>
      <c r="D39" s="339"/>
      <c r="E39" s="339"/>
      <c r="F39" s="339"/>
      <c r="G39" s="339"/>
      <c r="H39" s="339"/>
      <c r="I39" s="339"/>
      <c r="J39" s="339"/>
      <c r="K39" s="339"/>
      <c r="L39" s="339"/>
      <c r="M39" s="339"/>
      <c r="N39" s="339"/>
    </row>
    <row r="40" spans="1:14" ht="26.25" x14ac:dyDescent="0.4">
      <c r="C40" s="70"/>
    </row>
    <row r="41" spans="1:14" ht="26.25" x14ac:dyDescent="0.4">
      <c r="C41" s="70"/>
    </row>
    <row r="42" spans="1:14" ht="26.25" x14ac:dyDescent="0.4">
      <c r="C42" s="70"/>
    </row>
    <row r="43" spans="1:14" ht="26.25" x14ac:dyDescent="0.4">
      <c r="C43" s="70"/>
    </row>
    <row r="44" spans="1:14" ht="26.25" x14ac:dyDescent="0.4">
      <c r="C44" s="70"/>
    </row>
    <row r="45" spans="1:14" ht="26.25" x14ac:dyDescent="0.4">
      <c r="C45" s="70"/>
    </row>
    <row r="46" spans="1:14" ht="26.25" x14ac:dyDescent="0.4">
      <c r="C46" s="70"/>
    </row>
    <row r="47" spans="1:14" ht="26.25" x14ac:dyDescent="0.4">
      <c r="C47" s="70"/>
    </row>
    <row r="48" spans="1:14" ht="26.25" x14ac:dyDescent="0.4">
      <c r="C48" s="70"/>
    </row>
    <row r="49" spans="3:3" ht="26.25" x14ac:dyDescent="0.4">
      <c r="C49" s="70"/>
    </row>
    <row r="50" spans="3:3" ht="26.25" x14ac:dyDescent="0.4">
      <c r="C50" s="70"/>
    </row>
    <row r="51" spans="3:3" ht="26.25" x14ac:dyDescent="0.4">
      <c r="C51" s="70"/>
    </row>
    <row r="52" spans="3:3" ht="26.25" x14ac:dyDescent="0.4">
      <c r="C52" s="70"/>
    </row>
    <row r="53" spans="3:3" ht="26.25" x14ac:dyDescent="0.4">
      <c r="C53" s="70"/>
    </row>
    <row r="54" spans="3:3" ht="26.25" x14ac:dyDescent="0.4">
      <c r="C54" s="70"/>
    </row>
    <row r="55" spans="3:3" ht="26.25" x14ac:dyDescent="0.4">
      <c r="C55" s="70"/>
    </row>
    <row r="56" spans="3:3" ht="26.25" x14ac:dyDescent="0.4">
      <c r="C56" s="70"/>
    </row>
    <row r="57" spans="3:3" ht="26.25" x14ac:dyDescent="0.4">
      <c r="C57" s="70"/>
    </row>
    <row r="58" spans="3:3" ht="26.25" x14ac:dyDescent="0.4">
      <c r="C58" s="70"/>
    </row>
  </sheetData>
  <hyperlinks>
    <hyperlink ref="A6" location="Figurer!A1" display="FIGURER" xr:uid="{00000000-0004-0000-0100-000000000000}"/>
    <hyperlink ref="A14" location="'Tabel 1.1'!A1" display="TABELLER" xr:uid="{00000000-0004-0000-0100-000001000000}"/>
    <hyperlink ref="B16" location="'Tabell 1.1'!A1" display="Tabell 1.1" xr:uid="{00000000-0004-0000-0100-000002000000}"/>
    <hyperlink ref="B17" location="'Tabell 1.2'!A1" display="Tabell 1.2" xr:uid="{00000000-0004-0000-0100-000003000000}"/>
    <hyperlink ref="A33" location="'Noter og kommentarer'!A1" display="NOTER OG KOMMENTARER" xr:uid="{00000000-0004-0000-0100-000004000000}"/>
    <hyperlink ref="B23" location="'Tabell 4'!A1" display="Tabell 4" xr:uid="{00000000-0004-0000-0100-000005000000}"/>
    <hyperlink ref="B27" location="'Tabell 6'!A1" display="Tabell 6" xr:uid="{00000000-0004-0000-0100-000006000000}"/>
    <hyperlink ref="B30" location="'Tabell 8'!A1" display="Tabell 8" xr:uid="{00000000-0004-0000-0100-000007000000}"/>
    <hyperlink ref="B24" location="'Tabell 5.1'!A1" display="Tabell 5.1" xr:uid="{00000000-0004-0000-0100-000008000000}"/>
    <hyperlink ref="B25" location="'Tabell 5.2'!A1" display="Tabell 5.2" xr:uid="{00000000-0004-0000-0100-000009000000}"/>
    <hyperlink ref="B26" location="'Tabell 5.3'!A1" display="Tabell 5.3" xr:uid="{00000000-0004-0000-0100-00000A000000}"/>
    <hyperlink ref="B28" location="'Tabell 7a'!A1" display="Tabell 7a" xr:uid="{00000000-0004-0000-0100-00000B000000}"/>
    <hyperlink ref="B29" location="'Tabell 7b'!A1" display="Tabell 7b" xr:uid="{00000000-0004-0000-0100-00000C000000}"/>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20"/>
  <dimension ref="A1:N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244" t="s">
        <v>62</v>
      </c>
      <c r="D1" s="24"/>
      <c r="E1" s="24"/>
      <c r="F1" s="24"/>
      <c r="G1" s="24"/>
      <c r="H1" s="24"/>
      <c r="I1" s="24"/>
      <c r="J1" s="24"/>
      <c r="K1" s="24"/>
      <c r="L1" s="24"/>
      <c r="M1" s="24"/>
    </row>
    <row r="2" spans="1:14" ht="15.75" x14ac:dyDescent="0.25">
      <c r="A2" s="163" t="s">
        <v>28</v>
      </c>
      <c r="B2" s="704"/>
      <c r="C2" s="704"/>
      <c r="D2" s="704"/>
      <c r="E2" s="291"/>
      <c r="F2" s="704"/>
      <c r="G2" s="704"/>
      <c r="H2" s="704"/>
      <c r="I2" s="291"/>
      <c r="J2" s="704"/>
      <c r="K2" s="704"/>
      <c r="L2" s="704"/>
      <c r="M2" s="291"/>
    </row>
    <row r="3" spans="1:14" ht="15.75" x14ac:dyDescent="0.25">
      <c r="A3" s="161"/>
      <c r="B3" s="291"/>
      <c r="C3" s="291"/>
      <c r="D3" s="291"/>
      <c r="E3" s="291"/>
      <c r="F3" s="291"/>
      <c r="G3" s="291"/>
      <c r="H3" s="291"/>
      <c r="I3" s="291"/>
      <c r="J3" s="291"/>
      <c r="K3" s="291"/>
      <c r="L3" s="291"/>
      <c r="M3" s="291"/>
    </row>
    <row r="4" spans="1:14" x14ac:dyDescent="0.2">
      <c r="A4" s="142"/>
      <c r="B4" s="705" t="s">
        <v>0</v>
      </c>
      <c r="C4" s="706"/>
      <c r="D4" s="706"/>
      <c r="E4" s="293"/>
      <c r="F4" s="705" t="s">
        <v>1</v>
      </c>
      <c r="G4" s="706"/>
      <c r="H4" s="706"/>
      <c r="I4" s="296"/>
      <c r="J4" s="705" t="s">
        <v>2</v>
      </c>
      <c r="K4" s="706"/>
      <c r="L4" s="706"/>
      <c r="M4" s="296"/>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c r="C7" s="299"/>
      <c r="D7" s="341"/>
      <c r="E7" s="11"/>
      <c r="F7" s="298"/>
      <c r="G7" s="299"/>
      <c r="H7" s="341"/>
      <c r="I7" s="158"/>
      <c r="J7" s="300"/>
      <c r="K7" s="301"/>
      <c r="L7" s="413"/>
      <c r="M7" s="11"/>
    </row>
    <row r="8" spans="1:14" ht="15.75" x14ac:dyDescent="0.2">
      <c r="A8" s="19" t="s">
        <v>25</v>
      </c>
      <c r="B8" s="276"/>
      <c r="C8" s="277"/>
      <c r="D8" s="164"/>
      <c r="E8" s="25"/>
      <c r="F8" s="280"/>
      <c r="G8" s="281"/>
      <c r="H8" s="164"/>
      <c r="I8" s="172"/>
      <c r="J8" s="230"/>
      <c r="K8" s="282"/>
      <c r="L8" s="164"/>
      <c r="M8" s="25"/>
    </row>
    <row r="9" spans="1:14" ht="15.75" x14ac:dyDescent="0.2">
      <c r="A9" s="19" t="s">
        <v>24</v>
      </c>
      <c r="B9" s="276"/>
      <c r="C9" s="277"/>
      <c r="D9" s="164"/>
      <c r="E9" s="25"/>
      <c r="F9" s="280"/>
      <c r="G9" s="281"/>
      <c r="H9" s="164"/>
      <c r="I9" s="172"/>
      <c r="J9" s="230"/>
      <c r="K9" s="282"/>
      <c r="L9" s="164"/>
      <c r="M9" s="25"/>
    </row>
    <row r="10" spans="1:14" ht="15.75" x14ac:dyDescent="0.2">
      <c r="A10" s="13" t="s">
        <v>350</v>
      </c>
      <c r="B10" s="302"/>
      <c r="C10" s="303"/>
      <c r="D10" s="169"/>
      <c r="E10" s="11"/>
      <c r="F10" s="302"/>
      <c r="G10" s="303"/>
      <c r="H10" s="169"/>
      <c r="I10" s="158"/>
      <c r="J10" s="300"/>
      <c r="K10" s="301"/>
      <c r="L10" s="414"/>
      <c r="M10" s="11"/>
    </row>
    <row r="11" spans="1:14" s="41" customFormat="1" ht="15.75" x14ac:dyDescent="0.2">
      <c r="A11" s="13" t="s">
        <v>351</v>
      </c>
      <c r="B11" s="302"/>
      <c r="C11" s="303"/>
      <c r="D11" s="169"/>
      <c r="E11" s="11"/>
      <c r="F11" s="302"/>
      <c r="G11" s="303"/>
      <c r="H11" s="169"/>
      <c r="I11" s="158"/>
      <c r="J11" s="300"/>
      <c r="K11" s="301"/>
      <c r="L11" s="414"/>
      <c r="M11" s="11"/>
      <c r="N11" s="141"/>
    </row>
    <row r="12" spans="1:14" s="41" customFormat="1" ht="15.75" x14ac:dyDescent="0.2">
      <c r="A12" s="39" t="s">
        <v>352</v>
      </c>
      <c r="B12" s="304"/>
      <c r="C12" s="305"/>
      <c r="D12" s="167"/>
      <c r="E12" s="34"/>
      <c r="F12" s="304"/>
      <c r="G12" s="305"/>
      <c r="H12" s="167"/>
      <c r="I12" s="167"/>
      <c r="J12" s="306"/>
      <c r="K12" s="307"/>
      <c r="L12" s="415"/>
      <c r="M12" s="34"/>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291"/>
      <c r="F18" s="707"/>
      <c r="G18" s="707"/>
      <c r="H18" s="707"/>
      <c r="I18" s="291"/>
      <c r="J18" s="707"/>
      <c r="K18" s="707"/>
      <c r="L18" s="707"/>
      <c r="M18" s="291"/>
    </row>
    <row r="19" spans="1:14" x14ac:dyDescent="0.2">
      <c r="A19" s="142"/>
      <c r="B19" s="705" t="s">
        <v>0</v>
      </c>
      <c r="C19" s="706"/>
      <c r="D19" s="706"/>
      <c r="E19" s="293"/>
      <c r="F19" s="705" t="s">
        <v>1</v>
      </c>
      <c r="G19" s="706"/>
      <c r="H19" s="706"/>
      <c r="I19" s="296"/>
      <c r="J19" s="705" t="s">
        <v>2</v>
      </c>
      <c r="K19" s="706"/>
      <c r="L19" s="706"/>
      <c r="M19" s="296"/>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302"/>
      <c r="C22" s="302"/>
      <c r="D22" s="341"/>
      <c r="E22" s="11"/>
      <c r="F22" s="310"/>
      <c r="G22" s="310"/>
      <c r="H22" s="341"/>
      <c r="I22" s="11"/>
      <c r="J22" s="308"/>
      <c r="K22" s="308"/>
      <c r="L22" s="413"/>
      <c r="M22" s="22"/>
    </row>
    <row r="23" spans="1:14" ht="15.75" x14ac:dyDescent="0.2">
      <c r="A23" s="496" t="s">
        <v>353</v>
      </c>
      <c r="B23" s="276"/>
      <c r="C23" s="276"/>
      <c r="D23" s="164"/>
      <c r="E23" s="11"/>
      <c r="F23" s="285"/>
      <c r="G23" s="285"/>
      <c r="H23" s="164"/>
      <c r="I23" s="403"/>
      <c r="J23" s="285"/>
      <c r="K23" s="285"/>
      <c r="L23" s="164"/>
      <c r="M23" s="21"/>
    </row>
    <row r="24" spans="1:14" ht="15.75" x14ac:dyDescent="0.2">
      <c r="A24" s="496" t="s">
        <v>354</v>
      </c>
      <c r="B24" s="276"/>
      <c r="C24" s="276"/>
      <c r="D24" s="164"/>
      <c r="E24" s="11"/>
      <c r="F24" s="285"/>
      <c r="G24" s="285"/>
      <c r="H24" s="164"/>
      <c r="I24" s="403"/>
      <c r="J24" s="285"/>
      <c r="K24" s="285"/>
      <c r="L24" s="164"/>
      <c r="M24" s="21"/>
    </row>
    <row r="25" spans="1:14" ht="15.75" x14ac:dyDescent="0.2">
      <c r="A25" s="496" t="s">
        <v>355</v>
      </c>
      <c r="B25" s="276"/>
      <c r="C25" s="276"/>
      <c r="D25" s="164"/>
      <c r="E25" s="11"/>
      <c r="F25" s="285"/>
      <c r="G25" s="285"/>
      <c r="H25" s="164"/>
      <c r="I25" s="403"/>
      <c r="J25" s="285"/>
      <c r="K25" s="285"/>
      <c r="L25" s="164"/>
      <c r="M25" s="21"/>
    </row>
    <row r="26" spans="1:14" ht="15.75" x14ac:dyDescent="0.2">
      <c r="A26" s="496" t="s">
        <v>356</v>
      </c>
      <c r="B26" s="276"/>
      <c r="C26" s="276"/>
      <c r="D26" s="164"/>
      <c r="E26" s="11"/>
      <c r="F26" s="285"/>
      <c r="G26" s="285"/>
      <c r="H26" s="164"/>
      <c r="I26" s="403"/>
      <c r="J26" s="285"/>
      <c r="K26" s="285"/>
      <c r="L26" s="164"/>
      <c r="M26" s="21"/>
    </row>
    <row r="27" spans="1:14" x14ac:dyDescent="0.2">
      <c r="A27" s="496" t="s">
        <v>11</v>
      </c>
      <c r="B27" s="276"/>
      <c r="C27" s="276"/>
      <c r="D27" s="164"/>
      <c r="E27" s="11"/>
      <c r="F27" s="285"/>
      <c r="G27" s="285"/>
      <c r="H27" s="164"/>
      <c r="I27" s="403"/>
      <c r="J27" s="285"/>
      <c r="K27" s="285"/>
      <c r="L27" s="164"/>
      <c r="M27" s="21"/>
    </row>
    <row r="28" spans="1:14" ht="15.75" x14ac:dyDescent="0.2">
      <c r="A28" s="47" t="s">
        <v>271</v>
      </c>
      <c r="B28" s="42"/>
      <c r="C28" s="282"/>
      <c r="D28" s="164"/>
      <c r="E28" s="11"/>
      <c r="F28" s="230"/>
      <c r="G28" s="282"/>
      <c r="H28" s="164"/>
      <c r="I28" s="25"/>
      <c r="J28" s="42"/>
      <c r="K28" s="42"/>
      <c r="L28" s="249"/>
      <c r="M28" s="21"/>
    </row>
    <row r="29" spans="1:14" s="3" customFormat="1" ht="15.75" x14ac:dyDescent="0.2">
      <c r="A29" s="13" t="s">
        <v>350</v>
      </c>
      <c r="B29" s="232"/>
      <c r="C29" s="232"/>
      <c r="D29" s="169"/>
      <c r="E29" s="11"/>
      <c r="F29" s="300"/>
      <c r="G29" s="300"/>
      <c r="H29" s="169"/>
      <c r="I29" s="11"/>
      <c r="J29" s="232"/>
      <c r="K29" s="232"/>
      <c r="L29" s="414"/>
      <c r="M29" s="22"/>
      <c r="N29" s="146"/>
    </row>
    <row r="30" spans="1:14" s="3" customFormat="1" ht="15.75" x14ac:dyDescent="0.2">
      <c r="A30" s="496" t="s">
        <v>353</v>
      </c>
      <c r="B30" s="276"/>
      <c r="C30" s="276"/>
      <c r="D30" s="164"/>
      <c r="E30" s="11"/>
      <c r="F30" s="285"/>
      <c r="G30" s="285"/>
      <c r="H30" s="164"/>
      <c r="I30" s="403"/>
      <c r="J30" s="285"/>
      <c r="K30" s="285"/>
      <c r="L30" s="164"/>
      <c r="M30" s="21"/>
      <c r="N30" s="146"/>
    </row>
    <row r="31" spans="1:14" s="3" customFormat="1" ht="15.75" x14ac:dyDescent="0.2">
      <c r="A31" s="496" t="s">
        <v>354</v>
      </c>
      <c r="B31" s="276"/>
      <c r="C31" s="276"/>
      <c r="D31" s="164"/>
      <c r="E31" s="11"/>
      <c r="F31" s="285"/>
      <c r="G31" s="285"/>
      <c r="H31" s="164"/>
      <c r="I31" s="403"/>
      <c r="J31" s="285"/>
      <c r="K31" s="285"/>
      <c r="L31" s="164"/>
      <c r="M31" s="21"/>
      <c r="N31" s="146"/>
    </row>
    <row r="32" spans="1:14" ht="15.75" x14ac:dyDescent="0.2">
      <c r="A32" s="496" t="s">
        <v>355</v>
      </c>
      <c r="B32" s="276"/>
      <c r="C32" s="276"/>
      <c r="D32" s="164"/>
      <c r="E32" s="11"/>
      <c r="F32" s="285"/>
      <c r="G32" s="285"/>
      <c r="H32" s="164"/>
      <c r="I32" s="403"/>
      <c r="J32" s="285"/>
      <c r="K32" s="285"/>
      <c r="L32" s="164"/>
      <c r="M32" s="21"/>
    </row>
    <row r="33" spans="1:14" ht="15.75" x14ac:dyDescent="0.2">
      <c r="A33" s="496" t="s">
        <v>356</v>
      </c>
      <c r="B33" s="276"/>
      <c r="C33" s="276"/>
      <c r="D33" s="164"/>
      <c r="E33" s="11"/>
      <c r="F33" s="285"/>
      <c r="G33" s="285"/>
      <c r="H33" s="164"/>
      <c r="I33" s="403"/>
      <c r="J33" s="285"/>
      <c r="K33" s="285"/>
      <c r="L33" s="164"/>
      <c r="M33" s="21"/>
    </row>
    <row r="34" spans="1:14" ht="15.75" x14ac:dyDescent="0.2">
      <c r="A34" s="13" t="s">
        <v>351</v>
      </c>
      <c r="B34" s="232"/>
      <c r="C34" s="301"/>
      <c r="D34" s="169"/>
      <c r="E34" s="11"/>
      <c r="F34" s="300"/>
      <c r="G34" s="301"/>
      <c r="H34" s="169"/>
      <c r="I34" s="11"/>
      <c r="J34" s="232"/>
      <c r="K34" s="232"/>
      <c r="L34" s="414"/>
      <c r="M34" s="22"/>
    </row>
    <row r="35" spans="1:14" ht="15.75" x14ac:dyDescent="0.2">
      <c r="A35" s="13" t="s">
        <v>352</v>
      </c>
      <c r="B35" s="232"/>
      <c r="C35" s="301"/>
      <c r="D35" s="169"/>
      <c r="E35" s="11"/>
      <c r="F35" s="300"/>
      <c r="G35" s="301"/>
      <c r="H35" s="169"/>
      <c r="I35" s="11"/>
      <c r="J35" s="232"/>
      <c r="K35" s="232"/>
      <c r="L35" s="414"/>
      <c r="M35" s="22"/>
    </row>
    <row r="36" spans="1:14" ht="15.75" x14ac:dyDescent="0.2">
      <c r="A36" s="12" t="s">
        <v>279</v>
      </c>
      <c r="B36" s="232"/>
      <c r="C36" s="301"/>
      <c r="D36" s="169"/>
      <c r="E36" s="11"/>
      <c r="F36" s="311"/>
      <c r="G36" s="312"/>
      <c r="H36" s="169"/>
      <c r="I36" s="420"/>
      <c r="J36" s="232"/>
      <c r="K36" s="232"/>
      <c r="L36" s="414"/>
      <c r="M36" s="22"/>
    </row>
    <row r="37" spans="1:14" ht="15.75" x14ac:dyDescent="0.2">
      <c r="A37" s="12" t="s">
        <v>358</v>
      </c>
      <c r="B37" s="232"/>
      <c r="C37" s="301"/>
      <c r="D37" s="169"/>
      <c r="E37" s="11"/>
      <c r="F37" s="311"/>
      <c r="G37" s="313"/>
      <c r="H37" s="169"/>
      <c r="I37" s="420"/>
      <c r="J37" s="232"/>
      <c r="K37" s="232"/>
      <c r="L37" s="414"/>
      <c r="M37" s="22"/>
    </row>
    <row r="38" spans="1:14" ht="15.75" x14ac:dyDescent="0.2">
      <c r="A38" s="12" t="s">
        <v>359</v>
      </c>
      <c r="B38" s="232"/>
      <c r="C38" s="301"/>
      <c r="D38" s="169"/>
      <c r="E38" s="22"/>
      <c r="F38" s="311"/>
      <c r="G38" s="312"/>
      <c r="H38" s="169"/>
      <c r="I38" s="420"/>
      <c r="J38" s="232"/>
      <c r="K38" s="232"/>
      <c r="L38" s="414"/>
      <c r="M38" s="22"/>
    </row>
    <row r="39" spans="1:14" ht="15.75" x14ac:dyDescent="0.2">
      <c r="A39" s="18" t="s">
        <v>360</v>
      </c>
      <c r="B39" s="271"/>
      <c r="C39" s="307"/>
      <c r="D39" s="167"/>
      <c r="E39" s="34"/>
      <c r="F39" s="314"/>
      <c r="G39" s="315"/>
      <c r="H39" s="167"/>
      <c r="I39" s="34"/>
      <c r="J39" s="232"/>
      <c r="K39" s="232"/>
      <c r="L39" s="415"/>
      <c r="M39" s="34"/>
    </row>
    <row r="40" spans="1:14" ht="15.75" x14ac:dyDescent="0.25">
      <c r="A40" s="45"/>
      <c r="B40" s="248"/>
      <c r="C40" s="248"/>
      <c r="D40" s="708"/>
      <c r="E40" s="708"/>
      <c r="F40" s="708"/>
      <c r="G40" s="708"/>
      <c r="H40" s="708"/>
      <c r="I40" s="708"/>
      <c r="J40" s="708"/>
      <c r="K40" s="708"/>
      <c r="L40" s="708"/>
      <c r="M40" s="294"/>
    </row>
    <row r="41" spans="1:14" x14ac:dyDescent="0.2">
      <c r="A41" s="153"/>
    </row>
    <row r="42" spans="1:14" ht="15.75" x14ac:dyDescent="0.25">
      <c r="A42" s="145" t="s">
        <v>268</v>
      </c>
      <c r="B42" s="704"/>
      <c r="C42" s="704"/>
      <c r="D42" s="704"/>
      <c r="E42" s="291"/>
      <c r="F42" s="709"/>
      <c r="G42" s="709"/>
      <c r="H42" s="709"/>
      <c r="I42" s="294"/>
      <c r="J42" s="709"/>
      <c r="K42" s="709"/>
      <c r="L42" s="709"/>
      <c r="M42" s="294"/>
    </row>
    <row r="43" spans="1:14" ht="15.75" x14ac:dyDescent="0.25">
      <c r="A43" s="161"/>
      <c r="B43" s="295"/>
      <c r="C43" s="295"/>
      <c r="D43" s="295"/>
      <c r="E43" s="295"/>
      <c r="F43" s="294"/>
      <c r="G43" s="294"/>
      <c r="H43" s="294"/>
      <c r="I43" s="294"/>
      <c r="J43" s="294"/>
      <c r="K43" s="294"/>
      <c r="L43" s="294"/>
      <c r="M43" s="294"/>
    </row>
    <row r="44" spans="1:14" ht="15.75" x14ac:dyDescent="0.25">
      <c r="A44" s="243"/>
      <c r="B44" s="705" t="s">
        <v>0</v>
      </c>
      <c r="C44" s="706"/>
      <c r="D44" s="706"/>
      <c r="E44" s="239"/>
      <c r="F44" s="294"/>
      <c r="G44" s="294"/>
      <c r="H44" s="294"/>
      <c r="I44" s="294"/>
      <c r="J44" s="294"/>
      <c r="K44" s="294"/>
      <c r="L44" s="294"/>
      <c r="M44" s="294"/>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v>-0.2348100000000386</v>
      </c>
      <c r="C47" s="303">
        <v>0</v>
      </c>
      <c r="D47" s="413">
        <f t="shared" ref="D47:D48" si="0">IF(B47=0, "    ---- ", IF(ABS(ROUND(100/B47*C47-100,1))&lt;999,ROUND(100/B47*C47-100,1),IF(ROUND(100/B47*C47-100,1)&gt;999,999,-999)))</f>
        <v>-100</v>
      </c>
      <c r="E47" s="11">
        <f>IFERROR(100/'Skjema total MA'!C47*C47,0)</f>
        <v>0</v>
      </c>
      <c r="F47" s="143"/>
      <c r="G47" s="31"/>
      <c r="H47" s="157"/>
      <c r="I47" s="157"/>
      <c r="J47" s="35"/>
      <c r="K47" s="35"/>
      <c r="L47" s="157"/>
      <c r="M47" s="157"/>
      <c r="N47" s="146"/>
    </row>
    <row r="48" spans="1:14" s="3" customFormat="1" ht="15.75" x14ac:dyDescent="0.2">
      <c r="A48" s="36" t="s">
        <v>361</v>
      </c>
      <c r="B48" s="276">
        <v>1001.35307</v>
      </c>
      <c r="C48" s="277">
        <v>0</v>
      </c>
      <c r="D48" s="249">
        <f t="shared" si="0"/>
        <v>-100</v>
      </c>
      <c r="E48" s="25">
        <f>IFERROR(100/'Skjema total MA'!C48*C48,0)</f>
        <v>0</v>
      </c>
      <c r="F48" s="143"/>
      <c r="G48" s="31"/>
      <c r="H48" s="143"/>
      <c r="I48" s="143"/>
      <c r="J48" s="31"/>
      <c r="K48" s="31"/>
      <c r="L48" s="157"/>
      <c r="M48" s="157"/>
      <c r="N48" s="146"/>
    </row>
    <row r="49" spans="1:14" s="3" customFormat="1" ht="15.75" x14ac:dyDescent="0.2">
      <c r="A49" s="36" t="s">
        <v>362</v>
      </c>
      <c r="B49" s="42">
        <v>-1001.58788</v>
      </c>
      <c r="C49" s="282">
        <v>0</v>
      </c>
      <c r="D49" s="249">
        <f>IF(B49=0, "    ---- ", IF(ABS(ROUND(100/B49*C49-100,1))&lt;999,ROUND(100/B49*C49-100,1),IF(ROUND(100/B49*C49-100,1)&gt;999,999,-999)))</f>
        <v>-100</v>
      </c>
      <c r="E49" s="25">
        <f>IFERROR(100/'Skjema total MA'!C49*C49,0)</f>
        <v>0</v>
      </c>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c r="C53" s="303"/>
      <c r="D53" s="414"/>
      <c r="E53" s="11"/>
      <c r="F53" s="143"/>
      <c r="G53" s="31"/>
      <c r="H53" s="143"/>
      <c r="I53" s="143"/>
      <c r="J53" s="31"/>
      <c r="K53" s="31"/>
      <c r="L53" s="157"/>
      <c r="M53" s="157"/>
      <c r="N53" s="146"/>
    </row>
    <row r="54" spans="1:14" s="3" customFormat="1" ht="15.75" x14ac:dyDescent="0.2">
      <c r="A54" s="36" t="s">
        <v>361</v>
      </c>
      <c r="B54" s="276"/>
      <c r="C54" s="277"/>
      <c r="D54" s="249"/>
      <c r="E54" s="25"/>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c r="C56" s="303"/>
      <c r="D56" s="414"/>
      <c r="E56" s="11"/>
      <c r="F56" s="143"/>
      <c r="G56" s="31"/>
      <c r="H56" s="143"/>
      <c r="I56" s="143"/>
      <c r="J56" s="31"/>
      <c r="K56" s="31"/>
      <c r="L56" s="157"/>
      <c r="M56" s="157"/>
      <c r="N56" s="146"/>
    </row>
    <row r="57" spans="1:14" s="3" customFormat="1" ht="15.75" x14ac:dyDescent="0.2">
      <c r="A57" s="36" t="s">
        <v>361</v>
      </c>
      <c r="B57" s="276"/>
      <c r="C57" s="277"/>
      <c r="D57" s="249"/>
      <c r="E57" s="25"/>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291"/>
      <c r="F62" s="707"/>
      <c r="G62" s="707"/>
      <c r="H62" s="707"/>
      <c r="I62" s="291"/>
      <c r="J62" s="707"/>
      <c r="K62" s="707"/>
      <c r="L62" s="707"/>
      <c r="M62" s="291"/>
    </row>
    <row r="63" spans="1:14" x14ac:dyDescent="0.2">
      <c r="A63" s="142"/>
      <c r="B63" s="705" t="s">
        <v>0</v>
      </c>
      <c r="C63" s="706"/>
      <c r="D63" s="710"/>
      <c r="E63" s="292"/>
      <c r="F63" s="706" t="s">
        <v>1</v>
      </c>
      <c r="G63" s="706"/>
      <c r="H63" s="706"/>
      <c r="I63" s="296"/>
      <c r="J63" s="705" t="s">
        <v>2</v>
      </c>
      <c r="K63" s="706"/>
      <c r="L63" s="706"/>
      <c r="M63" s="296"/>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c r="C66" s="344"/>
      <c r="D66" s="341"/>
      <c r="E66" s="11"/>
      <c r="F66" s="343"/>
      <c r="G66" s="343"/>
      <c r="H66" s="341"/>
      <c r="I66" s="11"/>
      <c r="J66" s="301"/>
      <c r="K66" s="308"/>
      <c r="L66" s="414"/>
      <c r="M66" s="11"/>
    </row>
    <row r="67" spans="1:14" x14ac:dyDescent="0.2">
      <c r="A67" s="405" t="s">
        <v>9</v>
      </c>
      <c r="B67" s="42"/>
      <c r="C67" s="143"/>
      <c r="D67" s="164"/>
      <c r="E67" s="25"/>
      <c r="F67" s="230"/>
      <c r="G67" s="143"/>
      <c r="H67" s="164"/>
      <c r="I67" s="25"/>
      <c r="J67" s="282"/>
      <c r="K67" s="42"/>
      <c r="L67" s="249"/>
      <c r="M67" s="25"/>
    </row>
    <row r="68" spans="1:14" x14ac:dyDescent="0.2">
      <c r="A68" s="19" t="s">
        <v>10</v>
      </c>
      <c r="B68" s="286"/>
      <c r="C68" s="287"/>
      <c r="D68" s="164"/>
      <c r="E68" s="25"/>
      <c r="F68" s="286"/>
      <c r="G68" s="287"/>
      <c r="H68" s="164"/>
      <c r="I68" s="25"/>
      <c r="J68" s="282"/>
      <c r="K68" s="42"/>
      <c r="L68" s="249"/>
      <c r="M68" s="25"/>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c r="C75" s="143"/>
      <c r="D75" s="164"/>
      <c r="E75" s="25"/>
      <c r="F75" s="230"/>
      <c r="G75" s="143"/>
      <c r="H75" s="164"/>
      <c r="I75" s="25"/>
      <c r="J75" s="282"/>
      <c r="K75" s="42"/>
      <c r="L75" s="249"/>
      <c r="M75" s="25"/>
      <c r="N75" s="146"/>
    </row>
    <row r="76" spans="1:14" s="3" customFormat="1" x14ac:dyDescent="0.2">
      <c r="A76" s="19" t="s">
        <v>336</v>
      </c>
      <c r="B76" s="230"/>
      <c r="C76" s="143"/>
      <c r="D76" s="164"/>
      <c r="E76" s="25"/>
      <c r="F76" s="230"/>
      <c r="G76" s="143"/>
      <c r="H76" s="164"/>
      <c r="I76" s="25"/>
      <c r="J76" s="282"/>
      <c r="K76" s="42"/>
      <c r="L76" s="249"/>
      <c r="M76" s="25"/>
      <c r="N76" s="146"/>
    </row>
    <row r="77" spans="1:14" ht="15.75" x14ac:dyDescent="0.2">
      <c r="A77" s="19" t="s">
        <v>367</v>
      </c>
      <c r="B77" s="230"/>
      <c r="C77" s="230"/>
      <c r="D77" s="164"/>
      <c r="E77" s="25"/>
      <c r="F77" s="230"/>
      <c r="G77" s="143"/>
      <c r="H77" s="164"/>
      <c r="I77" s="25"/>
      <c r="J77" s="282"/>
      <c r="K77" s="42"/>
      <c r="L77" s="249"/>
      <c r="M77" s="25"/>
    </row>
    <row r="78" spans="1:14" x14ac:dyDescent="0.2">
      <c r="A78" s="19" t="s">
        <v>9</v>
      </c>
      <c r="B78" s="230"/>
      <c r="C78" s="143"/>
      <c r="D78" s="164"/>
      <c r="E78" s="25"/>
      <c r="F78" s="230"/>
      <c r="G78" s="143"/>
      <c r="H78" s="164"/>
      <c r="I78" s="25"/>
      <c r="J78" s="282"/>
      <c r="K78" s="42"/>
      <c r="L78" s="249"/>
      <c r="M78" s="25"/>
    </row>
    <row r="79" spans="1:14" x14ac:dyDescent="0.2">
      <c r="A79" s="36" t="s">
        <v>400</v>
      </c>
      <c r="B79" s="286"/>
      <c r="C79" s="287"/>
      <c r="D79" s="164"/>
      <c r="E79" s="25"/>
      <c r="F79" s="286"/>
      <c r="G79" s="287"/>
      <c r="H79" s="164"/>
      <c r="I79" s="25"/>
      <c r="J79" s="282"/>
      <c r="K79" s="42"/>
      <c r="L79" s="249"/>
      <c r="M79" s="25"/>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c r="C86" s="143"/>
      <c r="D86" s="164"/>
      <c r="E86" s="25"/>
      <c r="F86" s="230"/>
      <c r="G86" s="143"/>
      <c r="H86" s="164"/>
      <c r="I86" s="25"/>
      <c r="J86" s="282"/>
      <c r="K86" s="42"/>
      <c r="L86" s="249"/>
      <c r="M86" s="25"/>
    </row>
    <row r="87" spans="1:13" ht="15.75" x14ac:dyDescent="0.2">
      <c r="A87" s="13" t="s">
        <v>350</v>
      </c>
      <c r="B87" s="344"/>
      <c r="C87" s="344"/>
      <c r="D87" s="169"/>
      <c r="E87" s="11"/>
      <c r="F87" s="343"/>
      <c r="G87" s="343"/>
      <c r="H87" s="169"/>
      <c r="I87" s="11"/>
      <c r="J87" s="301"/>
      <c r="K87" s="232"/>
      <c r="L87" s="414"/>
      <c r="M87" s="11"/>
    </row>
    <row r="88" spans="1:13" x14ac:dyDescent="0.2">
      <c r="A88" s="19" t="s">
        <v>9</v>
      </c>
      <c r="B88" s="230"/>
      <c r="C88" s="143"/>
      <c r="D88" s="164"/>
      <c r="E88" s="25"/>
      <c r="F88" s="230"/>
      <c r="G88" s="143"/>
      <c r="H88" s="164"/>
      <c r="I88" s="25"/>
      <c r="J88" s="282"/>
      <c r="K88" s="42"/>
      <c r="L88" s="249"/>
      <c r="M88" s="25"/>
    </row>
    <row r="89" spans="1:13" x14ac:dyDescent="0.2">
      <c r="A89" s="19" t="s">
        <v>10</v>
      </c>
      <c r="B89" s="230"/>
      <c r="C89" s="143"/>
      <c r="D89" s="164"/>
      <c r="E89" s="25"/>
      <c r="F89" s="230"/>
      <c r="G89" s="143"/>
      <c r="H89" s="164"/>
      <c r="I89" s="25"/>
      <c r="J89" s="282"/>
      <c r="K89" s="42"/>
      <c r="L89" s="249"/>
      <c r="M89" s="25"/>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c r="C96" s="143"/>
      <c r="D96" s="164"/>
      <c r="E96" s="25"/>
      <c r="F96" s="230"/>
      <c r="G96" s="143"/>
      <c r="H96" s="164"/>
      <c r="I96" s="25"/>
      <c r="J96" s="282"/>
      <c r="K96" s="42"/>
      <c r="L96" s="249"/>
      <c r="M96" s="25"/>
    </row>
    <row r="97" spans="1:13" x14ac:dyDescent="0.2">
      <c r="A97" s="19" t="s">
        <v>334</v>
      </c>
      <c r="B97" s="230"/>
      <c r="C97" s="143"/>
      <c r="D97" s="164"/>
      <c r="E97" s="25"/>
      <c r="F97" s="230"/>
      <c r="G97" s="143"/>
      <c r="H97" s="164"/>
      <c r="I97" s="25"/>
      <c r="J97" s="282"/>
      <c r="K97" s="42"/>
      <c r="L97" s="249"/>
      <c r="M97" s="25"/>
    </row>
    <row r="98" spans="1:13" ht="15.75" x14ac:dyDescent="0.2">
      <c r="A98" s="19" t="s">
        <v>367</v>
      </c>
      <c r="B98" s="230"/>
      <c r="C98" s="230"/>
      <c r="D98" s="164"/>
      <c r="E98" s="25"/>
      <c r="F98" s="286"/>
      <c r="G98" s="286"/>
      <c r="H98" s="164"/>
      <c r="I98" s="25"/>
      <c r="J98" s="282"/>
      <c r="K98" s="42"/>
      <c r="L98" s="249"/>
      <c r="M98" s="25"/>
    </row>
    <row r="99" spans="1:13" x14ac:dyDescent="0.2">
      <c r="A99" s="19" t="s">
        <v>9</v>
      </c>
      <c r="B99" s="286"/>
      <c r="C99" s="287"/>
      <c r="D99" s="164"/>
      <c r="E99" s="25"/>
      <c r="F99" s="230"/>
      <c r="G99" s="143"/>
      <c r="H99" s="164"/>
      <c r="I99" s="25"/>
      <c r="J99" s="282"/>
      <c r="K99" s="42"/>
      <c r="L99" s="249"/>
      <c r="M99" s="25"/>
    </row>
    <row r="100" spans="1:13" x14ac:dyDescent="0.2">
      <c r="A100" s="36" t="s">
        <v>400</v>
      </c>
      <c r="B100" s="286"/>
      <c r="C100" s="287"/>
      <c r="D100" s="164"/>
      <c r="E100" s="25"/>
      <c r="F100" s="230"/>
      <c r="G100" s="230"/>
      <c r="H100" s="164"/>
      <c r="I100" s="25"/>
      <c r="J100" s="282"/>
      <c r="K100" s="42"/>
      <c r="L100" s="249"/>
      <c r="M100" s="25"/>
    </row>
    <row r="101" spans="1:13" ht="15.75" x14ac:dyDescent="0.2">
      <c r="A101" s="288" t="s">
        <v>365</v>
      </c>
      <c r="B101" s="311"/>
      <c r="C101" s="311"/>
      <c r="D101" s="164"/>
      <c r="E101" s="21"/>
      <c r="F101" s="311"/>
      <c r="G101" s="311"/>
      <c r="H101" s="164"/>
      <c r="I101" s="21"/>
      <c r="J101" s="311"/>
      <c r="K101" s="311"/>
      <c r="L101" s="164"/>
      <c r="M101" s="21"/>
    </row>
    <row r="102" spans="1:13" x14ac:dyDescent="0.2">
      <c r="A102" s="288" t="s">
        <v>12</v>
      </c>
      <c r="B102" s="311"/>
      <c r="C102" s="311"/>
      <c r="D102" s="164"/>
      <c r="E102" s="21"/>
      <c r="F102" s="311"/>
      <c r="G102" s="311"/>
      <c r="H102" s="164"/>
      <c r="I102" s="21"/>
      <c r="J102" s="311"/>
      <c r="K102" s="311"/>
      <c r="L102" s="164"/>
      <c r="M102" s="21"/>
    </row>
    <row r="103" spans="1:13" x14ac:dyDescent="0.2">
      <c r="A103" s="288" t="s">
        <v>13</v>
      </c>
      <c r="B103" s="311"/>
      <c r="C103" s="311"/>
      <c r="D103" s="164"/>
      <c r="E103" s="21"/>
      <c r="F103" s="311"/>
      <c r="G103" s="311"/>
      <c r="H103" s="164"/>
      <c r="I103" s="21"/>
      <c r="J103" s="311"/>
      <c r="K103" s="311"/>
      <c r="L103" s="164"/>
      <c r="M103" s="21"/>
    </row>
    <row r="104" spans="1:13" ht="15.75" x14ac:dyDescent="0.2">
      <c r="A104" s="288" t="s">
        <v>366</v>
      </c>
      <c r="B104" s="311"/>
      <c r="C104" s="311"/>
      <c r="D104" s="164"/>
      <c r="E104" s="21"/>
      <c r="F104" s="311"/>
      <c r="G104" s="311"/>
      <c r="H104" s="164"/>
      <c r="I104" s="21"/>
      <c r="J104" s="311"/>
      <c r="K104" s="311"/>
      <c r="L104" s="164"/>
      <c r="M104" s="21"/>
    </row>
    <row r="105" spans="1:13" x14ac:dyDescent="0.2">
      <c r="A105" s="288" t="s">
        <v>12</v>
      </c>
      <c r="B105" s="231"/>
      <c r="C105" s="284"/>
      <c r="D105" s="164"/>
      <c r="E105" s="21"/>
      <c r="F105" s="311"/>
      <c r="G105" s="311"/>
      <c r="H105" s="164"/>
      <c r="I105" s="21"/>
      <c r="J105" s="311"/>
      <c r="K105" s="311"/>
      <c r="L105" s="164"/>
      <c r="M105" s="21"/>
    </row>
    <row r="106" spans="1:13" x14ac:dyDescent="0.2">
      <c r="A106" s="288" t="s">
        <v>13</v>
      </c>
      <c r="B106" s="231"/>
      <c r="C106" s="284"/>
      <c r="D106" s="164"/>
      <c r="E106" s="21"/>
      <c r="F106" s="311"/>
      <c r="G106" s="311"/>
      <c r="H106" s="164"/>
      <c r="I106" s="21"/>
      <c r="J106" s="311"/>
      <c r="K106" s="311"/>
      <c r="L106" s="164"/>
      <c r="M106" s="21"/>
    </row>
    <row r="107" spans="1:13" ht="15.75" x14ac:dyDescent="0.2">
      <c r="A107" s="19" t="s">
        <v>368</v>
      </c>
      <c r="B107" s="230"/>
      <c r="C107" s="143"/>
      <c r="D107" s="164"/>
      <c r="E107" s="25"/>
      <c r="F107" s="230"/>
      <c r="G107" s="143"/>
      <c r="H107" s="164"/>
      <c r="I107" s="25"/>
      <c r="J107" s="282"/>
      <c r="K107" s="42"/>
      <c r="L107" s="249"/>
      <c r="M107" s="25"/>
    </row>
    <row r="108" spans="1:13" ht="15.75" x14ac:dyDescent="0.2">
      <c r="A108" s="19" t="s">
        <v>369</v>
      </c>
      <c r="B108" s="230"/>
      <c r="C108" s="230"/>
      <c r="D108" s="164"/>
      <c r="E108" s="25"/>
      <c r="F108" s="230"/>
      <c r="G108" s="230"/>
      <c r="H108" s="164"/>
      <c r="I108" s="25"/>
      <c r="J108" s="282"/>
      <c r="K108" s="42"/>
      <c r="L108" s="249"/>
      <c r="M108" s="25"/>
    </row>
    <row r="109" spans="1:13" ht="15.75" x14ac:dyDescent="0.2">
      <c r="A109" s="36" t="s">
        <v>408</v>
      </c>
      <c r="B109" s="230"/>
      <c r="C109" s="230"/>
      <c r="D109" s="164"/>
      <c r="E109" s="25"/>
      <c r="F109" s="230"/>
      <c r="G109" s="230"/>
      <c r="H109" s="164"/>
      <c r="I109" s="25"/>
      <c r="J109" s="282"/>
      <c r="K109" s="42"/>
      <c r="L109" s="249"/>
      <c r="M109" s="25"/>
    </row>
    <row r="110" spans="1:13" ht="15.75" x14ac:dyDescent="0.2">
      <c r="A110" s="19" t="s">
        <v>370</v>
      </c>
      <c r="B110" s="230"/>
      <c r="C110" s="230"/>
      <c r="D110" s="164"/>
      <c r="E110" s="25"/>
      <c r="F110" s="230"/>
      <c r="G110" s="230"/>
      <c r="H110" s="164"/>
      <c r="I110" s="25"/>
      <c r="J110" s="282"/>
      <c r="K110" s="42"/>
      <c r="L110" s="249"/>
      <c r="M110" s="25"/>
    </row>
    <row r="111" spans="1:13" ht="15.75" x14ac:dyDescent="0.2">
      <c r="A111" s="13" t="s">
        <v>351</v>
      </c>
      <c r="B111" s="300"/>
      <c r="C111" s="157"/>
      <c r="D111" s="169"/>
      <c r="E111" s="11"/>
      <c r="F111" s="300"/>
      <c r="G111" s="157"/>
      <c r="H111" s="169"/>
      <c r="I111" s="11"/>
      <c r="J111" s="301"/>
      <c r="K111" s="232"/>
      <c r="L111" s="414"/>
      <c r="M111" s="11"/>
    </row>
    <row r="112" spans="1:13" x14ac:dyDescent="0.2">
      <c r="A112" s="19" t="s">
        <v>9</v>
      </c>
      <c r="B112" s="230"/>
      <c r="C112" s="143"/>
      <c r="D112" s="164"/>
      <c r="E112" s="25"/>
      <c r="F112" s="230"/>
      <c r="G112" s="143"/>
      <c r="H112" s="164"/>
      <c r="I112" s="25"/>
      <c r="J112" s="282"/>
      <c r="K112" s="42"/>
      <c r="L112" s="249"/>
      <c r="M112" s="25"/>
    </row>
    <row r="113" spans="1:14" x14ac:dyDescent="0.2">
      <c r="A113" s="19" t="s">
        <v>10</v>
      </c>
      <c r="B113" s="230"/>
      <c r="C113" s="143"/>
      <c r="D113" s="164"/>
      <c r="E113" s="25"/>
      <c r="F113" s="230"/>
      <c r="G113" s="143"/>
      <c r="H113" s="164"/>
      <c r="I113" s="25"/>
      <c r="J113" s="282"/>
      <c r="K113" s="42"/>
      <c r="L113" s="249"/>
      <c r="M113" s="25"/>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c r="C116" s="230"/>
      <c r="D116" s="164"/>
      <c r="E116" s="25"/>
      <c r="F116" s="230"/>
      <c r="G116" s="230"/>
      <c r="H116" s="164"/>
      <c r="I116" s="25"/>
      <c r="J116" s="282"/>
      <c r="K116" s="42"/>
      <c r="L116" s="249"/>
      <c r="M116" s="25"/>
    </row>
    <row r="117" spans="1:14" ht="15.75" x14ac:dyDescent="0.2">
      <c r="A117" s="36" t="s">
        <v>408</v>
      </c>
      <c r="B117" s="230"/>
      <c r="C117" s="230"/>
      <c r="D117" s="164"/>
      <c r="E117" s="25"/>
      <c r="F117" s="230"/>
      <c r="G117" s="230"/>
      <c r="H117" s="164"/>
      <c r="I117" s="25"/>
      <c r="J117" s="282"/>
      <c r="K117" s="42"/>
      <c r="L117" s="249"/>
      <c r="M117" s="25"/>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c r="C119" s="157"/>
      <c r="D119" s="169"/>
      <c r="E119" s="11"/>
      <c r="F119" s="300"/>
      <c r="G119" s="157"/>
      <c r="H119" s="169"/>
      <c r="I119" s="11"/>
      <c r="J119" s="301"/>
      <c r="K119" s="232"/>
      <c r="L119" s="414"/>
      <c r="M119" s="11"/>
    </row>
    <row r="120" spans="1:14" x14ac:dyDescent="0.2">
      <c r="A120" s="19" t="s">
        <v>9</v>
      </c>
      <c r="B120" s="230"/>
      <c r="C120" s="143"/>
      <c r="D120" s="164"/>
      <c r="E120" s="25"/>
      <c r="F120" s="230"/>
      <c r="G120" s="143"/>
      <c r="H120" s="164"/>
      <c r="I120" s="25"/>
      <c r="J120" s="282"/>
      <c r="K120" s="42"/>
      <c r="L120" s="249"/>
      <c r="M120" s="25"/>
    </row>
    <row r="121" spans="1:14" x14ac:dyDescent="0.2">
      <c r="A121" s="19" t="s">
        <v>10</v>
      </c>
      <c r="B121" s="230"/>
      <c r="C121" s="143"/>
      <c r="D121" s="164"/>
      <c r="E121" s="25"/>
      <c r="F121" s="230"/>
      <c r="G121" s="143"/>
      <c r="H121" s="164"/>
      <c r="I121" s="25"/>
      <c r="J121" s="282"/>
      <c r="K121" s="42"/>
      <c r="L121" s="249"/>
      <c r="M121" s="25"/>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c r="C125" s="230"/>
      <c r="D125" s="164"/>
      <c r="E125" s="25"/>
      <c r="F125" s="230"/>
      <c r="G125" s="230"/>
      <c r="H125" s="164"/>
      <c r="I125" s="25"/>
      <c r="J125" s="282"/>
      <c r="K125" s="42"/>
      <c r="L125" s="249"/>
      <c r="M125" s="25"/>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291"/>
      <c r="F130" s="707"/>
      <c r="G130" s="707"/>
      <c r="H130" s="707"/>
      <c r="I130" s="291"/>
      <c r="J130" s="707"/>
      <c r="K130" s="707"/>
      <c r="L130" s="707"/>
      <c r="M130" s="291"/>
    </row>
    <row r="131" spans="1:14" s="3" customFormat="1" x14ac:dyDescent="0.2">
      <c r="A131" s="142"/>
      <c r="B131" s="705" t="s">
        <v>0</v>
      </c>
      <c r="C131" s="706"/>
      <c r="D131" s="706"/>
      <c r="E131" s="293"/>
      <c r="F131" s="705" t="s">
        <v>1</v>
      </c>
      <c r="G131" s="706"/>
      <c r="H131" s="706"/>
      <c r="I131" s="296"/>
      <c r="J131" s="705" t="s">
        <v>2</v>
      </c>
      <c r="K131" s="706"/>
      <c r="L131" s="706"/>
      <c r="M131" s="296"/>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v>41046577.34234</v>
      </c>
      <c r="C134" s="301">
        <v>40116042.616570003</v>
      </c>
      <c r="D134" s="341">
        <f t="shared" ref="D134:D137" si="1">IF(B134=0, "    ---- ", IF(ABS(ROUND(100/B134*C134-100,1))&lt;999,ROUND(100/B134*C134-100,1),IF(ROUND(100/B134*C134-100,1)&gt;999,999,-999)))</f>
        <v>-2.2999999999999998</v>
      </c>
      <c r="E134" s="11">
        <f>IFERROR(100/'Skjema total MA'!C134*C134,0)</f>
        <v>83.226737867651167</v>
      </c>
      <c r="F134" s="308">
        <v>116273.039</v>
      </c>
      <c r="G134" s="309">
        <v>131709.47200000001</v>
      </c>
      <c r="H134" s="417">
        <f t="shared" ref="H134:H136" si="2">IF(F134=0, "    ---- ", IF(ABS(ROUND(100/F134*G134-100,1))&lt;999,ROUND(100/F134*G134-100,1),IF(ROUND(100/F134*G134-100,1)&gt;999,999,-999)))</f>
        <v>13.3</v>
      </c>
      <c r="I134" s="22">
        <f>IFERROR(100/'Skjema total MA'!F134*G134,0)</f>
        <v>100</v>
      </c>
      <c r="J134" s="310">
        <f t="shared" ref="J134:K137" si="3">SUM(B134,F134)</f>
        <v>41162850.381339997</v>
      </c>
      <c r="K134" s="310">
        <f t="shared" si="3"/>
        <v>40247752.088570006</v>
      </c>
      <c r="L134" s="413">
        <f t="shared" ref="L134:L137" si="4">IF(J134=0, "    ---- ", IF(ABS(ROUND(100/J134*K134-100,1))&lt;999,ROUND(100/J134*K134-100,1),IF(ROUND(100/J134*K134-100,1)&gt;999,999,-999)))</f>
        <v>-2.2000000000000002</v>
      </c>
      <c r="M134" s="11">
        <f>IFERROR(100/'Skjema total MA'!I134*K134,0)</f>
        <v>83.272446079932109</v>
      </c>
      <c r="N134" s="146"/>
    </row>
    <row r="135" spans="1:14" s="3" customFormat="1" ht="15.75" x14ac:dyDescent="0.2">
      <c r="A135" s="13" t="s">
        <v>377</v>
      </c>
      <c r="B135" s="232">
        <v>563319210.35183001</v>
      </c>
      <c r="C135" s="301">
        <v>639219292.35275996</v>
      </c>
      <c r="D135" s="169">
        <f t="shared" si="1"/>
        <v>13.5</v>
      </c>
      <c r="E135" s="11">
        <f>IFERROR(100/'Skjema total MA'!C135*C135,0)</f>
        <v>86.274179905337078</v>
      </c>
      <c r="F135" s="232">
        <v>2172918.8607600001</v>
      </c>
      <c r="G135" s="301">
        <v>2548669.2979299999</v>
      </c>
      <c r="H135" s="418">
        <f t="shared" si="2"/>
        <v>17.3</v>
      </c>
      <c r="I135" s="22">
        <f>IFERROR(100/'Skjema total MA'!F135*G135,0)</f>
        <v>100.00000000000001</v>
      </c>
      <c r="J135" s="300">
        <f t="shared" si="3"/>
        <v>565492129.21258998</v>
      </c>
      <c r="K135" s="300">
        <f t="shared" si="3"/>
        <v>641767961.65068996</v>
      </c>
      <c r="L135" s="414">
        <f t="shared" si="4"/>
        <v>13.5</v>
      </c>
      <c r="M135" s="11">
        <f>IFERROR(100/'Skjema total MA'!I135*K135,0)</f>
        <v>86.321233346911328</v>
      </c>
      <c r="N135" s="146"/>
    </row>
    <row r="136" spans="1:14" s="3" customFormat="1" ht="15.75" x14ac:dyDescent="0.2">
      <c r="A136" s="13" t="s">
        <v>374</v>
      </c>
      <c r="B136" s="232">
        <v>0</v>
      </c>
      <c r="C136" s="301">
        <v>9190.7080000000005</v>
      </c>
      <c r="D136" s="169" t="str">
        <f t="shared" si="1"/>
        <v xml:space="preserve">    ---- </v>
      </c>
      <c r="E136" s="11">
        <f>IFERROR(100/'Skjema total MA'!C136*C136,0)</f>
        <v>0.26875299705408673</v>
      </c>
      <c r="F136" s="232">
        <v>0</v>
      </c>
      <c r="G136" s="301">
        <v>376440.52899999998</v>
      </c>
      <c r="H136" s="418" t="str">
        <f t="shared" si="2"/>
        <v xml:space="preserve">    ---- </v>
      </c>
      <c r="I136" s="22">
        <f>IFERROR(100/'Skjema total MA'!F136*G136,0)</f>
        <v>100</v>
      </c>
      <c r="J136" s="300">
        <f t="shared" si="3"/>
        <v>0</v>
      </c>
      <c r="K136" s="300">
        <f t="shared" si="3"/>
        <v>385631.23699999996</v>
      </c>
      <c r="L136" s="414" t="str">
        <f t="shared" si="4"/>
        <v xml:space="preserve">    ---- </v>
      </c>
      <c r="M136" s="11">
        <f>IFERROR(100/'Skjema total MA'!I136*K136,0)</f>
        <v>10.158346874850359</v>
      </c>
      <c r="N136" s="146"/>
    </row>
    <row r="137" spans="1:14" s="3" customFormat="1" ht="15.75" x14ac:dyDescent="0.2">
      <c r="A137" s="39" t="s">
        <v>375</v>
      </c>
      <c r="B137" s="271">
        <v>8346122.3590000002</v>
      </c>
      <c r="C137" s="307">
        <v>4658432.9369999999</v>
      </c>
      <c r="D137" s="167">
        <f t="shared" si="1"/>
        <v>-44.2</v>
      </c>
      <c r="E137" s="9">
        <f>IFERROR(100/'Skjema total MA'!C137*C137,0)</f>
        <v>99.775951177407222</v>
      </c>
      <c r="F137" s="271"/>
      <c r="G137" s="307"/>
      <c r="H137" s="419"/>
      <c r="I137" s="34"/>
      <c r="J137" s="306">
        <f t="shared" si="3"/>
        <v>8346122.3590000002</v>
      </c>
      <c r="K137" s="306">
        <f t="shared" si="3"/>
        <v>4658432.9369999999</v>
      </c>
      <c r="L137" s="415">
        <f t="shared" si="4"/>
        <v>-44.2</v>
      </c>
      <c r="M137" s="34">
        <f>IFERROR(100/'Skjema total MA'!I137*K137,0)</f>
        <v>99.775951177407222</v>
      </c>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333" priority="12">
      <formula>kvartal &lt; 4</formula>
    </cfRule>
  </conditionalFormatting>
  <conditionalFormatting sqref="A69:A74">
    <cfRule type="expression" dxfId="332" priority="10">
      <formula>kvartal &lt; 4</formula>
    </cfRule>
  </conditionalFormatting>
  <conditionalFormatting sqref="A80:A85">
    <cfRule type="expression" dxfId="331" priority="9">
      <formula>kvartal &lt; 4</formula>
    </cfRule>
  </conditionalFormatting>
  <conditionalFormatting sqref="A90:A95">
    <cfRule type="expression" dxfId="330" priority="6">
      <formula>kvartal &lt; 4</formula>
    </cfRule>
  </conditionalFormatting>
  <conditionalFormatting sqref="A101:A106">
    <cfRule type="expression" dxfId="329" priority="5">
      <formula>kvartal &lt; 4</formula>
    </cfRule>
  </conditionalFormatting>
  <conditionalFormatting sqref="A115">
    <cfRule type="expression" dxfId="328" priority="4">
      <formula>kvartal &lt; 4</formula>
    </cfRule>
  </conditionalFormatting>
  <conditionalFormatting sqref="A123">
    <cfRule type="expression" dxfId="327" priority="3">
      <formula>kvartal &lt; 4</formula>
    </cfRule>
  </conditionalFormatting>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2"/>
  <dimension ref="A1:N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244" t="s">
        <v>132</v>
      </c>
      <c r="D1" s="24"/>
      <c r="E1" s="24"/>
      <c r="F1" s="24"/>
      <c r="G1" s="24"/>
      <c r="H1" s="24"/>
      <c r="I1" s="24"/>
      <c r="J1" s="24"/>
      <c r="K1" s="24"/>
      <c r="L1" s="24"/>
      <c r="M1" s="24"/>
    </row>
    <row r="2" spans="1:14" ht="15.75" x14ac:dyDescent="0.25">
      <c r="A2" s="163" t="s">
        <v>28</v>
      </c>
      <c r="B2" s="704"/>
      <c r="C2" s="704"/>
      <c r="D2" s="704"/>
      <c r="E2" s="291"/>
      <c r="F2" s="704"/>
      <c r="G2" s="704"/>
      <c r="H2" s="704"/>
      <c r="I2" s="291"/>
      <c r="J2" s="704"/>
      <c r="K2" s="704"/>
      <c r="L2" s="704"/>
      <c r="M2" s="291"/>
    </row>
    <row r="3" spans="1:14" ht="15.75" x14ac:dyDescent="0.25">
      <c r="A3" s="161"/>
      <c r="B3" s="291"/>
      <c r="C3" s="291"/>
      <c r="D3" s="291"/>
      <c r="E3" s="291"/>
      <c r="F3" s="291"/>
      <c r="G3" s="291"/>
      <c r="H3" s="291"/>
      <c r="I3" s="291"/>
      <c r="J3" s="291"/>
      <c r="K3" s="291"/>
      <c r="L3" s="291"/>
      <c r="M3" s="291"/>
    </row>
    <row r="4" spans="1:14" x14ac:dyDescent="0.2">
      <c r="A4" s="142"/>
      <c r="B4" s="705" t="s">
        <v>0</v>
      </c>
      <c r="C4" s="706"/>
      <c r="D4" s="706"/>
      <c r="E4" s="293"/>
      <c r="F4" s="705" t="s">
        <v>1</v>
      </c>
      <c r="G4" s="706"/>
      <c r="H4" s="706"/>
      <c r="I4" s="296"/>
      <c r="J4" s="705" t="s">
        <v>2</v>
      </c>
      <c r="K4" s="706"/>
      <c r="L4" s="706"/>
      <c r="M4" s="296"/>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v>16632.562699999999</v>
      </c>
      <c r="C7" s="299">
        <v>20913.025000000001</v>
      </c>
      <c r="D7" s="341">
        <f>IF(B7=0, "    ---- ", IF(ABS(ROUND(100/B7*C7-100,1))&lt;999,ROUND(100/B7*C7-100,1),IF(ROUND(100/B7*C7-100,1)&gt;999,999,-999)))</f>
        <v>25.7</v>
      </c>
      <c r="E7" s="11">
        <f>IFERROR(100/'Skjema total MA'!C7*C7,0)</f>
        <v>0.52468961729024677</v>
      </c>
      <c r="F7" s="298"/>
      <c r="G7" s="299"/>
      <c r="H7" s="341"/>
      <c r="I7" s="158"/>
      <c r="J7" s="300">
        <f t="shared" ref="J7:K10" si="0">SUM(B7,F7)</f>
        <v>16632.562699999999</v>
      </c>
      <c r="K7" s="301">
        <f t="shared" si="0"/>
        <v>20913.025000000001</v>
      </c>
      <c r="L7" s="413">
        <f>IF(J7=0, "    ---- ", IF(ABS(ROUND(100/J7*K7-100,1))&lt;999,ROUND(100/J7*K7-100,1),IF(ROUND(100/J7*K7-100,1)&gt;999,999,-999)))</f>
        <v>25.7</v>
      </c>
      <c r="M7" s="11">
        <f>IFERROR(100/'Skjema total MA'!I7*K7,0)</f>
        <v>0.18675718930279689</v>
      </c>
    </row>
    <row r="8" spans="1:14" ht="15.75" x14ac:dyDescent="0.2">
      <c r="A8" s="19" t="s">
        <v>25</v>
      </c>
      <c r="B8" s="276">
        <v>15824.98864</v>
      </c>
      <c r="C8" s="277">
        <v>19964.654999999999</v>
      </c>
      <c r="D8" s="164">
        <f t="shared" ref="D8:D10" si="1">IF(B8=0, "    ---- ", IF(ABS(ROUND(100/B8*C8-100,1))&lt;999,ROUND(100/B8*C8-100,1),IF(ROUND(100/B8*C8-100,1)&gt;999,999,-999)))</f>
        <v>26.2</v>
      </c>
      <c r="E8" s="25">
        <f>IFERROR(100/'Skjema total MA'!C8*C8,0)</f>
        <v>0.76580726787372988</v>
      </c>
      <c r="F8" s="280"/>
      <c r="G8" s="281"/>
      <c r="H8" s="164"/>
      <c r="I8" s="172"/>
      <c r="J8" s="230">
        <f t="shared" si="0"/>
        <v>15824.98864</v>
      </c>
      <c r="K8" s="282">
        <f t="shared" si="0"/>
        <v>19964.654999999999</v>
      </c>
      <c r="L8" s="164">
        <f t="shared" ref="L8:L9" si="2">IF(J8=0, "    ---- ", IF(ABS(ROUND(100/J8*K8-100,1))&lt;999,ROUND(100/J8*K8-100,1),IF(ROUND(100/J8*K8-100,1)&gt;999,999,-999)))</f>
        <v>26.2</v>
      </c>
      <c r="M8" s="25">
        <f>IFERROR(100/'Skjema total MA'!I8*K8,0)</f>
        <v>0.76580726787372988</v>
      </c>
    </row>
    <row r="9" spans="1:14" ht="15.75" x14ac:dyDescent="0.2">
      <c r="A9" s="19" t="s">
        <v>24</v>
      </c>
      <c r="B9" s="276">
        <v>807.57406000000003</v>
      </c>
      <c r="C9" s="277">
        <v>948.37</v>
      </c>
      <c r="D9" s="164">
        <f t="shared" si="1"/>
        <v>17.399999999999999</v>
      </c>
      <c r="E9" s="25">
        <f>IFERROR(100/'Skjema total MA'!C9*C9,0)</f>
        <v>0.11692275457844348</v>
      </c>
      <c r="F9" s="280"/>
      <c r="G9" s="281"/>
      <c r="H9" s="164"/>
      <c r="I9" s="172"/>
      <c r="J9" s="230">
        <f t="shared" si="0"/>
        <v>807.57406000000003</v>
      </c>
      <c r="K9" s="282">
        <f t="shared" si="0"/>
        <v>948.37</v>
      </c>
      <c r="L9" s="164">
        <f t="shared" si="2"/>
        <v>17.399999999999999</v>
      </c>
      <c r="M9" s="25">
        <f>IFERROR(100/'Skjema total MA'!I9*K9,0)</f>
        <v>0.11692275457844348</v>
      </c>
    </row>
    <row r="10" spans="1:14" ht="15.75" x14ac:dyDescent="0.2">
      <c r="A10" s="13" t="s">
        <v>350</v>
      </c>
      <c r="B10" s="302">
        <v>18140.894639999999</v>
      </c>
      <c r="C10" s="303">
        <v>20958.964</v>
      </c>
      <c r="D10" s="169">
        <f t="shared" si="1"/>
        <v>15.5</v>
      </c>
      <c r="E10" s="11">
        <f>IFERROR(100/'Skjema total MA'!C10*C10,0)</f>
        <v>0.13322789629874709</v>
      </c>
      <c r="F10" s="302"/>
      <c r="G10" s="303"/>
      <c r="H10" s="169"/>
      <c r="I10" s="158"/>
      <c r="J10" s="300">
        <f t="shared" si="0"/>
        <v>18140.894639999999</v>
      </c>
      <c r="K10" s="301">
        <f t="shared" si="0"/>
        <v>20958.964</v>
      </c>
      <c r="L10" s="414">
        <f t="shared" ref="L10" si="3">IF(J10=0, "    ---- ", IF(ABS(ROUND(100/J10*K10-100,1))&lt;999,ROUND(100/J10*K10-100,1),IF(ROUND(100/J10*K10-100,1)&gt;999,999,-999)))</f>
        <v>15.5</v>
      </c>
      <c r="M10" s="11">
        <f>IFERROR(100/'Skjema total MA'!I10*K10,0)</f>
        <v>2.4741674124714331E-2</v>
      </c>
    </row>
    <row r="11" spans="1:14" s="41" customFormat="1" ht="15.75" x14ac:dyDescent="0.2">
      <c r="A11" s="13" t="s">
        <v>351</v>
      </c>
      <c r="B11" s="302"/>
      <c r="C11" s="303"/>
      <c r="D11" s="169"/>
      <c r="E11" s="11"/>
      <c r="F11" s="302"/>
      <c r="G11" s="303"/>
      <c r="H11" s="169"/>
      <c r="I11" s="158"/>
      <c r="J11" s="300"/>
      <c r="K11" s="301"/>
      <c r="L11" s="414"/>
      <c r="M11" s="11"/>
      <c r="N11" s="141"/>
    </row>
    <row r="12" spans="1:14" s="41" customFormat="1" ht="15.75" x14ac:dyDescent="0.2">
      <c r="A12" s="39" t="s">
        <v>352</v>
      </c>
      <c r="B12" s="304"/>
      <c r="C12" s="305"/>
      <c r="D12" s="167"/>
      <c r="E12" s="34"/>
      <c r="F12" s="304"/>
      <c r="G12" s="305"/>
      <c r="H12" s="167"/>
      <c r="I12" s="167"/>
      <c r="J12" s="306"/>
      <c r="K12" s="307"/>
      <c r="L12" s="415"/>
      <c r="M12" s="34"/>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291"/>
      <c r="F18" s="707"/>
      <c r="G18" s="707"/>
      <c r="H18" s="707"/>
      <c r="I18" s="291"/>
      <c r="J18" s="707"/>
      <c r="K18" s="707"/>
      <c r="L18" s="707"/>
      <c r="M18" s="291"/>
    </row>
    <row r="19" spans="1:14" x14ac:dyDescent="0.2">
      <c r="A19" s="142"/>
      <c r="B19" s="705" t="s">
        <v>0</v>
      </c>
      <c r="C19" s="706"/>
      <c r="D19" s="706"/>
      <c r="E19" s="293"/>
      <c r="F19" s="705" t="s">
        <v>1</v>
      </c>
      <c r="G19" s="706"/>
      <c r="H19" s="706"/>
      <c r="I19" s="296"/>
      <c r="J19" s="705" t="s">
        <v>2</v>
      </c>
      <c r="K19" s="706"/>
      <c r="L19" s="706"/>
      <c r="M19" s="296"/>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302">
        <v>14691.321260000001</v>
      </c>
      <c r="C22" s="302">
        <v>18794.949000000001</v>
      </c>
      <c r="D22" s="341">
        <f t="shared" ref="D22:D29" si="4">IF(B22=0, "    ---- ", IF(ABS(ROUND(100/B22*C22-100,1))&lt;999,ROUND(100/B22*C22-100,1),IF(ROUND(100/B22*C22-100,1)&gt;999,999,-999)))</f>
        <v>27.9</v>
      </c>
      <c r="E22" s="11">
        <f>IFERROR(100/'Skjema total MA'!C22*C22,0)</f>
        <v>1.120711577630739</v>
      </c>
      <c r="F22" s="310"/>
      <c r="G22" s="310"/>
      <c r="H22" s="341"/>
      <c r="I22" s="11"/>
      <c r="J22" s="308">
        <f t="shared" ref="J22:K29" si="5">SUM(B22,F22)</f>
        <v>14691.321260000001</v>
      </c>
      <c r="K22" s="308">
        <f t="shared" si="5"/>
        <v>18794.949000000001</v>
      </c>
      <c r="L22" s="413">
        <f t="shared" ref="L22:L29" si="6">IF(J22=0, "    ---- ", IF(ABS(ROUND(100/J22*K22-100,1))&lt;999,ROUND(100/J22*K22-100,1),IF(ROUND(100/J22*K22-100,1)&gt;999,999,-999)))</f>
        <v>27.9</v>
      </c>
      <c r="M22" s="22">
        <f>IFERROR(100/'Skjema total MA'!I22*K22,0)</f>
        <v>0.78942037886464445</v>
      </c>
    </row>
    <row r="23" spans="1:14" ht="15.75" x14ac:dyDescent="0.2">
      <c r="A23" s="496" t="s">
        <v>353</v>
      </c>
      <c r="B23" s="276"/>
      <c r="C23" s="276"/>
      <c r="D23" s="164"/>
      <c r="E23" s="11"/>
      <c r="F23" s="285"/>
      <c r="G23" s="285"/>
      <c r="H23" s="164"/>
      <c r="I23" s="403"/>
      <c r="J23" s="285"/>
      <c r="K23" s="285"/>
      <c r="L23" s="164"/>
      <c r="M23" s="21"/>
    </row>
    <row r="24" spans="1:14" ht="15.75" x14ac:dyDescent="0.2">
      <c r="A24" s="496" t="s">
        <v>354</v>
      </c>
      <c r="B24" s="276"/>
      <c r="C24" s="276"/>
      <c r="D24" s="164"/>
      <c r="E24" s="11"/>
      <c r="F24" s="285"/>
      <c r="G24" s="285"/>
      <c r="H24" s="164"/>
      <c r="I24" s="403"/>
      <c r="J24" s="285"/>
      <c r="K24" s="285"/>
      <c r="L24" s="164"/>
      <c r="M24" s="21"/>
    </row>
    <row r="25" spans="1:14" ht="15.75" x14ac:dyDescent="0.2">
      <c r="A25" s="496" t="s">
        <v>355</v>
      </c>
      <c r="B25" s="276"/>
      <c r="C25" s="276"/>
      <c r="D25" s="164"/>
      <c r="E25" s="11"/>
      <c r="F25" s="285"/>
      <c r="G25" s="285"/>
      <c r="H25" s="164"/>
      <c r="I25" s="403"/>
      <c r="J25" s="285"/>
      <c r="K25" s="285"/>
      <c r="L25" s="164"/>
      <c r="M25" s="21"/>
    </row>
    <row r="26" spans="1:14" ht="15.75" x14ac:dyDescent="0.2">
      <c r="A26" s="496" t="s">
        <v>356</v>
      </c>
      <c r="B26" s="276"/>
      <c r="C26" s="276"/>
      <c r="D26" s="164"/>
      <c r="E26" s="11"/>
      <c r="F26" s="285"/>
      <c r="G26" s="285"/>
      <c r="H26" s="164"/>
      <c r="I26" s="403"/>
      <c r="J26" s="285"/>
      <c r="K26" s="285"/>
      <c r="L26" s="164"/>
      <c r="M26" s="21"/>
    </row>
    <row r="27" spans="1:14" x14ac:dyDescent="0.2">
      <c r="A27" s="496" t="s">
        <v>11</v>
      </c>
      <c r="B27" s="276"/>
      <c r="C27" s="276"/>
      <c r="D27" s="164"/>
      <c r="E27" s="11"/>
      <c r="F27" s="285"/>
      <c r="G27" s="285"/>
      <c r="H27" s="164"/>
      <c r="I27" s="403"/>
      <c r="J27" s="285"/>
      <c r="K27" s="285"/>
      <c r="L27" s="164"/>
      <c r="M27" s="21"/>
    </row>
    <row r="28" spans="1:14" ht="15.75" x14ac:dyDescent="0.2">
      <c r="A28" s="47" t="s">
        <v>271</v>
      </c>
      <c r="B28" s="42">
        <v>14691.321260000001</v>
      </c>
      <c r="C28" s="282">
        <v>18794.949000000001</v>
      </c>
      <c r="D28" s="164">
        <f t="shared" si="4"/>
        <v>27.9</v>
      </c>
      <c r="E28" s="11">
        <f>IFERROR(100/'Skjema total MA'!C28*C28,0)</f>
        <v>0.99835315236455335</v>
      </c>
      <c r="F28" s="230"/>
      <c r="G28" s="282"/>
      <c r="H28" s="164"/>
      <c r="I28" s="25"/>
      <c r="J28" s="42">
        <f t="shared" si="5"/>
        <v>14691.321260000001</v>
      </c>
      <c r="K28" s="42">
        <f t="shared" si="5"/>
        <v>18794.949000000001</v>
      </c>
      <c r="L28" s="249">
        <f t="shared" si="6"/>
        <v>27.9</v>
      </c>
      <c r="M28" s="21">
        <f>IFERROR(100/'Skjema total MA'!I28*K28,0)</f>
        <v>0.99835315236455335</v>
      </c>
    </row>
    <row r="29" spans="1:14" s="3" customFormat="1" ht="15.75" x14ac:dyDescent="0.2">
      <c r="A29" s="13" t="s">
        <v>350</v>
      </c>
      <c r="B29" s="232">
        <v>51693.397936000001</v>
      </c>
      <c r="C29" s="232">
        <v>78085.343999999997</v>
      </c>
      <c r="D29" s="169">
        <f t="shared" si="4"/>
        <v>51.1</v>
      </c>
      <c r="E29" s="11">
        <f>IFERROR(100/'Skjema total MA'!C29*C29,0)</f>
        <v>0.17519122733918135</v>
      </c>
      <c r="F29" s="300"/>
      <c r="G29" s="300"/>
      <c r="H29" s="169"/>
      <c r="I29" s="11"/>
      <c r="J29" s="232">
        <f t="shared" si="5"/>
        <v>51693.397936000001</v>
      </c>
      <c r="K29" s="232">
        <f t="shared" si="5"/>
        <v>78085.343999999997</v>
      </c>
      <c r="L29" s="414">
        <f t="shared" si="6"/>
        <v>51.1</v>
      </c>
      <c r="M29" s="22">
        <f>IFERROR(100/'Skjema total MA'!I29*K29,0)</f>
        <v>0.11538571116931928</v>
      </c>
      <c r="N29" s="146"/>
    </row>
    <row r="30" spans="1:14" s="3" customFormat="1" ht="15.75" x14ac:dyDescent="0.2">
      <c r="A30" s="496" t="s">
        <v>353</v>
      </c>
      <c r="B30" s="276"/>
      <c r="C30" s="276"/>
      <c r="D30" s="164"/>
      <c r="E30" s="11"/>
      <c r="F30" s="285"/>
      <c r="G30" s="285"/>
      <c r="H30" s="164"/>
      <c r="I30" s="403"/>
      <c r="J30" s="285"/>
      <c r="K30" s="285"/>
      <c r="L30" s="164"/>
      <c r="M30" s="21"/>
      <c r="N30" s="146"/>
    </row>
    <row r="31" spans="1:14" s="3" customFormat="1" ht="15.75" x14ac:dyDescent="0.2">
      <c r="A31" s="496" t="s">
        <v>354</v>
      </c>
      <c r="B31" s="276"/>
      <c r="C31" s="276"/>
      <c r="D31" s="164"/>
      <c r="E31" s="11"/>
      <c r="F31" s="285"/>
      <c r="G31" s="285"/>
      <c r="H31" s="164"/>
      <c r="I31" s="403"/>
      <c r="J31" s="285"/>
      <c r="K31" s="285"/>
      <c r="L31" s="164"/>
      <c r="M31" s="21"/>
      <c r="N31" s="146"/>
    </row>
    <row r="32" spans="1:14" ht="15.75" x14ac:dyDescent="0.2">
      <c r="A32" s="496" t="s">
        <v>355</v>
      </c>
      <c r="B32" s="276"/>
      <c r="C32" s="276"/>
      <c r="D32" s="164"/>
      <c r="E32" s="11"/>
      <c r="F32" s="285"/>
      <c r="G32" s="285"/>
      <c r="H32" s="164"/>
      <c r="I32" s="403"/>
      <c r="J32" s="285"/>
      <c r="K32" s="285"/>
      <c r="L32" s="164"/>
      <c r="M32" s="21"/>
    </row>
    <row r="33" spans="1:14" ht="15.75" x14ac:dyDescent="0.2">
      <c r="A33" s="496" t="s">
        <v>356</v>
      </c>
      <c r="B33" s="276"/>
      <c r="C33" s="276"/>
      <c r="D33" s="164"/>
      <c r="E33" s="11"/>
      <c r="F33" s="285"/>
      <c r="G33" s="285"/>
      <c r="H33" s="164"/>
      <c r="I33" s="403"/>
      <c r="J33" s="285"/>
      <c r="K33" s="285"/>
      <c r="L33" s="164"/>
      <c r="M33" s="21"/>
    </row>
    <row r="34" spans="1:14" ht="15.75" x14ac:dyDescent="0.2">
      <c r="A34" s="13" t="s">
        <v>351</v>
      </c>
      <c r="B34" s="232"/>
      <c r="C34" s="301"/>
      <c r="D34" s="169"/>
      <c r="E34" s="11"/>
      <c r="F34" s="300"/>
      <c r="G34" s="301"/>
      <c r="H34" s="169"/>
      <c r="I34" s="11"/>
      <c r="J34" s="232"/>
      <c r="K34" s="232"/>
      <c r="L34" s="414"/>
      <c r="M34" s="22"/>
    </row>
    <row r="35" spans="1:14" ht="15.75" x14ac:dyDescent="0.2">
      <c r="A35" s="13" t="s">
        <v>352</v>
      </c>
      <c r="B35" s="232"/>
      <c r="C35" s="301"/>
      <c r="D35" s="169"/>
      <c r="E35" s="11"/>
      <c r="F35" s="300"/>
      <c r="G35" s="301"/>
      <c r="H35" s="169"/>
      <c r="I35" s="11"/>
      <c r="J35" s="232"/>
      <c r="K35" s="232"/>
      <c r="L35" s="414"/>
      <c r="M35" s="22"/>
    </row>
    <row r="36" spans="1:14" ht="15.75" x14ac:dyDescent="0.2">
      <c r="A36" s="12" t="s">
        <v>279</v>
      </c>
      <c r="B36" s="232"/>
      <c r="C36" s="301"/>
      <c r="D36" s="169"/>
      <c r="E36" s="11"/>
      <c r="F36" s="311"/>
      <c r="G36" s="312"/>
      <c r="H36" s="169"/>
      <c r="I36" s="420"/>
      <c r="J36" s="232"/>
      <c r="K36" s="232"/>
      <c r="L36" s="414"/>
      <c r="M36" s="22"/>
    </row>
    <row r="37" spans="1:14" ht="15.75" x14ac:dyDescent="0.2">
      <c r="A37" s="12" t="s">
        <v>358</v>
      </c>
      <c r="B37" s="232"/>
      <c r="C37" s="301"/>
      <c r="D37" s="169"/>
      <c r="E37" s="11"/>
      <c r="F37" s="311"/>
      <c r="G37" s="313"/>
      <c r="H37" s="169"/>
      <c r="I37" s="420"/>
      <c r="J37" s="232"/>
      <c r="K37" s="232"/>
      <c r="L37" s="414"/>
      <c r="M37" s="22"/>
    </row>
    <row r="38" spans="1:14" ht="15.75" x14ac:dyDescent="0.2">
      <c r="A38" s="12" t="s">
        <v>359</v>
      </c>
      <c r="B38" s="232"/>
      <c r="C38" s="301"/>
      <c r="D38" s="169"/>
      <c r="E38" s="22"/>
      <c r="F38" s="311"/>
      <c r="G38" s="312"/>
      <c r="H38" s="169"/>
      <c r="I38" s="420"/>
      <c r="J38" s="232"/>
      <c r="K38" s="232"/>
      <c r="L38" s="414"/>
      <c r="M38" s="22"/>
    </row>
    <row r="39" spans="1:14" ht="15.75" x14ac:dyDescent="0.2">
      <c r="A39" s="18" t="s">
        <v>360</v>
      </c>
      <c r="B39" s="271"/>
      <c r="C39" s="307"/>
      <c r="D39" s="167"/>
      <c r="E39" s="34"/>
      <c r="F39" s="314"/>
      <c r="G39" s="315"/>
      <c r="H39" s="167"/>
      <c r="I39" s="34"/>
      <c r="J39" s="232"/>
      <c r="K39" s="232"/>
      <c r="L39" s="415"/>
      <c r="M39" s="34"/>
    </row>
    <row r="40" spans="1:14" ht="15.75" x14ac:dyDescent="0.25">
      <c r="A40" s="45"/>
      <c r="B40" s="248"/>
      <c r="C40" s="248"/>
      <c r="D40" s="708"/>
      <c r="E40" s="708"/>
      <c r="F40" s="708"/>
      <c r="G40" s="708"/>
      <c r="H40" s="708"/>
      <c r="I40" s="708"/>
      <c r="J40" s="708"/>
      <c r="K40" s="708"/>
      <c r="L40" s="708"/>
      <c r="M40" s="294"/>
    </row>
    <row r="41" spans="1:14" x14ac:dyDescent="0.2">
      <c r="A41" s="153"/>
    </row>
    <row r="42" spans="1:14" ht="15.75" x14ac:dyDescent="0.25">
      <c r="A42" s="145" t="s">
        <v>268</v>
      </c>
      <c r="B42" s="704"/>
      <c r="C42" s="704"/>
      <c r="D42" s="704"/>
      <c r="E42" s="291"/>
      <c r="F42" s="709"/>
      <c r="G42" s="709"/>
      <c r="H42" s="709"/>
      <c r="I42" s="294"/>
      <c r="J42" s="709"/>
      <c r="K42" s="709"/>
      <c r="L42" s="709"/>
      <c r="M42" s="294"/>
    </row>
    <row r="43" spans="1:14" ht="15.75" x14ac:dyDescent="0.25">
      <c r="A43" s="161"/>
      <c r="B43" s="295"/>
      <c r="C43" s="295"/>
      <c r="D43" s="295"/>
      <c r="E43" s="295"/>
      <c r="F43" s="294"/>
      <c r="G43" s="294"/>
      <c r="H43" s="294"/>
      <c r="I43" s="294"/>
      <c r="J43" s="294"/>
      <c r="K43" s="294"/>
      <c r="L43" s="294"/>
      <c r="M43" s="294"/>
    </row>
    <row r="44" spans="1:14" ht="15.75" x14ac:dyDescent="0.25">
      <c r="A44" s="243"/>
      <c r="B44" s="705" t="s">
        <v>0</v>
      </c>
      <c r="C44" s="706"/>
      <c r="D44" s="706"/>
      <c r="E44" s="239"/>
      <c r="F44" s="294"/>
      <c r="G44" s="294"/>
      <c r="H44" s="294"/>
      <c r="I44" s="294"/>
      <c r="J44" s="294"/>
      <c r="K44" s="294"/>
      <c r="L44" s="294"/>
      <c r="M44" s="294"/>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v>202250.5723</v>
      </c>
      <c r="C47" s="303">
        <v>253603.658</v>
      </c>
      <c r="D47" s="413">
        <f t="shared" ref="D47:D48" si="7">IF(B47=0, "    ---- ", IF(ABS(ROUND(100/B47*C47-100,1))&lt;999,ROUND(100/B47*C47-100,1),IF(ROUND(100/B47*C47-100,1)&gt;999,999,-999)))</f>
        <v>25.4</v>
      </c>
      <c r="E47" s="11">
        <f>IFERROR(100/'Skjema total MA'!C47*C47,0)</f>
        <v>5.2155841596727495</v>
      </c>
      <c r="F47" s="143"/>
      <c r="G47" s="31"/>
      <c r="H47" s="157"/>
      <c r="I47" s="157"/>
      <c r="J47" s="35"/>
      <c r="K47" s="35"/>
      <c r="L47" s="157"/>
      <c r="M47" s="157"/>
      <c r="N47" s="146"/>
    </row>
    <row r="48" spans="1:14" s="3" customFormat="1" ht="15.75" x14ac:dyDescent="0.2">
      <c r="A48" s="36" t="s">
        <v>361</v>
      </c>
      <c r="B48" s="276">
        <v>202250.5723</v>
      </c>
      <c r="C48" s="277">
        <v>253603.658</v>
      </c>
      <c r="D48" s="249">
        <f t="shared" si="7"/>
        <v>25.4</v>
      </c>
      <c r="E48" s="25">
        <f>IFERROR(100/'Skjema total MA'!C48*C48,0)</f>
        <v>9.3511395442280421</v>
      </c>
      <c r="F48" s="143"/>
      <c r="G48" s="31"/>
      <c r="H48" s="143"/>
      <c r="I48" s="143"/>
      <c r="J48" s="31"/>
      <c r="K48" s="31"/>
      <c r="L48" s="157"/>
      <c r="M48" s="157"/>
      <c r="N48" s="146"/>
    </row>
    <row r="49" spans="1:14" s="3" customFormat="1" ht="15.75" x14ac:dyDescent="0.2">
      <c r="A49" s="36" t="s">
        <v>362</v>
      </c>
      <c r="B49" s="42"/>
      <c r="C49" s="282"/>
      <c r="D49" s="249"/>
      <c r="E49" s="25"/>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c r="C53" s="303"/>
      <c r="D53" s="414"/>
      <c r="E53" s="11"/>
      <c r="F53" s="143"/>
      <c r="G53" s="31"/>
      <c r="H53" s="143"/>
      <c r="I53" s="143"/>
      <c r="J53" s="31"/>
      <c r="K53" s="31"/>
      <c r="L53" s="157"/>
      <c r="M53" s="157"/>
      <c r="N53" s="146"/>
    </row>
    <row r="54" spans="1:14" s="3" customFormat="1" ht="15.75" x14ac:dyDescent="0.2">
      <c r="A54" s="36" t="s">
        <v>361</v>
      </c>
      <c r="B54" s="276"/>
      <c r="C54" s="277"/>
      <c r="D54" s="249"/>
      <c r="E54" s="25"/>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c r="C56" s="303"/>
      <c r="D56" s="414"/>
      <c r="E56" s="11"/>
      <c r="F56" s="143"/>
      <c r="G56" s="31"/>
      <c r="H56" s="143"/>
      <c r="I56" s="143"/>
      <c r="J56" s="31"/>
      <c r="K56" s="31"/>
      <c r="L56" s="157"/>
      <c r="M56" s="157"/>
      <c r="N56" s="146"/>
    </row>
    <row r="57" spans="1:14" s="3" customFormat="1" ht="15.75" x14ac:dyDescent="0.2">
      <c r="A57" s="36" t="s">
        <v>361</v>
      </c>
      <c r="B57" s="276"/>
      <c r="C57" s="277"/>
      <c r="D57" s="249"/>
      <c r="E57" s="25"/>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291"/>
      <c r="F62" s="707"/>
      <c r="G62" s="707"/>
      <c r="H62" s="707"/>
      <c r="I62" s="291"/>
      <c r="J62" s="707"/>
      <c r="K62" s="707"/>
      <c r="L62" s="707"/>
      <c r="M62" s="291"/>
    </row>
    <row r="63" spans="1:14" x14ac:dyDescent="0.2">
      <c r="A63" s="142"/>
      <c r="B63" s="705" t="s">
        <v>0</v>
      </c>
      <c r="C63" s="706"/>
      <c r="D63" s="710"/>
      <c r="E63" s="292"/>
      <c r="F63" s="706" t="s">
        <v>1</v>
      </c>
      <c r="G63" s="706"/>
      <c r="H63" s="706"/>
      <c r="I63" s="296"/>
      <c r="J63" s="705" t="s">
        <v>2</v>
      </c>
      <c r="K63" s="706"/>
      <c r="L63" s="706"/>
      <c r="M63" s="296"/>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c r="C66" s="344"/>
      <c r="D66" s="341"/>
      <c r="E66" s="11"/>
      <c r="F66" s="343"/>
      <c r="G66" s="343"/>
      <c r="H66" s="341"/>
      <c r="I66" s="11"/>
      <c r="J66" s="301"/>
      <c r="K66" s="308"/>
      <c r="L66" s="414"/>
      <c r="M66" s="11"/>
    </row>
    <row r="67" spans="1:14" x14ac:dyDescent="0.2">
      <c r="A67" s="405" t="s">
        <v>9</v>
      </c>
      <c r="B67" s="42"/>
      <c r="C67" s="143"/>
      <c r="D67" s="164"/>
      <c r="E67" s="25"/>
      <c r="F67" s="230"/>
      <c r="G67" s="143"/>
      <c r="H67" s="164"/>
      <c r="I67" s="25"/>
      <c r="J67" s="282"/>
      <c r="K67" s="42"/>
      <c r="L67" s="249"/>
      <c r="M67" s="25"/>
    </row>
    <row r="68" spans="1:14" x14ac:dyDescent="0.2">
      <c r="A68" s="19" t="s">
        <v>10</v>
      </c>
      <c r="B68" s="286"/>
      <c r="C68" s="287"/>
      <c r="D68" s="164"/>
      <c r="E68" s="25"/>
      <c r="F68" s="286"/>
      <c r="G68" s="287"/>
      <c r="H68" s="164"/>
      <c r="I68" s="25"/>
      <c r="J68" s="282"/>
      <c r="K68" s="42"/>
      <c r="L68" s="249"/>
      <c r="M68" s="25"/>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c r="C75" s="143"/>
      <c r="D75" s="164"/>
      <c r="E75" s="25"/>
      <c r="F75" s="230"/>
      <c r="G75" s="143"/>
      <c r="H75" s="164"/>
      <c r="I75" s="25"/>
      <c r="J75" s="282"/>
      <c r="K75" s="42"/>
      <c r="L75" s="249"/>
      <c r="M75" s="25"/>
      <c r="N75" s="146"/>
    </row>
    <row r="76" spans="1:14" s="3" customFormat="1" x14ac:dyDescent="0.2">
      <c r="A76" s="19" t="s">
        <v>336</v>
      </c>
      <c r="B76" s="230"/>
      <c r="C76" s="143"/>
      <c r="D76" s="164"/>
      <c r="E76" s="25"/>
      <c r="F76" s="230"/>
      <c r="G76" s="143"/>
      <c r="H76" s="164"/>
      <c r="I76" s="25"/>
      <c r="J76" s="282"/>
      <c r="K76" s="42"/>
      <c r="L76" s="249"/>
      <c r="M76" s="25"/>
      <c r="N76" s="146"/>
    </row>
    <row r="77" spans="1:14" ht="15.75" x14ac:dyDescent="0.2">
      <c r="A77" s="19" t="s">
        <v>367</v>
      </c>
      <c r="B77" s="230"/>
      <c r="C77" s="230"/>
      <c r="D77" s="164"/>
      <c r="E77" s="25"/>
      <c r="F77" s="230"/>
      <c r="G77" s="143"/>
      <c r="H77" s="164"/>
      <c r="I77" s="25"/>
      <c r="J77" s="282"/>
      <c r="K77" s="42"/>
      <c r="L77" s="249"/>
      <c r="M77" s="25"/>
    </row>
    <row r="78" spans="1:14" x14ac:dyDescent="0.2">
      <c r="A78" s="19" t="s">
        <v>9</v>
      </c>
      <c r="B78" s="230"/>
      <c r="C78" s="143"/>
      <c r="D78" s="164"/>
      <c r="E78" s="25"/>
      <c r="F78" s="230"/>
      <c r="G78" s="143"/>
      <c r="H78" s="164"/>
      <c r="I78" s="25"/>
      <c r="J78" s="282"/>
      <c r="K78" s="42"/>
      <c r="L78" s="249"/>
      <c r="M78" s="25"/>
    </row>
    <row r="79" spans="1:14" x14ac:dyDescent="0.2">
      <c r="A79" s="36" t="s">
        <v>400</v>
      </c>
      <c r="B79" s="286"/>
      <c r="C79" s="287"/>
      <c r="D79" s="164"/>
      <c r="E79" s="25"/>
      <c r="F79" s="286"/>
      <c r="G79" s="287"/>
      <c r="H79" s="164"/>
      <c r="I79" s="25"/>
      <c r="J79" s="282"/>
      <c r="K79" s="42"/>
      <c r="L79" s="249"/>
      <c r="M79" s="25"/>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c r="C86" s="143"/>
      <c r="D86" s="164"/>
      <c r="E86" s="25"/>
      <c r="F86" s="230"/>
      <c r="G86" s="143"/>
      <c r="H86" s="164"/>
      <c r="I86" s="25"/>
      <c r="J86" s="282"/>
      <c r="K86" s="42"/>
      <c r="L86" s="249"/>
      <c r="M86" s="25"/>
    </row>
    <row r="87" spans="1:13" ht="15.75" x14ac:dyDescent="0.2">
      <c r="A87" s="13" t="s">
        <v>350</v>
      </c>
      <c r="B87" s="344"/>
      <c r="C87" s="344"/>
      <c r="D87" s="169"/>
      <c r="E87" s="11"/>
      <c r="F87" s="343"/>
      <c r="G87" s="343"/>
      <c r="H87" s="169"/>
      <c r="I87" s="11"/>
      <c r="J87" s="301"/>
      <c r="K87" s="232"/>
      <c r="L87" s="414"/>
      <c r="M87" s="11"/>
    </row>
    <row r="88" spans="1:13" x14ac:dyDescent="0.2">
      <c r="A88" s="19" t="s">
        <v>9</v>
      </c>
      <c r="B88" s="230"/>
      <c r="C88" s="143"/>
      <c r="D88" s="164"/>
      <c r="E88" s="25"/>
      <c r="F88" s="230"/>
      <c r="G88" s="143"/>
      <c r="H88" s="164"/>
      <c r="I88" s="25"/>
      <c r="J88" s="282"/>
      <c r="K88" s="42"/>
      <c r="L88" s="249"/>
      <c r="M88" s="25"/>
    </row>
    <row r="89" spans="1:13" x14ac:dyDescent="0.2">
      <c r="A89" s="19" t="s">
        <v>10</v>
      </c>
      <c r="B89" s="230"/>
      <c r="C89" s="143"/>
      <c r="D89" s="164"/>
      <c r="E89" s="25"/>
      <c r="F89" s="230"/>
      <c r="G89" s="143"/>
      <c r="H89" s="164"/>
      <c r="I89" s="25"/>
      <c r="J89" s="282"/>
      <c r="K89" s="42"/>
      <c r="L89" s="249"/>
      <c r="M89" s="25"/>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c r="C96" s="143"/>
      <c r="D96" s="164"/>
      <c r="E96" s="25"/>
      <c r="F96" s="230"/>
      <c r="G96" s="143"/>
      <c r="H96" s="164"/>
      <c r="I96" s="25"/>
      <c r="J96" s="282"/>
      <c r="K96" s="42"/>
      <c r="L96" s="249"/>
      <c r="M96" s="25"/>
    </row>
    <row r="97" spans="1:13" x14ac:dyDescent="0.2">
      <c r="A97" s="19" t="s">
        <v>334</v>
      </c>
      <c r="B97" s="230"/>
      <c r="C97" s="143"/>
      <c r="D97" s="164"/>
      <c r="E97" s="25"/>
      <c r="F97" s="230"/>
      <c r="G97" s="143"/>
      <c r="H97" s="164"/>
      <c r="I97" s="25"/>
      <c r="J97" s="282"/>
      <c r="K97" s="42"/>
      <c r="L97" s="249"/>
      <c r="M97" s="25"/>
    </row>
    <row r="98" spans="1:13" ht="15.75" x14ac:dyDescent="0.2">
      <c r="A98" s="19" t="s">
        <v>367</v>
      </c>
      <c r="B98" s="230"/>
      <c r="C98" s="230"/>
      <c r="D98" s="164"/>
      <c r="E98" s="25"/>
      <c r="F98" s="286"/>
      <c r="G98" s="286"/>
      <c r="H98" s="164"/>
      <c r="I98" s="25"/>
      <c r="J98" s="282"/>
      <c r="K98" s="42"/>
      <c r="L98" s="249"/>
      <c r="M98" s="25"/>
    </row>
    <row r="99" spans="1:13" x14ac:dyDescent="0.2">
      <c r="A99" s="19" t="s">
        <v>9</v>
      </c>
      <c r="B99" s="286"/>
      <c r="C99" s="287"/>
      <c r="D99" s="164"/>
      <c r="E99" s="25"/>
      <c r="F99" s="230"/>
      <c r="G99" s="143"/>
      <c r="H99" s="164"/>
      <c r="I99" s="25"/>
      <c r="J99" s="282"/>
      <c r="K99" s="42"/>
      <c r="L99" s="249"/>
      <c r="M99" s="25"/>
    </row>
    <row r="100" spans="1:13" x14ac:dyDescent="0.2">
      <c r="A100" s="36" t="s">
        <v>400</v>
      </c>
      <c r="B100" s="286"/>
      <c r="C100" s="287"/>
      <c r="D100" s="164"/>
      <c r="E100" s="25"/>
      <c r="F100" s="230"/>
      <c r="G100" s="230"/>
      <c r="H100" s="164"/>
      <c r="I100" s="25"/>
      <c r="J100" s="282"/>
      <c r="K100" s="42"/>
      <c r="L100" s="249"/>
      <c r="M100" s="25"/>
    </row>
    <row r="101" spans="1:13" ht="15.75" x14ac:dyDescent="0.2">
      <c r="A101" s="288" t="s">
        <v>365</v>
      </c>
      <c r="B101" s="311"/>
      <c r="C101" s="311"/>
      <c r="D101" s="164"/>
      <c r="E101" s="21"/>
      <c r="F101" s="311"/>
      <c r="G101" s="311"/>
      <c r="H101" s="164"/>
      <c r="I101" s="21"/>
      <c r="J101" s="311"/>
      <c r="K101" s="311"/>
      <c r="L101" s="164"/>
      <c r="M101" s="21"/>
    </row>
    <row r="102" spans="1:13" x14ac:dyDescent="0.2">
      <c r="A102" s="288" t="s">
        <v>12</v>
      </c>
      <c r="B102" s="311"/>
      <c r="C102" s="311"/>
      <c r="D102" s="164"/>
      <c r="E102" s="21"/>
      <c r="F102" s="311"/>
      <c r="G102" s="311"/>
      <c r="H102" s="164"/>
      <c r="I102" s="21"/>
      <c r="J102" s="311"/>
      <c r="K102" s="311"/>
      <c r="L102" s="164"/>
      <c r="M102" s="21"/>
    </row>
    <row r="103" spans="1:13" x14ac:dyDescent="0.2">
      <c r="A103" s="288" t="s">
        <v>13</v>
      </c>
      <c r="B103" s="311"/>
      <c r="C103" s="311"/>
      <c r="D103" s="164"/>
      <c r="E103" s="21"/>
      <c r="F103" s="311"/>
      <c r="G103" s="311"/>
      <c r="H103" s="164"/>
      <c r="I103" s="21"/>
      <c r="J103" s="311"/>
      <c r="K103" s="311"/>
      <c r="L103" s="164"/>
      <c r="M103" s="21"/>
    </row>
    <row r="104" spans="1:13" ht="15.75" x14ac:dyDescent="0.2">
      <c r="A104" s="288" t="s">
        <v>366</v>
      </c>
      <c r="B104" s="311"/>
      <c r="C104" s="311"/>
      <c r="D104" s="164"/>
      <c r="E104" s="21"/>
      <c r="F104" s="311"/>
      <c r="G104" s="311"/>
      <c r="H104" s="164"/>
      <c r="I104" s="21"/>
      <c r="J104" s="311"/>
      <c r="K104" s="311"/>
      <c r="L104" s="164"/>
      <c r="M104" s="21"/>
    </row>
    <row r="105" spans="1:13" x14ac:dyDescent="0.2">
      <c r="A105" s="288" t="s">
        <v>12</v>
      </c>
      <c r="B105" s="231"/>
      <c r="C105" s="284"/>
      <c r="D105" s="164"/>
      <c r="E105" s="21"/>
      <c r="F105" s="311"/>
      <c r="G105" s="311"/>
      <c r="H105" s="164"/>
      <c r="I105" s="21"/>
      <c r="J105" s="311"/>
      <c r="K105" s="311"/>
      <c r="L105" s="164"/>
      <c r="M105" s="21"/>
    </row>
    <row r="106" spans="1:13" x14ac:dyDescent="0.2">
      <c r="A106" s="288" t="s">
        <v>13</v>
      </c>
      <c r="B106" s="231"/>
      <c r="C106" s="284"/>
      <c r="D106" s="164"/>
      <c r="E106" s="21"/>
      <c r="F106" s="311"/>
      <c r="G106" s="311"/>
      <c r="H106" s="164"/>
      <c r="I106" s="21"/>
      <c r="J106" s="311"/>
      <c r="K106" s="311"/>
      <c r="L106" s="164"/>
      <c r="M106" s="21"/>
    </row>
    <row r="107" spans="1:13" ht="15.75" x14ac:dyDescent="0.2">
      <c r="A107" s="19" t="s">
        <v>368</v>
      </c>
      <c r="B107" s="230"/>
      <c r="C107" s="143"/>
      <c r="D107" s="164"/>
      <c r="E107" s="25"/>
      <c r="F107" s="230"/>
      <c r="G107" s="143"/>
      <c r="H107" s="164"/>
      <c r="I107" s="25"/>
      <c r="J107" s="282"/>
      <c r="K107" s="42"/>
      <c r="L107" s="249"/>
      <c r="M107" s="25"/>
    </row>
    <row r="108" spans="1:13" ht="15.75" x14ac:dyDescent="0.2">
      <c r="A108" s="19" t="s">
        <v>369</v>
      </c>
      <c r="B108" s="230"/>
      <c r="C108" s="230"/>
      <c r="D108" s="164"/>
      <c r="E108" s="25"/>
      <c r="F108" s="230"/>
      <c r="G108" s="230"/>
      <c r="H108" s="164"/>
      <c r="I108" s="25"/>
      <c r="J108" s="282"/>
      <c r="K108" s="42"/>
      <c r="L108" s="249"/>
      <c r="M108" s="25"/>
    </row>
    <row r="109" spans="1:13" ht="15.75" x14ac:dyDescent="0.2">
      <c r="A109" s="36" t="s">
        <v>408</v>
      </c>
      <c r="B109" s="230"/>
      <c r="C109" s="230"/>
      <c r="D109" s="164"/>
      <c r="E109" s="25"/>
      <c r="F109" s="230"/>
      <c r="G109" s="230"/>
      <c r="H109" s="164"/>
      <c r="I109" s="25"/>
      <c r="J109" s="282"/>
      <c r="K109" s="42"/>
      <c r="L109" s="249"/>
      <c r="M109" s="25"/>
    </row>
    <row r="110" spans="1:13" ht="15.75" x14ac:dyDescent="0.2">
      <c r="A110" s="19" t="s">
        <v>370</v>
      </c>
      <c r="B110" s="230"/>
      <c r="C110" s="230"/>
      <c r="D110" s="164"/>
      <c r="E110" s="25"/>
      <c r="F110" s="230"/>
      <c r="G110" s="230"/>
      <c r="H110" s="164"/>
      <c r="I110" s="25"/>
      <c r="J110" s="282"/>
      <c r="K110" s="42"/>
      <c r="L110" s="249"/>
      <c r="M110" s="25"/>
    </row>
    <row r="111" spans="1:13" ht="15.75" x14ac:dyDescent="0.2">
      <c r="A111" s="13" t="s">
        <v>351</v>
      </c>
      <c r="B111" s="300"/>
      <c r="C111" s="157"/>
      <c r="D111" s="169"/>
      <c r="E111" s="11"/>
      <c r="F111" s="300"/>
      <c r="G111" s="157"/>
      <c r="H111" s="169"/>
      <c r="I111" s="11"/>
      <c r="J111" s="301"/>
      <c r="K111" s="232"/>
      <c r="L111" s="414"/>
      <c r="M111" s="11"/>
    </row>
    <row r="112" spans="1:13" x14ac:dyDescent="0.2">
      <c r="A112" s="19" t="s">
        <v>9</v>
      </c>
      <c r="B112" s="230"/>
      <c r="C112" s="143"/>
      <c r="D112" s="164"/>
      <c r="E112" s="25"/>
      <c r="F112" s="230"/>
      <c r="G112" s="143"/>
      <c r="H112" s="164"/>
      <c r="I112" s="25"/>
      <c r="J112" s="282"/>
      <c r="K112" s="42"/>
      <c r="L112" s="249"/>
      <c r="M112" s="25"/>
    </row>
    <row r="113" spans="1:14" x14ac:dyDescent="0.2">
      <c r="A113" s="19" t="s">
        <v>10</v>
      </c>
      <c r="B113" s="230"/>
      <c r="C113" s="143"/>
      <c r="D113" s="164"/>
      <c r="E113" s="25"/>
      <c r="F113" s="230"/>
      <c r="G113" s="143"/>
      <c r="H113" s="164"/>
      <c r="I113" s="25"/>
      <c r="J113" s="282"/>
      <c r="K113" s="42"/>
      <c r="L113" s="249"/>
      <c r="M113" s="25"/>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c r="C116" s="230"/>
      <c r="D116" s="164"/>
      <c r="E116" s="25"/>
      <c r="F116" s="230"/>
      <c r="G116" s="230"/>
      <c r="H116" s="164"/>
      <c r="I116" s="25"/>
      <c r="J116" s="282"/>
      <c r="K116" s="42"/>
      <c r="L116" s="249"/>
      <c r="M116" s="25"/>
    </row>
    <row r="117" spans="1:14" ht="15.75" x14ac:dyDescent="0.2">
      <c r="A117" s="36" t="s">
        <v>408</v>
      </c>
      <c r="B117" s="230"/>
      <c r="C117" s="230"/>
      <c r="D117" s="164"/>
      <c r="E117" s="25"/>
      <c r="F117" s="230"/>
      <c r="G117" s="230"/>
      <c r="H117" s="164"/>
      <c r="I117" s="25"/>
      <c r="J117" s="282"/>
      <c r="K117" s="42"/>
      <c r="L117" s="249"/>
      <c r="M117" s="25"/>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c r="C119" s="157"/>
      <c r="D119" s="169"/>
      <c r="E119" s="11"/>
      <c r="F119" s="300"/>
      <c r="G119" s="157"/>
      <c r="H119" s="169"/>
      <c r="I119" s="11"/>
      <c r="J119" s="301"/>
      <c r="K119" s="232"/>
      <c r="L119" s="414"/>
      <c r="M119" s="11"/>
    </row>
    <row r="120" spans="1:14" x14ac:dyDescent="0.2">
      <c r="A120" s="19" t="s">
        <v>9</v>
      </c>
      <c r="B120" s="230"/>
      <c r="C120" s="143"/>
      <c r="D120" s="164"/>
      <c r="E120" s="25"/>
      <c r="F120" s="230"/>
      <c r="G120" s="143"/>
      <c r="H120" s="164"/>
      <c r="I120" s="25"/>
      <c r="J120" s="282"/>
      <c r="K120" s="42"/>
      <c r="L120" s="249"/>
      <c r="M120" s="25"/>
    </row>
    <row r="121" spans="1:14" x14ac:dyDescent="0.2">
      <c r="A121" s="19" t="s">
        <v>10</v>
      </c>
      <c r="B121" s="230"/>
      <c r="C121" s="143"/>
      <c r="D121" s="164"/>
      <c r="E121" s="25"/>
      <c r="F121" s="230"/>
      <c r="G121" s="143"/>
      <c r="H121" s="164"/>
      <c r="I121" s="25"/>
      <c r="J121" s="282"/>
      <c r="K121" s="42"/>
      <c r="L121" s="249"/>
      <c r="M121" s="25"/>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c r="C125" s="230"/>
      <c r="D125" s="164"/>
      <c r="E125" s="25"/>
      <c r="F125" s="230"/>
      <c r="G125" s="230"/>
      <c r="H125" s="164"/>
      <c r="I125" s="25"/>
      <c r="J125" s="282"/>
      <c r="K125" s="42"/>
      <c r="L125" s="249"/>
      <c r="M125" s="25"/>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291"/>
      <c r="F130" s="707"/>
      <c r="G130" s="707"/>
      <c r="H130" s="707"/>
      <c r="I130" s="291"/>
      <c r="J130" s="707"/>
      <c r="K130" s="707"/>
      <c r="L130" s="707"/>
      <c r="M130" s="291"/>
    </row>
    <row r="131" spans="1:14" s="3" customFormat="1" x14ac:dyDescent="0.2">
      <c r="A131" s="142"/>
      <c r="B131" s="705" t="s">
        <v>0</v>
      </c>
      <c r="C131" s="706"/>
      <c r="D131" s="706"/>
      <c r="E131" s="293"/>
      <c r="F131" s="705" t="s">
        <v>1</v>
      </c>
      <c r="G131" s="706"/>
      <c r="H131" s="706"/>
      <c r="I131" s="296"/>
      <c r="J131" s="705" t="s">
        <v>2</v>
      </c>
      <c r="K131" s="706"/>
      <c r="L131" s="706"/>
      <c r="M131" s="296"/>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c r="C134" s="301"/>
      <c r="D134" s="341"/>
      <c r="E134" s="11"/>
      <c r="F134" s="308"/>
      <c r="G134" s="309"/>
      <c r="H134" s="417"/>
      <c r="I134" s="22"/>
      <c r="J134" s="310"/>
      <c r="K134" s="310"/>
      <c r="L134" s="413"/>
      <c r="M134" s="11"/>
      <c r="N134" s="146"/>
    </row>
    <row r="135" spans="1:14" s="3" customFormat="1" ht="15.75" x14ac:dyDescent="0.2">
      <c r="A135" s="13" t="s">
        <v>377</v>
      </c>
      <c r="B135" s="232"/>
      <c r="C135" s="301"/>
      <c r="D135" s="169"/>
      <c r="E135" s="11"/>
      <c r="F135" s="232"/>
      <c r="G135" s="301"/>
      <c r="H135" s="418"/>
      <c r="I135" s="22"/>
      <c r="J135" s="300"/>
      <c r="K135" s="300"/>
      <c r="L135" s="414"/>
      <c r="M135" s="11"/>
      <c r="N135" s="146"/>
    </row>
    <row r="136" spans="1:14" s="3" customFormat="1" ht="15.75" x14ac:dyDescent="0.2">
      <c r="A136" s="13" t="s">
        <v>374</v>
      </c>
      <c r="B136" s="232"/>
      <c r="C136" s="301"/>
      <c r="D136" s="169"/>
      <c r="E136" s="11"/>
      <c r="F136" s="232"/>
      <c r="G136" s="301"/>
      <c r="H136" s="418"/>
      <c r="I136" s="22"/>
      <c r="J136" s="300"/>
      <c r="K136" s="300"/>
      <c r="L136" s="414"/>
      <c r="M136" s="11"/>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326" priority="12">
      <formula>kvartal &lt; 4</formula>
    </cfRule>
  </conditionalFormatting>
  <conditionalFormatting sqref="A69:A74">
    <cfRule type="expression" dxfId="325" priority="10">
      <formula>kvartal &lt; 4</formula>
    </cfRule>
  </conditionalFormatting>
  <conditionalFormatting sqref="A80:A85">
    <cfRule type="expression" dxfId="324" priority="9">
      <formula>kvartal &lt; 4</formula>
    </cfRule>
  </conditionalFormatting>
  <conditionalFormatting sqref="A90:A95">
    <cfRule type="expression" dxfId="323" priority="6">
      <formula>kvartal &lt; 4</formula>
    </cfRule>
  </conditionalFormatting>
  <conditionalFormatting sqref="A101:A106">
    <cfRule type="expression" dxfId="322" priority="5">
      <formula>kvartal &lt; 4</formula>
    </cfRule>
  </conditionalFormatting>
  <conditionalFormatting sqref="A115">
    <cfRule type="expression" dxfId="321" priority="4">
      <formula>kvartal &lt; 4</formula>
    </cfRule>
  </conditionalFormatting>
  <conditionalFormatting sqref="A123">
    <cfRule type="expression" dxfId="320" priority="3">
      <formula>kvartal &lt; 4</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23"/>
  <dimension ref="A1:N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495" t="s">
        <v>393</v>
      </c>
      <c r="D1" s="24"/>
      <c r="E1" s="24"/>
      <c r="F1" s="24"/>
      <c r="G1" s="24"/>
      <c r="H1" s="24"/>
      <c r="I1" s="24"/>
      <c r="J1" s="24"/>
      <c r="K1" s="24"/>
      <c r="L1" s="24"/>
      <c r="M1" s="24"/>
    </row>
    <row r="2" spans="1:14" ht="15.75" x14ac:dyDescent="0.25">
      <c r="A2" s="163" t="s">
        <v>28</v>
      </c>
      <c r="B2" s="704"/>
      <c r="C2" s="704"/>
      <c r="D2" s="704"/>
      <c r="E2" s="291"/>
      <c r="F2" s="704"/>
      <c r="G2" s="704"/>
      <c r="H2" s="704"/>
      <c r="I2" s="291"/>
      <c r="J2" s="704"/>
      <c r="K2" s="704"/>
      <c r="L2" s="704"/>
      <c r="M2" s="291"/>
    </row>
    <row r="3" spans="1:14" ht="15.75" x14ac:dyDescent="0.25">
      <c r="A3" s="161"/>
      <c r="B3" s="291"/>
      <c r="C3" s="291"/>
      <c r="D3" s="291"/>
      <c r="E3" s="291"/>
      <c r="F3" s="291"/>
      <c r="G3" s="291"/>
      <c r="H3" s="291"/>
      <c r="I3" s="291"/>
      <c r="J3" s="291"/>
      <c r="K3" s="291"/>
      <c r="L3" s="291"/>
      <c r="M3" s="291"/>
    </row>
    <row r="4" spans="1:14" x14ac:dyDescent="0.2">
      <c r="A4" s="142"/>
      <c r="B4" s="705" t="s">
        <v>0</v>
      </c>
      <c r="C4" s="706"/>
      <c r="D4" s="706"/>
      <c r="E4" s="293"/>
      <c r="F4" s="705" t="s">
        <v>1</v>
      </c>
      <c r="G4" s="706"/>
      <c r="H4" s="706"/>
      <c r="I4" s="296"/>
      <c r="J4" s="705" t="s">
        <v>2</v>
      </c>
      <c r="K4" s="706"/>
      <c r="L4" s="706"/>
      <c r="M4" s="296"/>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c r="C7" s="299"/>
      <c r="D7" s="341"/>
      <c r="E7" s="11"/>
      <c r="F7" s="298"/>
      <c r="G7" s="299"/>
      <c r="H7" s="341"/>
      <c r="I7" s="158"/>
      <c r="J7" s="300"/>
      <c r="K7" s="301"/>
      <c r="L7" s="413"/>
      <c r="M7" s="11"/>
    </row>
    <row r="8" spans="1:14" ht="15.75" x14ac:dyDescent="0.2">
      <c r="A8" s="19" t="s">
        <v>25</v>
      </c>
      <c r="B8" s="276"/>
      <c r="C8" s="277"/>
      <c r="D8" s="164"/>
      <c r="E8" s="25"/>
      <c r="F8" s="280"/>
      <c r="G8" s="281"/>
      <c r="H8" s="164"/>
      <c r="I8" s="172"/>
      <c r="J8" s="230"/>
      <c r="K8" s="282"/>
      <c r="L8" s="164"/>
      <c r="M8" s="25"/>
    </row>
    <row r="9" spans="1:14" ht="15.75" x14ac:dyDescent="0.2">
      <c r="A9" s="19" t="s">
        <v>24</v>
      </c>
      <c r="B9" s="276"/>
      <c r="C9" s="277"/>
      <c r="D9" s="164"/>
      <c r="E9" s="25"/>
      <c r="F9" s="280"/>
      <c r="G9" s="281"/>
      <c r="H9" s="164"/>
      <c r="I9" s="172"/>
      <c r="J9" s="230"/>
      <c r="K9" s="282"/>
      <c r="L9" s="164"/>
      <c r="M9" s="25"/>
    </row>
    <row r="10" spans="1:14" ht="15.75" x14ac:dyDescent="0.2">
      <c r="A10" s="13" t="s">
        <v>350</v>
      </c>
      <c r="B10" s="302"/>
      <c r="C10" s="303"/>
      <c r="D10" s="169"/>
      <c r="E10" s="11"/>
      <c r="F10" s="302"/>
      <c r="G10" s="303"/>
      <c r="H10" s="169"/>
      <c r="I10" s="158"/>
      <c r="J10" s="300"/>
      <c r="K10" s="301"/>
      <c r="L10" s="414"/>
      <c r="M10" s="11"/>
    </row>
    <row r="11" spans="1:14" s="41" customFormat="1" ht="15.75" x14ac:dyDescent="0.2">
      <c r="A11" s="13" t="s">
        <v>351</v>
      </c>
      <c r="B11" s="302"/>
      <c r="C11" s="303"/>
      <c r="D11" s="169"/>
      <c r="E11" s="11"/>
      <c r="F11" s="302"/>
      <c r="G11" s="303"/>
      <c r="H11" s="169"/>
      <c r="I11" s="158"/>
      <c r="J11" s="300"/>
      <c r="K11" s="301"/>
      <c r="L11" s="414"/>
      <c r="M11" s="11"/>
      <c r="N11" s="141"/>
    </row>
    <row r="12" spans="1:14" s="41" customFormat="1" ht="15.75" x14ac:dyDescent="0.2">
      <c r="A12" s="39" t="s">
        <v>352</v>
      </c>
      <c r="B12" s="304"/>
      <c r="C12" s="305"/>
      <c r="D12" s="167"/>
      <c r="E12" s="34"/>
      <c r="F12" s="304"/>
      <c r="G12" s="305"/>
      <c r="H12" s="167"/>
      <c r="I12" s="167"/>
      <c r="J12" s="306"/>
      <c r="K12" s="307"/>
      <c r="L12" s="415"/>
      <c r="M12" s="34"/>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291"/>
      <c r="F18" s="707"/>
      <c r="G18" s="707"/>
      <c r="H18" s="707"/>
      <c r="I18" s="291"/>
      <c r="J18" s="707"/>
      <c r="K18" s="707"/>
      <c r="L18" s="707"/>
      <c r="M18" s="291"/>
    </row>
    <row r="19" spans="1:14" x14ac:dyDescent="0.2">
      <c r="A19" s="142"/>
      <c r="B19" s="705" t="s">
        <v>0</v>
      </c>
      <c r="C19" s="706"/>
      <c r="D19" s="706"/>
      <c r="E19" s="293"/>
      <c r="F19" s="705" t="s">
        <v>1</v>
      </c>
      <c r="G19" s="706"/>
      <c r="H19" s="706"/>
      <c r="I19" s="296"/>
      <c r="J19" s="705" t="s">
        <v>2</v>
      </c>
      <c r="K19" s="706"/>
      <c r="L19" s="706"/>
      <c r="M19" s="296"/>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302"/>
      <c r="C22" s="302"/>
      <c r="D22" s="341"/>
      <c r="E22" s="11"/>
      <c r="F22" s="310"/>
      <c r="G22" s="310"/>
      <c r="H22" s="341"/>
      <c r="I22" s="11"/>
      <c r="J22" s="308"/>
      <c r="K22" s="308"/>
      <c r="L22" s="413"/>
      <c r="M22" s="22"/>
    </row>
    <row r="23" spans="1:14" ht="15.75" x14ac:dyDescent="0.2">
      <c r="A23" s="496" t="s">
        <v>353</v>
      </c>
      <c r="B23" s="276"/>
      <c r="C23" s="276"/>
      <c r="D23" s="164"/>
      <c r="E23" s="11"/>
      <c r="F23" s="285"/>
      <c r="G23" s="285"/>
      <c r="H23" s="164"/>
      <c r="I23" s="403"/>
      <c r="J23" s="285"/>
      <c r="K23" s="285"/>
      <c r="L23" s="164"/>
      <c r="M23" s="21"/>
    </row>
    <row r="24" spans="1:14" ht="15.75" x14ac:dyDescent="0.2">
      <c r="A24" s="496" t="s">
        <v>354</v>
      </c>
      <c r="B24" s="276"/>
      <c r="C24" s="276"/>
      <c r="D24" s="164"/>
      <c r="E24" s="11"/>
      <c r="F24" s="285"/>
      <c r="G24" s="285"/>
      <c r="H24" s="164"/>
      <c r="I24" s="403"/>
      <c r="J24" s="285"/>
      <c r="K24" s="285"/>
      <c r="L24" s="164"/>
      <c r="M24" s="21"/>
    </row>
    <row r="25" spans="1:14" ht="15.75" x14ac:dyDescent="0.2">
      <c r="A25" s="496" t="s">
        <v>355</v>
      </c>
      <c r="B25" s="276"/>
      <c r="C25" s="276"/>
      <c r="D25" s="164"/>
      <c r="E25" s="11"/>
      <c r="F25" s="285"/>
      <c r="G25" s="285"/>
      <c r="H25" s="164"/>
      <c r="I25" s="403"/>
      <c r="J25" s="285"/>
      <c r="K25" s="285"/>
      <c r="L25" s="164"/>
      <c r="M25" s="21"/>
    </row>
    <row r="26" spans="1:14" ht="15.75" x14ac:dyDescent="0.2">
      <c r="A26" s="496" t="s">
        <v>356</v>
      </c>
      <c r="B26" s="276"/>
      <c r="C26" s="276"/>
      <c r="D26" s="164"/>
      <c r="E26" s="11"/>
      <c r="F26" s="285"/>
      <c r="G26" s="285"/>
      <c r="H26" s="164"/>
      <c r="I26" s="403"/>
      <c r="J26" s="285"/>
      <c r="K26" s="285"/>
      <c r="L26" s="164"/>
      <c r="M26" s="21"/>
    </row>
    <row r="27" spans="1:14" x14ac:dyDescent="0.2">
      <c r="A27" s="496" t="s">
        <v>11</v>
      </c>
      <c r="B27" s="276"/>
      <c r="C27" s="276"/>
      <c r="D27" s="164"/>
      <c r="E27" s="11"/>
      <c r="F27" s="285"/>
      <c r="G27" s="285"/>
      <c r="H27" s="164"/>
      <c r="I27" s="403"/>
      <c r="J27" s="285"/>
      <c r="K27" s="285"/>
      <c r="L27" s="164"/>
      <c r="M27" s="21"/>
    </row>
    <row r="28" spans="1:14" ht="15.75" x14ac:dyDescent="0.2">
      <c r="A28" s="47" t="s">
        <v>271</v>
      </c>
      <c r="B28" s="42"/>
      <c r="C28" s="282"/>
      <c r="D28" s="164"/>
      <c r="E28" s="11"/>
      <c r="F28" s="230"/>
      <c r="G28" s="282"/>
      <c r="H28" s="164"/>
      <c r="I28" s="25"/>
      <c r="J28" s="42"/>
      <c r="K28" s="42"/>
      <c r="L28" s="249"/>
      <c r="M28" s="21"/>
    </row>
    <row r="29" spans="1:14" s="3" customFormat="1" ht="15.75" x14ac:dyDescent="0.2">
      <c r="A29" s="13" t="s">
        <v>350</v>
      </c>
      <c r="B29" s="232"/>
      <c r="C29" s="232"/>
      <c r="D29" s="169"/>
      <c r="E29" s="11"/>
      <c r="F29" s="300"/>
      <c r="G29" s="300"/>
      <c r="H29" s="169"/>
      <c r="I29" s="11"/>
      <c r="J29" s="232"/>
      <c r="K29" s="232"/>
      <c r="L29" s="414"/>
      <c r="M29" s="22"/>
      <c r="N29" s="146"/>
    </row>
    <row r="30" spans="1:14" s="3" customFormat="1" ht="15.75" x14ac:dyDescent="0.2">
      <c r="A30" s="496" t="s">
        <v>353</v>
      </c>
      <c r="B30" s="276"/>
      <c r="C30" s="276"/>
      <c r="D30" s="164"/>
      <c r="E30" s="11"/>
      <c r="F30" s="285"/>
      <c r="G30" s="285"/>
      <c r="H30" s="164"/>
      <c r="I30" s="403"/>
      <c r="J30" s="285"/>
      <c r="K30" s="285"/>
      <c r="L30" s="164"/>
      <c r="M30" s="21"/>
      <c r="N30" s="146"/>
    </row>
    <row r="31" spans="1:14" s="3" customFormat="1" ht="15.75" x14ac:dyDescent="0.2">
      <c r="A31" s="496" t="s">
        <v>354</v>
      </c>
      <c r="B31" s="276"/>
      <c r="C31" s="276"/>
      <c r="D31" s="164"/>
      <c r="E31" s="11"/>
      <c r="F31" s="285"/>
      <c r="G31" s="285"/>
      <c r="H31" s="164"/>
      <c r="I31" s="403"/>
      <c r="J31" s="285"/>
      <c r="K31" s="285"/>
      <c r="L31" s="164"/>
      <c r="M31" s="21"/>
      <c r="N31" s="146"/>
    </row>
    <row r="32" spans="1:14" ht="15.75" x14ac:dyDescent="0.2">
      <c r="A32" s="496" t="s">
        <v>355</v>
      </c>
      <c r="B32" s="276"/>
      <c r="C32" s="276"/>
      <c r="D32" s="164"/>
      <c r="E32" s="11"/>
      <c r="F32" s="285"/>
      <c r="G32" s="285"/>
      <c r="H32" s="164"/>
      <c r="I32" s="403"/>
      <c r="J32" s="285"/>
      <c r="K32" s="285"/>
      <c r="L32" s="164"/>
      <c r="M32" s="21"/>
    </row>
    <row r="33" spans="1:14" ht="15.75" x14ac:dyDescent="0.2">
      <c r="A33" s="496" t="s">
        <v>356</v>
      </c>
      <c r="B33" s="276"/>
      <c r="C33" s="276"/>
      <c r="D33" s="164"/>
      <c r="E33" s="11"/>
      <c r="F33" s="285"/>
      <c r="G33" s="285"/>
      <c r="H33" s="164"/>
      <c r="I33" s="403"/>
      <c r="J33" s="285"/>
      <c r="K33" s="285"/>
      <c r="L33" s="164"/>
      <c r="M33" s="21"/>
    </row>
    <row r="34" spans="1:14" ht="15.75" x14ac:dyDescent="0.2">
      <c r="A34" s="13" t="s">
        <v>351</v>
      </c>
      <c r="B34" s="232"/>
      <c r="C34" s="301"/>
      <c r="D34" s="169"/>
      <c r="E34" s="11"/>
      <c r="F34" s="300"/>
      <c r="G34" s="301"/>
      <c r="H34" s="169"/>
      <c r="I34" s="11"/>
      <c r="J34" s="232"/>
      <c r="K34" s="232"/>
      <c r="L34" s="414"/>
      <c r="M34" s="22"/>
    </row>
    <row r="35" spans="1:14" ht="15.75" x14ac:dyDescent="0.2">
      <c r="A35" s="13" t="s">
        <v>352</v>
      </c>
      <c r="B35" s="232"/>
      <c r="C35" s="301"/>
      <c r="D35" s="169"/>
      <c r="E35" s="11"/>
      <c r="F35" s="300"/>
      <c r="G35" s="301"/>
      <c r="H35" s="169"/>
      <c r="I35" s="11"/>
      <c r="J35" s="232"/>
      <c r="K35" s="232"/>
      <c r="L35" s="414"/>
      <c r="M35" s="22"/>
    </row>
    <row r="36" spans="1:14" ht="15.75" x14ac:dyDescent="0.2">
      <c r="A36" s="12" t="s">
        <v>279</v>
      </c>
      <c r="B36" s="232"/>
      <c r="C36" s="301"/>
      <c r="D36" s="169"/>
      <c r="E36" s="11"/>
      <c r="F36" s="311"/>
      <c r="G36" s="312"/>
      <c r="H36" s="169"/>
      <c r="I36" s="420"/>
      <c r="J36" s="232"/>
      <c r="K36" s="232"/>
      <c r="L36" s="414"/>
      <c r="M36" s="22"/>
    </row>
    <row r="37" spans="1:14" ht="15.75" x14ac:dyDescent="0.2">
      <c r="A37" s="12" t="s">
        <v>358</v>
      </c>
      <c r="B37" s="232"/>
      <c r="C37" s="301"/>
      <c r="D37" s="169"/>
      <c r="E37" s="11"/>
      <c r="F37" s="311"/>
      <c r="G37" s="313"/>
      <c r="H37" s="169"/>
      <c r="I37" s="420"/>
      <c r="J37" s="232"/>
      <c r="K37" s="232"/>
      <c r="L37" s="414"/>
      <c r="M37" s="22"/>
    </row>
    <row r="38" spans="1:14" ht="15.75" x14ac:dyDescent="0.2">
      <c r="A38" s="12" t="s">
        <v>359</v>
      </c>
      <c r="B38" s="232"/>
      <c r="C38" s="301"/>
      <c r="D38" s="169"/>
      <c r="E38" s="22"/>
      <c r="F38" s="311"/>
      <c r="G38" s="312"/>
      <c r="H38" s="169"/>
      <c r="I38" s="420"/>
      <c r="J38" s="232"/>
      <c r="K38" s="232"/>
      <c r="L38" s="414"/>
      <c r="M38" s="22"/>
    </row>
    <row r="39" spans="1:14" ht="15.75" x14ac:dyDescent="0.2">
      <c r="A39" s="18" t="s">
        <v>360</v>
      </c>
      <c r="B39" s="271"/>
      <c r="C39" s="307"/>
      <c r="D39" s="167"/>
      <c r="E39" s="34"/>
      <c r="F39" s="314"/>
      <c r="G39" s="315"/>
      <c r="H39" s="167"/>
      <c r="I39" s="34"/>
      <c r="J39" s="232"/>
      <c r="K39" s="232"/>
      <c r="L39" s="415"/>
      <c r="M39" s="34"/>
    </row>
    <row r="40" spans="1:14" ht="15.75" x14ac:dyDescent="0.25">
      <c r="A40" s="45"/>
      <c r="B40" s="248"/>
      <c r="C40" s="248"/>
      <c r="D40" s="708"/>
      <c r="E40" s="708"/>
      <c r="F40" s="708"/>
      <c r="G40" s="708"/>
      <c r="H40" s="708"/>
      <c r="I40" s="708"/>
      <c r="J40" s="708"/>
      <c r="K40" s="708"/>
      <c r="L40" s="708"/>
      <c r="M40" s="294"/>
    </row>
    <row r="41" spans="1:14" x14ac:dyDescent="0.2">
      <c r="A41" s="153"/>
    </row>
    <row r="42" spans="1:14" ht="15.75" x14ac:dyDescent="0.25">
      <c r="A42" s="145" t="s">
        <v>268</v>
      </c>
      <c r="B42" s="704"/>
      <c r="C42" s="704"/>
      <c r="D42" s="704"/>
      <c r="E42" s="291"/>
      <c r="F42" s="709"/>
      <c r="G42" s="709"/>
      <c r="H42" s="709"/>
      <c r="I42" s="294"/>
      <c r="J42" s="709"/>
      <c r="K42" s="709"/>
      <c r="L42" s="709"/>
      <c r="M42" s="294"/>
    </row>
    <row r="43" spans="1:14" ht="15.75" x14ac:dyDescent="0.25">
      <c r="A43" s="161"/>
      <c r="B43" s="295"/>
      <c r="C43" s="295"/>
      <c r="D43" s="295"/>
      <c r="E43" s="295"/>
      <c r="F43" s="294"/>
      <c r="G43" s="294"/>
      <c r="H43" s="294"/>
      <c r="I43" s="294"/>
      <c r="J43" s="294"/>
      <c r="K43" s="294"/>
      <c r="L43" s="294"/>
      <c r="M43" s="294"/>
    </row>
    <row r="44" spans="1:14" ht="15.75" x14ac:dyDescent="0.25">
      <c r="A44" s="243"/>
      <c r="B44" s="705" t="s">
        <v>0</v>
      </c>
      <c r="C44" s="706"/>
      <c r="D44" s="706"/>
      <c r="E44" s="239"/>
      <c r="F44" s="294"/>
      <c r="G44" s="294"/>
      <c r="H44" s="294"/>
      <c r="I44" s="294"/>
      <c r="J44" s="294"/>
      <c r="K44" s="294"/>
      <c r="L44" s="294"/>
      <c r="M44" s="294"/>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v>41337</v>
      </c>
      <c r="C47" s="303">
        <v>28431</v>
      </c>
      <c r="D47" s="413">
        <f t="shared" ref="D47:D57" si="0">IF(B47=0, "    ---- ", IF(ABS(ROUND(100/B47*C47-100,1))&lt;999,ROUND(100/B47*C47-100,1),IF(ROUND(100/B47*C47-100,1)&gt;999,999,-999)))</f>
        <v>-31.2</v>
      </c>
      <c r="E47" s="11">
        <f>IFERROR(100/'Skjema total MA'!C47*C47,0)</f>
        <v>0.58470873177884497</v>
      </c>
      <c r="F47" s="143"/>
      <c r="G47" s="31"/>
      <c r="H47" s="157"/>
      <c r="I47" s="157"/>
      <c r="J47" s="35"/>
      <c r="K47" s="35"/>
      <c r="L47" s="157"/>
      <c r="M47" s="157"/>
      <c r="N47" s="146"/>
    </row>
    <row r="48" spans="1:14" s="3" customFormat="1" ht="15.75" x14ac:dyDescent="0.2">
      <c r="A48" s="36" t="s">
        <v>361</v>
      </c>
      <c r="B48" s="276">
        <v>41337</v>
      </c>
      <c r="C48" s="277">
        <v>28431</v>
      </c>
      <c r="D48" s="249">
        <f t="shared" si="0"/>
        <v>-31.2</v>
      </c>
      <c r="E48" s="25">
        <f>IFERROR(100/'Skjema total MA'!C48*C48,0)</f>
        <v>1.0483375929141663</v>
      </c>
      <c r="F48" s="143"/>
      <c r="G48" s="31"/>
      <c r="H48" s="143"/>
      <c r="I48" s="143"/>
      <c r="J48" s="31"/>
      <c r="K48" s="31"/>
      <c r="L48" s="157"/>
      <c r="M48" s="157"/>
      <c r="N48" s="146"/>
    </row>
    <row r="49" spans="1:14" s="3" customFormat="1" ht="15.75" x14ac:dyDescent="0.2">
      <c r="A49" s="36" t="s">
        <v>362</v>
      </c>
      <c r="B49" s="42"/>
      <c r="C49" s="282"/>
      <c r="D49" s="249"/>
      <c r="E49" s="25"/>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v>3215</v>
      </c>
      <c r="C53" s="303">
        <v>895</v>
      </c>
      <c r="D53" s="414">
        <f t="shared" si="0"/>
        <v>-72.2</v>
      </c>
      <c r="E53" s="11">
        <f>IFERROR(100/'Skjema total MA'!C53*C53,0)</f>
        <v>0.77713422766577012</v>
      </c>
      <c r="F53" s="143"/>
      <c r="G53" s="31"/>
      <c r="H53" s="143"/>
      <c r="I53" s="143"/>
      <c r="J53" s="31"/>
      <c r="K53" s="31"/>
      <c r="L53" s="157"/>
      <c r="M53" s="157"/>
      <c r="N53" s="146"/>
    </row>
    <row r="54" spans="1:14" s="3" customFormat="1" ht="15.75" x14ac:dyDescent="0.2">
      <c r="A54" s="36" t="s">
        <v>361</v>
      </c>
      <c r="B54" s="276">
        <v>3215</v>
      </c>
      <c r="C54" s="277">
        <v>895</v>
      </c>
      <c r="D54" s="249">
        <f t="shared" si="0"/>
        <v>-72.2</v>
      </c>
      <c r="E54" s="25">
        <f>IFERROR(100/'Skjema total MA'!C54*C54,0)</f>
        <v>0.783591197583002</v>
      </c>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v>880</v>
      </c>
      <c r="C56" s="303">
        <v>16098</v>
      </c>
      <c r="D56" s="414">
        <f t="shared" si="0"/>
        <v>999</v>
      </c>
      <c r="E56" s="11">
        <f>IFERROR(100/'Skjema total MA'!C56*C56,0)</f>
        <v>17.191814039464582</v>
      </c>
      <c r="F56" s="143"/>
      <c r="G56" s="31"/>
      <c r="H56" s="143"/>
      <c r="I56" s="143"/>
      <c r="J56" s="31"/>
      <c r="K56" s="31"/>
      <c r="L56" s="157"/>
      <c r="M56" s="157"/>
      <c r="N56" s="146"/>
    </row>
    <row r="57" spans="1:14" s="3" customFormat="1" ht="15.75" x14ac:dyDescent="0.2">
      <c r="A57" s="36" t="s">
        <v>361</v>
      </c>
      <c r="B57" s="276">
        <v>880</v>
      </c>
      <c r="C57" s="277">
        <v>16098</v>
      </c>
      <c r="D57" s="249">
        <f t="shared" si="0"/>
        <v>999</v>
      </c>
      <c r="E57" s="25">
        <f>IFERROR(100/'Skjema total MA'!C57*C57,0)</f>
        <v>17.191814039464582</v>
      </c>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291"/>
      <c r="F62" s="707"/>
      <c r="G62" s="707"/>
      <c r="H62" s="707"/>
      <c r="I62" s="291"/>
      <c r="J62" s="707"/>
      <c r="K62" s="707"/>
      <c r="L62" s="707"/>
      <c r="M62" s="291"/>
    </row>
    <row r="63" spans="1:14" x14ac:dyDescent="0.2">
      <c r="A63" s="142"/>
      <c r="B63" s="705" t="s">
        <v>0</v>
      </c>
      <c r="C63" s="706"/>
      <c r="D63" s="710"/>
      <c r="E63" s="292"/>
      <c r="F63" s="706" t="s">
        <v>1</v>
      </c>
      <c r="G63" s="706"/>
      <c r="H63" s="706"/>
      <c r="I63" s="296"/>
      <c r="J63" s="705" t="s">
        <v>2</v>
      </c>
      <c r="K63" s="706"/>
      <c r="L63" s="706"/>
      <c r="M63" s="296"/>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c r="C66" s="344"/>
      <c r="D66" s="341"/>
      <c r="E66" s="11"/>
      <c r="F66" s="343"/>
      <c r="G66" s="343"/>
      <c r="H66" s="341"/>
      <c r="I66" s="11"/>
      <c r="J66" s="301"/>
      <c r="K66" s="308"/>
      <c r="L66" s="414"/>
      <c r="M66" s="11"/>
    </row>
    <row r="67" spans="1:14" x14ac:dyDescent="0.2">
      <c r="A67" s="405" t="s">
        <v>9</v>
      </c>
      <c r="B67" s="42"/>
      <c r="C67" s="143"/>
      <c r="D67" s="164"/>
      <c r="E67" s="25"/>
      <c r="F67" s="230"/>
      <c r="G67" s="143"/>
      <c r="H67" s="164"/>
      <c r="I67" s="25"/>
      <c r="J67" s="282"/>
      <c r="K67" s="42"/>
      <c r="L67" s="249"/>
      <c r="M67" s="25"/>
    </row>
    <row r="68" spans="1:14" x14ac:dyDescent="0.2">
      <c r="A68" s="19" t="s">
        <v>10</v>
      </c>
      <c r="B68" s="286"/>
      <c r="C68" s="287"/>
      <c r="D68" s="164"/>
      <c r="E68" s="25"/>
      <c r="F68" s="286"/>
      <c r="G68" s="287"/>
      <c r="H68" s="164"/>
      <c r="I68" s="25"/>
      <c r="J68" s="282"/>
      <c r="K68" s="42"/>
      <c r="L68" s="249"/>
      <c r="M68" s="25"/>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c r="C75" s="143"/>
      <c r="D75" s="164"/>
      <c r="E75" s="25"/>
      <c r="F75" s="230"/>
      <c r="G75" s="143"/>
      <c r="H75" s="164"/>
      <c r="I75" s="25"/>
      <c r="J75" s="282"/>
      <c r="K75" s="42"/>
      <c r="L75" s="249"/>
      <c r="M75" s="25"/>
      <c r="N75" s="146"/>
    </row>
    <row r="76" spans="1:14" s="3" customFormat="1" x14ac:dyDescent="0.2">
      <c r="A76" s="19" t="s">
        <v>336</v>
      </c>
      <c r="B76" s="230"/>
      <c r="C76" s="143"/>
      <c r="D76" s="164"/>
      <c r="E76" s="25"/>
      <c r="F76" s="230"/>
      <c r="G76" s="143"/>
      <c r="H76" s="164"/>
      <c r="I76" s="25"/>
      <c r="J76" s="282"/>
      <c r="K76" s="42"/>
      <c r="L76" s="249"/>
      <c r="M76" s="25"/>
      <c r="N76" s="146"/>
    </row>
    <row r="77" spans="1:14" ht="15.75" x14ac:dyDescent="0.2">
      <c r="A77" s="19" t="s">
        <v>367</v>
      </c>
      <c r="B77" s="230"/>
      <c r="C77" s="230"/>
      <c r="D77" s="164"/>
      <c r="E77" s="25"/>
      <c r="F77" s="230"/>
      <c r="G77" s="143"/>
      <c r="H77" s="164"/>
      <c r="I77" s="25"/>
      <c r="J77" s="282"/>
      <c r="K77" s="42"/>
      <c r="L77" s="249"/>
      <c r="M77" s="25"/>
    </row>
    <row r="78" spans="1:14" x14ac:dyDescent="0.2">
      <c r="A78" s="19" t="s">
        <v>9</v>
      </c>
      <c r="B78" s="230"/>
      <c r="C78" s="143"/>
      <c r="D78" s="164"/>
      <c r="E78" s="25"/>
      <c r="F78" s="230"/>
      <c r="G78" s="143"/>
      <c r="H78" s="164"/>
      <c r="I78" s="25"/>
      <c r="J78" s="282"/>
      <c r="K78" s="42"/>
      <c r="L78" s="249"/>
      <c r="M78" s="25"/>
    </row>
    <row r="79" spans="1:14" x14ac:dyDescent="0.2">
      <c r="A79" s="36" t="s">
        <v>400</v>
      </c>
      <c r="B79" s="286"/>
      <c r="C79" s="287"/>
      <c r="D79" s="164"/>
      <c r="E79" s="25"/>
      <c r="F79" s="286"/>
      <c r="G79" s="287"/>
      <c r="H79" s="164"/>
      <c r="I79" s="25"/>
      <c r="J79" s="282"/>
      <c r="K79" s="42"/>
      <c r="L79" s="249"/>
      <c r="M79" s="25"/>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c r="C86" s="143"/>
      <c r="D86" s="164"/>
      <c r="E86" s="25"/>
      <c r="F86" s="230"/>
      <c r="G86" s="143"/>
      <c r="H86" s="164"/>
      <c r="I86" s="25"/>
      <c r="J86" s="282"/>
      <c r="K86" s="42"/>
      <c r="L86" s="249"/>
      <c r="M86" s="25"/>
    </row>
    <row r="87" spans="1:13" ht="15.75" x14ac:dyDescent="0.2">
      <c r="A87" s="13" t="s">
        <v>350</v>
      </c>
      <c r="B87" s="344"/>
      <c r="C87" s="344"/>
      <c r="D87" s="169"/>
      <c r="E87" s="11"/>
      <c r="F87" s="343"/>
      <c r="G87" s="343"/>
      <c r="H87" s="169"/>
      <c r="I87" s="11"/>
      <c r="J87" s="301"/>
      <c r="K87" s="232"/>
      <c r="L87" s="414"/>
      <c r="M87" s="11"/>
    </row>
    <row r="88" spans="1:13" x14ac:dyDescent="0.2">
      <c r="A88" s="19" t="s">
        <v>9</v>
      </c>
      <c r="B88" s="230"/>
      <c r="C88" s="143"/>
      <c r="D88" s="164"/>
      <c r="E88" s="25"/>
      <c r="F88" s="230"/>
      <c r="G88" s="143"/>
      <c r="H88" s="164"/>
      <c r="I88" s="25"/>
      <c r="J88" s="282"/>
      <c r="K88" s="42"/>
      <c r="L88" s="249"/>
      <c r="M88" s="25"/>
    </row>
    <row r="89" spans="1:13" x14ac:dyDescent="0.2">
      <c r="A89" s="19" t="s">
        <v>10</v>
      </c>
      <c r="B89" s="230"/>
      <c r="C89" s="143"/>
      <c r="D89" s="164"/>
      <c r="E89" s="25"/>
      <c r="F89" s="230"/>
      <c r="G89" s="143"/>
      <c r="H89" s="164"/>
      <c r="I89" s="25"/>
      <c r="J89" s="282"/>
      <c r="K89" s="42"/>
      <c r="L89" s="249"/>
      <c r="M89" s="25"/>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c r="C96" s="143"/>
      <c r="D96" s="164"/>
      <c r="E96" s="25"/>
      <c r="F96" s="230"/>
      <c r="G96" s="143"/>
      <c r="H96" s="164"/>
      <c r="I96" s="25"/>
      <c r="J96" s="282"/>
      <c r="K96" s="42"/>
      <c r="L96" s="249"/>
      <c r="M96" s="25"/>
    </row>
    <row r="97" spans="1:13" x14ac:dyDescent="0.2">
      <c r="A97" s="19" t="s">
        <v>334</v>
      </c>
      <c r="B97" s="230"/>
      <c r="C97" s="143"/>
      <c r="D97" s="164"/>
      <c r="E97" s="25"/>
      <c r="F97" s="230"/>
      <c r="G97" s="143"/>
      <c r="H97" s="164"/>
      <c r="I97" s="25"/>
      <c r="J97" s="282"/>
      <c r="K97" s="42"/>
      <c r="L97" s="249"/>
      <c r="M97" s="25"/>
    </row>
    <row r="98" spans="1:13" ht="15.75" x14ac:dyDescent="0.2">
      <c r="A98" s="19" t="s">
        <v>367</v>
      </c>
      <c r="B98" s="230"/>
      <c r="C98" s="230"/>
      <c r="D98" s="164"/>
      <c r="E98" s="25"/>
      <c r="F98" s="286"/>
      <c r="G98" s="286"/>
      <c r="H98" s="164"/>
      <c r="I98" s="25"/>
      <c r="J98" s="282"/>
      <c r="K98" s="42"/>
      <c r="L98" s="249"/>
      <c r="M98" s="25"/>
    </row>
    <row r="99" spans="1:13" x14ac:dyDescent="0.2">
      <c r="A99" s="19" t="s">
        <v>9</v>
      </c>
      <c r="B99" s="286"/>
      <c r="C99" s="287"/>
      <c r="D99" s="164"/>
      <c r="E99" s="25"/>
      <c r="F99" s="230"/>
      <c r="G99" s="143"/>
      <c r="H99" s="164"/>
      <c r="I99" s="25"/>
      <c r="J99" s="282"/>
      <c r="K99" s="42"/>
      <c r="L99" s="249"/>
      <c r="M99" s="25"/>
    </row>
    <row r="100" spans="1:13" x14ac:dyDescent="0.2">
      <c r="A100" s="36" t="s">
        <v>400</v>
      </c>
      <c r="B100" s="286"/>
      <c r="C100" s="287"/>
      <c r="D100" s="164"/>
      <c r="E100" s="25"/>
      <c r="F100" s="230"/>
      <c r="G100" s="230"/>
      <c r="H100" s="164"/>
      <c r="I100" s="25"/>
      <c r="J100" s="282"/>
      <c r="K100" s="42"/>
      <c r="L100" s="249"/>
      <c r="M100" s="25"/>
    </row>
    <row r="101" spans="1:13" ht="15.75" x14ac:dyDescent="0.2">
      <c r="A101" s="288" t="s">
        <v>365</v>
      </c>
      <c r="B101" s="311"/>
      <c r="C101" s="311"/>
      <c r="D101" s="164"/>
      <c r="E101" s="21"/>
      <c r="F101" s="311"/>
      <c r="G101" s="311"/>
      <c r="H101" s="164"/>
      <c r="I101" s="21"/>
      <c r="J101" s="311"/>
      <c r="K101" s="311"/>
      <c r="L101" s="164"/>
      <c r="M101" s="21"/>
    </row>
    <row r="102" spans="1:13" x14ac:dyDescent="0.2">
      <c r="A102" s="288" t="s">
        <v>12</v>
      </c>
      <c r="B102" s="311"/>
      <c r="C102" s="311"/>
      <c r="D102" s="164"/>
      <c r="E102" s="21"/>
      <c r="F102" s="311"/>
      <c r="G102" s="311"/>
      <c r="H102" s="164"/>
      <c r="I102" s="21"/>
      <c r="J102" s="311"/>
      <c r="K102" s="311"/>
      <c r="L102" s="164"/>
      <c r="M102" s="21"/>
    </row>
    <row r="103" spans="1:13" x14ac:dyDescent="0.2">
      <c r="A103" s="288" t="s">
        <v>13</v>
      </c>
      <c r="B103" s="311"/>
      <c r="C103" s="311"/>
      <c r="D103" s="164"/>
      <c r="E103" s="21"/>
      <c r="F103" s="311"/>
      <c r="G103" s="311"/>
      <c r="H103" s="164"/>
      <c r="I103" s="21"/>
      <c r="J103" s="311"/>
      <c r="K103" s="311"/>
      <c r="L103" s="164"/>
      <c r="M103" s="21"/>
    </row>
    <row r="104" spans="1:13" ht="15.75" x14ac:dyDescent="0.2">
      <c r="A104" s="288" t="s">
        <v>366</v>
      </c>
      <c r="B104" s="311"/>
      <c r="C104" s="311"/>
      <c r="D104" s="164"/>
      <c r="E104" s="21"/>
      <c r="F104" s="311"/>
      <c r="G104" s="311"/>
      <c r="H104" s="164"/>
      <c r="I104" s="21"/>
      <c r="J104" s="311"/>
      <c r="K104" s="311"/>
      <c r="L104" s="164"/>
      <c r="M104" s="21"/>
    </row>
    <row r="105" spans="1:13" x14ac:dyDescent="0.2">
      <c r="A105" s="288" t="s">
        <v>12</v>
      </c>
      <c r="B105" s="231"/>
      <c r="C105" s="284"/>
      <c r="D105" s="164"/>
      <c r="E105" s="21"/>
      <c r="F105" s="311"/>
      <c r="G105" s="311"/>
      <c r="H105" s="164"/>
      <c r="I105" s="21"/>
      <c r="J105" s="311"/>
      <c r="K105" s="311"/>
      <c r="L105" s="164"/>
      <c r="M105" s="21"/>
    </row>
    <row r="106" spans="1:13" x14ac:dyDescent="0.2">
      <c r="A106" s="288" t="s">
        <v>13</v>
      </c>
      <c r="B106" s="231"/>
      <c r="C106" s="284"/>
      <c r="D106" s="164"/>
      <c r="E106" s="21"/>
      <c r="F106" s="311"/>
      <c r="G106" s="311"/>
      <c r="H106" s="164"/>
      <c r="I106" s="21"/>
      <c r="J106" s="311"/>
      <c r="K106" s="311"/>
      <c r="L106" s="164"/>
      <c r="M106" s="21"/>
    </row>
    <row r="107" spans="1:13" ht="15.75" x14ac:dyDescent="0.2">
      <c r="A107" s="19" t="s">
        <v>368</v>
      </c>
      <c r="B107" s="230"/>
      <c r="C107" s="143"/>
      <c r="D107" s="164"/>
      <c r="E107" s="25"/>
      <c r="F107" s="230"/>
      <c r="G107" s="143"/>
      <c r="H107" s="164"/>
      <c r="I107" s="25"/>
      <c r="J107" s="282"/>
      <c r="K107" s="42"/>
      <c r="L107" s="249"/>
      <c r="M107" s="25"/>
    </row>
    <row r="108" spans="1:13" ht="15.75" x14ac:dyDescent="0.2">
      <c r="A108" s="19" t="s">
        <v>369</v>
      </c>
      <c r="B108" s="230"/>
      <c r="C108" s="230"/>
      <c r="D108" s="164"/>
      <c r="E108" s="25"/>
      <c r="F108" s="230"/>
      <c r="G108" s="230"/>
      <c r="H108" s="164"/>
      <c r="I108" s="25"/>
      <c r="J108" s="282"/>
      <c r="K108" s="42"/>
      <c r="L108" s="249"/>
      <c r="M108" s="25"/>
    </row>
    <row r="109" spans="1:13" ht="15.75" x14ac:dyDescent="0.2">
      <c r="A109" s="36" t="s">
        <v>408</v>
      </c>
      <c r="B109" s="230"/>
      <c r="C109" s="230"/>
      <c r="D109" s="164"/>
      <c r="E109" s="25"/>
      <c r="F109" s="230"/>
      <c r="G109" s="230"/>
      <c r="H109" s="164"/>
      <c r="I109" s="25"/>
      <c r="J109" s="282"/>
      <c r="K109" s="42"/>
      <c r="L109" s="249"/>
      <c r="M109" s="25"/>
    </row>
    <row r="110" spans="1:13" ht="15.75" x14ac:dyDescent="0.2">
      <c r="A110" s="19" t="s">
        <v>370</v>
      </c>
      <c r="B110" s="230"/>
      <c r="C110" s="230"/>
      <c r="D110" s="164"/>
      <c r="E110" s="25"/>
      <c r="F110" s="230"/>
      <c r="G110" s="230"/>
      <c r="H110" s="164"/>
      <c r="I110" s="25"/>
      <c r="J110" s="282"/>
      <c r="K110" s="42"/>
      <c r="L110" s="249"/>
      <c r="M110" s="25"/>
    </row>
    <row r="111" spans="1:13" ht="15.75" x14ac:dyDescent="0.2">
      <c r="A111" s="13" t="s">
        <v>351</v>
      </c>
      <c r="B111" s="300"/>
      <c r="C111" s="157"/>
      <c r="D111" s="169"/>
      <c r="E111" s="11"/>
      <c r="F111" s="300"/>
      <c r="G111" s="157"/>
      <c r="H111" s="169"/>
      <c r="I111" s="11"/>
      <c r="J111" s="301"/>
      <c r="K111" s="232"/>
      <c r="L111" s="414"/>
      <c r="M111" s="11"/>
    </row>
    <row r="112" spans="1:13" x14ac:dyDescent="0.2">
      <c r="A112" s="19" t="s">
        <v>9</v>
      </c>
      <c r="B112" s="230"/>
      <c r="C112" s="143"/>
      <c r="D112" s="164"/>
      <c r="E112" s="25"/>
      <c r="F112" s="230"/>
      <c r="G112" s="143"/>
      <c r="H112" s="164"/>
      <c r="I112" s="25"/>
      <c r="J112" s="282"/>
      <c r="K112" s="42"/>
      <c r="L112" s="249"/>
      <c r="M112" s="25"/>
    </row>
    <row r="113" spans="1:14" x14ac:dyDescent="0.2">
      <c r="A113" s="19" t="s">
        <v>10</v>
      </c>
      <c r="B113" s="230"/>
      <c r="C113" s="143"/>
      <c r="D113" s="164"/>
      <c r="E113" s="25"/>
      <c r="F113" s="230"/>
      <c r="G113" s="143"/>
      <c r="H113" s="164"/>
      <c r="I113" s="25"/>
      <c r="J113" s="282"/>
      <c r="K113" s="42"/>
      <c r="L113" s="249"/>
      <c r="M113" s="25"/>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c r="C116" s="230"/>
      <c r="D116" s="164"/>
      <c r="E116" s="25"/>
      <c r="F116" s="230"/>
      <c r="G116" s="230"/>
      <c r="H116" s="164"/>
      <c r="I116" s="25"/>
      <c r="J116" s="282"/>
      <c r="K116" s="42"/>
      <c r="L116" s="249"/>
      <c r="M116" s="25"/>
    </row>
    <row r="117" spans="1:14" ht="15.75" x14ac:dyDescent="0.2">
      <c r="A117" s="36" t="s">
        <v>408</v>
      </c>
      <c r="B117" s="230"/>
      <c r="C117" s="230"/>
      <c r="D117" s="164"/>
      <c r="E117" s="25"/>
      <c r="F117" s="230"/>
      <c r="G117" s="230"/>
      <c r="H117" s="164"/>
      <c r="I117" s="25"/>
      <c r="J117" s="282"/>
      <c r="K117" s="42"/>
      <c r="L117" s="249"/>
      <c r="M117" s="25"/>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c r="C119" s="157"/>
      <c r="D119" s="169"/>
      <c r="E119" s="11"/>
      <c r="F119" s="300"/>
      <c r="G119" s="157"/>
      <c r="H119" s="169"/>
      <c r="I119" s="11"/>
      <c r="J119" s="301"/>
      <c r="K119" s="232"/>
      <c r="L119" s="414"/>
      <c r="M119" s="11"/>
    </row>
    <row r="120" spans="1:14" x14ac:dyDescent="0.2">
      <c r="A120" s="19" t="s">
        <v>9</v>
      </c>
      <c r="B120" s="230"/>
      <c r="C120" s="143"/>
      <c r="D120" s="164"/>
      <c r="E120" s="25"/>
      <c r="F120" s="230"/>
      <c r="G120" s="143"/>
      <c r="H120" s="164"/>
      <c r="I120" s="25"/>
      <c r="J120" s="282"/>
      <c r="K120" s="42"/>
      <c r="L120" s="249"/>
      <c r="M120" s="25"/>
    </row>
    <row r="121" spans="1:14" x14ac:dyDescent="0.2">
      <c r="A121" s="19" t="s">
        <v>10</v>
      </c>
      <c r="B121" s="230"/>
      <c r="C121" s="143"/>
      <c r="D121" s="164"/>
      <c r="E121" s="25"/>
      <c r="F121" s="230"/>
      <c r="G121" s="143"/>
      <c r="H121" s="164"/>
      <c r="I121" s="25"/>
      <c r="J121" s="282"/>
      <c r="K121" s="42"/>
      <c r="L121" s="249"/>
      <c r="M121" s="25"/>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c r="C125" s="230"/>
      <c r="D125" s="164"/>
      <c r="E125" s="25"/>
      <c r="F125" s="230"/>
      <c r="G125" s="230"/>
      <c r="H125" s="164"/>
      <c r="I125" s="25"/>
      <c r="J125" s="282"/>
      <c r="K125" s="42"/>
      <c r="L125" s="249"/>
      <c r="M125" s="25"/>
    </row>
    <row r="126" spans="1:14" ht="15.75" x14ac:dyDescent="0.2">
      <c r="A126" s="44"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291"/>
      <c r="F130" s="707"/>
      <c r="G130" s="707"/>
      <c r="H130" s="707"/>
      <c r="I130" s="291"/>
      <c r="J130" s="707"/>
      <c r="K130" s="707"/>
      <c r="L130" s="707"/>
      <c r="M130" s="291"/>
    </row>
    <row r="131" spans="1:14" s="3" customFormat="1" x14ac:dyDescent="0.2">
      <c r="A131" s="142"/>
      <c r="B131" s="705" t="s">
        <v>0</v>
      </c>
      <c r="C131" s="706"/>
      <c r="D131" s="706"/>
      <c r="E131" s="293"/>
      <c r="F131" s="705" t="s">
        <v>1</v>
      </c>
      <c r="G131" s="706"/>
      <c r="H131" s="706"/>
      <c r="I131" s="296"/>
      <c r="J131" s="705" t="s">
        <v>2</v>
      </c>
      <c r="K131" s="706"/>
      <c r="L131" s="706"/>
      <c r="M131" s="296"/>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c r="C134" s="301"/>
      <c r="D134" s="341"/>
      <c r="E134" s="11"/>
      <c r="F134" s="308"/>
      <c r="G134" s="309"/>
      <c r="H134" s="417"/>
      <c r="I134" s="22"/>
      <c r="J134" s="310"/>
      <c r="K134" s="310"/>
      <c r="L134" s="413"/>
      <c r="M134" s="11"/>
      <c r="N134" s="146"/>
    </row>
    <row r="135" spans="1:14" s="3" customFormat="1" ht="15.75" x14ac:dyDescent="0.2">
      <c r="A135" s="13" t="s">
        <v>377</v>
      </c>
      <c r="B135" s="232"/>
      <c r="C135" s="301"/>
      <c r="D135" s="169"/>
      <c r="E135" s="11"/>
      <c r="F135" s="232"/>
      <c r="G135" s="301"/>
      <c r="H135" s="418"/>
      <c r="I135" s="22"/>
      <c r="J135" s="300"/>
      <c r="K135" s="300"/>
      <c r="L135" s="414"/>
      <c r="M135" s="11"/>
      <c r="N135" s="146"/>
    </row>
    <row r="136" spans="1:14" s="3" customFormat="1" ht="15.75" x14ac:dyDescent="0.2">
      <c r="A136" s="13" t="s">
        <v>374</v>
      </c>
      <c r="B136" s="232"/>
      <c r="C136" s="301"/>
      <c r="D136" s="169"/>
      <c r="E136" s="11"/>
      <c r="F136" s="232"/>
      <c r="G136" s="301"/>
      <c r="H136" s="418"/>
      <c r="I136" s="22"/>
      <c r="J136" s="300"/>
      <c r="K136" s="300"/>
      <c r="L136" s="414"/>
      <c r="M136" s="11"/>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319" priority="12">
      <formula>kvartal &lt; 4</formula>
    </cfRule>
  </conditionalFormatting>
  <conditionalFormatting sqref="A69:A74">
    <cfRule type="expression" dxfId="318" priority="10">
      <formula>kvartal &lt; 4</formula>
    </cfRule>
  </conditionalFormatting>
  <conditionalFormatting sqref="A80:A85">
    <cfRule type="expression" dxfId="317" priority="9">
      <formula>kvartal &lt; 4</formula>
    </cfRule>
  </conditionalFormatting>
  <conditionalFormatting sqref="A90:A95">
    <cfRule type="expression" dxfId="316" priority="6">
      <formula>kvartal &lt; 4</formula>
    </cfRule>
  </conditionalFormatting>
  <conditionalFormatting sqref="A101:A106">
    <cfRule type="expression" dxfId="315" priority="5">
      <formula>kvartal &lt; 4</formula>
    </cfRule>
  </conditionalFormatting>
  <conditionalFormatting sqref="A115">
    <cfRule type="expression" dxfId="314" priority="4">
      <formula>kvartal &lt; 4</formula>
    </cfRule>
  </conditionalFormatting>
  <conditionalFormatting sqref="A123">
    <cfRule type="expression" dxfId="313" priority="3">
      <formula>kvartal &lt; 4</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7D853-0DF0-4C61-8584-51A962037551}">
  <dimension ref="A1:N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244" t="s">
        <v>403</v>
      </c>
      <c r="D1" s="24"/>
      <c r="E1" s="24"/>
      <c r="F1" s="24"/>
      <c r="G1" s="24"/>
      <c r="H1" s="24"/>
      <c r="I1" s="24"/>
      <c r="J1" s="24"/>
      <c r="K1" s="24"/>
      <c r="L1" s="24"/>
      <c r="M1" s="24"/>
    </row>
    <row r="2" spans="1:14" ht="15.75" x14ac:dyDescent="0.25">
      <c r="A2" s="163" t="s">
        <v>28</v>
      </c>
      <c r="B2" s="704"/>
      <c r="C2" s="704"/>
      <c r="D2" s="704"/>
      <c r="E2" s="564"/>
      <c r="F2" s="704"/>
      <c r="G2" s="704"/>
      <c r="H2" s="704"/>
      <c r="I2" s="564"/>
      <c r="J2" s="704"/>
      <c r="K2" s="704"/>
      <c r="L2" s="704"/>
      <c r="M2" s="564"/>
    </row>
    <row r="3" spans="1:14" ht="15.75" x14ac:dyDescent="0.25">
      <c r="A3" s="161"/>
      <c r="B3" s="564"/>
      <c r="C3" s="564"/>
      <c r="D3" s="564"/>
      <c r="E3" s="564"/>
      <c r="F3" s="564"/>
      <c r="G3" s="564"/>
      <c r="H3" s="564"/>
      <c r="I3" s="564"/>
      <c r="J3" s="564"/>
      <c r="K3" s="564"/>
      <c r="L3" s="564"/>
      <c r="M3" s="564"/>
    </row>
    <row r="4" spans="1:14" x14ac:dyDescent="0.2">
      <c r="A4" s="142"/>
      <c r="B4" s="705" t="s">
        <v>0</v>
      </c>
      <c r="C4" s="706"/>
      <c r="D4" s="706"/>
      <c r="E4" s="562"/>
      <c r="F4" s="705" t="s">
        <v>1</v>
      </c>
      <c r="G4" s="706"/>
      <c r="H4" s="706"/>
      <c r="I4" s="563"/>
      <c r="J4" s="705" t="s">
        <v>2</v>
      </c>
      <c r="K4" s="706"/>
      <c r="L4" s="706"/>
      <c r="M4" s="563"/>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c r="C7" s="299"/>
      <c r="D7" s="341"/>
      <c r="E7" s="11"/>
      <c r="F7" s="298"/>
      <c r="G7" s="299"/>
      <c r="H7" s="341"/>
      <c r="I7" s="158"/>
      <c r="J7" s="300"/>
      <c r="K7" s="301"/>
      <c r="L7" s="413"/>
      <c r="M7" s="11"/>
    </row>
    <row r="8" spans="1:14" ht="15.75" x14ac:dyDescent="0.2">
      <c r="A8" s="19" t="s">
        <v>25</v>
      </c>
      <c r="B8" s="276"/>
      <c r="C8" s="277"/>
      <c r="D8" s="164"/>
      <c r="E8" s="25"/>
      <c r="F8" s="280"/>
      <c r="G8" s="281"/>
      <c r="H8" s="164"/>
      <c r="I8" s="172"/>
      <c r="J8" s="230"/>
      <c r="K8" s="282"/>
      <c r="L8" s="164"/>
      <c r="M8" s="25"/>
    </row>
    <row r="9" spans="1:14" ht="15.75" x14ac:dyDescent="0.2">
      <c r="A9" s="19" t="s">
        <v>24</v>
      </c>
      <c r="B9" s="276"/>
      <c r="C9" s="277"/>
      <c r="D9" s="164"/>
      <c r="E9" s="25"/>
      <c r="F9" s="280"/>
      <c r="G9" s="281"/>
      <c r="H9" s="164"/>
      <c r="I9" s="172"/>
      <c r="J9" s="230"/>
      <c r="K9" s="282"/>
      <c r="L9" s="164"/>
      <c r="M9" s="25"/>
    </row>
    <row r="10" spans="1:14" ht="15.75" x14ac:dyDescent="0.2">
      <c r="A10" s="13" t="s">
        <v>350</v>
      </c>
      <c r="B10" s="302"/>
      <c r="C10" s="303"/>
      <c r="D10" s="169"/>
      <c r="E10" s="11"/>
      <c r="F10" s="302"/>
      <c r="G10" s="303"/>
      <c r="H10" s="169"/>
      <c r="I10" s="158"/>
      <c r="J10" s="300"/>
      <c r="K10" s="301"/>
      <c r="L10" s="414"/>
      <c r="M10" s="11"/>
    </row>
    <row r="11" spans="1:14" s="41" customFormat="1" ht="15.75" x14ac:dyDescent="0.2">
      <c r="A11" s="13" t="s">
        <v>351</v>
      </c>
      <c r="B11" s="302"/>
      <c r="C11" s="303"/>
      <c r="D11" s="169"/>
      <c r="E11" s="11"/>
      <c r="F11" s="302"/>
      <c r="G11" s="303"/>
      <c r="H11" s="169"/>
      <c r="I11" s="158"/>
      <c r="J11" s="300"/>
      <c r="K11" s="301"/>
      <c r="L11" s="414"/>
      <c r="M11" s="11"/>
      <c r="N11" s="141"/>
    </row>
    <row r="12" spans="1:14" s="41" customFormat="1" ht="15.75" x14ac:dyDescent="0.2">
      <c r="A12" s="39" t="s">
        <v>352</v>
      </c>
      <c r="B12" s="304"/>
      <c r="C12" s="305"/>
      <c r="D12" s="167"/>
      <c r="E12" s="34"/>
      <c r="F12" s="304"/>
      <c r="G12" s="305"/>
      <c r="H12" s="167"/>
      <c r="I12" s="167"/>
      <c r="J12" s="306"/>
      <c r="K12" s="307"/>
      <c r="L12" s="415"/>
      <c r="M12" s="34"/>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564"/>
      <c r="F18" s="707"/>
      <c r="G18" s="707"/>
      <c r="H18" s="707"/>
      <c r="I18" s="564"/>
      <c r="J18" s="707"/>
      <c r="K18" s="707"/>
      <c r="L18" s="707"/>
      <c r="M18" s="564"/>
    </row>
    <row r="19" spans="1:14" x14ac:dyDescent="0.2">
      <c r="A19" s="142"/>
      <c r="B19" s="705" t="s">
        <v>0</v>
      </c>
      <c r="C19" s="706"/>
      <c r="D19" s="706"/>
      <c r="E19" s="562"/>
      <c r="F19" s="705" t="s">
        <v>1</v>
      </c>
      <c r="G19" s="706"/>
      <c r="H19" s="706"/>
      <c r="I19" s="563"/>
      <c r="J19" s="705" t="s">
        <v>2</v>
      </c>
      <c r="K19" s="706"/>
      <c r="L19" s="706"/>
      <c r="M19" s="563"/>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302"/>
      <c r="C22" s="302"/>
      <c r="D22" s="341"/>
      <c r="E22" s="11"/>
      <c r="F22" s="310"/>
      <c r="G22" s="310"/>
      <c r="H22" s="341"/>
      <c r="I22" s="11"/>
      <c r="J22" s="308"/>
      <c r="K22" s="308"/>
      <c r="L22" s="413"/>
      <c r="M22" s="22"/>
    </row>
    <row r="23" spans="1:14" ht="15.75" x14ac:dyDescent="0.2">
      <c r="A23" s="496" t="s">
        <v>353</v>
      </c>
      <c r="B23" s="276"/>
      <c r="C23" s="276"/>
      <c r="D23" s="164"/>
      <c r="E23" s="11"/>
      <c r="F23" s="285"/>
      <c r="G23" s="285"/>
      <c r="H23" s="164"/>
      <c r="I23" s="403"/>
      <c r="J23" s="285"/>
      <c r="K23" s="285"/>
      <c r="L23" s="164"/>
      <c r="M23" s="21"/>
    </row>
    <row r="24" spans="1:14" ht="15.75" x14ac:dyDescent="0.2">
      <c r="A24" s="496" t="s">
        <v>354</v>
      </c>
      <c r="B24" s="276"/>
      <c r="C24" s="276"/>
      <c r="D24" s="164"/>
      <c r="E24" s="11"/>
      <c r="F24" s="285"/>
      <c r="G24" s="285"/>
      <c r="H24" s="164"/>
      <c r="I24" s="403"/>
      <c r="J24" s="285"/>
      <c r="K24" s="285"/>
      <c r="L24" s="164"/>
      <c r="M24" s="21"/>
    </row>
    <row r="25" spans="1:14" ht="15.75" x14ac:dyDescent="0.2">
      <c r="A25" s="496" t="s">
        <v>355</v>
      </c>
      <c r="B25" s="276"/>
      <c r="C25" s="276"/>
      <c r="D25" s="164"/>
      <c r="E25" s="11"/>
      <c r="F25" s="285"/>
      <c r="G25" s="285"/>
      <c r="H25" s="164"/>
      <c r="I25" s="403"/>
      <c r="J25" s="285"/>
      <c r="K25" s="285"/>
      <c r="L25" s="164"/>
      <c r="M25" s="21"/>
    </row>
    <row r="26" spans="1:14" ht="15.75" x14ac:dyDescent="0.2">
      <c r="A26" s="496" t="s">
        <v>356</v>
      </c>
      <c r="B26" s="276"/>
      <c r="C26" s="276"/>
      <c r="D26" s="164"/>
      <c r="E26" s="11"/>
      <c r="F26" s="285"/>
      <c r="G26" s="285"/>
      <c r="H26" s="164"/>
      <c r="I26" s="403"/>
      <c r="J26" s="285"/>
      <c r="K26" s="285"/>
      <c r="L26" s="164"/>
      <c r="M26" s="21"/>
    </row>
    <row r="27" spans="1:14" x14ac:dyDescent="0.2">
      <c r="A27" s="496" t="s">
        <v>11</v>
      </c>
      <c r="B27" s="276"/>
      <c r="C27" s="276"/>
      <c r="D27" s="164"/>
      <c r="E27" s="11"/>
      <c r="F27" s="285"/>
      <c r="G27" s="285"/>
      <c r="H27" s="164"/>
      <c r="I27" s="403"/>
      <c r="J27" s="285"/>
      <c r="K27" s="285"/>
      <c r="L27" s="164"/>
      <c r="M27" s="21"/>
    </row>
    <row r="28" spans="1:14" ht="15.75" x14ac:dyDescent="0.2">
      <c r="A28" s="47" t="s">
        <v>271</v>
      </c>
      <c r="B28" s="42"/>
      <c r="C28" s="282"/>
      <c r="D28" s="164"/>
      <c r="E28" s="11"/>
      <c r="F28" s="230"/>
      <c r="G28" s="282"/>
      <c r="H28" s="164"/>
      <c r="I28" s="25"/>
      <c r="J28" s="42"/>
      <c r="K28" s="42"/>
      <c r="L28" s="249"/>
      <c r="M28" s="21"/>
    </row>
    <row r="29" spans="1:14" s="3" customFormat="1" ht="15.75" x14ac:dyDescent="0.2">
      <c r="A29" s="13" t="s">
        <v>350</v>
      </c>
      <c r="B29" s="232"/>
      <c r="C29" s="232"/>
      <c r="D29" s="169"/>
      <c r="E29" s="11"/>
      <c r="F29" s="300"/>
      <c r="G29" s="300"/>
      <c r="H29" s="169"/>
      <c r="I29" s="11"/>
      <c r="J29" s="232"/>
      <c r="K29" s="232"/>
      <c r="L29" s="414"/>
      <c r="M29" s="22"/>
      <c r="N29" s="146"/>
    </row>
    <row r="30" spans="1:14" s="3" customFormat="1" ht="15.75" x14ac:dyDescent="0.2">
      <c r="A30" s="496" t="s">
        <v>353</v>
      </c>
      <c r="B30" s="276"/>
      <c r="C30" s="276"/>
      <c r="D30" s="164"/>
      <c r="E30" s="11"/>
      <c r="F30" s="285"/>
      <c r="G30" s="285"/>
      <c r="H30" s="164"/>
      <c r="I30" s="403"/>
      <c r="J30" s="285"/>
      <c r="K30" s="285"/>
      <c r="L30" s="164"/>
      <c r="M30" s="21"/>
      <c r="N30" s="146"/>
    </row>
    <row r="31" spans="1:14" s="3" customFormat="1" ht="15.75" x14ac:dyDescent="0.2">
      <c r="A31" s="496" t="s">
        <v>354</v>
      </c>
      <c r="B31" s="276"/>
      <c r="C31" s="276"/>
      <c r="D31" s="164"/>
      <c r="E31" s="11"/>
      <c r="F31" s="285"/>
      <c r="G31" s="285"/>
      <c r="H31" s="164"/>
      <c r="I31" s="403"/>
      <c r="J31" s="285"/>
      <c r="K31" s="285"/>
      <c r="L31" s="164"/>
      <c r="M31" s="21"/>
      <c r="N31" s="146"/>
    </row>
    <row r="32" spans="1:14" ht="15.75" x14ac:dyDescent="0.2">
      <c r="A32" s="496" t="s">
        <v>355</v>
      </c>
      <c r="B32" s="276"/>
      <c r="C32" s="276"/>
      <c r="D32" s="164"/>
      <c r="E32" s="11"/>
      <c r="F32" s="285"/>
      <c r="G32" s="285"/>
      <c r="H32" s="164"/>
      <c r="I32" s="403"/>
      <c r="J32" s="285"/>
      <c r="K32" s="285"/>
      <c r="L32" s="164"/>
      <c r="M32" s="21"/>
    </row>
    <row r="33" spans="1:14" ht="15.75" x14ac:dyDescent="0.2">
      <c r="A33" s="496" t="s">
        <v>356</v>
      </c>
      <c r="B33" s="276"/>
      <c r="C33" s="276"/>
      <c r="D33" s="164"/>
      <c r="E33" s="11"/>
      <c r="F33" s="285"/>
      <c r="G33" s="285"/>
      <c r="H33" s="164"/>
      <c r="I33" s="403"/>
      <c r="J33" s="285"/>
      <c r="K33" s="285"/>
      <c r="L33" s="164"/>
      <c r="M33" s="21"/>
    </row>
    <row r="34" spans="1:14" ht="15.75" x14ac:dyDescent="0.2">
      <c r="A34" s="13" t="s">
        <v>351</v>
      </c>
      <c r="B34" s="232"/>
      <c r="C34" s="301"/>
      <c r="D34" s="169"/>
      <c r="E34" s="11"/>
      <c r="F34" s="300"/>
      <c r="G34" s="301"/>
      <c r="H34" s="169"/>
      <c r="I34" s="11"/>
      <c r="J34" s="232"/>
      <c r="K34" s="232"/>
      <c r="L34" s="414"/>
      <c r="M34" s="22"/>
    </row>
    <row r="35" spans="1:14" ht="15.75" x14ac:dyDescent="0.2">
      <c r="A35" s="13" t="s">
        <v>352</v>
      </c>
      <c r="B35" s="232"/>
      <c r="C35" s="301"/>
      <c r="D35" s="169"/>
      <c r="E35" s="11"/>
      <c r="F35" s="300"/>
      <c r="G35" s="301"/>
      <c r="H35" s="169"/>
      <c r="I35" s="11"/>
      <c r="J35" s="232"/>
      <c r="K35" s="232"/>
      <c r="L35" s="414"/>
      <c r="M35" s="22"/>
    </row>
    <row r="36" spans="1:14" ht="15.75" x14ac:dyDescent="0.2">
      <c r="A36" s="12" t="s">
        <v>279</v>
      </c>
      <c r="B36" s="232"/>
      <c r="C36" s="301"/>
      <c r="D36" s="169"/>
      <c r="E36" s="11"/>
      <c r="F36" s="311"/>
      <c r="G36" s="312"/>
      <c r="H36" s="169"/>
      <c r="I36" s="420"/>
      <c r="J36" s="232"/>
      <c r="K36" s="232"/>
      <c r="L36" s="414"/>
      <c r="M36" s="22"/>
    </row>
    <row r="37" spans="1:14" ht="15.75" x14ac:dyDescent="0.2">
      <c r="A37" s="12" t="s">
        <v>358</v>
      </c>
      <c r="B37" s="232"/>
      <c r="C37" s="301"/>
      <c r="D37" s="169"/>
      <c r="E37" s="11"/>
      <c r="F37" s="311"/>
      <c r="G37" s="313"/>
      <c r="H37" s="169"/>
      <c r="I37" s="420"/>
      <c r="J37" s="232"/>
      <c r="K37" s="232"/>
      <c r="L37" s="414"/>
      <c r="M37" s="22"/>
    </row>
    <row r="38" spans="1:14" ht="15.75" x14ac:dyDescent="0.2">
      <c r="A38" s="12" t="s">
        <v>359</v>
      </c>
      <c r="B38" s="232"/>
      <c r="C38" s="301"/>
      <c r="D38" s="169"/>
      <c r="E38" s="22"/>
      <c r="F38" s="311"/>
      <c r="G38" s="312"/>
      <c r="H38" s="169"/>
      <c r="I38" s="420"/>
      <c r="J38" s="232"/>
      <c r="K38" s="232"/>
      <c r="L38" s="414"/>
      <c r="M38" s="22"/>
    </row>
    <row r="39" spans="1:14" ht="15.75" x14ac:dyDescent="0.2">
      <c r="A39" s="18" t="s">
        <v>360</v>
      </c>
      <c r="B39" s="271"/>
      <c r="C39" s="307"/>
      <c r="D39" s="167"/>
      <c r="E39" s="34"/>
      <c r="F39" s="314"/>
      <c r="G39" s="315"/>
      <c r="H39" s="167"/>
      <c r="I39" s="34"/>
      <c r="J39" s="232"/>
      <c r="K39" s="232"/>
      <c r="L39" s="415"/>
      <c r="M39" s="34"/>
    </row>
    <row r="40" spans="1:14" ht="15.75" x14ac:dyDescent="0.25">
      <c r="A40" s="45"/>
      <c r="B40" s="248"/>
      <c r="C40" s="248"/>
      <c r="D40" s="708"/>
      <c r="E40" s="708"/>
      <c r="F40" s="708"/>
      <c r="G40" s="708"/>
      <c r="H40" s="708"/>
      <c r="I40" s="708"/>
      <c r="J40" s="708"/>
      <c r="K40" s="708"/>
      <c r="L40" s="708"/>
      <c r="M40" s="565"/>
    </row>
    <row r="41" spans="1:14" x14ac:dyDescent="0.2">
      <c r="A41" s="153"/>
    </row>
    <row r="42" spans="1:14" ht="15.75" x14ac:dyDescent="0.25">
      <c r="A42" s="145" t="s">
        <v>268</v>
      </c>
      <c r="B42" s="704"/>
      <c r="C42" s="704"/>
      <c r="D42" s="704"/>
      <c r="E42" s="564"/>
      <c r="F42" s="709"/>
      <c r="G42" s="709"/>
      <c r="H42" s="709"/>
      <c r="I42" s="565"/>
      <c r="J42" s="709"/>
      <c r="K42" s="709"/>
      <c r="L42" s="709"/>
      <c r="M42" s="565"/>
    </row>
    <row r="43" spans="1:14" ht="15.75" x14ac:dyDescent="0.25">
      <c r="A43" s="161"/>
      <c r="B43" s="560"/>
      <c r="C43" s="560"/>
      <c r="D43" s="560"/>
      <c r="E43" s="560"/>
      <c r="F43" s="565"/>
      <c r="G43" s="565"/>
      <c r="H43" s="565"/>
      <c r="I43" s="565"/>
      <c r="J43" s="565"/>
      <c r="K43" s="565"/>
      <c r="L43" s="565"/>
      <c r="M43" s="565"/>
    </row>
    <row r="44" spans="1:14" ht="15.75" x14ac:dyDescent="0.25">
      <c r="A44" s="243"/>
      <c r="B44" s="705" t="s">
        <v>0</v>
      </c>
      <c r="C44" s="706"/>
      <c r="D44" s="706"/>
      <c r="E44" s="239"/>
      <c r="F44" s="565"/>
      <c r="G44" s="565"/>
      <c r="H44" s="565"/>
      <c r="I44" s="565"/>
      <c r="J44" s="565"/>
      <c r="K44" s="565"/>
      <c r="L44" s="565"/>
      <c r="M44" s="565"/>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c r="C47" s="303">
        <v>16353.946</v>
      </c>
      <c r="D47" s="413" t="str">
        <f t="shared" ref="D47:D48" si="0">IF(B47=0, "    ---- ", IF(ABS(ROUND(100/B47*C47-100,1))&lt;999,ROUND(100/B47*C47-100,1),IF(ROUND(100/B47*C47-100,1)&gt;999,999,-999)))</f>
        <v xml:space="preserve">    ---- </v>
      </c>
      <c r="E47" s="11">
        <f>IFERROR(100/'Skjema total MA'!C47*C47,0)</f>
        <v>0.33633340456683603</v>
      </c>
      <c r="F47" s="143"/>
      <c r="G47" s="31"/>
      <c r="H47" s="157"/>
      <c r="I47" s="157"/>
      <c r="J47" s="35"/>
      <c r="K47" s="35"/>
      <c r="L47" s="157"/>
      <c r="M47" s="157"/>
      <c r="N47" s="146"/>
    </row>
    <row r="48" spans="1:14" s="3" customFormat="1" ht="15.75" x14ac:dyDescent="0.2">
      <c r="A48" s="36" t="s">
        <v>361</v>
      </c>
      <c r="B48" s="276"/>
      <c r="C48" s="277">
        <v>16353.946</v>
      </c>
      <c r="D48" s="249" t="str">
        <f t="shared" si="0"/>
        <v xml:space="preserve">    ---- </v>
      </c>
      <c r="E48" s="25">
        <f>IFERROR(100/'Skjema total MA'!C48*C48,0)</f>
        <v>0.60301981584496711</v>
      </c>
      <c r="F48" s="143"/>
      <c r="G48" s="31"/>
      <c r="H48" s="143"/>
      <c r="I48" s="143"/>
      <c r="J48" s="31"/>
      <c r="K48" s="31"/>
      <c r="L48" s="157"/>
      <c r="M48" s="157"/>
      <c r="N48" s="146"/>
    </row>
    <row r="49" spans="1:14" s="3" customFormat="1" ht="15.75" x14ac:dyDescent="0.2">
      <c r="A49" s="36" t="s">
        <v>362</v>
      </c>
      <c r="B49" s="42"/>
      <c r="C49" s="282"/>
      <c r="D49" s="249"/>
      <c r="E49" s="25"/>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c r="C53" s="303"/>
      <c r="D53" s="414"/>
      <c r="E53" s="11"/>
      <c r="F53" s="143"/>
      <c r="G53" s="31"/>
      <c r="H53" s="143"/>
      <c r="I53" s="143"/>
      <c r="J53" s="31"/>
      <c r="K53" s="31"/>
      <c r="L53" s="157"/>
      <c r="M53" s="157"/>
      <c r="N53" s="146"/>
    </row>
    <row r="54" spans="1:14" s="3" customFormat="1" ht="15.75" x14ac:dyDescent="0.2">
      <c r="A54" s="36" t="s">
        <v>361</v>
      </c>
      <c r="B54" s="276"/>
      <c r="C54" s="277"/>
      <c r="D54" s="249"/>
      <c r="E54" s="25"/>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c r="C56" s="303"/>
      <c r="D56" s="414"/>
      <c r="E56" s="11"/>
      <c r="F56" s="143"/>
      <c r="G56" s="31"/>
      <c r="H56" s="143"/>
      <c r="I56" s="143"/>
      <c r="J56" s="31"/>
      <c r="K56" s="31"/>
      <c r="L56" s="157"/>
      <c r="M56" s="157"/>
      <c r="N56" s="146"/>
    </row>
    <row r="57" spans="1:14" s="3" customFormat="1" ht="15.75" x14ac:dyDescent="0.2">
      <c r="A57" s="36" t="s">
        <v>361</v>
      </c>
      <c r="B57" s="276"/>
      <c r="C57" s="277"/>
      <c r="D57" s="249"/>
      <c r="E57" s="25"/>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564"/>
      <c r="F62" s="707"/>
      <c r="G62" s="707"/>
      <c r="H62" s="707"/>
      <c r="I62" s="564"/>
      <c r="J62" s="707"/>
      <c r="K62" s="707"/>
      <c r="L62" s="707"/>
      <c r="M62" s="564"/>
    </row>
    <row r="63" spans="1:14" x14ac:dyDescent="0.2">
      <c r="A63" s="142"/>
      <c r="B63" s="705" t="s">
        <v>0</v>
      </c>
      <c r="C63" s="706"/>
      <c r="D63" s="710"/>
      <c r="E63" s="561"/>
      <c r="F63" s="706" t="s">
        <v>1</v>
      </c>
      <c r="G63" s="706"/>
      <c r="H63" s="706"/>
      <c r="I63" s="563"/>
      <c r="J63" s="705" t="s">
        <v>2</v>
      </c>
      <c r="K63" s="706"/>
      <c r="L63" s="706"/>
      <c r="M63" s="563"/>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c r="C66" s="344"/>
      <c r="D66" s="341"/>
      <c r="E66" s="11"/>
      <c r="F66" s="343"/>
      <c r="G66" s="343"/>
      <c r="H66" s="341"/>
      <c r="I66" s="11"/>
      <c r="J66" s="301"/>
      <c r="K66" s="308"/>
      <c r="L66" s="414"/>
      <c r="M66" s="11"/>
    </row>
    <row r="67" spans="1:14" x14ac:dyDescent="0.2">
      <c r="A67" s="405" t="s">
        <v>9</v>
      </c>
      <c r="B67" s="42"/>
      <c r="C67" s="143"/>
      <c r="D67" s="164"/>
      <c r="E67" s="25"/>
      <c r="F67" s="230"/>
      <c r="G67" s="143"/>
      <c r="H67" s="164"/>
      <c r="I67" s="25"/>
      <c r="J67" s="282"/>
      <c r="K67" s="42"/>
      <c r="L67" s="249"/>
      <c r="M67" s="25"/>
    </row>
    <row r="68" spans="1:14" x14ac:dyDescent="0.2">
      <c r="A68" s="19" t="s">
        <v>10</v>
      </c>
      <c r="B68" s="286"/>
      <c r="C68" s="287"/>
      <c r="D68" s="164"/>
      <c r="E68" s="25"/>
      <c r="F68" s="286"/>
      <c r="G68" s="287"/>
      <c r="H68" s="164"/>
      <c r="I68" s="25"/>
      <c r="J68" s="282"/>
      <c r="K68" s="42"/>
      <c r="L68" s="249"/>
      <c r="M68" s="25"/>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c r="C75" s="143"/>
      <c r="D75" s="164"/>
      <c r="E75" s="25"/>
      <c r="F75" s="230"/>
      <c r="G75" s="143"/>
      <c r="H75" s="164"/>
      <c r="I75" s="25"/>
      <c r="J75" s="282"/>
      <c r="K75" s="42"/>
      <c r="L75" s="249"/>
      <c r="M75" s="25"/>
      <c r="N75" s="146"/>
    </row>
    <row r="76" spans="1:14" s="3" customFormat="1" x14ac:dyDescent="0.2">
      <c r="A76" s="19" t="s">
        <v>336</v>
      </c>
      <c r="B76" s="230"/>
      <c r="C76" s="143"/>
      <c r="D76" s="164"/>
      <c r="E76" s="25"/>
      <c r="F76" s="230"/>
      <c r="G76" s="143"/>
      <c r="H76" s="164"/>
      <c r="I76" s="25"/>
      <c r="J76" s="282"/>
      <c r="K76" s="42"/>
      <c r="L76" s="249"/>
      <c r="M76" s="25"/>
      <c r="N76" s="146"/>
    </row>
    <row r="77" spans="1:14" ht="15.75" x14ac:dyDescent="0.2">
      <c r="A77" s="19" t="s">
        <v>367</v>
      </c>
      <c r="B77" s="230"/>
      <c r="C77" s="230"/>
      <c r="D77" s="164"/>
      <c r="E77" s="25"/>
      <c r="F77" s="230"/>
      <c r="G77" s="143"/>
      <c r="H77" s="164"/>
      <c r="I77" s="25"/>
      <c r="J77" s="282"/>
      <c r="K77" s="42"/>
      <c r="L77" s="249"/>
      <c r="M77" s="25"/>
    </row>
    <row r="78" spans="1:14" x14ac:dyDescent="0.2">
      <c r="A78" s="19" t="s">
        <v>9</v>
      </c>
      <c r="B78" s="230"/>
      <c r="C78" s="143"/>
      <c r="D78" s="164"/>
      <c r="E78" s="25"/>
      <c r="F78" s="230"/>
      <c r="G78" s="143"/>
      <c r="H78" s="164"/>
      <c r="I78" s="25"/>
      <c r="J78" s="282"/>
      <c r="K78" s="42"/>
      <c r="L78" s="249"/>
      <c r="M78" s="25"/>
    </row>
    <row r="79" spans="1:14" x14ac:dyDescent="0.2">
      <c r="A79" s="36" t="s">
        <v>400</v>
      </c>
      <c r="B79" s="286"/>
      <c r="C79" s="287"/>
      <c r="D79" s="164"/>
      <c r="E79" s="25"/>
      <c r="F79" s="286"/>
      <c r="G79" s="287"/>
      <c r="H79" s="164"/>
      <c r="I79" s="25"/>
      <c r="J79" s="282"/>
      <c r="K79" s="42"/>
      <c r="L79" s="249"/>
      <c r="M79" s="25"/>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c r="C86" s="143"/>
      <c r="D86" s="164"/>
      <c r="E86" s="25"/>
      <c r="F86" s="230"/>
      <c r="G86" s="143"/>
      <c r="H86" s="164"/>
      <c r="I86" s="25"/>
      <c r="J86" s="282"/>
      <c r="K86" s="42"/>
      <c r="L86" s="249"/>
      <c r="M86" s="25"/>
    </row>
    <row r="87" spans="1:13" ht="15.75" x14ac:dyDescent="0.2">
      <c r="A87" s="13" t="s">
        <v>350</v>
      </c>
      <c r="B87" s="344"/>
      <c r="C87" s="344"/>
      <c r="D87" s="169"/>
      <c r="E87" s="11"/>
      <c r="F87" s="343"/>
      <c r="G87" s="343"/>
      <c r="H87" s="169"/>
      <c r="I87" s="11"/>
      <c r="J87" s="301"/>
      <c r="K87" s="232"/>
      <c r="L87" s="414"/>
      <c r="M87" s="11"/>
    </row>
    <row r="88" spans="1:13" x14ac:dyDescent="0.2">
      <c r="A88" s="19" t="s">
        <v>9</v>
      </c>
      <c r="B88" s="230"/>
      <c r="C88" s="143"/>
      <c r="D88" s="164"/>
      <c r="E88" s="25"/>
      <c r="F88" s="230"/>
      <c r="G88" s="143"/>
      <c r="H88" s="164"/>
      <c r="I88" s="25"/>
      <c r="J88" s="282"/>
      <c r="K88" s="42"/>
      <c r="L88" s="249"/>
      <c r="M88" s="25"/>
    </row>
    <row r="89" spans="1:13" x14ac:dyDescent="0.2">
      <c r="A89" s="19" t="s">
        <v>10</v>
      </c>
      <c r="B89" s="230"/>
      <c r="C89" s="143"/>
      <c r="D89" s="164"/>
      <c r="E89" s="25"/>
      <c r="F89" s="230"/>
      <c r="G89" s="143"/>
      <c r="H89" s="164"/>
      <c r="I89" s="25"/>
      <c r="J89" s="282"/>
      <c r="K89" s="42"/>
      <c r="L89" s="249"/>
      <c r="M89" s="25"/>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c r="C96" s="143"/>
      <c r="D96" s="164"/>
      <c r="E96" s="25"/>
      <c r="F96" s="230"/>
      <c r="G96" s="143"/>
      <c r="H96" s="164"/>
      <c r="I96" s="25"/>
      <c r="J96" s="282"/>
      <c r="K96" s="42"/>
      <c r="L96" s="249"/>
      <c r="M96" s="25"/>
    </row>
    <row r="97" spans="1:13" x14ac:dyDescent="0.2">
      <c r="A97" s="19" t="s">
        <v>334</v>
      </c>
      <c r="B97" s="230"/>
      <c r="C97" s="143"/>
      <c r="D97" s="164"/>
      <c r="E97" s="25"/>
      <c r="F97" s="230"/>
      <c r="G97" s="143"/>
      <c r="H97" s="164"/>
      <c r="I97" s="25"/>
      <c r="J97" s="282"/>
      <c r="K97" s="42"/>
      <c r="L97" s="249"/>
      <c r="M97" s="25"/>
    </row>
    <row r="98" spans="1:13" ht="15.75" x14ac:dyDescent="0.2">
      <c r="A98" s="19" t="s">
        <v>367</v>
      </c>
      <c r="B98" s="230"/>
      <c r="C98" s="230"/>
      <c r="D98" s="164"/>
      <c r="E98" s="25"/>
      <c r="F98" s="286"/>
      <c r="G98" s="286"/>
      <c r="H98" s="164"/>
      <c r="I98" s="25"/>
      <c r="J98" s="282"/>
      <c r="K98" s="42"/>
      <c r="L98" s="249"/>
      <c r="M98" s="25"/>
    </row>
    <row r="99" spans="1:13" x14ac:dyDescent="0.2">
      <c r="A99" s="19" t="s">
        <v>9</v>
      </c>
      <c r="B99" s="286"/>
      <c r="C99" s="287"/>
      <c r="D99" s="164"/>
      <c r="E99" s="25"/>
      <c r="F99" s="230"/>
      <c r="G99" s="143"/>
      <c r="H99" s="164"/>
      <c r="I99" s="25"/>
      <c r="J99" s="282"/>
      <c r="K99" s="42"/>
      <c r="L99" s="249"/>
      <c r="M99" s="25"/>
    </row>
    <row r="100" spans="1:13" x14ac:dyDescent="0.2">
      <c r="A100" s="36" t="s">
        <v>400</v>
      </c>
      <c r="B100" s="286"/>
      <c r="C100" s="287"/>
      <c r="D100" s="164"/>
      <c r="E100" s="25"/>
      <c r="F100" s="230"/>
      <c r="G100" s="230"/>
      <c r="H100" s="164"/>
      <c r="I100" s="25"/>
      <c r="J100" s="282"/>
      <c r="K100" s="42"/>
      <c r="L100" s="249"/>
      <c r="M100" s="25"/>
    </row>
    <row r="101" spans="1:13" ht="15.75" x14ac:dyDescent="0.2">
      <c r="A101" s="288" t="s">
        <v>365</v>
      </c>
      <c r="B101" s="311"/>
      <c r="C101" s="311"/>
      <c r="D101" s="164"/>
      <c r="E101" s="21"/>
      <c r="F101" s="311"/>
      <c r="G101" s="311"/>
      <c r="H101" s="164"/>
      <c r="I101" s="21"/>
      <c r="J101" s="311"/>
      <c r="K101" s="311"/>
      <c r="L101" s="164"/>
      <c r="M101" s="21"/>
    </row>
    <row r="102" spans="1:13" x14ac:dyDescent="0.2">
      <c r="A102" s="288" t="s">
        <v>12</v>
      </c>
      <c r="B102" s="311"/>
      <c r="C102" s="311"/>
      <c r="D102" s="164"/>
      <c r="E102" s="21"/>
      <c r="F102" s="311"/>
      <c r="G102" s="311"/>
      <c r="H102" s="164"/>
      <c r="I102" s="21"/>
      <c r="J102" s="311"/>
      <c r="K102" s="311"/>
      <c r="L102" s="164"/>
      <c r="M102" s="21"/>
    </row>
    <row r="103" spans="1:13" x14ac:dyDescent="0.2">
      <c r="A103" s="288" t="s">
        <v>13</v>
      </c>
      <c r="B103" s="311"/>
      <c r="C103" s="311"/>
      <c r="D103" s="164"/>
      <c r="E103" s="21"/>
      <c r="F103" s="311"/>
      <c r="G103" s="311"/>
      <c r="H103" s="164"/>
      <c r="I103" s="21"/>
      <c r="J103" s="311"/>
      <c r="K103" s="311"/>
      <c r="L103" s="164"/>
      <c r="M103" s="21"/>
    </row>
    <row r="104" spans="1:13" ht="15.75" x14ac:dyDescent="0.2">
      <c r="A104" s="288" t="s">
        <v>366</v>
      </c>
      <c r="B104" s="311"/>
      <c r="C104" s="311"/>
      <c r="D104" s="164"/>
      <c r="E104" s="21"/>
      <c r="F104" s="311"/>
      <c r="G104" s="311"/>
      <c r="H104" s="164"/>
      <c r="I104" s="21"/>
      <c r="J104" s="311"/>
      <c r="K104" s="311"/>
      <c r="L104" s="164"/>
      <c r="M104" s="21"/>
    </row>
    <row r="105" spans="1:13" x14ac:dyDescent="0.2">
      <c r="A105" s="288" t="s">
        <v>12</v>
      </c>
      <c r="B105" s="231"/>
      <c r="C105" s="284"/>
      <c r="D105" s="164"/>
      <c r="E105" s="21"/>
      <c r="F105" s="311"/>
      <c r="G105" s="311"/>
      <c r="H105" s="164"/>
      <c r="I105" s="21"/>
      <c r="J105" s="311"/>
      <c r="K105" s="311"/>
      <c r="L105" s="164"/>
      <c r="M105" s="21"/>
    </row>
    <row r="106" spans="1:13" x14ac:dyDescent="0.2">
      <c r="A106" s="288" t="s">
        <v>13</v>
      </c>
      <c r="B106" s="231"/>
      <c r="C106" s="284"/>
      <c r="D106" s="164"/>
      <c r="E106" s="21"/>
      <c r="F106" s="311"/>
      <c r="G106" s="311"/>
      <c r="H106" s="164"/>
      <c r="I106" s="21"/>
      <c r="J106" s="311"/>
      <c r="K106" s="311"/>
      <c r="L106" s="164"/>
      <c r="M106" s="21"/>
    </row>
    <row r="107" spans="1:13" ht="15.75" x14ac:dyDescent="0.2">
      <c r="A107" s="19" t="s">
        <v>368</v>
      </c>
      <c r="B107" s="230"/>
      <c r="C107" s="143"/>
      <c r="D107" s="164"/>
      <c r="E107" s="25"/>
      <c r="F107" s="230"/>
      <c r="G107" s="143"/>
      <c r="H107" s="164"/>
      <c r="I107" s="25"/>
      <c r="J107" s="282"/>
      <c r="K107" s="42"/>
      <c r="L107" s="249"/>
      <c r="M107" s="25"/>
    </row>
    <row r="108" spans="1:13" ht="15.75" x14ac:dyDescent="0.2">
      <c r="A108" s="19" t="s">
        <v>369</v>
      </c>
      <c r="B108" s="230"/>
      <c r="C108" s="230"/>
      <c r="D108" s="164"/>
      <c r="E108" s="25"/>
      <c r="F108" s="230"/>
      <c r="G108" s="230"/>
      <c r="H108" s="164"/>
      <c r="I108" s="25"/>
      <c r="J108" s="282"/>
      <c r="K108" s="42"/>
      <c r="L108" s="249"/>
      <c r="M108" s="25"/>
    </row>
    <row r="109" spans="1:13" ht="15.75" x14ac:dyDescent="0.2">
      <c r="A109" s="36" t="s">
        <v>408</v>
      </c>
      <c r="B109" s="230"/>
      <c r="C109" s="230"/>
      <c r="D109" s="164"/>
      <c r="E109" s="25"/>
      <c r="F109" s="230"/>
      <c r="G109" s="230"/>
      <c r="H109" s="164"/>
      <c r="I109" s="25"/>
      <c r="J109" s="282"/>
      <c r="K109" s="42"/>
      <c r="L109" s="249"/>
      <c r="M109" s="25"/>
    </row>
    <row r="110" spans="1:13" ht="15.75" x14ac:dyDescent="0.2">
      <c r="A110" s="19" t="s">
        <v>370</v>
      </c>
      <c r="B110" s="230"/>
      <c r="C110" s="230"/>
      <c r="D110" s="164"/>
      <c r="E110" s="25"/>
      <c r="F110" s="230"/>
      <c r="G110" s="230"/>
      <c r="H110" s="164"/>
      <c r="I110" s="25"/>
      <c r="J110" s="282"/>
      <c r="K110" s="42"/>
      <c r="L110" s="249"/>
      <c r="M110" s="25"/>
    </row>
    <row r="111" spans="1:13" ht="15.75" x14ac:dyDescent="0.2">
      <c r="A111" s="13" t="s">
        <v>351</v>
      </c>
      <c r="B111" s="300"/>
      <c r="C111" s="157"/>
      <c r="D111" s="169"/>
      <c r="E111" s="11"/>
      <c r="F111" s="300"/>
      <c r="G111" s="157"/>
      <c r="H111" s="169"/>
      <c r="I111" s="11"/>
      <c r="J111" s="301"/>
      <c r="K111" s="232"/>
      <c r="L111" s="414"/>
      <c r="M111" s="11"/>
    </row>
    <row r="112" spans="1:13" x14ac:dyDescent="0.2">
      <c r="A112" s="19" t="s">
        <v>9</v>
      </c>
      <c r="B112" s="230"/>
      <c r="C112" s="143"/>
      <c r="D112" s="164"/>
      <c r="E112" s="25"/>
      <c r="F112" s="230"/>
      <c r="G112" s="143"/>
      <c r="H112" s="164"/>
      <c r="I112" s="25"/>
      <c r="J112" s="282"/>
      <c r="K112" s="42"/>
      <c r="L112" s="249"/>
      <c r="M112" s="25"/>
    </row>
    <row r="113" spans="1:14" x14ac:dyDescent="0.2">
      <c r="A113" s="19" t="s">
        <v>10</v>
      </c>
      <c r="B113" s="230"/>
      <c r="C113" s="143"/>
      <c r="D113" s="164"/>
      <c r="E113" s="25"/>
      <c r="F113" s="230"/>
      <c r="G113" s="143"/>
      <c r="H113" s="164"/>
      <c r="I113" s="25"/>
      <c r="J113" s="282"/>
      <c r="K113" s="42"/>
      <c r="L113" s="249"/>
      <c r="M113" s="25"/>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c r="C116" s="230"/>
      <c r="D116" s="164"/>
      <c r="E116" s="25"/>
      <c r="F116" s="230"/>
      <c r="G116" s="230"/>
      <c r="H116" s="164"/>
      <c r="I116" s="25"/>
      <c r="J116" s="282"/>
      <c r="K116" s="42"/>
      <c r="L116" s="249"/>
      <c r="M116" s="25"/>
    </row>
    <row r="117" spans="1:14" ht="15.75" x14ac:dyDescent="0.2">
      <c r="A117" s="36" t="s">
        <v>408</v>
      </c>
      <c r="B117" s="230"/>
      <c r="C117" s="230"/>
      <c r="D117" s="164"/>
      <c r="E117" s="25"/>
      <c r="F117" s="230"/>
      <c r="G117" s="230"/>
      <c r="H117" s="164"/>
      <c r="I117" s="25"/>
      <c r="J117" s="282"/>
      <c r="K117" s="42"/>
      <c r="L117" s="249"/>
      <c r="M117" s="25"/>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c r="C119" s="157"/>
      <c r="D119" s="169"/>
      <c r="E119" s="11"/>
      <c r="F119" s="300"/>
      <c r="G119" s="157"/>
      <c r="H119" s="169"/>
      <c r="I119" s="11"/>
      <c r="J119" s="301"/>
      <c r="K119" s="232"/>
      <c r="L119" s="414"/>
      <c r="M119" s="11"/>
    </row>
    <row r="120" spans="1:14" x14ac:dyDescent="0.2">
      <c r="A120" s="19" t="s">
        <v>9</v>
      </c>
      <c r="B120" s="230"/>
      <c r="C120" s="143"/>
      <c r="D120" s="164"/>
      <c r="E120" s="25"/>
      <c r="F120" s="230"/>
      <c r="G120" s="143"/>
      <c r="H120" s="164"/>
      <c r="I120" s="25"/>
      <c r="J120" s="282"/>
      <c r="K120" s="42"/>
      <c r="L120" s="249"/>
      <c r="M120" s="25"/>
    </row>
    <row r="121" spans="1:14" x14ac:dyDescent="0.2">
      <c r="A121" s="19" t="s">
        <v>10</v>
      </c>
      <c r="B121" s="230"/>
      <c r="C121" s="143"/>
      <c r="D121" s="164"/>
      <c r="E121" s="25"/>
      <c r="F121" s="230"/>
      <c r="G121" s="143"/>
      <c r="H121" s="164"/>
      <c r="I121" s="25"/>
      <c r="J121" s="282"/>
      <c r="K121" s="42"/>
      <c r="L121" s="249"/>
      <c r="M121" s="25"/>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c r="C125" s="230"/>
      <c r="D125" s="164"/>
      <c r="E125" s="25"/>
      <c r="F125" s="230"/>
      <c r="G125" s="230"/>
      <c r="H125" s="164"/>
      <c r="I125" s="25"/>
      <c r="J125" s="282"/>
      <c r="K125" s="42"/>
      <c r="L125" s="249"/>
      <c r="M125" s="25"/>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564"/>
      <c r="F130" s="707"/>
      <c r="G130" s="707"/>
      <c r="H130" s="707"/>
      <c r="I130" s="564"/>
      <c r="J130" s="707"/>
      <c r="K130" s="707"/>
      <c r="L130" s="707"/>
      <c r="M130" s="564"/>
    </row>
    <row r="131" spans="1:14" s="3" customFormat="1" x14ac:dyDescent="0.2">
      <c r="A131" s="142"/>
      <c r="B131" s="705" t="s">
        <v>0</v>
      </c>
      <c r="C131" s="706"/>
      <c r="D131" s="706"/>
      <c r="E131" s="562"/>
      <c r="F131" s="705" t="s">
        <v>1</v>
      </c>
      <c r="G131" s="706"/>
      <c r="H131" s="706"/>
      <c r="I131" s="563"/>
      <c r="J131" s="705" t="s">
        <v>2</v>
      </c>
      <c r="K131" s="706"/>
      <c r="L131" s="706"/>
      <c r="M131" s="563"/>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c r="C134" s="301"/>
      <c r="D134" s="341"/>
      <c r="E134" s="11"/>
      <c r="F134" s="308"/>
      <c r="G134" s="309"/>
      <c r="H134" s="417"/>
      <c r="I134" s="22"/>
      <c r="J134" s="310"/>
      <c r="K134" s="310"/>
      <c r="L134" s="413"/>
      <c r="M134" s="11"/>
      <c r="N134" s="146"/>
    </row>
    <row r="135" spans="1:14" s="3" customFormat="1" ht="15.75" x14ac:dyDescent="0.2">
      <c r="A135" s="13" t="s">
        <v>377</v>
      </c>
      <c r="B135" s="232"/>
      <c r="C135" s="301"/>
      <c r="D135" s="169"/>
      <c r="E135" s="11"/>
      <c r="F135" s="232"/>
      <c r="G135" s="301"/>
      <c r="H135" s="418"/>
      <c r="I135" s="22"/>
      <c r="J135" s="300"/>
      <c r="K135" s="300"/>
      <c r="L135" s="414"/>
      <c r="M135" s="11"/>
      <c r="N135" s="146"/>
    </row>
    <row r="136" spans="1:14" s="3" customFormat="1" ht="15.75" x14ac:dyDescent="0.2">
      <c r="A136" s="13" t="s">
        <v>374</v>
      </c>
      <c r="B136" s="232"/>
      <c r="C136" s="301"/>
      <c r="D136" s="169"/>
      <c r="E136" s="11"/>
      <c r="F136" s="232"/>
      <c r="G136" s="301"/>
      <c r="H136" s="418"/>
      <c r="I136" s="22"/>
      <c r="J136" s="300"/>
      <c r="K136" s="300"/>
      <c r="L136" s="414"/>
      <c r="M136" s="11"/>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30:D130"/>
    <mergeCell ref="F130:H130"/>
    <mergeCell ref="J130:L130"/>
    <mergeCell ref="B131:D131"/>
    <mergeCell ref="F131:H131"/>
    <mergeCell ref="J131:L131"/>
    <mergeCell ref="B44:D44"/>
    <mergeCell ref="B62:D62"/>
    <mergeCell ref="F62:H62"/>
    <mergeCell ref="J62:L62"/>
    <mergeCell ref="B63:D63"/>
    <mergeCell ref="F63:H63"/>
    <mergeCell ref="J63:L63"/>
    <mergeCell ref="D40:F40"/>
    <mergeCell ref="G40:I40"/>
    <mergeCell ref="J40:L40"/>
    <mergeCell ref="B42:D42"/>
    <mergeCell ref="F42:H42"/>
    <mergeCell ref="J42:L42"/>
    <mergeCell ref="B18:D18"/>
    <mergeCell ref="F18:H18"/>
    <mergeCell ref="J18:L18"/>
    <mergeCell ref="B19:D19"/>
    <mergeCell ref="F19:H19"/>
    <mergeCell ref="J19:L19"/>
    <mergeCell ref="B2:D2"/>
    <mergeCell ref="F2:H2"/>
    <mergeCell ref="J2:L2"/>
    <mergeCell ref="B4:D4"/>
    <mergeCell ref="F4:H4"/>
    <mergeCell ref="J4:L4"/>
  </mergeCells>
  <conditionalFormatting sqref="A50:A52">
    <cfRule type="expression" dxfId="312" priority="7">
      <formula>kvartal &lt; 4</formula>
    </cfRule>
  </conditionalFormatting>
  <conditionalFormatting sqref="A69:A74">
    <cfRule type="expression" dxfId="311" priority="6">
      <formula>kvartal &lt; 4</formula>
    </cfRule>
  </conditionalFormatting>
  <conditionalFormatting sqref="A80:A85">
    <cfRule type="expression" dxfId="310" priority="5">
      <formula>kvartal &lt; 4</formula>
    </cfRule>
  </conditionalFormatting>
  <conditionalFormatting sqref="A90:A95">
    <cfRule type="expression" dxfId="309" priority="4">
      <formula>kvartal &lt; 4</formula>
    </cfRule>
  </conditionalFormatting>
  <conditionalFormatting sqref="A101:A106">
    <cfRule type="expression" dxfId="308" priority="3">
      <formula>kvartal &lt; 4</formula>
    </cfRule>
  </conditionalFormatting>
  <conditionalFormatting sqref="A115">
    <cfRule type="expression" dxfId="307" priority="2">
      <formula>kvartal &lt; 4</formula>
    </cfRule>
  </conditionalFormatting>
  <conditionalFormatting sqref="A123">
    <cfRule type="expression" dxfId="306" priority="1">
      <formula>kvartal &lt; 4</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25"/>
  <dimension ref="A1:N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244" t="s">
        <v>128</v>
      </c>
      <c r="D1" s="24"/>
      <c r="E1" s="24"/>
      <c r="F1" s="24"/>
      <c r="G1" s="24"/>
      <c r="H1" s="24"/>
      <c r="I1" s="24"/>
      <c r="J1" s="24"/>
      <c r="K1" s="24"/>
      <c r="L1" s="24"/>
      <c r="M1" s="24"/>
    </row>
    <row r="2" spans="1:14" ht="15.75" x14ac:dyDescent="0.25">
      <c r="A2" s="163" t="s">
        <v>28</v>
      </c>
      <c r="B2" s="704"/>
      <c r="C2" s="704"/>
      <c r="D2" s="704"/>
      <c r="E2" s="291"/>
      <c r="F2" s="704"/>
      <c r="G2" s="704"/>
      <c r="H2" s="704"/>
      <c r="I2" s="291"/>
      <c r="J2" s="704"/>
      <c r="K2" s="704"/>
      <c r="L2" s="704"/>
      <c r="M2" s="291"/>
    </row>
    <row r="3" spans="1:14" ht="15.75" x14ac:dyDescent="0.25">
      <c r="A3" s="161"/>
      <c r="B3" s="291"/>
      <c r="C3" s="291"/>
      <c r="D3" s="291"/>
      <c r="E3" s="291"/>
      <c r="F3" s="291"/>
      <c r="G3" s="291"/>
      <c r="H3" s="291"/>
      <c r="I3" s="291"/>
      <c r="J3" s="291"/>
      <c r="K3" s="291"/>
      <c r="L3" s="291"/>
      <c r="M3" s="291"/>
    </row>
    <row r="4" spans="1:14" x14ac:dyDescent="0.2">
      <c r="A4" s="142"/>
      <c r="B4" s="705" t="s">
        <v>0</v>
      </c>
      <c r="C4" s="706"/>
      <c r="D4" s="706"/>
      <c r="E4" s="293"/>
      <c r="F4" s="705" t="s">
        <v>1</v>
      </c>
      <c r="G4" s="706"/>
      <c r="H4" s="706"/>
      <c r="I4" s="296"/>
      <c r="J4" s="705" t="s">
        <v>2</v>
      </c>
      <c r="K4" s="706"/>
      <c r="L4" s="706"/>
      <c r="M4" s="296"/>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v>384995.08605152997</v>
      </c>
      <c r="C7" s="299">
        <v>396106.26944140397</v>
      </c>
      <c r="D7" s="341">
        <f>IF(B7=0, "    ---- ", IF(ABS(ROUND(100/B7*C7-100,1))&lt;999,ROUND(100/B7*C7-100,1),IF(ROUND(100/B7*C7-100,1)&gt;999,999,-999)))</f>
        <v>2.9</v>
      </c>
      <c r="E7" s="11">
        <f>IFERROR(100/'Skjema total MA'!C7*C7,0)</f>
        <v>9.9379619600453601</v>
      </c>
      <c r="F7" s="298">
        <v>8289941.1238000002</v>
      </c>
      <c r="G7" s="299">
        <v>5216410.1561899995</v>
      </c>
      <c r="H7" s="341">
        <f>IF(F7=0, "    ---- ", IF(ABS(ROUND(100/F7*G7-100,1))&lt;999,ROUND(100/F7*G7-100,1),IF(ROUND(100/F7*G7-100,1)&gt;999,999,-999)))</f>
        <v>-37.1</v>
      </c>
      <c r="I7" s="158">
        <f>IFERROR(100/'Skjema total MA'!F7*G7,0)</f>
        <v>72.327725171751396</v>
      </c>
      <c r="J7" s="300">
        <f t="shared" ref="J7:K12" si="0">SUM(B7,F7)</f>
        <v>8674936.2098515294</v>
      </c>
      <c r="K7" s="301">
        <f t="shared" si="0"/>
        <v>5612516.4256314039</v>
      </c>
      <c r="L7" s="413">
        <f>IF(J7=0, "    ---- ", IF(ABS(ROUND(100/J7*K7-100,1))&lt;999,ROUND(100/J7*K7-100,1),IF(ROUND(100/J7*K7-100,1)&gt;999,999,-999)))</f>
        <v>-35.299999999999997</v>
      </c>
      <c r="M7" s="11">
        <f>IFERROR(100/'Skjema total MA'!I7*K7,0)</f>
        <v>50.120811913470234</v>
      </c>
    </row>
    <row r="8" spans="1:14" ht="15.75" x14ac:dyDescent="0.2">
      <c r="A8" s="19" t="s">
        <v>25</v>
      </c>
      <c r="B8" s="276">
        <v>325724.93331890501</v>
      </c>
      <c r="C8" s="277">
        <v>339216.62968050101</v>
      </c>
      <c r="D8" s="164">
        <f t="shared" ref="D8:D10" si="1">IF(B8=0, "    ---- ", IF(ABS(ROUND(100/B8*C8-100,1))&lt;999,ROUND(100/B8*C8-100,1),IF(ROUND(100/B8*C8-100,1)&gt;999,999,-999)))</f>
        <v>4.0999999999999996</v>
      </c>
      <c r="E8" s="25">
        <f>IFERROR(100/'Skjema total MA'!C8*C8,0)</f>
        <v>13.011722987096912</v>
      </c>
      <c r="F8" s="280"/>
      <c r="G8" s="281"/>
      <c r="H8" s="164"/>
      <c r="I8" s="172"/>
      <c r="J8" s="230">
        <f t="shared" si="0"/>
        <v>325724.93331890501</v>
      </c>
      <c r="K8" s="282">
        <f t="shared" si="0"/>
        <v>339216.62968050101</v>
      </c>
      <c r="L8" s="164">
        <f t="shared" ref="L8:L9" si="2">IF(J8=0, "    ---- ", IF(ABS(ROUND(100/J8*K8-100,1))&lt;999,ROUND(100/J8*K8-100,1),IF(ROUND(100/J8*K8-100,1)&gt;999,999,-999)))</f>
        <v>4.0999999999999996</v>
      </c>
      <c r="M8" s="25">
        <f>IFERROR(100/'Skjema total MA'!I8*K8,0)</f>
        <v>13.011722987096912</v>
      </c>
    </row>
    <row r="9" spans="1:14" ht="15.75" x14ac:dyDescent="0.2">
      <c r="A9" s="19" t="s">
        <v>24</v>
      </c>
      <c r="B9" s="276">
        <v>54276.531361988498</v>
      </c>
      <c r="C9" s="277">
        <v>52304.886731856801</v>
      </c>
      <c r="D9" s="164">
        <f t="shared" si="1"/>
        <v>-3.6</v>
      </c>
      <c r="E9" s="25">
        <f>IFERROR(100/'Skjema total MA'!C9*C9,0)</f>
        <v>6.4485711637885812</v>
      </c>
      <c r="F9" s="280"/>
      <c r="G9" s="281"/>
      <c r="H9" s="164"/>
      <c r="I9" s="172"/>
      <c r="J9" s="230">
        <f t="shared" si="0"/>
        <v>54276.531361988498</v>
      </c>
      <c r="K9" s="282">
        <f t="shared" si="0"/>
        <v>52304.886731856801</v>
      </c>
      <c r="L9" s="164">
        <f t="shared" si="2"/>
        <v>-3.6</v>
      </c>
      <c r="M9" s="25">
        <f>IFERROR(100/'Skjema total MA'!I9*K9,0)</f>
        <v>6.4485711637885812</v>
      </c>
    </row>
    <row r="10" spans="1:14" ht="15.75" x14ac:dyDescent="0.2">
      <c r="A10" s="13" t="s">
        <v>350</v>
      </c>
      <c r="B10" s="302">
        <v>764381.96279112296</v>
      </c>
      <c r="C10" s="303">
        <v>720555.28834595694</v>
      </c>
      <c r="D10" s="169">
        <f t="shared" si="1"/>
        <v>-5.7</v>
      </c>
      <c r="E10" s="11">
        <f>IFERROR(100/'Skjema total MA'!C10*C10,0)</f>
        <v>4.5802867562189125</v>
      </c>
      <c r="F10" s="302">
        <v>45851515.713720001</v>
      </c>
      <c r="G10" s="303">
        <v>43409145.596840002</v>
      </c>
      <c r="H10" s="169">
        <f t="shared" ref="H10:H12" si="3">IF(F10=0, "    ---- ", IF(ABS(ROUND(100/F10*G10-100,1))&lt;999,ROUND(100/F10*G10-100,1),IF(ROUND(100/F10*G10-100,1)&gt;999,999,-999)))</f>
        <v>-5.3</v>
      </c>
      <c r="I10" s="158">
        <f>IFERROR(100/'Skjema total MA'!F10*G10,0)</f>
        <v>62.930487053527941</v>
      </c>
      <c r="J10" s="300">
        <f t="shared" si="0"/>
        <v>46615897.676511124</v>
      </c>
      <c r="K10" s="301">
        <f t="shared" si="0"/>
        <v>44129700.885185957</v>
      </c>
      <c r="L10" s="414">
        <f t="shared" ref="L10:L12" si="4">IF(J10=0, "    ---- ", IF(ABS(ROUND(100/J10*K10-100,1))&lt;999,ROUND(100/J10*K10-100,1),IF(ROUND(100/J10*K10-100,1)&gt;999,999,-999)))</f>
        <v>-5.3</v>
      </c>
      <c r="M10" s="11">
        <f>IFERROR(100/'Skjema total MA'!I10*K10,0)</f>
        <v>52.094305735836393</v>
      </c>
    </row>
    <row r="11" spans="1:14" s="41" customFormat="1" ht="15.75" x14ac:dyDescent="0.2">
      <c r="A11" s="13" t="s">
        <v>351</v>
      </c>
      <c r="B11" s="302"/>
      <c r="C11" s="303"/>
      <c r="D11" s="169"/>
      <c r="E11" s="11"/>
      <c r="F11" s="302">
        <v>255205.34596999999</v>
      </c>
      <c r="G11" s="303">
        <v>74906.103300000002</v>
      </c>
      <c r="H11" s="169">
        <f t="shared" si="3"/>
        <v>-70.599999999999994</v>
      </c>
      <c r="I11" s="158">
        <f>IFERROR(100/'Skjema total MA'!F11*G11,0)</f>
        <v>44.312143444162885</v>
      </c>
      <c r="J11" s="300">
        <f t="shared" si="0"/>
        <v>255205.34596999999</v>
      </c>
      <c r="K11" s="301">
        <f t="shared" si="0"/>
        <v>74906.103300000002</v>
      </c>
      <c r="L11" s="414">
        <f t="shared" si="4"/>
        <v>-70.599999999999994</v>
      </c>
      <c r="M11" s="11">
        <f>IFERROR(100/'Skjema total MA'!I11*K11,0)</f>
        <v>37.122856500323685</v>
      </c>
      <c r="N11" s="141"/>
    </row>
    <row r="12" spans="1:14" s="41" customFormat="1" ht="15.75" x14ac:dyDescent="0.2">
      <c r="A12" s="39" t="s">
        <v>352</v>
      </c>
      <c r="B12" s="304"/>
      <c r="C12" s="305"/>
      <c r="D12" s="167"/>
      <c r="E12" s="34"/>
      <c r="F12" s="304">
        <v>34246.703840000002</v>
      </c>
      <c r="G12" s="305">
        <v>44609.3436</v>
      </c>
      <c r="H12" s="167">
        <f t="shared" si="3"/>
        <v>30.3</v>
      </c>
      <c r="I12" s="167">
        <f>IFERROR(100/'Skjema total MA'!F12*G12,0)</f>
        <v>33.712712232884648</v>
      </c>
      <c r="J12" s="306">
        <f t="shared" si="0"/>
        <v>34246.703840000002</v>
      </c>
      <c r="K12" s="307">
        <f t="shared" si="0"/>
        <v>44609.3436</v>
      </c>
      <c r="L12" s="415">
        <f t="shared" si="4"/>
        <v>30.3</v>
      </c>
      <c r="M12" s="34">
        <f>IFERROR(100/'Skjema total MA'!I12*K12,0)</f>
        <v>32.984579804349721</v>
      </c>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291"/>
      <c r="F18" s="707"/>
      <c r="G18" s="707"/>
      <c r="H18" s="707"/>
      <c r="I18" s="291"/>
      <c r="J18" s="707"/>
      <c r="K18" s="707"/>
      <c r="L18" s="707"/>
      <c r="M18" s="291"/>
    </row>
    <row r="19" spans="1:14" x14ac:dyDescent="0.2">
      <c r="A19" s="142"/>
      <c r="B19" s="705" t="s">
        <v>0</v>
      </c>
      <c r="C19" s="706"/>
      <c r="D19" s="706"/>
      <c r="E19" s="293"/>
      <c r="F19" s="705" t="s">
        <v>1</v>
      </c>
      <c r="G19" s="706"/>
      <c r="H19" s="706"/>
      <c r="I19" s="296"/>
      <c r="J19" s="705" t="s">
        <v>2</v>
      </c>
      <c r="K19" s="706"/>
      <c r="L19" s="706"/>
      <c r="M19" s="296"/>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302">
        <v>141059.11922485201</v>
      </c>
      <c r="C22" s="302">
        <v>152554.865651509</v>
      </c>
      <c r="D22" s="341">
        <f t="shared" ref="D22:D34" si="5">IF(B22=0, "    ---- ", IF(ABS(ROUND(100/B22*C22-100,1))&lt;999,ROUND(100/B22*C22-100,1),IF(ROUND(100/B22*C22-100,1)&gt;999,999,-999)))</f>
        <v>8.1</v>
      </c>
      <c r="E22" s="11">
        <f>IFERROR(100/'Skjema total MA'!C22*C22,0)</f>
        <v>9.0965931410374186</v>
      </c>
      <c r="F22" s="310">
        <v>246107.03599</v>
      </c>
      <c r="G22" s="310">
        <v>169424.16802000001</v>
      </c>
      <c r="H22" s="341">
        <f t="shared" ref="H22:H35" si="6">IF(F22=0, "    ---- ", IF(ABS(ROUND(100/F22*G22-100,1))&lt;999,ROUND(100/F22*G22-100,1),IF(ROUND(100/F22*G22-100,1)&gt;999,999,-999)))</f>
        <v>-31.2</v>
      </c>
      <c r="I22" s="11">
        <f>IFERROR(100/'Skjema total MA'!F22*G22,0)</f>
        <v>24.072794235464993</v>
      </c>
      <c r="J22" s="308">
        <f t="shared" ref="J22:K35" si="7">SUM(B22,F22)</f>
        <v>387166.15521485201</v>
      </c>
      <c r="K22" s="308">
        <f t="shared" si="7"/>
        <v>321979.03367150901</v>
      </c>
      <c r="L22" s="413">
        <f t="shared" ref="L22:L35" si="8">IF(J22=0, "    ---- ", IF(ABS(ROUND(100/J22*K22-100,1))&lt;999,ROUND(100/J22*K22-100,1),IF(ROUND(100/J22*K22-100,1)&gt;999,999,-999)))</f>
        <v>-16.8</v>
      </c>
      <c r="M22" s="22">
        <f>IFERROR(100/'Skjema total MA'!I22*K22,0)</f>
        <v>13.523676533915296</v>
      </c>
    </row>
    <row r="23" spans="1:14" ht="15.75" x14ac:dyDescent="0.2">
      <c r="A23" s="496" t="s">
        <v>353</v>
      </c>
      <c r="B23" s="276">
        <v>140506.92022485199</v>
      </c>
      <c r="C23" s="276">
        <v>152199.04565150899</v>
      </c>
      <c r="D23" s="164">
        <f t="shared" si="5"/>
        <v>8.3000000000000007</v>
      </c>
      <c r="E23" s="11">
        <f>IFERROR(100/'Skjema total MA'!C23*C23,0)</f>
        <v>25.093148234139303</v>
      </c>
      <c r="F23" s="285">
        <v>2460.3706099999999</v>
      </c>
      <c r="G23" s="285">
        <v>1934.568</v>
      </c>
      <c r="H23" s="164">
        <f t="shared" si="6"/>
        <v>-21.4</v>
      </c>
      <c r="I23" s="403">
        <f>IFERROR(100/'Skjema total MA'!F23*G23,0)</f>
        <v>2.6578481727518439</v>
      </c>
      <c r="J23" s="285">
        <f t="shared" ref="J23:J26" si="9">SUM(B23,F23)</f>
        <v>142967.290834852</v>
      </c>
      <c r="K23" s="285">
        <f t="shared" ref="K23:K26" si="10">SUM(C23,G23)</f>
        <v>154133.61365150899</v>
      </c>
      <c r="L23" s="164">
        <f t="shared" si="8"/>
        <v>7.8</v>
      </c>
      <c r="M23" s="21">
        <f>IFERROR(100/'Skjema total MA'!I23*K23,0)</f>
        <v>22.689287962284787</v>
      </c>
    </row>
    <row r="24" spans="1:14" ht="15.75" x14ac:dyDescent="0.2">
      <c r="A24" s="496" t="s">
        <v>354</v>
      </c>
      <c r="B24" s="276">
        <v>464.22899999999998</v>
      </c>
      <c r="C24" s="276">
        <v>355.82</v>
      </c>
      <c r="D24" s="164">
        <f t="shared" si="5"/>
        <v>-23.4</v>
      </c>
      <c r="E24" s="11">
        <f>IFERROR(100/'Skjema total MA'!C24*C24,0)</f>
        <v>2.2895528129185454</v>
      </c>
      <c r="F24" s="285"/>
      <c r="G24" s="285"/>
      <c r="H24" s="164"/>
      <c r="I24" s="403"/>
      <c r="J24" s="285">
        <f t="shared" si="9"/>
        <v>464.22899999999998</v>
      </c>
      <c r="K24" s="285">
        <f t="shared" si="10"/>
        <v>355.82</v>
      </c>
      <c r="L24" s="164">
        <f t="shared" si="8"/>
        <v>-23.4</v>
      </c>
      <c r="M24" s="21">
        <f>IFERROR(100/'Skjema total MA'!I24*K24,0)</f>
        <v>2.1468918953323741</v>
      </c>
    </row>
    <row r="25" spans="1:14" ht="15.75" x14ac:dyDescent="0.2">
      <c r="A25" s="496" t="s">
        <v>355</v>
      </c>
      <c r="B25" s="276">
        <v>87.97</v>
      </c>
      <c r="C25" s="276">
        <v>0</v>
      </c>
      <c r="D25" s="164">
        <f t="shared" si="5"/>
        <v>-100</v>
      </c>
      <c r="E25" s="11">
        <f>IFERROR(100/'Skjema total MA'!C25*C25,0)</f>
        <v>0</v>
      </c>
      <c r="F25" s="285">
        <v>707.34799999999996</v>
      </c>
      <c r="G25" s="285">
        <v>719.72721000000001</v>
      </c>
      <c r="H25" s="164">
        <f t="shared" si="6"/>
        <v>1.8</v>
      </c>
      <c r="I25" s="403">
        <f>IFERROR(100/'Skjema total MA'!F25*G25,0)</f>
        <v>5.4758086500986058</v>
      </c>
      <c r="J25" s="285">
        <f t="shared" si="9"/>
        <v>795.31799999999998</v>
      </c>
      <c r="K25" s="285">
        <f t="shared" si="10"/>
        <v>719.72721000000001</v>
      </c>
      <c r="L25" s="164">
        <f t="shared" si="8"/>
        <v>-9.5</v>
      </c>
      <c r="M25" s="21">
        <f>IFERROR(100/'Skjema total MA'!I25*K25,0)</f>
        <v>2.0972440680326843</v>
      </c>
    </row>
    <row r="26" spans="1:14" ht="15.75" x14ac:dyDescent="0.2">
      <c r="A26" s="496" t="s">
        <v>356</v>
      </c>
      <c r="B26" s="276"/>
      <c r="C26" s="276"/>
      <c r="D26" s="164"/>
      <c r="E26" s="11"/>
      <c r="F26" s="285">
        <v>242939.31737999999</v>
      </c>
      <c r="G26" s="285">
        <v>166769.87281</v>
      </c>
      <c r="H26" s="164">
        <f t="shared" si="6"/>
        <v>-31.4</v>
      </c>
      <c r="I26" s="403">
        <f>IFERROR(100/'Skjema total MA'!F26*G26,0)</f>
        <v>27.036344360495505</v>
      </c>
      <c r="J26" s="285">
        <f t="shared" si="9"/>
        <v>242939.31737999999</v>
      </c>
      <c r="K26" s="285">
        <f t="shared" si="10"/>
        <v>166769.87281</v>
      </c>
      <c r="L26" s="164">
        <f t="shared" si="8"/>
        <v>-31.4</v>
      </c>
      <c r="M26" s="21">
        <f>IFERROR(100/'Skjema total MA'!I26*K26,0)</f>
        <v>27.036344360495505</v>
      </c>
    </row>
    <row r="27" spans="1:14" x14ac:dyDescent="0.2">
      <c r="A27" s="496" t="s">
        <v>11</v>
      </c>
      <c r="B27" s="276"/>
      <c r="C27" s="276"/>
      <c r="D27" s="164"/>
      <c r="E27" s="11"/>
      <c r="F27" s="285"/>
      <c r="G27" s="285"/>
      <c r="H27" s="164"/>
      <c r="I27" s="403"/>
      <c r="J27" s="285"/>
      <c r="K27" s="285"/>
      <c r="L27" s="164"/>
      <c r="M27" s="21"/>
    </row>
    <row r="28" spans="1:14" ht="15.75" x14ac:dyDescent="0.2">
      <c r="A28" s="47" t="s">
        <v>271</v>
      </c>
      <c r="B28" s="42">
        <v>145511.687747444</v>
      </c>
      <c r="C28" s="282">
        <v>157751.82153121999</v>
      </c>
      <c r="D28" s="164">
        <f t="shared" si="5"/>
        <v>8.4</v>
      </c>
      <c r="E28" s="11">
        <f>IFERROR(100/'Skjema total MA'!C28*C28,0)</f>
        <v>8.3794868672931173</v>
      </c>
      <c r="F28" s="230"/>
      <c r="G28" s="282"/>
      <c r="H28" s="164"/>
      <c r="I28" s="25"/>
      <c r="J28" s="42">
        <f t="shared" si="7"/>
        <v>145511.687747444</v>
      </c>
      <c r="K28" s="42">
        <f t="shared" si="7"/>
        <v>157751.82153121999</v>
      </c>
      <c r="L28" s="249">
        <f t="shared" si="8"/>
        <v>8.4</v>
      </c>
      <c r="M28" s="21">
        <f>IFERROR(100/'Skjema total MA'!I28*K28,0)</f>
        <v>8.3794868672931173</v>
      </c>
    </row>
    <row r="29" spans="1:14" s="3" customFormat="1" ht="15.75" x14ac:dyDescent="0.2">
      <c r="A29" s="13" t="s">
        <v>350</v>
      </c>
      <c r="B29" s="232">
        <v>4006076.4528466202</v>
      </c>
      <c r="C29" s="232">
        <v>4010531.83122257</v>
      </c>
      <c r="D29" s="169">
        <f t="shared" si="5"/>
        <v>0.1</v>
      </c>
      <c r="E29" s="11">
        <f>IFERROR(100/'Skjema total MA'!C29*C29,0)</f>
        <v>8.9979752640231272</v>
      </c>
      <c r="F29" s="300">
        <v>5483402.4500000002</v>
      </c>
      <c r="G29" s="300">
        <v>5070387.4000000004</v>
      </c>
      <c r="H29" s="169">
        <f t="shared" si="6"/>
        <v>-7.5</v>
      </c>
      <c r="I29" s="11">
        <f>IFERROR(100/'Skjema total MA'!F29*G29,0)</f>
        <v>21.947990219545456</v>
      </c>
      <c r="J29" s="232">
        <f t="shared" si="7"/>
        <v>9489478.9028466195</v>
      </c>
      <c r="K29" s="232">
        <f t="shared" si="7"/>
        <v>9080919.2312225699</v>
      </c>
      <c r="L29" s="414">
        <f t="shared" si="8"/>
        <v>-4.3</v>
      </c>
      <c r="M29" s="22">
        <f>IFERROR(100/'Skjema total MA'!I29*K29,0)</f>
        <v>13.418757860191592</v>
      </c>
      <c r="N29" s="146"/>
    </row>
    <row r="30" spans="1:14" s="3" customFormat="1" ht="15.75" x14ac:dyDescent="0.2">
      <c r="A30" s="496" t="s">
        <v>353</v>
      </c>
      <c r="B30" s="276">
        <v>614217.72281266295</v>
      </c>
      <c r="C30" s="276">
        <v>560490.42169848201</v>
      </c>
      <c r="D30" s="164">
        <f t="shared" si="5"/>
        <v>-8.6999999999999993</v>
      </c>
      <c r="E30" s="11">
        <f>IFERROR(100/'Skjema total MA'!C30*C30,0)</f>
        <v>5.7267369443082368</v>
      </c>
      <c r="F30" s="285">
        <v>475619.88960879802</v>
      </c>
      <c r="G30" s="285">
        <v>371040.896608198</v>
      </c>
      <c r="H30" s="164">
        <f t="shared" si="6"/>
        <v>-22</v>
      </c>
      <c r="I30" s="403">
        <f>IFERROR(100/'Skjema total MA'!F30*G30,0)</f>
        <v>10.855493147202949</v>
      </c>
      <c r="J30" s="285">
        <f t="shared" ref="J30:J33" si="11">SUM(B30,F30)</f>
        <v>1089837.6124214609</v>
      </c>
      <c r="K30" s="285">
        <f t="shared" ref="K30:K33" si="12">SUM(C30,G30)</f>
        <v>931531.31830668007</v>
      </c>
      <c r="L30" s="164">
        <f t="shared" si="8"/>
        <v>-14.5</v>
      </c>
      <c r="M30" s="21">
        <f>IFERROR(100/'Skjema total MA'!I30*K30,0)</f>
        <v>7.0542457219022605</v>
      </c>
      <c r="N30" s="146"/>
    </row>
    <row r="31" spans="1:14" s="3" customFormat="1" ht="15.75" x14ac:dyDescent="0.2">
      <c r="A31" s="496" t="s">
        <v>354</v>
      </c>
      <c r="B31" s="276">
        <v>2785813.3780970699</v>
      </c>
      <c r="C31" s="276">
        <v>2743543.7357572699</v>
      </c>
      <c r="D31" s="164">
        <f t="shared" si="5"/>
        <v>-1.5</v>
      </c>
      <c r="E31" s="11">
        <f>IFERROR(100/'Skjema total MA'!C31*C31,0)</f>
        <v>10.927223741115574</v>
      </c>
      <c r="F31" s="285">
        <v>834089.63087591203</v>
      </c>
      <c r="G31" s="285">
        <v>673034.23906000995</v>
      </c>
      <c r="H31" s="164">
        <f t="shared" si="6"/>
        <v>-19.3</v>
      </c>
      <c r="I31" s="403">
        <f>IFERROR(100/'Skjema total MA'!F31*G31,0)</f>
        <v>8.9228634884970965</v>
      </c>
      <c r="J31" s="285">
        <f t="shared" si="11"/>
        <v>3619903.0089729819</v>
      </c>
      <c r="K31" s="285">
        <f t="shared" si="12"/>
        <v>3416577.9748172797</v>
      </c>
      <c r="L31" s="164">
        <f t="shared" si="8"/>
        <v>-5.6</v>
      </c>
      <c r="M31" s="21">
        <f>IFERROR(100/'Skjema total MA'!I31*K31,0)</f>
        <v>10.464179450582668</v>
      </c>
      <c r="N31" s="146"/>
    </row>
    <row r="32" spans="1:14" ht="15.75" x14ac:dyDescent="0.2">
      <c r="A32" s="496" t="s">
        <v>355</v>
      </c>
      <c r="B32" s="276">
        <v>606045.35193688795</v>
      </c>
      <c r="C32" s="276">
        <v>706497.67376681801</v>
      </c>
      <c r="D32" s="164">
        <f t="shared" si="5"/>
        <v>16.600000000000001</v>
      </c>
      <c r="E32" s="11">
        <f>IFERROR(100/'Skjema total MA'!C32*C32,0)</f>
        <v>28.798400918569378</v>
      </c>
      <c r="F32" s="285">
        <v>2468105.7182242</v>
      </c>
      <c r="G32" s="285">
        <v>2186806.74841897</v>
      </c>
      <c r="H32" s="164">
        <f t="shared" si="6"/>
        <v>-11.4</v>
      </c>
      <c r="I32" s="403">
        <f>IFERROR(100/'Skjema total MA'!F32*G32,0)</f>
        <v>42.18872452866573</v>
      </c>
      <c r="J32" s="285">
        <f t="shared" si="11"/>
        <v>3074151.0701610879</v>
      </c>
      <c r="K32" s="285">
        <f t="shared" si="12"/>
        <v>2893304.4221857879</v>
      </c>
      <c r="L32" s="164">
        <f t="shared" si="8"/>
        <v>-5.9</v>
      </c>
      <c r="M32" s="21">
        <f>IFERROR(100/'Skjema total MA'!I32*K32,0)</f>
        <v>37.887116284731768</v>
      </c>
    </row>
    <row r="33" spans="1:14" ht="15.75" x14ac:dyDescent="0.2">
      <c r="A33" s="496" t="s">
        <v>356</v>
      </c>
      <c r="B33" s="276"/>
      <c r="C33" s="276"/>
      <c r="D33" s="164"/>
      <c r="E33" s="11"/>
      <c r="F33" s="285">
        <v>1705587.2112910899</v>
      </c>
      <c r="G33" s="285">
        <v>1839505.5159128199</v>
      </c>
      <c r="H33" s="164">
        <f t="shared" si="6"/>
        <v>7.9</v>
      </c>
      <c r="I33" s="403">
        <f>IFERROR(100/'Skjema total MA'!F34*G33,0)</f>
        <v>2672.14362211153</v>
      </c>
      <c r="J33" s="285">
        <f t="shared" si="11"/>
        <v>1705587.2112910899</v>
      </c>
      <c r="K33" s="285">
        <f t="shared" si="12"/>
        <v>1839505.5159128199</v>
      </c>
      <c r="L33" s="164">
        <f t="shared" si="8"/>
        <v>7.9</v>
      </c>
      <c r="M33" s="21">
        <f>IFERROR(100/'Skjema total MA'!I34*K33,0)</f>
        <v>1999.848597415393</v>
      </c>
    </row>
    <row r="34" spans="1:14" ht="15.75" x14ac:dyDescent="0.2">
      <c r="A34" s="13" t="s">
        <v>351</v>
      </c>
      <c r="B34" s="232">
        <v>1831.1187199999999</v>
      </c>
      <c r="C34" s="301">
        <v>974.46686999999997</v>
      </c>
      <c r="D34" s="169">
        <f t="shared" si="5"/>
        <v>-46.8</v>
      </c>
      <c r="E34" s="11">
        <f>IFERROR(100/'Skjema total MA'!C34*C34,0)</f>
        <v>4.2107843623740537</v>
      </c>
      <c r="F34" s="300">
        <v>10652.550579999999</v>
      </c>
      <c r="G34" s="301">
        <v>8786.2215099999994</v>
      </c>
      <c r="H34" s="169">
        <f t="shared" si="6"/>
        <v>-17.5</v>
      </c>
      <c r="I34" s="11">
        <f>IFERROR(100/'Skjema total MA'!F34*G34,0)</f>
        <v>12.76323749361257</v>
      </c>
      <c r="J34" s="232">
        <f t="shared" si="7"/>
        <v>12483.6693</v>
      </c>
      <c r="K34" s="232">
        <f t="shared" si="7"/>
        <v>9760.6883799999996</v>
      </c>
      <c r="L34" s="414">
        <f t="shared" si="8"/>
        <v>-21.8</v>
      </c>
      <c r="M34" s="22">
        <f>IFERROR(100/'Skjema total MA'!I34*K34,0)</f>
        <v>10.611492489526645</v>
      </c>
    </row>
    <row r="35" spans="1:14" ht="15.75" x14ac:dyDescent="0.2">
      <c r="A35" s="13" t="s">
        <v>352</v>
      </c>
      <c r="B35" s="232"/>
      <c r="C35" s="301"/>
      <c r="D35" s="169"/>
      <c r="E35" s="11"/>
      <c r="F35" s="300">
        <v>28055.783469999998</v>
      </c>
      <c r="G35" s="301">
        <v>19218.302390000001</v>
      </c>
      <c r="H35" s="169">
        <f t="shared" si="6"/>
        <v>-31.5</v>
      </c>
      <c r="I35" s="11">
        <f>IFERROR(100/'Skjema total MA'!F35*G35,0)</f>
        <v>25.297322417764434</v>
      </c>
      <c r="J35" s="232">
        <f t="shared" si="7"/>
        <v>28055.783469999998</v>
      </c>
      <c r="K35" s="232">
        <f t="shared" si="7"/>
        <v>19218.302390000001</v>
      </c>
      <c r="L35" s="414">
        <f t="shared" si="8"/>
        <v>-31.5</v>
      </c>
      <c r="M35" s="22">
        <f>IFERROR(100/'Skjema total MA'!I35*K35,0)</f>
        <v>34.775104559465312</v>
      </c>
    </row>
    <row r="36" spans="1:14" ht="15.75" x14ac:dyDescent="0.2">
      <c r="A36" s="12" t="s">
        <v>279</v>
      </c>
      <c r="B36" s="232"/>
      <c r="C36" s="301"/>
      <c r="D36" s="169"/>
      <c r="E36" s="11"/>
      <c r="F36" s="311"/>
      <c r="G36" s="312"/>
      <c r="H36" s="169"/>
      <c r="I36" s="420"/>
      <c r="J36" s="232"/>
      <c r="K36" s="232"/>
      <c r="L36" s="414"/>
      <c r="M36" s="22"/>
    </row>
    <row r="37" spans="1:14" ht="15.75" x14ac:dyDescent="0.2">
      <c r="A37" s="12" t="s">
        <v>358</v>
      </c>
      <c r="B37" s="232"/>
      <c r="C37" s="301"/>
      <c r="D37" s="169"/>
      <c r="E37" s="11"/>
      <c r="F37" s="311"/>
      <c r="G37" s="313"/>
      <c r="H37" s="169"/>
      <c r="I37" s="420"/>
      <c r="J37" s="232"/>
      <c r="K37" s="232"/>
      <c r="L37" s="414"/>
      <c r="M37" s="22"/>
    </row>
    <row r="38" spans="1:14" ht="15.75" x14ac:dyDescent="0.2">
      <c r="A38" s="12" t="s">
        <v>359</v>
      </c>
      <c r="B38" s="232"/>
      <c r="C38" s="301"/>
      <c r="D38" s="169"/>
      <c r="E38" s="22"/>
      <c r="F38" s="311"/>
      <c r="G38" s="312"/>
      <c r="H38" s="169"/>
      <c r="I38" s="420"/>
      <c r="J38" s="232"/>
      <c r="K38" s="232"/>
      <c r="L38" s="414"/>
      <c r="M38" s="22"/>
    </row>
    <row r="39" spans="1:14" ht="15.75" x14ac:dyDescent="0.2">
      <c r="A39" s="18" t="s">
        <v>360</v>
      </c>
      <c r="B39" s="271"/>
      <c r="C39" s="307"/>
      <c r="D39" s="167"/>
      <c r="E39" s="34"/>
      <c r="F39" s="314"/>
      <c r="G39" s="315"/>
      <c r="H39" s="167"/>
      <c r="I39" s="34"/>
      <c r="J39" s="232"/>
      <c r="K39" s="232"/>
      <c r="L39" s="415"/>
      <c r="M39" s="34"/>
    </row>
    <row r="40" spans="1:14" ht="15.75" x14ac:dyDescent="0.25">
      <c r="A40" s="45"/>
      <c r="B40" s="248"/>
      <c r="C40" s="248"/>
      <c r="D40" s="708"/>
      <c r="E40" s="708"/>
      <c r="F40" s="708"/>
      <c r="G40" s="708"/>
      <c r="H40" s="708"/>
      <c r="I40" s="708"/>
      <c r="J40" s="708"/>
      <c r="K40" s="708"/>
      <c r="L40" s="708"/>
      <c r="M40" s="294"/>
    </row>
    <row r="41" spans="1:14" x14ac:dyDescent="0.2">
      <c r="A41" s="153"/>
    </row>
    <row r="42" spans="1:14" ht="15.75" x14ac:dyDescent="0.25">
      <c r="A42" s="145" t="s">
        <v>268</v>
      </c>
      <c r="B42" s="704"/>
      <c r="C42" s="704"/>
      <c r="D42" s="704"/>
      <c r="E42" s="291"/>
      <c r="F42" s="709"/>
      <c r="G42" s="709"/>
      <c r="H42" s="709"/>
      <c r="I42" s="294"/>
      <c r="J42" s="709"/>
      <c r="K42" s="709"/>
      <c r="L42" s="709"/>
      <c r="M42" s="294"/>
    </row>
    <row r="43" spans="1:14" ht="15.75" x14ac:dyDescent="0.25">
      <c r="A43" s="161"/>
      <c r="B43" s="295"/>
      <c r="C43" s="295"/>
      <c r="D43" s="295"/>
      <c r="E43" s="295"/>
      <c r="F43" s="294"/>
      <c r="G43" s="294"/>
      <c r="H43" s="294"/>
      <c r="I43" s="294"/>
      <c r="J43" s="294"/>
      <c r="K43" s="294"/>
      <c r="L43" s="294"/>
      <c r="M43" s="294"/>
    </row>
    <row r="44" spans="1:14" ht="15.75" x14ac:dyDescent="0.25">
      <c r="A44" s="243"/>
      <c r="B44" s="705" t="s">
        <v>0</v>
      </c>
      <c r="C44" s="706"/>
      <c r="D44" s="706"/>
      <c r="E44" s="239"/>
      <c r="F44" s="294"/>
      <c r="G44" s="294"/>
      <c r="H44" s="294"/>
      <c r="I44" s="294"/>
      <c r="J44" s="294"/>
      <c r="K44" s="294"/>
      <c r="L44" s="294"/>
      <c r="M44" s="294"/>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c r="C47" s="303"/>
      <c r="D47" s="413"/>
      <c r="E47" s="11"/>
      <c r="F47" s="143"/>
      <c r="G47" s="31"/>
      <c r="H47" s="157"/>
      <c r="I47" s="157"/>
      <c r="J47" s="35"/>
      <c r="K47" s="35"/>
      <c r="L47" s="157"/>
      <c r="M47" s="157"/>
      <c r="N47" s="146"/>
    </row>
    <row r="48" spans="1:14" s="3" customFormat="1" ht="15.75" x14ac:dyDescent="0.2">
      <c r="A48" s="36" t="s">
        <v>361</v>
      </c>
      <c r="B48" s="276"/>
      <c r="C48" s="277"/>
      <c r="D48" s="249"/>
      <c r="E48" s="25"/>
      <c r="F48" s="143"/>
      <c r="G48" s="31"/>
      <c r="H48" s="143"/>
      <c r="I48" s="143"/>
      <c r="J48" s="31"/>
      <c r="K48" s="31"/>
      <c r="L48" s="157"/>
      <c r="M48" s="157"/>
      <c r="N48" s="146"/>
    </row>
    <row r="49" spans="1:14" s="3" customFormat="1" ht="15.75" x14ac:dyDescent="0.2">
      <c r="A49" s="36" t="s">
        <v>362</v>
      </c>
      <c r="B49" s="42"/>
      <c r="C49" s="282"/>
      <c r="D49" s="249"/>
      <c r="E49" s="25"/>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c r="C53" s="303"/>
      <c r="D53" s="414"/>
      <c r="E53" s="11"/>
      <c r="F53" s="143"/>
      <c r="G53" s="31"/>
      <c r="H53" s="143"/>
      <c r="I53" s="143"/>
      <c r="J53" s="31"/>
      <c r="K53" s="31"/>
      <c r="L53" s="157"/>
      <c r="M53" s="157"/>
      <c r="N53" s="146"/>
    </row>
    <row r="54" spans="1:14" s="3" customFormat="1" ht="15.75" x14ac:dyDescent="0.2">
      <c r="A54" s="36" t="s">
        <v>361</v>
      </c>
      <c r="B54" s="276"/>
      <c r="C54" s="277"/>
      <c r="D54" s="249"/>
      <c r="E54" s="25"/>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c r="C56" s="303"/>
      <c r="D56" s="414"/>
      <c r="E56" s="11"/>
      <c r="F56" s="143"/>
      <c r="G56" s="31"/>
      <c r="H56" s="143"/>
      <c r="I56" s="143"/>
      <c r="J56" s="31"/>
      <c r="K56" s="31"/>
      <c r="L56" s="157"/>
      <c r="M56" s="157"/>
      <c r="N56" s="146"/>
    </row>
    <row r="57" spans="1:14" s="3" customFormat="1" ht="15.75" x14ac:dyDescent="0.2">
      <c r="A57" s="36" t="s">
        <v>361</v>
      </c>
      <c r="B57" s="276"/>
      <c r="C57" s="277"/>
      <c r="D57" s="249"/>
      <c r="E57" s="25"/>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291"/>
      <c r="F62" s="707"/>
      <c r="G62" s="707"/>
      <c r="H62" s="707"/>
      <c r="I62" s="291"/>
      <c r="J62" s="707"/>
      <c r="K62" s="707"/>
      <c r="L62" s="707"/>
      <c r="M62" s="291"/>
    </row>
    <row r="63" spans="1:14" x14ac:dyDescent="0.2">
      <c r="A63" s="142"/>
      <c r="B63" s="705" t="s">
        <v>0</v>
      </c>
      <c r="C63" s="706"/>
      <c r="D63" s="710"/>
      <c r="E63" s="292"/>
      <c r="F63" s="706" t="s">
        <v>1</v>
      </c>
      <c r="G63" s="706"/>
      <c r="H63" s="706"/>
      <c r="I63" s="296"/>
      <c r="J63" s="705" t="s">
        <v>2</v>
      </c>
      <c r="K63" s="706"/>
      <c r="L63" s="706"/>
      <c r="M63" s="296"/>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v>792233</v>
      </c>
      <c r="C66" s="344">
        <v>723902</v>
      </c>
      <c r="D66" s="341">
        <f t="shared" ref="D66:D111" si="13">IF(B66=0, "    ---- ", IF(ABS(ROUND(100/B66*C66-100,1))&lt;999,ROUND(100/B66*C66-100,1),IF(ROUND(100/B66*C66-100,1)&gt;999,999,-999)))</f>
        <v>-8.6</v>
      </c>
      <c r="E66" s="11">
        <f>IFERROR(100/'Skjema total MA'!C66*C66,0)</f>
        <v>11.756897275890463</v>
      </c>
      <c r="F66" s="343">
        <v>4544748.534</v>
      </c>
      <c r="G66" s="343">
        <v>5003733.284</v>
      </c>
      <c r="H66" s="341">
        <f t="shared" ref="H66:H111" si="14">IF(F66=0, "    ---- ", IF(ABS(ROUND(100/F66*G66-100,1))&lt;999,ROUND(100/F66*G66-100,1),IF(ROUND(100/F66*G66-100,1)&gt;999,999,-999)))</f>
        <v>10.1</v>
      </c>
      <c r="I66" s="11">
        <f>IFERROR(100/'Skjema total MA'!F66*G66,0)</f>
        <v>15.882701304720014</v>
      </c>
      <c r="J66" s="301">
        <f t="shared" ref="J66:K86" si="15">SUM(B66,F66)</f>
        <v>5336981.534</v>
      </c>
      <c r="K66" s="308">
        <f t="shared" si="15"/>
        <v>5727635.284</v>
      </c>
      <c r="L66" s="414">
        <f t="shared" ref="L66:L111" si="16">IF(J66=0, "    ---- ", IF(ABS(ROUND(100/J66*K66-100,1))&lt;999,ROUND(100/J66*K66-100,1),IF(ROUND(100/J66*K66-100,1)&gt;999,999,-999)))</f>
        <v>7.3</v>
      </c>
      <c r="M66" s="11">
        <f>IFERROR(100/'Skjema total MA'!I66*K66,0)</f>
        <v>15.208177225858824</v>
      </c>
    </row>
    <row r="67" spans="1:14" x14ac:dyDescent="0.2">
      <c r="A67" s="405" t="s">
        <v>9</v>
      </c>
      <c r="B67" s="42">
        <v>627893.07978990802</v>
      </c>
      <c r="C67" s="143">
        <v>480289.59549328801</v>
      </c>
      <c r="D67" s="164">
        <f t="shared" si="13"/>
        <v>-23.5</v>
      </c>
      <c r="E67" s="25">
        <f>IFERROR(100/'Skjema total MA'!C67*C67,0)</f>
        <v>12.024109812347461</v>
      </c>
      <c r="F67" s="230"/>
      <c r="G67" s="143"/>
      <c r="H67" s="164"/>
      <c r="I67" s="25"/>
      <c r="J67" s="282">
        <f t="shared" si="15"/>
        <v>627893.07978990802</v>
      </c>
      <c r="K67" s="42">
        <f t="shared" si="15"/>
        <v>480289.59549328801</v>
      </c>
      <c r="L67" s="249">
        <f t="shared" si="16"/>
        <v>-23.5</v>
      </c>
      <c r="M67" s="25">
        <f>IFERROR(100/'Skjema total MA'!I67*K67,0)</f>
        <v>12.024109812347461</v>
      </c>
    </row>
    <row r="68" spans="1:14" x14ac:dyDescent="0.2">
      <c r="A68" s="19" t="s">
        <v>10</v>
      </c>
      <c r="B68" s="286">
        <v>8933</v>
      </c>
      <c r="C68" s="287">
        <v>5986</v>
      </c>
      <c r="D68" s="164">
        <f t="shared" si="13"/>
        <v>-33</v>
      </c>
      <c r="E68" s="25">
        <f>IFERROR(100/'Skjema total MA'!C68*C68,0)</f>
        <v>13.510226665719875</v>
      </c>
      <c r="F68" s="286">
        <v>4544748.534</v>
      </c>
      <c r="G68" s="287">
        <v>5003733.284</v>
      </c>
      <c r="H68" s="164">
        <f t="shared" si="14"/>
        <v>10.1</v>
      </c>
      <c r="I68" s="25">
        <f>IFERROR(100/'Skjema total MA'!F68*G68,0)</f>
        <v>16.513621848039538</v>
      </c>
      <c r="J68" s="282">
        <f t="shared" si="15"/>
        <v>4553681.534</v>
      </c>
      <c r="K68" s="42">
        <f t="shared" si="15"/>
        <v>5009719.284</v>
      </c>
      <c r="L68" s="249">
        <f t="shared" si="16"/>
        <v>10</v>
      </c>
      <c r="M68" s="25">
        <f>IFERROR(100/'Skjema total MA'!I68*K68,0)</f>
        <v>16.509236539489109</v>
      </c>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c r="C75" s="143"/>
      <c r="D75" s="164"/>
      <c r="E75" s="25"/>
      <c r="F75" s="230"/>
      <c r="G75" s="143"/>
      <c r="H75" s="164"/>
      <c r="I75" s="25"/>
      <c r="J75" s="282"/>
      <c r="K75" s="42"/>
      <c r="L75" s="249"/>
      <c r="M75" s="25"/>
      <c r="N75" s="146"/>
    </row>
    <row r="76" spans="1:14" s="3" customFormat="1" x14ac:dyDescent="0.2">
      <c r="A76" s="19" t="s">
        <v>336</v>
      </c>
      <c r="B76" s="230">
        <v>155406.92021009201</v>
      </c>
      <c r="C76" s="143">
        <v>237626.40450671199</v>
      </c>
      <c r="D76" s="164">
        <f t="shared" ref="D76" si="17">IF(B76=0, "    ---- ", IF(ABS(ROUND(100/B76*C76-100,1))&lt;999,ROUND(100/B76*C76-100,1),IF(ROUND(100/B76*C76-100,1)&gt;999,999,-999)))</f>
        <v>52.9</v>
      </c>
      <c r="E76" s="25">
        <f>IFERROR(100/'Skjema total MA'!C77*C76,0)</f>
        <v>6.002095458385563</v>
      </c>
      <c r="F76" s="230"/>
      <c r="G76" s="143"/>
      <c r="H76" s="164"/>
      <c r="I76" s="25"/>
      <c r="J76" s="282">
        <f t="shared" ref="J76" si="18">SUM(B76,F76)</f>
        <v>155406.92021009201</v>
      </c>
      <c r="K76" s="42">
        <f t="shared" ref="K76" si="19">SUM(C76,G76)</f>
        <v>237626.40450671199</v>
      </c>
      <c r="L76" s="249">
        <f t="shared" ref="L76" si="20">IF(J76=0, "    ---- ", IF(ABS(ROUND(100/J76*K76-100,1))&lt;999,ROUND(100/J76*K76-100,1),IF(ROUND(100/J76*K76-100,1)&gt;999,999,-999)))</f>
        <v>52.9</v>
      </c>
      <c r="M76" s="25">
        <f>IFERROR(100/'Skjema total MA'!I77*K76,0)</f>
        <v>0.69380299012842084</v>
      </c>
      <c r="N76" s="146"/>
    </row>
    <row r="77" spans="1:14" ht="15.75" x14ac:dyDescent="0.2">
      <c r="A77" s="19" t="s">
        <v>367</v>
      </c>
      <c r="B77" s="230">
        <v>629050.733789908</v>
      </c>
      <c r="C77" s="230">
        <v>478454.645493288</v>
      </c>
      <c r="D77" s="164">
        <f t="shared" si="13"/>
        <v>-23.9</v>
      </c>
      <c r="E77" s="25">
        <f>IFERROR(100/'Skjema total MA'!C77*C77,0)</f>
        <v>12.0850646236901</v>
      </c>
      <c r="F77" s="230">
        <v>4543046.2580000004</v>
      </c>
      <c r="G77" s="143">
        <v>5001679.4280000003</v>
      </c>
      <c r="H77" s="164">
        <f t="shared" si="14"/>
        <v>10.1</v>
      </c>
      <c r="I77" s="25">
        <f>IFERROR(100/'Skjema total MA'!F77*G77,0)</f>
        <v>16.512216673606115</v>
      </c>
      <c r="J77" s="282">
        <f t="shared" si="15"/>
        <v>5172096.9917899081</v>
      </c>
      <c r="K77" s="42">
        <f t="shared" si="15"/>
        <v>5480134.0734932879</v>
      </c>
      <c r="L77" s="249">
        <f t="shared" si="16"/>
        <v>6</v>
      </c>
      <c r="M77" s="25">
        <f>IFERROR(100/'Skjema total MA'!I77*K77,0)</f>
        <v>16.000466843687363</v>
      </c>
    </row>
    <row r="78" spans="1:14" x14ac:dyDescent="0.2">
      <c r="A78" s="19" t="s">
        <v>9</v>
      </c>
      <c r="B78" s="230">
        <v>621827.15378990804</v>
      </c>
      <c r="C78" s="143">
        <v>474529.30749328801</v>
      </c>
      <c r="D78" s="164">
        <f t="shared" si="13"/>
        <v>-23.7</v>
      </c>
      <c r="E78" s="25">
        <f>IFERROR(100/'Skjema total MA'!C78*C78,0)</f>
        <v>12.115195784871128</v>
      </c>
      <c r="F78" s="230"/>
      <c r="G78" s="143"/>
      <c r="H78" s="164"/>
      <c r="I78" s="25"/>
      <c r="J78" s="282">
        <f t="shared" si="15"/>
        <v>621827.15378990804</v>
      </c>
      <c r="K78" s="42">
        <f t="shared" si="15"/>
        <v>474529.30749328801</v>
      </c>
      <c r="L78" s="249">
        <f t="shared" si="16"/>
        <v>-23.7</v>
      </c>
      <c r="M78" s="25">
        <f>IFERROR(100/'Skjema total MA'!I78*K78,0)</f>
        <v>12.115195784871128</v>
      </c>
    </row>
    <row r="79" spans="1:14" x14ac:dyDescent="0.2">
      <c r="A79" s="36" t="s">
        <v>400</v>
      </c>
      <c r="B79" s="286">
        <v>7223.58</v>
      </c>
      <c r="C79" s="287">
        <v>3925.3380000000002</v>
      </c>
      <c r="D79" s="164">
        <f t="shared" si="13"/>
        <v>-45.7</v>
      </c>
      <c r="E79" s="25">
        <f>IFERROR(100/'Skjema total MA'!C79*C79,0)</f>
        <v>9.2915073084813553</v>
      </c>
      <c r="F79" s="286">
        <v>4543046.2580000004</v>
      </c>
      <c r="G79" s="287">
        <v>5001679.4280000003</v>
      </c>
      <c r="H79" s="164">
        <f t="shared" si="14"/>
        <v>10.1</v>
      </c>
      <c r="I79" s="25">
        <f>IFERROR(100/'Skjema total MA'!F79*G79,0)</f>
        <v>16.512216673606115</v>
      </c>
      <c r="J79" s="282">
        <f t="shared" si="15"/>
        <v>4550269.8380000005</v>
      </c>
      <c r="K79" s="42">
        <f t="shared" si="15"/>
        <v>5005604.7660000008</v>
      </c>
      <c r="L79" s="249">
        <f t="shared" si="16"/>
        <v>10</v>
      </c>
      <c r="M79" s="25">
        <f>IFERROR(100/'Skjema total MA'!I79*K79,0)</f>
        <v>16.502159985336029</v>
      </c>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v>7775.3459999999995</v>
      </c>
      <c r="C86" s="143">
        <v>7820.95</v>
      </c>
      <c r="D86" s="164">
        <f t="shared" si="13"/>
        <v>0.6</v>
      </c>
      <c r="E86" s="25">
        <f>IFERROR(100/'Skjema total MA'!C86*C86,0)</f>
        <v>9.8207185662668799</v>
      </c>
      <c r="F86" s="230">
        <v>1702.2760000000001</v>
      </c>
      <c r="G86" s="143">
        <v>2053.8560000000002</v>
      </c>
      <c r="H86" s="164">
        <f t="shared" si="14"/>
        <v>20.7</v>
      </c>
      <c r="I86" s="25">
        <f>IFERROR(100/'Skjema total MA'!F86*G86,0)</f>
        <v>20.830507858174443</v>
      </c>
      <c r="J86" s="282">
        <f t="shared" si="15"/>
        <v>9477.6219999999994</v>
      </c>
      <c r="K86" s="42">
        <f t="shared" si="15"/>
        <v>9874.8060000000005</v>
      </c>
      <c r="L86" s="249">
        <f t="shared" si="16"/>
        <v>4.2</v>
      </c>
      <c r="M86" s="25">
        <f>IFERROR(100/'Skjema total MA'!I86*K86,0)</f>
        <v>11.03366104579135</v>
      </c>
    </row>
    <row r="87" spans="1:13" ht="15.75" x14ac:dyDescent="0.2">
      <c r="A87" s="13" t="s">
        <v>350</v>
      </c>
      <c r="B87" s="344">
        <v>50289502.5843843</v>
      </c>
      <c r="C87" s="344">
        <v>50149102.880440257</v>
      </c>
      <c r="D87" s="169">
        <f t="shared" si="13"/>
        <v>-0.3</v>
      </c>
      <c r="E87" s="11">
        <f>IFERROR(100/'Skjema total MA'!C87*C87,0)</f>
        <v>12.465488668546847</v>
      </c>
      <c r="F87" s="343">
        <v>66492901.836280003</v>
      </c>
      <c r="G87" s="343">
        <v>63847867.00316</v>
      </c>
      <c r="H87" s="169">
        <f t="shared" si="14"/>
        <v>-4</v>
      </c>
      <c r="I87" s="11">
        <f>IFERROR(100/'Skjema total MA'!F87*G87,0)</f>
        <v>15.425314485828553</v>
      </c>
      <c r="J87" s="301">
        <f t="shared" ref="J87:K111" si="21">SUM(B87,F87)</f>
        <v>116782404.42066431</v>
      </c>
      <c r="K87" s="232">
        <f t="shared" si="21"/>
        <v>113996969.88360026</v>
      </c>
      <c r="L87" s="414">
        <f t="shared" si="16"/>
        <v>-2.4</v>
      </c>
      <c r="M87" s="11">
        <f>IFERROR(100/'Skjema total MA'!I87*K87,0)</f>
        <v>13.966456735986727</v>
      </c>
    </row>
    <row r="88" spans="1:13" x14ac:dyDescent="0.2">
      <c r="A88" s="19" t="s">
        <v>9</v>
      </c>
      <c r="B88" s="230">
        <v>48741775.843384303</v>
      </c>
      <c r="C88" s="143">
        <v>48461661.962348297</v>
      </c>
      <c r="D88" s="164">
        <f t="shared" si="13"/>
        <v>-0.6</v>
      </c>
      <c r="E88" s="25">
        <f>IFERROR(100/'Skjema total MA'!C88*C88,0)</f>
        <v>12.521798987013755</v>
      </c>
      <c r="F88" s="230"/>
      <c r="G88" s="143"/>
      <c r="H88" s="164"/>
      <c r="I88" s="25"/>
      <c r="J88" s="282">
        <f t="shared" si="21"/>
        <v>48741775.843384303</v>
      </c>
      <c r="K88" s="42">
        <f t="shared" si="21"/>
        <v>48461661.962348297</v>
      </c>
      <c r="L88" s="249">
        <f t="shared" si="16"/>
        <v>-0.6</v>
      </c>
      <c r="M88" s="25">
        <f>IFERROR(100/'Skjema total MA'!I88*K88,0)</f>
        <v>12.521798987013755</v>
      </c>
    </row>
    <row r="89" spans="1:13" x14ac:dyDescent="0.2">
      <c r="A89" s="19" t="s">
        <v>10</v>
      </c>
      <c r="B89" s="230">
        <v>1264433.1869999999</v>
      </c>
      <c r="C89" s="143">
        <v>1365619.1020919599</v>
      </c>
      <c r="D89" s="164">
        <f t="shared" si="13"/>
        <v>8</v>
      </c>
      <c r="E89" s="25">
        <f>IFERROR(100/'Skjema total MA'!C89*C89,0)</f>
        <v>41.094570374623956</v>
      </c>
      <c r="F89" s="230">
        <v>66492901.836280003</v>
      </c>
      <c r="G89" s="143">
        <v>63847867.00316</v>
      </c>
      <c r="H89" s="164">
        <f t="shared" si="14"/>
        <v>-4</v>
      </c>
      <c r="I89" s="25">
        <f>IFERROR(100/'Skjema total MA'!F89*G89,0)</f>
        <v>15.61208362825468</v>
      </c>
      <c r="J89" s="282">
        <f t="shared" si="21"/>
        <v>67757335.02328001</v>
      </c>
      <c r="K89" s="42">
        <f t="shared" si="21"/>
        <v>65213486.10525196</v>
      </c>
      <c r="L89" s="249">
        <f t="shared" si="16"/>
        <v>-3.8</v>
      </c>
      <c r="M89" s="25">
        <f>IFERROR(100/'Skjema total MA'!I89*K89,0)</f>
        <v>15.817477151411435</v>
      </c>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c r="C96" s="143"/>
      <c r="D96" s="164"/>
      <c r="E96" s="25"/>
      <c r="F96" s="230"/>
      <c r="G96" s="143"/>
      <c r="H96" s="164"/>
      <c r="I96" s="25"/>
      <c r="J96" s="282"/>
      <c r="K96" s="42"/>
      <c r="L96" s="249"/>
      <c r="M96" s="25"/>
    </row>
    <row r="97" spans="1:13" x14ac:dyDescent="0.2">
      <c r="A97" s="19" t="s">
        <v>334</v>
      </c>
      <c r="B97" s="230">
        <v>283293.554</v>
      </c>
      <c r="C97" s="143">
        <v>321821.81599999999</v>
      </c>
      <c r="D97" s="164">
        <f t="shared" ref="D97" si="22">IF(B97=0, "    ---- ", IF(ABS(ROUND(100/B97*C97-100,1))&lt;999,ROUND(100/B97*C97-100,1),IF(ROUND(100/B97*C97-100,1)&gt;999,999,-999)))</f>
        <v>13.6</v>
      </c>
      <c r="E97" s="25">
        <f>IFERROR(100/'Skjema total MA'!C98*C97,0)</f>
        <v>8.3395162228264472E-2</v>
      </c>
      <c r="F97" s="230"/>
      <c r="G97" s="143"/>
      <c r="H97" s="164"/>
      <c r="I97" s="25"/>
      <c r="J97" s="282">
        <f t="shared" ref="J97" si="23">SUM(B97,F97)</f>
        <v>283293.554</v>
      </c>
      <c r="K97" s="42">
        <f t="shared" ref="K97" si="24">SUM(C97,G97)</f>
        <v>321821.81599999999</v>
      </c>
      <c r="L97" s="249">
        <f t="shared" ref="L97" si="25">IF(J97=0, "    ---- ", IF(ABS(ROUND(100/J97*K97-100,1))&lt;999,ROUND(100/J97*K97-100,1),IF(ROUND(100/J97*K97-100,1)&gt;999,999,-999)))</f>
        <v>13.6</v>
      </c>
      <c r="M97" s="25">
        <f>IFERROR(100/'Skjema total MA'!I98*K97,0)</f>
        <v>4.0527829437161406E-2</v>
      </c>
    </row>
    <row r="98" spans="1:13" ht="15.75" x14ac:dyDescent="0.2">
      <c r="A98" s="19" t="s">
        <v>367</v>
      </c>
      <c r="B98" s="230">
        <v>49977247.634384297</v>
      </c>
      <c r="C98" s="230">
        <v>49804596.198440261</v>
      </c>
      <c r="D98" s="164">
        <f t="shared" si="13"/>
        <v>-0.3</v>
      </c>
      <c r="E98" s="25">
        <f>IFERROR(100/'Skjema total MA'!C98*C98,0)</f>
        <v>12.906093288846924</v>
      </c>
      <c r="F98" s="286">
        <v>66479695.394280002</v>
      </c>
      <c r="G98" s="286">
        <v>63835578.570160002</v>
      </c>
      <c r="H98" s="164">
        <f t="shared" si="14"/>
        <v>-4</v>
      </c>
      <c r="I98" s="25">
        <f>IFERROR(100/'Skjema total MA'!F98*G98,0)</f>
        <v>15.639218876774864</v>
      </c>
      <c r="J98" s="282">
        <f t="shared" si="21"/>
        <v>116456943.02866429</v>
      </c>
      <c r="K98" s="42">
        <f t="shared" si="21"/>
        <v>113640174.76860026</v>
      </c>
      <c r="L98" s="249">
        <f t="shared" si="16"/>
        <v>-2.4</v>
      </c>
      <c r="M98" s="25">
        <f>IFERROR(100/'Skjema total MA'!I98*K98,0)</f>
        <v>14.310992578051465</v>
      </c>
    </row>
    <row r="99" spans="1:13" x14ac:dyDescent="0.2">
      <c r="A99" s="19" t="s">
        <v>9</v>
      </c>
      <c r="B99" s="286">
        <v>48712814.447384298</v>
      </c>
      <c r="C99" s="287">
        <v>48438977.096348301</v>
      </c>
      <c r="D99" s="164">
        <f t="shared" si="13"/>
        <v>-0.6</v>
      </c>
      <c r="E99" s="25">
        <f>IFERROR(100/'Skjema total MA'!C99*C99,0)</f>
        <v>12.661244376246787</v>
      </c>
      <c r="F99" s="230"/>
      <c r="G99" s="143"/>
      <c r="H99" s="164"/>
      <c r="I99" s="25"/>
      <c r="J99" s="282">
        <f t="shared" si="21"/>
        <v>48712814.447384298</v>
      </c>
      <c r="K99" s="42">
        <f t="shared" si="21"/>
        <v>48438977.096348301</v>
      </c>
      <c r="L99" s="249">
        <f t="shared" si="16"/>
        <v>-0.6</v>
      </c>
      <c r="M99" s="25">
        <f>IFERROR(100/'Skjema total MA'!I99*K99,0)</f>
        <v>12.661244376246787</v>
      </c>
    </row>
    <row r="100" spans="1:13" x14ac:dyDescent="0.2">
      <c r="A100" s="36" t="s">
        <v>400</v>
      </c>
      <c r="B100" s="286">
        <v>1264433.1869999999</v>
      </c>
      <c r="C100" s="287">
        <v>1365619.1020919599</v>
      </c>
      <c r="D100" s="164">
        <f t="shared" si="13"/>
        <v>8</v>
      </c>
      <c r="E100" s="25">
        <f>IFERROR(100/'Skjema total MA'!C100*C100,0)</f>
        <v>41.094570369924767</v>
      </c>
      <c r="F100" s="230">
        <v>66479695.394280002</v>
      </c>
      <c r="G100" s="230">
        <v>63835578.570160002</v>
      </c>
      <c r="H100" s="164">
        <f t="shared" si="14"/>
        <v>-4</v>
      </c>
      <c r="I100" s="25">
        <f>IFERROR(100/'Skjema total MA'!F100*G100,0)</f>
        <v>15.639218876774864</v>
      </c>
      <c r="J100" s="282">
        <f t="shared" si="21"/>
        <v>67744128.581280008</v>
      </c>
      <c r="K100" s="42">
        <f t="shared" si="21"/>
        <v>65201197.672251962</v>
      </c>
      <c r="L100" s="249">
        <f t="shared" si="16"/>
        <v>-3.8</v>
      </c>
      <c r="M100" s="25">
        <f>IFERROR(100/'Skjema total MA'!I100*K100,0)</f>
        <v>15.844786663352192</v>
      </c>
    </row>
    <row r="101" spans="1:13" ht="15.75" x14ac:dyDescent="0.2">
      <c r="A101" s="288" t="s">
        <v>365</v>
      </c>
      <c r="B101" s="311"/>
      <c r="C101" s="311"/>
      <c r="D101" s="164"/>
      <c r="E101" s="21"/>
      <c r="F101" s="311"/>
      <c r="G101" s="311"/>
      <c r="H101" s="164"/>
      <c r="I101" s="21"/>
      <c r="J101" s="311"/>
      <c r="K101" s="311"/>
      <c r="L101" s="164"/>
      <c r="M101" s="21"/>
    </row>
    <row r="102" spans="1:13" x14ac:dyDescent="0.2">
      <c r="A102" s="288" t="s">
        <v>12</v>
      </c>
      <c r="B102" s="311"/>
      <c r="C102" s="311"/>
      <c r="D102" s="164"/>
      <c r="E102" s="21"/>
      <c r="F102" s="311"/>
      <c r="G102" s="311"/>
      <c r="H102" s="164"/>
      <c r="I102" s="21"/>
      <c r="J102" s="311"/>
      <c r="K102" s="311"/>
      <c r="L102" s="164"/>
      <c r="M102" s="21"/>
    </row>
    <row r="103" spans="1:13" x14ac:dyDescent="0.2">
      <c r="A103" s="288" t="s">
        <v>13</v>
      </c>
      <c r="B103" s="311"/>
      <c r="C103" s="311"/>
      <c r="D103" s="164"/>
      <c r="E103" s="21"/>
      <c r="F103" s="311"/>
      <c r="G103" s="311"/>
      <c r="H103" s="164"/>
      <c r="I103" s="21"/>
      <c r="J103" s="311"/>
      <c r="K103" s="311"/>
      <c r="L103" s="164"/>
      <c r="M103" s="21"/>
    </row>
    <row r="104" spans="1:13" ht="15.75" x14ac:dyDescent="0.2">
      <c r="A104" s="288" t="s">
        <v>366</v>
      </c>
      <c r="B104" s="311"/>
      <c r="C104" s="311"/>
      <c r="D104" s="164"/>
      <c r="E104" s="21"/>
      <c r="F104" s="311"/>
      <c r="G104" s="311"/>
      <c r="H104" s="164"/>
      <c r="I104" s="21"/>
      <c r="J104" s="311"/>
      <c r="K104" s="311"/>
      <c r="L104" s="164"/>
      <c r="M104" s="21"/>
    </row>
    <row r="105" spans="1:13" x14ac:dyDescent="0.2">
      <c r="A105" s="288" t="s">
        <v>12</v>
      </c>
      <c r="B105" s="231"/>
      <c r="C105" s="284"/>
      <c r="D105" s="164"/>
      <c r="E105" s="21"/>
      <c r="F105" s="311"/>
      <c r="G105" s="311"/>
      <c r="H105" s="164"/>
      <c r="I105" s="21"/>
      <c r="J105" s="311"/>
      <c r="K105" s="311"/>
      <c r="L105" s="164"/>
      <c r="M105" s="21"/>
    </row>
    <row r="106" spans="1:13" x14ac:dyDescent="0.2">
      <c r="A106" s="288" t="s">
        <v>13</v>
      </c>
      <c r="B106" s="231"/>
      <c r="C106" s="284"/>
      <c r="D106" s="164"/>
      <c r="E106" s="21"/>
      <c r="F106" s="311"/>
      <c r="G106" s="311"/>
      <c r="H106" s="164"/>
      <c r="I106" s="21"/>
      <c r="J106" s="311"/>
      <c r="K106" s="311"/>
      <c r="L106" s="164"/>
      <c r="M106" s="21"/>
    </row>
    <row r="107" spans="1:13" ht="15.75" x14ac:dyDescent="0.2">
      <c r="A107" s="19" t="s">
        <v>368</v>
      </c>
      <c r="B107" s="230">
        <v>28961.396000000001</v>
      </c>
      <c r="C107" s="143">
        <v>22684.866000000002</v>
      </c>
      <c r="D107" s="164">
        <f t="shared" si="13"/>
        <v>-21.7</v>
      </c>
      <c r="E107" s="25">
        <f>IFERROR(100/'Skjema total MA'!C107*C107,0)</f>
        <v>0.51073426370178976</v>
      </c>
      <c r="F107" s="230">
        <v>13206.441999999999</v>
      </c>
      <c r="G107" s="143">
        <v>12288.433000000001</v>
      </c>
      <c r="H107" s="164">
        <f t="shared" si="14"/>
        <v>-7</v>
      </c>
      <c r="I107" s="25">
        <f>IFERROR(100/'Skjema total MA'!F107*G107,0)</f>
        <v>1.5591307963149148</v>
      </c>
      <c r="J107" s="282">
        <f t="shared" si="21"/>
        <v>42167.838000000003</v>
      </c>
      <c r="K107" s="42">
        <f t="shared" si="21"/>
        <v>34973.298999999999</v>
      </c>
      <c r="L107" s="249">
        <f t="shared" si="16"/>
        <v>-17.100000000000001</v>
      </c>
      <c r="M107" s="25">
        <f>IFERROR(100/'Skjema total MA'!I107*K107,0)</f>
        <v>0.6687339872704906</v>
      </c>
    </row>
    <row r="108" spans="1:13" ht="15.75" x14ac:dyDescent="0.2">
      <c r="A108" s="19" t="s">
        <v>369</v>
      </c>
      <c r="B108" s="230">
        <v>39452391.796768896</v>
      </c>
      <c r="C108" s="230">
        <v>39275268.894150198</v>
      </c>
      <c r="D108" s="164">
        <f t="shared" si="13"/>
        <v>-0.4</v>
      </c>
      <c r="E108" s="25">
        <f>IFERROR(100/'Skjema total MA'!C108*C108,0)</f>
        <v>11.794009472730274</v>
      </c>
      <c r="F108" s="230"/>
      <c r="G108" s="230"/>
      <c r="H108" s="164"/>
      <c r="I108" s="25"/>
      <c r="J108" s="282">
        <f t="shared" si="21"/>
        <v>39452391.796768896</v>
      </c>
      <c r="K108" s="42">
        <f t="shared" si="21"/>
        <v>39275268.894150198</v>
      </c>
      <c r="L108" s="249">
        <f t="shared" si="16"/>
        <v>-0.4</v>
      </c>
      <c r="M108" s="25">
        <f>IFERROR(100/'Skjema total MA'!I108*K108,0)</f>
        <v>11.172264434867921</v>
      </c>
    </row>
    <row r="109" spans="1:13" ht="15.75" x14ac:dyDescent="0.2">
      <c r="A109" s="36" t="s">
        <v>408</v>
      </c>
      <c r="B109" s="230">
        <v>768645.91899999999</v>
      </c>
      <c r="C109" s="230">
        <v>965153.37215767498</v>
      </c>
      <c r="D109" s="164">
        <f t="shared" si="13"/>
        <v>25.6</v>
      </c>
      <c r="E109" s="25">
        <f>IFERROR(100/'Skjema total MA'!C109*C109,0)</f>
        <v>51.678860335048313</v>
      </c>
      <c r="F109" s="230">
        <v>26173530.167826001</v>
      </c>
      <c r="G109" s="230">
        <v>25278104.950257201</v>
      </c>
      <c r="H109" s="164">
        <f t="shared" si="14"/>
        <v>-3.4</v>
      </c>
      <c r="I109" s="25">
        <f>IFERROR(100/'Skjema total MA'!F109*G109,0)</f>
        <v>16.663096537599952</v>
      </c>
      <c r="J109" s="282">
        <f t="shared" si="21"/>
        <v>26942176.086826</v>
      </c>
      <c r="K109" s="42">
        <f t="shared" si="21"/>
        <v>26243258.322414875</v>
      </c>
      <c r="L109" s="249">
        <f t="shared" si="16"/>
        <v>-2.6</v>
      </c>
      <c r="M109" s="25">
        <f>IFERROR(100/'Skjema total MA'!I109*K109,0)</f>
        <v>17.088934362690082</v>
      </c>
    </row>
    <row r="110" spans="1:13" ht="15.75" x14ac:dyDescent="0.2">
      <c r="A110" s="19" t="s">
        <v>370</v>
      </c>
      <c r="B110" s="230"/>
      <c r="C110" s="230"/>
      <c r="D110" s="164"/>
      <c r="E110" s="25"/>
      <c r="F110" s="230"/>
      <c r="G110" s="230"/>
      <c r="H110" s="164"/>
      <c r="I110" s="25"/>
      <c r="J110" s="282"/>
      <c r="K110" s="42"/>
      <c r="L110" s="249"/>
      <c r="M110" s="25"/>
    </row>
    <row r="111" spans="1:13" ht="15.75" x14ac:dyDescent="0.2">
      <c r="A111" s="13" t="s">
        <v>351</v>
      </c>
      <c r="B111" s="300">
        <v>240.19800000000001</v>
      </c>
      <c r="C111" s="157">
        <v>422.16499999999996</v>
      </c>
      <c r="D111" s="169">
        <f t="shared" si="13"/>
        <v>75.8</v>
      </c>
      <c r="E111" s="11">
        <f>IFERROR(100/'Skjema total MA'!C111*C111,0)</f>
        <v>6.80848142316266E-2</v>
      </c>
      <c r="F111" s="300">
        <v>8683170.1809999999</v>
      </c>
      <c r="G111" s="157">
        <v>5326900.4989999998</v>
      </c>
      <c r="H111" s="169">
        <f t="shared" si="14"/>
        <v>-38.700000000000003</v>
      </c>
      <c r="I111" s="11">
        <f>IFERROR(100/'Skjema total MA'!F111*G111,0)</f>
        <v>18.064917541355065</v>
      </c>
      <c r="J111" s="301">
        <f t="shared" si="21"/>
        <v>8683410.3790000007</v>
      </c>
      <c r="K111" s="232">
        <f t="shared" si="21"/>
        <v>5327322.6639999999</v>
      </c>
      <c r="L111" s="414">
        <f t="shared" si="16"/>
        <v>-38.6</v>
      </c>
      <c r="M111" s="11">
        <f>IFERROR(100/'Skjema total MA'!I111*K111,0)</f>
        <v>17.69427788060726</v>
      </c>
    </row>
    <row r="112" spans="1:13" x14ac:dyDescent="0.2">
      <c r="A112" s="19" t="s">
        <v>9</v>
      </c>
      <c r="B112" s="230">
        <v>240.19800000000001</v>
      </c>
      <c r="C112" s="143">
        <v>241.202</v>
      </c>
      <c r="D112" s="164">
        <f t="shared" ref="D112:D120" si="26">IF(B112=0, "    ---- ", IF(ABS(ROUND(100/B112*C112-100,1))&lt;999,ROUND(100/B112*C112-100,1),IF(ROUND(100/B112*C112-100,1)&gt;999,999,-999)))</f>
        <v>0.4</v>
      </c>
      <c r="E112" s="25">
        <f>IFERROR(100/'Skjema total MA'!C112*C112,0)</f>
        <v>6.7951172149742708E-2</v>
      </c>
      <c r="F112" s="230"/>
      <c r="G112" s="143"/>
      <c r="H112" s="164"/>
      <c r="I112" s="25"/>
      <c r="J112" s="282">
        <f t="shared" ref="J112:K125" si="27">SUM(B112,F112)</f>
        <v>240.19800000000001</v>
      </c>
      <c r="K112" s="42">
        <f t="shared" si="27"/>
        <v>241.202</v>
      </c>
      <c r="L112" s="249">
        <f t="shared" ref="L112:L125" si="28">IF(J112=0, "    ---- ", IF(ABS(ROUND(100/J112*K112-100,1))&lt;999,ROUND(100/J112*K112-100,1),IF(ROUND(100/J112*K112-100,1)&gt;999,999,-999)))</f>
        <v>0.4</v>
      </c>
      <c r="M112" s="25">
        <f>IFERROR(100/'Skjema total MA'!I112*K112,0)</f>
        <v>6.7360550814846418E-2</v>
      </c>
    </row>
    <row r="113" spans="1:14" x14ac:dyDescent="0.2">
      <c r="A113" s="19" t="s">
        <v>10</v>
      </c>
      <c r="B113" s="230">
        <v>0</v>
      </c>
      <c r="C113" s="143">
        <v>180.96299999999999</v>
      </c>
      <c r="D113" s="164" t="str">
        <f t="shared" si="26"/>
        <v xml:space="preserve">    ---- </v>
      </c>
      <c r="E113" s="25">
        <f>IFERROR(100/'Skjema total MA'!C113*C113,0)</f>
        <v>99.962989559741473</v>
      </c>
      <c r="F113" s="230">
        <v>8683170.1809999999</v>
      </c>
      <c r="G113" s="143">
        <v>5326900.4989999998</v>
      </c>
      <c r="H113" s="164">
        <f t="shared" ref="H113:H125" si="29">IF(F113=0, "    ---- ", IF(ABS(ROUND(100/F113*G113-100,1))&lt;999,ROUND(100/F113*G113-100,1),IF(ROUND(100/F113*G113-100,1)&gt;999,999,-999)))</f>
        <v>-38.700000000000003</v>
      </c>
      <c r="I113" s="25">
        <f>IFERROR(100/'Skjema total MA'!F113*G113,0)</f>
        <v>18.067474282909842</v>
      </c>
      <c r="J113" s="282">
        <f t="shared" si="27"/>
        <v>8683170.1809999999</v>
      </c>
      <c r="K113" s="42">
        <f t="shared" si="27"/>
        <v>5327081.4620000003</v>
      </c>
      <c r="L113" s="249">
        <f t="shared" si="28"/>
        <v>-38.700000000000003</v>
      </c>
      <c r="M113" s="25">
        <f>IFERROR(100/'Skjema total MA'!I113*K113,0)</f>
        <v>18.067977124122582</v>
      </c>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v>0</v>
      </c>
      <c r="C116" s="230">
        <v>39.902999999999999</v>
      </c>
      <c r="D116" s="164" t="str">
        <f t="shared" si="26"/>
        <v xml:space="preserve">    ---- </v>
      </c>
      <c r="E116" s="25">
        <f>IFERROR(100/'Skjema total MA'!C116*C116,0)</f>
        <v>3.7250422745225192E-2</v>
      </c>
      <c r="F116" s="230"/>
      <c r="G116" s="230"/>
      <c r="H116" s="164"/>
      <c r="I116" s="25"/>
      <c r="J116" s="282">
        <f t="shared" si="27"/>
        <v>0</v>
      </c>
      <c r="K116" s="42">
        <f t="shared" si="27"/>
        <v>39.902999999999999</v>
      </c>
      <c r="L116" s="249" t="str">
        <f t="shared" si="28"/>
        <v xml:space="preserve">    ---- </v>
      </c>
      <c r="M116" s="25">
        <f>IFERROR(100/'Skjema total MA'!I116*K116,0)</f>
        <v>3.5753077078436044E-2</v>
      </c>
    </row>
    <row r="117" spans="1:14" ht="15.75" x14ac:dyDescent="0.2">
      <c r="A117" s="36" t="s">
        <v>408</v>
      </c>
      <c r="B117" s="230">
        <v>0</v>
      </c>
      <c r="C117" s="230">
        <v>180.96299999999999</v>
      </c>
      <c r="D117" s="164" t="str">
        <f t="shared" si="26"/>
        <v xml:space="preserve">    ---- </v>
      </c>
      <c r="E117" s="25">
        <f>IFERROR(100/'Skjema total MA'!C117*C117,0)</f>
        <v>100</v>
      </c>
      <c r="F117" s="230">
        <v>6290829.4170000004</v>
      </c>
      <c r="G117" s="230">
        <v>3447130.2289999998</v>
      </c>
      <c r="H117" s="164">
        <f t="shared" si="29"/>
        <v>-45.2</v>
      </c>
      <c r="I117" s="25">
        <f>IFERROR(100/'Skjema total MA'!F117*G117,0)</f>
        <v>20.596837589983298</v>
      </c>
      <c r="J117" s="282">
        <f t="shared" si="27"/>
        <v>6290829.4170000004</v>
      </c>
      <c r="K117" s="42">
        <f t="shared" si="27"/>
        <v>3447311.1919999998</v>
      </c>
      <c r="L117" s="249">
        <f t="shared" si="28"/>
        <v>-45.2</v>
      </c>
      <c r="M117" s="25">
        <f>IFERROR(100/'Skjema total MA'!I117*K117,0)</f>
        <v>20.597696140283947</v>
      </c>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v>1383.1166799999701</v>
      </c>
      <c r="C119" s="157">
        <v>3948.52400999981</v>
      </c>
      <c r="D119" s="169">
        <f t="shared" si="26"/>
        <v>185.5</v>
      </c>
      <c r="E119" s="11">
        <f>IFERROR(100/'Skjema total MA'!C119*C119,0)</f>
        <v>0.70317722097161328</v>
      </c>
      <c r="F119" s="300">
        <v>9268314.3960100003</v>
      </c>
      <c r="G119" s="157">
        <v>4730223.83</v>
      </c>
      <c r="H119" s="169">
        <f t="shared" si="29"/>
        <v>-49</v>
      </c>
      <c r="I119" s="11">
        <f>IFERROR(100/'Skjema total MA'!F119*G119,0)</f>
        <v>14.800331144406094</v>
      </c>
      <c r="J119" s="301">
        <f t="shared" si="27"/>
        <v>9269697.5126900002</v>
      </c>
      <c r="K119" s="232">
        <f t="shared" si="27"/>
        <v>4734172.3540099999</v>
      </c>
      <c r="L119" s="414">
        <f t="shared" si="28"/>
        <v>-48.9</v>
      </c>
      <c r="M119" s="11">
        <f>IFERROR(100/'Skjema total MA'!I119*K119,0)</f>
        <v>14.556927495084231</v>
      </c>
    </row>
    <row r="120" spans="1:14" x14ac:dyDescent="0.2">
      <c r="A120" s="19" t="s">
        <v>9</v>
      </c>
      <c r="B120" s="230">
        <v>1383.1166799999701</v>
      </c>
      <c r="C120" s="143">
        <v>3948.52400999981</v>
      </c>
      <c r="D120" s="164">
        <f t="shared" si="26"/>
        <v>185.5</v>
      </c>
      <c r="E120" s="25">
        <f>IFERROR(100/'Skjema total MA'!C120*C120,0)</f>
        <v>2.003403123991145</v>
      </c>
      <c r="F120" s="230"/>
      <c r="G120" s="143"/>
      <c r="H120" s="164"/>
      <c r="I120" s="25"/>
      <c r="J120" s="282">
        <f t="shared" si="27"/>
        <v>1383.1166799999701</v>
      </c>
      <c r="K120" s="42">
        <f t="shared" si="27"/>
        <v>3948.52400999981</v>
      </c>
      <c r="L120" s="249">
        <f t="shared" si="28"/>
        <v>185.5</v>
      </c>
      <c r="M120" s="25">
        <f>IFERROR(100/'Skjema total MA'!I120*K120,0)</f>
        <v>2.003403123991145</v>
      </c>
    </row>
    <row r="121" spans="1:14" x14ac:dyDescent="0.2">
      <c r="A121" s="19" t="s">
        <v>10</v>
      </c>
      <c r="B121" s="230"/>
      <c r="C121" s="143"/>
      <c r="D121" s="164"/>
      <c r="E121" s="25"/>
      <c r="F121" s="230">
        <v>9268314.3960100003</v>
      </c>
      <c r="G121" s="143">
        <v>4730223.83</v>
      </c>
      <c r="H121" s="164">
        <f t="shared" si="29"/>
        <v>-49</v>
      </c>
      <c r="I121" s="25">
        <f>IFERROR(100/'Skjema total MA'!F121*G121,0)</f>
        <v>14.800331144406094</v>
      </c>
      <c r="J121" s="282">
        <f t="shared" si="27"/>
        <v>9268314.3960100003</v>
      </c>
      <c r="K121" s="42">
        <f t="shared" si="27"/>
        <v>4730223.83</v>
      </c>
      <c r="L121" s="249">
        <f t="shared" si="28"/>
        <v>-49</v>
      </c>
      <c r="M121" s="25">
        <f>IFERROR(100/'Skjema total MA'!I121*K121,0)</f>
        <v>14.797570733939867</v>
      </c>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c r="C125" s="230"/>
      <c r="D125" s="164"/>
      <c r="E125" s="25"/>
      <c r="F125" s="230">
        <v>7259219.2529999996</v>
      </c>
      <c r="G125" s="230">
        <v>3428314.6120000002</v>
      </c>
      <c r="H125" s="164">
        <f t="shared" si="29"/>
        <v>-52.8</v>
      </c>
      <c r="I125" s="25">
        <f>IFERROR(100/'Skjema total MA'!F125*G125,0)</f>
        <v>20.80447043388515</v>
      </c>
      <c r="J125" s="282">
        <f t="shared" si="27"/>
        <v>7259219.2529999996</v>
      </c>
      <c r="K125" s="42">
        <f t="shared" si="27"/>
        <v>3428314.6120000002</v>
      </c>
      <c r="L125" s="249">
        <f t="shared" si="28"/>
        <v>-52.8</v>
      </c>
      <c r="M125" s="25">
        <f>IFERROR(100/'Skjema total MA'!I125*K125,0)</f>
        <v>20.803382366663115</v>
      </c>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291"/>
      <c r="F130" s="707"/>
      <c r="G130" s="707"/>
      <c r="H130" s="707"/>
      <c r="I130" s="291"/>
      <c r="J130" s="707"/>
      <c r="K130" s="707"/>
      <c r="L130" s="707"/>
      <c r="M130" s="291"/>
    </row>
    <row r="131" spans="1:14" s="3" customFormat="1" x14ac:dyDescent="0.2">
      <c r="A131" s="142"/>
      <c r="B131" s="705" t="s">
        <v>0</v>
      </c>
      <c r="C131" s="706"/>
      <c r="D131" s="706"/>
      <c r="E131" s="293"/>
      <c r="F131" s="705" t="s">
        <v>1</v>
      </c>
      <c r="G131" s="706"/>
      <c r="H131" s="706"/>
      <c r="I131" s="296"/>
      <c r="J131" s="705" t="s">
        <v>2</v>
      </c>
      <c r="K131" s="706"/>
      <c r="L131" s="706"/>
      <c r="M131" s="296"/>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c r="C134" s="301"/>
      <c r="D134" s="341"/>
      <c r="E134" s="11"/>
      <c r="F134" s="308"/>
      <c r="G134" s="309"/>
      <c r="H134" s="417"/>
      <c r="I134" s="22"/>
      <c r="J134" s="310"/>
      <c r="K134" s="310"/>
      <c r="L134" s="413"/>
      <c r="M134" s="11"/>
      <c r="N134" s="146"/>
    </row>
    <row r="135" spans="1:14" s="3" customFormat="1" ht="15.75" x14ac:dyDescent="0.2">
      <c r="A135" s="13" t="s">
        <v>377</v>
      </c>
      <c r="B135" s="232"/>
      <c r="C135" s="301"/>
      <c r="D135" s="169"/>
      <c r="E135" s="11"/>
      <c r="F135" s="232"/>
      <c r="G135" s="301"/>
      <c r="H135" s="418"/>
      <c r="I135" s="22"/>
      <c r="J135" s="300"/>
      <c r="K135" s="300"/>
      <c r="L135" s="414"/>
      <c r="M135" s="11"/>
      <c r="N135" s="146"/>
    </row>
    <row r="136" spans="1:14" s="3" customFormat="1" ht="15.75" x14ac:dyDescent="0.2">
      <c r="A136" s="13" t="s">
        <v>374</v>
      </c>
      <c r="B136" s="232"/>
      <c r="C136" s="301"/>
      <c r="D136" s="169"/>
      <c r="E136" s="11"/>
      <c r="F136" s="232"/>
      <c r="G136" s="301"/>
      <c r="H136" s="418"/>
      <c r="I136" s="22"/>
      <c r="J136" s="300"/>
      <c r="K136" s="300"/>
      <c r="L136" s="414"/>
      <c r="M136" s="11"/>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305" priority="12">
      <formula>kvartal &lt; 4</formula>
    </cfRule>
  </conditionalFormatting>
  <conditionalFormatting sqref="A69:A74">
    <cfRule type="expression" dxfId="304" priority="10">
      <formula>kvartal &lt; 4</formula>
    </cfRule>
  </conditionalFormatting>
  <conditionalFormatting sqref="A80:A85">
    <cfRule type="expression" dxfId="303" priority="9">
      <formula>kvartal &lt; 4</formula>
    </cfRule>
  </conditionalFormatting>
  <conditionalFormatting sqref="A90:A95">
    <cfRule type="expression" dxfId="302" priority="6">
      <formula>kvartal &lt; 4</formula>
    </cfRule>
  </conditionalFormatting>
  <conditionalFormatting sqref="A101:A106">
    <cfRule type="expression" dxfId="301" priority="5">
      <formula>kvartal &lt; 4</formula>
    </cfRule>
  </conditionalFormatting>
  <conditionalFormatting sqref="A115">
    <cfRule type="expression" dxfId="300" priority="4">
      <formula>kvartal &lt; 4</formula>
    </cfRule>
  </conditionalFormatting>
  <conditionalFormatting sqref="A123">
    <cfRule type="expression" dxfId="299" priority="3">
      <formula>kvartal &lt; 4</formula>
    </cfRule>
  </conditionalFormatting>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26"/>
  <dimension ref="A1:N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244" t="s">
        <v>92</v>
      </c>
      <c r="D1" s="24"/>
      <c r="E1" s="24"/>
      <c r="F1" s="24"/>
      <c r="G1" s="24"/>
      <c r="H1" s="24"/>
      <c r="I1" s="24"/>
      <c r="J1" s="24"/>
      <c r="K1" s="24"/>
      <c r="L1" s="24"/>
      <c r="M1" s="24"/>
    </row>
    <row r="2" spans="1:14" ht="15.75" x14ac:dyDescent="0.25">
      <c r="A2" s="163" t="s">
        <v>28</v>
      </c>
      <c r="B2" s="704"/>
      <c r="C2" s="704"/>
      <c r="D2" s="704"/>
      <c r="E2" s="291"/>
      <c r="F2" s="704"/>
      <c r="G2" s="704"/>
      <c r="H2" s="704"/>
      <c r="I2" s="291"/>
      <c r="J2" s="704"/>
      <c r="K2" s="704"/>
      <c r="L2" s="704"/>
      <c r="M2" s="291"/>
    </row>
    <row r="3" spans="1:14" ht="15.75" x14ac:dyDescent="0.25">
      <c r="A3" s="161"/>
      <c r="B3" s="291"/>
      <c r="C3" s="291"/>
      <c r="D3" s="291"/>
      <c r="E3" s="291"/>
      <c r="F3" s="291"/>
      <c r="G3" s="291"/>
      <c r="H3" s="291"/>
      <c r="I3" s="291"/>
      <c r="J3" s="291"/>
      <c r="K3" s="291"/>
      <c r="L3" s="291"/>
      <c r="M3" s="291"/>
    </row>
    <row r="4" spans="1:14" x14ac:dyDescent="0.2">
      <c r="A4" s="142"/>
      <c r="B4" s="705" t="s">
        <v>0</v>
      </c>
      <c r="C4" s="706"/>
      <c r="D4" s="706"/>
      <c r="E4" s="293"/>
      <c r="F4" s="705" t="s">
        <v>1</v>
      </c>
      <c r="G4" s="706"/>
      <c r="H4" s="706"/>
      <c r="I4" s="296"/>
      <c r="J4" s="705" t="s">
        <v>2</v>
      </c>
      <c r="K4" s="706"/>
      <c r="L4" s="706"/>
      <c r="M4" s="296"/>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c r="C7" s="299"/>
      <c r="D7" s="341"/>
      <c r="E7" s="11"/>
      <c r="F7" s="298"/>
      <c r="G7" s="299"/>
      <c r="H7" s="341"/>
      <c r="I7" s="158"/>
      <c r="J7" s="300"/>
      <c r="K7" s="301"/>
      <c r="L7" s="413"/>
      <c r="M7" s="11"/>
    </row>
    <row r="8" spans="1:14" ht="15.75" x14ac:dyDescent="0.2">
      <c r="A8" s="19" t="s">
        <v>25</v>
      </c>
      <c r="B8" s="276"/>
      <c r="C8" s="277"/>
      <c r="D8" s="164"/>
      <c r="E8" s="25"/>
      <c r="F8" s="280"/>
      <c r="G8" s="281"/>
      <c r="H8" s="164"/>
      <c r="I8" s="172"/>
      <c r="J8" s="230"/>
      <c r="K8" s="282"/>
      <c r="L8" s="164"/>
      <c r="M8" s="25"/>
    </row>
    <row r="9" spans="1:14" ht="15.75" x14ac:dyDescent="0.2">
      <c r="A9" s="19" t="s">
        <v>24</v>
      </c>
      <c r="B9" s="276"/>
      <c r="C9" s="277"/>
      <c r="D9" s="164"/>
      <c r="E9" s="25"/>
      <c r="F9" s="280"/>
      <c r="G9" s="281"/>
      <c r="H9" s="164"/>
      <c r="I9" s="172"/>
      <c r="J9" s="230"/>
      <c r="K9" s="282"/>
      <c r="L9" s="164"/>
      <c r="M9" s="25"/>
    </row>
    <row r="10" spans="1:14" ht="15.75" x14ac:dyDescent="0.2">
      <c r="A10" s="13" t="s">
        <v>350</v>
      </c>
      <c r="B10" s="302"/>
      <c r="C10" s="303"/>
      <c r="D10" s="169"/>
      <c r="E10" s="11"/>
      <c r="F10" s="302"/>
      <c r="G10" s="303"/>
      <c r="H10" s="169"/>
      <c r="I10" s="158"/>
      <c r="J10" s="300"/>
      <c r="K10" s="301"/>
      <c r="L10" s="414"/>
      <c r="M10" s="11"/>
    </row>
    <row r="11" spans="1:14" s="41" customFormat="1" ht="15.75" x14ac:dyDescent="0.2">
      <c r="A11" s="13" t="s">
        <v>351</v>
      </c>
      <c r="B11" s="302"/>
      <c r="C11" s="303"/>
      <c r="D11" s="169"/>
      <c r="E11" s="11"/>
      <c r="F11" s="302"/>
      <c r="G11" s="303"/>
      <c r="H11" s="169"/>
      <c r="I11" s="158"/>
      <c r="J11" s="300"/>
      <c r="K11" s="301"/>
      <c r="L11" s="414"/>
      <c r="M11" s="11"/>
      <c r="N11" s="141"/>
    </row>
    <row r="12" spans="1:14" s="41" customFormat="1" ht="15.75" x14ac:dyDescent="0.2">
      <c r="A12" s="39" t="s">
        <v>352</v>
      </c>
      <c r="B12" s="304"/>
      <c r="C12" s="305"/>
      <c r="D12" s="167"/>
      <c r="E12" s="34"/>
      <c r="F12" s="304"/>
      <c r="G12" s="305"/>
      <c r="H12" s="167"/>
      <c r="I12" s="167"/>
      <c r="J12" s="306"/>
      <c r="K12" s="307"/>
      <c r="L12" s="415"/>
      <c r="M12" s="34"/>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291"/>
      <c r="F18" s="707"/>
      <c r="G18" s="707"/>
      <c r="H18" s="707"/>
      <c r="I18" s="291"/>
      <c r="J18" s="707"/>
      <c r="K18" s="707"/>
      <c r="L18" s="707"/>
      <c r="M18" s="291"/>
    </row>
    <row r="19" spans="1:14" x14ac:dyDescent="0.2">
      <c r="A19" s="142"/>
      <c r="B19" s="705" t="s">
        <v>0</v>
      </c>
      <c r="C19" s="706"/>
      <c r="D19" s="706"/>
      <c r="E19" s="293"/>
      <c r="F19" s="705" t="s">
        <v>1</v>
      </c>
      <c r="G19" s="706"/>
      <c r="H19" s="706"/>
      <c r="I19" s="296"/>
      <c r="J19" s="705" t="s">
        <v>2</v>
      </c>
      <c r="K19" s="706"/>
      <c r="L19" s="706"/>
      <c r="M19" s="296"/>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302"/>
      <c r="C22" s="302"/>
      <c r="D22" s="341"/>
      <c r="E22" s="11"/>
      <c r="F22" s="310"/>
      <c r="G22" s="310"/>
      <c r="H22" s="341"/>
      <c r="I22" s="11"/>
      <c r="J22" s="308"/>
      <c r="K22" s="308"/>
      <c r="L22" s="413"/>
      <c r="M22" s="22"/>
    </row>
    <row r="23" spans="1:14" ht="15.75" x14ac:dyDescent="0.2">
      <c r="A23" s="496" t="s">
        <v>353</v>
      </c>
      <c r="B23" s="276"/>
      <c r="C23" s="276"/>
      <c r="D23" s="164"/>
      <c r="E23" s="11"/>
      <c r="F23" s="285"/>
      <c r="G23" s="285"/>
      <c r="H23" s="164"/>
      <c r="I23" s="403"/>
      <c r="J23" s="285"/>
      <c r="K23" s="285"/>
      <c r="L23" s="164"/>
      <c r="M23" s="21"/>
    </row>
    <row r="24" spans="1:14" ht="15.75" x14ac:dyDescent="0.2">
      <c r="A24" s="496" t="s">
        <v>354</v>
      </c>
      <c r="B24" s="276"/>
      <c r="C24" s="276"/>
      <c r="D24" s="164"/>
      <c r="E24" s="11"/>
      <c r="F24" s="285"/>
      <c r="G24" s="285"/>
      <c r="H24" s="164"/>
      <c r="I24" s="403"/>
      <c r="J24" s="285"/>
      <c r="K24" s="285"/>
      <c r="L24" s="164"/>
      <c r="M24" s="21"/>
    </row>
    <row r="25" spans="1:14" ht="15.75" x14ac:dyDescent="0.2">
      <c r="A25" s="496" t="s">
        <v>355</v>
      </c>
      <c r="B25" s="276"/>
      <c r="C25" s="276"/>
      <c r="D25" s="164"/>
      <c r="E25" s="11"/>
      <c r="F25" s="285"/>
      <c r="G25" s="285"/>
      <c r="H25" s="164"/>
      <c r="I25" s="403"/>
      <c r="J25" s="285"/>
      <c r="K25" s="285"/>
      <c r="L25" s="164"/>
      <c r="M25" s="21"/>
    </row>
    <row r="26" spans="1:14" ht="15.75" x14ac:dyDescent="0.2">
      <c r="A26" s="496" t="s">
        <v>356</v>
      </c>
      <c r="B26" s="276"/>
      <c r="C26" s="276"/>
      <c r="D26" s="164"/>
      <c r="E26" s="11"/>
      <c r="F26" s="285"/>
      <c r="G26" s="285"/>
      <c r="H26" s="164"/>
      <c r="I26" s="403"/>
      <c r="J26" s="285"/>
      <c r="K26" s="285"/>
      <c r="L26" s="164"/>
      <c r="M26" s="21"/>
    </row>
    <row r="27" spans="1:14" x14ac:dyDescent="0.2">
      <c r="A27" s="496" t="s">
        <v>11</v>
      </c>
      <c r="B27" s="276"/>
      <c r="C27" s="276"/>
      <c r="D27" s="164"/>
      <c r="E27" s="11"/>
      <c r="F27" s="285"/>
      <c r="G27" s="285"/>
      <c r="H27" s="164"/>
      <c r="I27" s="403"/>
      <c r="J27" s="285"/>
      <c r="K27" s="285"/>
      <c r="L27" s="164"/>
      <c r="M27" s="21"/>
    </row>
    <row r="28" spans="1:14" ht="15.75" x14ac:dyDescent="0.2">
      <c r="A28" s="47" t="s">
        <v>271</v>
      </c>
      <c r="B28" s="42"/>
      <c r="C28" s="282"/>
      <c r="D28" s="164"/>
      <c r="E28" s="11"/>
      <c r="F28" s="230"/>
      <c r="G28" s="282"/>
      <c r="H28" s="164"/>
      <c r="I28" s="25"/>
      <c r="J28" s="42"/>
      <c r="K28" s="42"/>
      <c r="L28" s="249"/>
      <c r="M28" s="21"/>
    </row>
    <row r="29" spans="1:14" s="3" customFormat="1" ht="15.75" x14ac:dyDescent="0.2">
      <c r="A29" s="13" t="s">
        <v>350</v>
      </c>
      <c r="B29" s="232"/>
      <c r="C29" s="232"/>
      <c r="D29" s="169"/>
      <c r="E29" s="11"/>
      <c r="F29" s="300"/>
      <c r="G29" s="300"/>
      <c r="H29" s="169"/>
      <c r="I29" s="11"/>
      <c r="J29" s="232"/>
      <c r="K29" s="232"/>
      <c r="L29" s="414"/>
      <c r="M29" s="22"/>
      <c r="N29" s="146"/>
    </row>
    <row r="30" spans="1:14" s="3" customFormat="1" ht="15.75" x14ac:dyDescent="0.2">
      <c r="A30" s="496" t="s">
        <v>353</v>
      </c>
      <c r="B30" s="276"/>
      <c r="C30" s="276"/>
      <c r="D30" s="164"/>
      <c r="E30" s="11"/>
      <c r="F30" s="285"/>
      <c r="G30" s="285"/>
      <c r="H30" s="164"/>
      <c r="I30" s="403"/>
      <c r="J30" s="285"/>
      <c r="K30" s="285"/>
      <c r="L30" s="164"/>
      <c r="M30" s="21"/>
      <c r="N30" s="146"/>
    </row>
    <row r="31" spans="1:14" s="3" customFormat="1" ht="15.75" x14ac:dyDescent="0.2">
      <c r="A31" s="496" t="s">
        <v>354</v>
      </c>
      <c r="B31" s="276"/>
      <c r="C31" s="276"/>
      <c r="D31" s="164"/>
      <c r="E31" s="11"/>
      <c r="F31" s="285"/>
      <c r="G31" s="285"/>
      <c r="H31" s="164"/>
      <c r="I31" s="403"/>
      <c r="J31" s="285"/>
      <c r="K31" s="285"/>
      <c r="L31" s="164"/>
      <c r="M31" s="21"/>
      <c r="N31" s="146"/>
    </row>
    <row r="32" spans="1:14" ht="15.75" x14ac:dyDescent="0.2">
      <c r="A32" s="496" t="s">
        <v>355</v>
      </c>
      <c r="B32" s="276"/>
      <c r="C32" s="276"/>
      <c r="D32" s="164"/>
      <c r="E32" s="11"/>
      <c r="F32" s="285"/>
      <c r="G32" s="285"/>
      <c r="H32" s="164"/>
      <c r="I32" s="403"/>
      <c r="J32" s="285"/>
      <c r="K32" s="285"/>
      <c r="L32" s="164"/>
      <c r="M32" s="21"/>
    </row>
    <row r="33" spans="1:14" ht="15.75" x14ac:dyDescent="0.2">
      <c r="A33" s="496" t="s">
        <v>356</v>
      </c>
      <c r="B33" s="276"/>
      <c r="C33" s="276"/>
      <c r="D33" s="164"/>
      <c r="E33" s="11"/>
      <c r="F33" s="285"/>
      <c r="G33" s="285"/>
      <c r="H33" s="164"/>
      <c r="I33" s="403"/>
      <c r="J33" s="285"/>
      <c r="K33" s="285"/>
      <c r="L33" s="164"/>
      <c r="M33" s="21"/>
    </row>
    <row r="34" spans="1:14" ht="15.75" x14ac:dyDescent="0.2">
      <c r="A34" s="13" t="s">
        <v>351</v>
      </c>
      <c r="B34" s="232"/>
      <c r="C34" s="301"/>
      <c r="D34" s="169"/>
      <c r="E34" s="11"/>
      <c r="F34" s="300"/>
      <c r="G34" s="301"/>
      <c r="H34" s="169"/>
      <c r="I34" s="11"/>
      <c r="J34" s="232"/>
      <c r="K34" s="232"/>
      <c r="L34" s="414"/>
      <c r="M34" s="22"/>
    </row>
    <row r="35" spans="1:14" ht="15.75" x14ac:dyDescent="0.2">
      <c r="A35" s="13" t="s">
        <v>352</v>
      </c>
      <c r="B35" s="232"/>
      <c r="C35" s="301"/>
      <c r="D35" s="169"/>
      <c r="E35" s="11"/>
      <c r="F35" s="300"/>
      <c r="G35" s="301"/>
      <c r="H35" s="169"/>
      <c r="I35" s="11"/>
      <c r="J35" s="232"/>
      <c r="K35" s="232"/>
      <c r="L35" s="414"/>
      <c r="M35" s="22"/>
    </row>
    <row r="36" spans="1:14" ht="15.75" x14ac:dyDescent="0.2">
      <c r="A36" s="12" t="s">
        <v>279</v>
      </c>
      <c r="B36" s="232"/>
      <c r="C36" s="301"/>
      <c r="D36" s="169"/>
      <c r="E36" s="11"/>
      <c r="F36" s="311"/>
      <c r="G36" s="312"/>
      <c r="H36" s="169"/>
      <c r="I36" s="420"/>
      <c r="J36" s="232"/>
      <c r="K36" s="232"/>
      <c r="L36" s="414"/>
      <c r="M36" s="22"/>
    </row>
    <row r="37" spans="1:14" ht="15.75" x14ac:dyDescent="0.2">
      <c r="A37" s="12" t="s">
        <v>358</v>
      </c>
      <c r="B37" s="232"/>
      <c r="C37" s="301"/>
      <c r="D37" s="169"/>
      <c r="E37" s="11"/>
      <c r="F37" s="311"/>
      <c r="G37" s="313"/>
      <c r="H37" s="169"/>
      <c r="I37" s="420"/>
      <c r="J37" s="232"/>
      <c r="K37" s="232"/>
      <c r="L37" s="414"/>
      <c r="M37" s="22"/>
    </row>
    <row r="38" spans="1:14" ht="15.75" x14ac:dyDescent="0.2">
      <c r="A38" s="12" t="s">
        <v>359</v>
      </c>
      <c r="B38" s="232"/>
      <c r="C38" s="301"/>
      <c r="D38" s="169"/>
      <c r="E38" s="22"/>
      <c r="F38" s="311"/>
      <c r="G38" s="312"/>
      <c r="H38" s="169"/>
      <c r="I38" s="420"/>
      <c r="J38" s="232"/>
      <c r="K38" s="232"/>
      <c r="L38" s="414"/>
      <c r="M38" s="22"/>
    </row>
    <row r="39" spans="1:14" ht="15.75" x14ac:dyDescent="0.2">
      <c r="A39" s="18" t="s">
        <v>360</v>
      </c>
      <c r="B39" s="271"/>
      <c r="C39" s="307"/>
      <c r="D39" s="167"/>
      <c r="E39" s="34"/>
      <c r="F39" s="314"/>
      <c r="G39" s="315"/>
      <c r="H39" s="167"/>
      <c r="I39" s="34"/>
      <c r="J39" s="232"/>
      <c r="K39" s="232"/>
      <c r="L39" s="415"/>
      <c r="M39" s="34"/>
    </row>
    <row r="40" spans="1:14" ht="15.75" x14ac:dyDescent="0.25">
      <c r="A40" s="45"/>
      <c r="B40" s="248"/>
      <c r="C40" s="248"/>
      <c r="D40" s="708"/>
      <c r="E40" s="708"/>
      <c r="F40" s="708"/>
      <c r="G40" s="708"/>
      <c r="H40" s="708"/>
      <c r="I40" s="708"/>
      <c r="J40" s="708"/>
      <c r="K40" s="708"/>
      <c r="L40" s="708"/>
      <c r="M40" s="294"/>
    </row>
    <row r="41" spans="1:14" x14ac:dyDescent="0.2">
      <c r="A41" s="153"/>
    </row>
    <row r="42" spans="1:14" ht="15.75" x14ac:dyDescent="0.25">
      <c r="A42" s="145" t="s">
        <v>268</v>
      </c>
      <c r="B42" s="704"/>
      <c r="C42" s="704"/>
      <c r="D42" s="704"/>
      <c r="E42" s="291"/>
      <c r="F42" s="709"/>
      <c r="G42" s="709"/>
      <c r="H42" s="709"/>
      <c r="I42" s="294"/>
      <c r="J42" s="709"/>
      <c r="K42" s="709"/>
      <c r="L42" s="709"/>
      <c r="M42" s="294"/>
    </row>
    <row r="43" spans="1:14" ht="15.75" x14ac:dyDescent="0.25">
      <c r="A43" s="161"/>
      <c r="B43" s="295"/>
      <c r="C43" s="295"/>
      <c r="D43" s="295"/>
      <c r="E43" s="295"/>
      <c r="F43" s="294"/>
      <c r="G43" s="294"/>
      <c r="H43" s="294"/>
      <c r="I43" s="294"/>
      <c r="J43" s="294"/>
      <c r="K43" s="294"/>
      <c r="L43" s="294"/>
      <c r="M43" s="294"/>
    </row>
    <row r="44" spans="1:14" ht="15.75" x14ac:dyDescent="0.25">
      <c r="A44" s="243"/>
      <c r="B44" s="705" t="s">
        <v>0</v>
      </c>
      <c r="C44" s="706"/>
      <c r="D44" s="706"/>
      <c r="E44" s="239"/>
      <c r="F44" s="294"/>
      <c r="G44" s="294"/>
      <c r="H44" s="294"/>
      <c r="I44" s="294"/>
      <c r="J44" s="294"/>
      <c r="K44" s="294"/>
      <c r="L44" s="294"/>
      <c r="M44" s="294"/>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v>23424</v>
      </c>
      <c r="C47" s="303">
        <v>25000</v>
      </c>
      <c r="D47" s="413">
        <f t="shared" ref="D47:D48" si="0">IF(B47=0, "    ---- ", IF(ABS(ROUND(100/B47*C47-100,1))&lt;999,ROUND(100/B47*C47-100,1),IF(ROUND(100/B47*C47-100,1)&gt;999,999,-999)))</f>
        <v>6.7</v>
      </c>
      <c r="E47" s="11">
        <f>IFERROR(100/'Skjema total MA'!C47*C47,0)</f>
        <v>0.51414717366505314</v>
      </c>
      <c r="F47" s="143"/>
      <c r="G47" s="31"/>
      <c r="H47" s="157"/>
      <c r="I47" s="157"/>
      <c r="J47" s="35"/>
      <c r="K47" s="35"/>
      <c r="L47" s="157"/>
      <c r="M47" s="157"/>
      <c r="N47" s="146"/>
    </row>
    <row r="48" spans="1:14" s="3" customFormat="1" ht="15.75" x14ac:dyDescent="0.2">
      <c r="A48" s="36" t="s">
        <v>361</v>
      </c>
      <c r="B48" s="276">
        <v>23424</v>
      </c>
      <c r="C48" s="277">
        <v>25000</v>
      </c>
      <c r="D48" s="249">
        <f t="shared" si="0"/>
        <v>6.7</v>
      </c>
      <c r="E48" s="25">
        <f>IFERROR(100/'Skjema total MA'!C48*C48,0)</f>
        <v>0.92182616942260764</v>
      </c>
      <c r="F48" s="143"/>
      <c r="G48" s="31"/>
      <c r="H48" s="143"/>
      <c r="I48" s="143"/>
      <c r="J48" s="31"/>
      <c r="K48" s="31"/>
      <c r="L48" s="157"/>
      <c r="M48" s="157"/>
      <c r="N48" s="146"/>
    </row>
    <row r="49" spans="1:14" s="3" customFormat="1" ht="15.75" x14ac:dyDescent="0.2">
      <c r="A49" s="36" t="s">
        <v>362</v>
      </c>
      <c r="B49" s="42"/>
      <c r="C49" s="282"/>
      <c r="D49" s="249"/>
      <c r="E49" s="25"/>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c r="C53" s="303"/>
      <c r="D53" s="414"/>
      <c r="E53" s="11"/>
      <c r="F53" s="143"/>
      <c r="G53" s="31"/>
      <c r="H53" s="143"/>
      <c r="I53" s="143"/>
      <c r="J53" s="31"/>
      <c r="K53" s="31"/>
      <c r="L53" s="157"/>
      <c r="M53" s="157"/>
      <c r="N53" s="146"/>
    </row>
    <row r="54" spans="1:14" s="3" customFormat="1" ht="15.75" x14ac:dyDescent="0.2">
      <c r="A54" s="36" t="s">
        <v>361</v>
      </c>
      <c r="B54" s="276"/>
      <c r="C54" s="277"/>
      <c r="D54" s="249"/>
      <c r="E54" s="25"/>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c r="C56" s="303"/>
      <c r="D56" s="414"/>
      <c r="E56" s="11"/>
      <c r="F56" s="143"/>
      <c r="G56" s="31"/>
      <c r="H56" s="143"/>
      <c r="I56" s="143"/>
      <c r="J56" s="31"/>
      <c r="K56" s="31"/>
      <c r="L56" s="157"/>
      <c r="M56" s="157"/>
      <c r="N56" s="146"/>
    </row>
    <row r="57" spans="1:14" s="3" customFormat="1" ht="15.75" x14ac:dyDescent="0.2">
      <c r="A57" s="36" t="s">
        <v>361</v>
      </c>
      <c r="B57" s="276"/>
      <c r="C57" s="277"/>
      <c r="D57" s="249"/>
      <c r="E57" s="25"/>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291"/>
      <c r="F62" s="707"/>
      <c r="G62" s="707"/>
      <c r="H62" s="707"/>
      <c r="I62" s="291"/>
      <c r="J62" s="707"/>
      <c r="K62" s="707"/>
      <c r="L62" s="707"/>
      <c r="M62" s="291"/>
    </row>
    <row r="63" spans="1:14" x14ac:dyDescent="0.2">
      <c r="A63" s="142"/>
      <c r="B63" s="705" t="s">
        <v>0</v>
      </c>
      <c r="C63" s="706"/>
      <c r="D63" s="710"/>
      <c r="E63" s="292"/>
      <c r="F63" s="706" t="s">
        <v>1</v>
      </c>
      <c r="G63" s="706"/>
      <c r="H63" s="706"/>
      <c r="I63" s="296"/>
      <c r="J63" s="705" t="s">
        <v>2</v>
      </c>
      <c r="K63" s="706"/>
      <c r="L63" s="706"/>
      <c r="M63" s="296"/>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c r="C66" s="344"/>
      <c r="D66" s="341"/>
      <c r="E66" s="11"/>
      <c r="F66" s="343"/>
      <c r="G66" s="343"/>
      <c r="H66" s="341"/>
      <c r="I66" s="11"/>
      <c r="J66" s="301"/>
      <c r="K66" s="308"/>
      <c r="L66" s="414"/>
      <c r="M66" s="11"/>
    </row>
    <row r="67" spans="1:14" x14ac:dyDescent="0.2">
      <c r="A67" s="405" t="s">
        <v>9</v>
      </c>
      <c r="B67" s="42"/>
      <c r="C67" s="143"/>
      <c r="D67" s="164"/>
      <c r="E67" s="25"/>
      <c r="F67" s="230"/>
      <c r="G67" s="143"/>
      <c r="H67" s="164"/>
      <c r="I67" s="25"/>
      <c r="J67" s="282"/>
      <c r="K67" s="42"/>
      <c r="L67" s="249"/>
      <c r="M67" s="25"/>
    </row>
    <row r="68" spans="1:14" x14ac:dyDescent="0.2">
      <c r="A68" s="19" t="s">
        <v>10</v>
      </c>
      <c r="B68" s="286"/>
      <c r="C68" s="287"/>
      <c r="D68" s="164"/>
      <c r="E68" s="25"/>
      <c r="F68" s="286"/>
      <c r="G68" s="287"/>
      <c r="H68" s="164"/>
      <c r="I68" s="25"/>
      <c r="J68" s="282"/>
      <c r="K68" s="42"/>
      <c r="L68" s="249"/>
      <c r="M68" s="25"/>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c r="C75" s="143"/>
      <c r="D75" s="164"/>
      <c r="E75" s="25"/>
      <c r="F75" s="230"/>
      <c r="G75" s="143"/>
      <c r="H75" s="164"/>
      <c r="I75" s="25"/>
      <c r="J75" s="282"/>
      <c r="K75" s="42"/>
      <c r="L75" s="249"/>
      <c r="M75" s="25"/>
      <c r="N75" s="146"/>
    </row>
    <row r="76" spans="1:14" s="3" customFormat="1" x14ac:dyDescent="0.2">
      <c r="A76" s="19" t="s">
        <v>336</v>
      </c>
      <c r="B76" s="230"/>
      <c r="C76" s="143"/>
      <c r="D76" s="164"/>
      <c r="E76" s="25"/>
      <c r="F76" s="230"/>
      <c r="G76" s="143"/>
      <c r="H76" s="164"/>
      <c r="I76" s="25"/>
      <c r="J76" s="282"/>
      <c r="K76" s="42"/>
      <c r="L76" s="249"/>
      <c r="M76" s="25"/>
      <c r="N76" s="146"/>
    </row>
    <row r="77" spans="1:14" ht="15.75" x14ac:dyDescent="0.2">
      <c r="A77" s="19" t="s">
        <v>367</v>
      </c>
      <c r="B77" s="230"/>
      <c r="C77" s="230"/>
      <c r="D77" s="164"/>
      <c r="E77" s="25"/>
      <c r="F77" s="230"/>
      <c r="G77" s="143"/>
      <c r="H77" s="164"/>
      <c r="I77" s="25"/>
      <c r="J77" s="282"/>
      <c r="K77" s="42"/>
      <c r="L77" s="249"/>
      <c r="M77" s="25"/>
    </row>
    <row r="78" spans="1:14" x14ac:dyDescent="0.2">
      <c r="A78" s="19" t="s">
        <v>9</v>
      </c>
      <c r="B78" s="230"/>
      <c r="C78" s="143"/>
      <c r="D78" s="164"/>
      <c r="E78" s="25"/>
      <c r="F78" s="230"/>
      <c r="G78" s="143"/>
      <c r="H78" s="164"/>
      <c r="I78" s="25"/>
      <c r="J78" s="282"/>
      <c r="K78" s="42"/>
      <c r="L78" s="249"/>
      <c r="M78" s="25"/>
    </row>
    <row r="79" spans="1:14" x14ac:dyDescent="0.2">
      <c r="A79" s="36" t="s">
        <v>400</v>
      </c>
      <c r="B79" s="286"/>
      <c r="C79" s="287"/>
      <c r="D79" s="164"/>
      <c r="E79" s="25"/>
      <c r="F79" s="286"/>
      <c r="G79" s="287"/>
      <c r="H79" s="164"/>
      <c r="I79" s="25"/>
      <c r="J79" s="282"/>
      <c r="K79" s="42"/>
      <c r="L79" s="249"/>
      <c r="M79" s="25"/>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c r="C86" s="143"/>
      <c r="D86" s="164"/>
      <c r="E86" s="25"/>
      <c r="F86" s="230"/>
      <c r="G86" s="143"/>
      <c r="H86" s="164"/>
      <c r="I86" s="25"/>
      <c r="J86" s="282"/>
      <c r="K86" s="42"/>
      <c r="L86" s="249"/>
      <c r="M86" s="25"/>
    </row>
    <row r="87" spans="1:13" ht="15.75" x14ac:dyDescent="0.2">
      <c r="A87" s="13" t="s">
        <v>350</v>
      </c>
      <c r="B87" s="344"/>
      <c r="C87" s="344"/>
      <c r="D87" s="169"/>
      <c r="E87" s="11"/>
      <c r="F87" s="343"/>
      <c r="G87" s="343"/>
      <c r="H87" s="169"/>
      <c r="I87" s="11"/>
      <c r="J87" s="301"/>
      <c r="K87" s="232"/>
      <c r="L87" s="414"/>
      <c r="M87" s="11"/>
    </row>
    <row r="88" spans="1:13" x14ac:dyDescent="0.2">
      <c r="A88" s="19" t="s">
        <v>9</v>
      </c>
      <c r="B88" s="230"/>
      <c r="C88" s="143"/>
      <c r="D88" s="164"/>
      <c r="E88" s="25"/>
      <c r="F88" s="230"/>
      <c r="G88" s="143"/>
      <c r="H88" s="164"/>
      <c r="I88" s="25"/>
      <c r="J88" s="282"/>
      <c r="K88" s="42"/>
      <c r="L88" s="249"/>
      <c r="M88" s="25"/>
    </row>
    <row r="89" spans="1:13" x14ac:dyDescent="0.2">
      <c r="A89" s="19" t="s">
        <v>10</v>
      </c>
      <c r="B89" s="230"/>
      <c r="C89" s="143"/>
      <c r="D89" s="164"/>
      <c r="E89" s="25"/>
      <c r="F89" s="230"/>
      <c r="G89" s="143"/>
      <c r="H89" s="164"/>
      <c r="I89" s="25"/>
      <c r="J89" s="282"/>
      <c r="K89" s="42"/>
      <c r="L89" s="249"/>
      <c r="M89" s="25"/>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c r="C96" s="143"/>
      <c r="D96" s="164"/>
      <c r="E96" s="25"/>
      <c r="F96" s="230"/>
      <c r="G96" s="143"/>
      <c r="H96" s="164"/>
      <c r="I96" s="25"/>
      <c r="J96" s="282"/>
      <c r="K96" s="42"/>
      <c r="L96" s="249"/>
      <c r="M96" s="25"/>
    </row>
    <row r="97" spans="1:13" x14ac:dyDescent="0.2">
      <c r="A97" s="19" t="s">
        <v>334</v>
      </c>
      <c r="B97" s="230"/>
      <c r="C97" s="143"/>
      <c r="D97" s="164"/>
      <c r="E97" s="25"/>
      <c r="F97" s="230"/>
      <c r="G97" s="143"/>
      <c r="H97" s="164"/>
      <c r="I97" s="25"/>
      <c r="J97" s="282"/>
      <c r="K97" s="42"/>
      <c r="L97" s="249"/>
      <c r="M97" s="25"/>
    </row>
    <row r="98" spans="1:13" ht="15.75" x14ac:dyDescent="0.2">
      <c r="A98" s="19" t="s">
        <v>367</v>
      </c>
      <c r="B98" s="230"/>
      <c r="C98" s="230"/>
      <c r="D98" s="164"/>
      <c r="E98" s="25"/>
      <c r="F98" s="286"/>
      <c r="G98" s="286"/>
      <c r="H98" s="164"/>
      <c r="I98" s="25"/>
      <c r="J98" s="282"/>
      <c r="K98" s="42"/>
      <c r="L98" s="249"/>
      <c r="M98" s="25"/>
    </row>
    <row r="99" spans="1:13" x14ac:dyDescent="0.2">
      <c r="A99" s="19" t="s">
        <v>9</v>
      </c>
      <c r="B99" s="286"/>
      <c r="C99" s="287"/>
      <c r="D99" s="164"/>
      <c r="E99" s="25"/>
      <c r="F99" s="230"/>
      <c r="G99" s="143"/>
      <c r="H99" s="164"/>
      <c r="I99" s="25"/>
      <c r="J99" s="282"/>
      <c r="K99" s="42"/>
      <c r="L99" s="249"/>
      <c r="M99" s="25"/>
    </row>
    <row r="100" spans="1:13" x14ac:dyDescent="0.2">
      <c r="A100" s="36" t="s">
        <v>400</v>
      </c>
      <c r="B100" s="286"/>
      <c r="C100" s="287"/>
      <c r="D100" s="164"/>
      <c r="E100" s="25"/>
      <c r="F100" s="230"/>
      <c r="G100" s="230"/>
      <c r="H100" s="164"/>
      <c r="I100" s="25"/>
      <c r="J100" s="282"/>
      <c r="K100" s="42"/>
      <c r="L100" s="249"/>
      <c r="M100" s="25"/>
    </row>
    <row r="101" spans="1:13" ht="15.75" x14ac:dyDescent="0.2">
      <c r="A101" s="288" t="s">
        <v>365</v>
      </c>
      <c r="B101" s="311"/>
      <c r="C101" s="311"/>
      <c r="D101" s="164"/>
      <c r="E101" s="21"/>
      <c r="F101" s="311"/>
      <c r="G101" s="311"/>
      <c r="H101" s="164"/>
      <c r="I101" s="21"/>
      <c r="J101" s="311"/>
      <c r="K101" s="311"/>
      <c r="L101" s="164"/>
      <c r="M101" s="21"/>
    </row>
    <row r="102" spans="1:13" x14ac:dyDescent="0.2">
      <c r="A102" s="288" t="s">
        <v>12</v>
      </c>
      <c r="B102" s="311"/>
      <c r="C102" s="311"/>
      <c r="D102" s="164"/>
      <c r="E102" s="21"/>
      <c r="F102" s="311"/>
      <c r="G102" s="311"/>
      <c r="H102" s="164"/>
      <c r="I102" s="21"/>
      <c r="J102" s="311"/>
      <c r="K102" s="311"/>
      <c r="L102" s="164"/>
      <c r="M102" s="21"/>
    </row>
    <row r="103" spans="1:13" x14ac:dyDescent="0.2">
      <c r="A103" s="288" t="s">
        <v>13</v>
      </c>
      <c r="B103" s="311"/>
      <c r="C103" s="311"/>
      <c r="D103" s="164"/>
      <c r="E103" s="21"/>
      <c r="F103" s="311"/>
      <c r="G103" s="311"/>
      <c r="H103" s="164"/>
      <c r="I103" s="21"/>
      <c r="J103" s="311"/>
      <c r="K103" s="311"/>
      <c r="L103" s="164"/>
      <c r="M103" s="21"/>
    </row>
    <row r="104" spans="1:13" ht="15.75" x14ac:dyDescent="0.2">
      <c r="A104" s="288" t="s">
        <v>366</v>
      </c>
      <c r="B104" s="311"/>
      <c r="C104" s="311"/>
      <c r="D104" s="164"/>
      <c r="E104" s="21"/>
      <c r="F104" s="311"/>
      <c r="G104" s="311"/>
      <c r="H104" s="164"/>
      <c r="I104" s="21"/>
      <c r="J104" s="311"/>
      <c r="K104" s="311"/>
      <c r="L104" s="164"/>
      <c r="M104" s="21"/>
    </row>
    <row r="105" spans="1:13" x14ac:dyDescent="0.2">
      <c r="A105" s="288" t="s">
        <v>12</v>
      </c>
      <c r="B105" s="231"/>
      <c r="C105" s="284"/>
      <c r="D105" s="164"/>
      <c r="E105" s="21"/>
      <c r="F105" s="311"/>
      <c r="G105" s="311"/>
      <c r="H105" s="164"/>
      <c r="I105" s="21"/>
      <c r="J105" s="311"/>
      <c r="K105" s="311"/>
      <c r="L105" s="164"/>
      <c r="M105" s="21"/>
    </row>
    <row r="106" spans="1:13" x14ac:dyDescent="0.2">
      <c r="A106" s="288" t="s">
        <v>13</v>
      </c>
      <c r="B106" s="231"/>
      <c r="C106" s="284"/>
      <c r="D106" s="164"/>
      <c r="E106" s="21"/>
      <c r="F106" s="311"/>
      <c r="G106" s="311"/>
      <c r="H106" s="164"/>
      <c r="I106" s="21"/>
      <c r="J106" s="311"/>
      <c r="K106" s="311"/>
      <c r="L106" s="164"/>
      <c r="M106" s="21"/>
    </row>
    <row r="107" spans="1:13" ht="15.75" x14ac:dyDescent="0.2">
      <c r="A107" s="19" t="s">
        <v>368</v>
      </c>
      <c r="B107" s="230"/>
      <c r="C107" s="143"/>
      <c r="D107" s="164"/>
      <c r="E107" s="25"/>
      <c r="F107" s="230"/>
      <c r="G107" s="143"/>
      <c r="H107" s="164"/>
      <c r="I107" s="25"/>
      <c r="J107" s="282"/>
      <c r="K107" s="42"/>
      <c r="L107" s="249"/>
      <c r="M107" s="25"/>
    </row>
    <row r="108" spans="1:13" ht="15.75" x14ac:dyDescent="0.2">
      <c r="A108" s="19" t="s">
        <v>369</v>
      </c>
      <c r="B108" s="230"/>
      <c r="C108" s="230"/>
      <c r="D108" s="164"/>
      <c r="E108" s="25"/>
      <c r="F108" s="230"/>
      <c r="G108" s="230"/>
      <c r="H108" s="164"/>
      <c r="I108" s="25"/>
      <c r="J108" s="282"/>
      <c r="K108" s="42"/>
      <c r="L108" s="249"/>
      <c r="M108" s="25"/>
    </row>
    <row r="109" spans="1:13" ht="15.75" x14ac:dyDescent="0.2">
      <c r="A109" s="36" t="s">
        <v>408</v>
      </c>
      <c r="B109" s="230"/>
      <c r="C109" s="230"/>
      <c r="D109" s="164"/>
      <c r="E109" s="25"/>
      <c r="F109" s="230"/>
      <c r="G109" s="230"/>
      <c r="H109" s="164"/>
      <c r="I109" s="25"/>
      <c r="J109" s="282"/>
      <c r="K109" s="42"/>
      <c r="L109" s="249"/>
      <c r="M109" s="25"/>
    </row>
    <row r="110" spans="1:13" ht="15.75" x14ac:dyDescent="0.2">
      <c r="A110" s="19" t="s">
        <v>370</v>
      </c>
      <c r="B110" s="230"/>
      <c r="C110" s="230"/>
      <c r="D110" s="164"/>
      <c r="E110" s="25"/>
      <c r="F110" s="230"/>
      <c r="G110" s="230"/>
      <c r="H110" s="164"/>
      <c r="I110" s="25"/>
      <c r="J110" s="282"/>
      <c r="K110" s="42"/>
      <c r="L110" s="249"/>
      <c r="M110" s="25"/>
    </row>
    <row r="111" spans="1:13" ht="15.75" x14ac:dyDescent="0.2">
      <c r="A111" s="13" t="s">
        <v>351</v>
      </c>
      <c r="B111" s="300"/>
      <c r="C111" s="157"/>
      <c r="D111" s="169"/>
      <c r="E111" s="11"/>
      <c r="F111" s="300"/>
      <c r="G111" s="157"/>
      <c r="H111" s="169"/>
      <c r="I111" s="11"/>
      <c r="J111" s="301"/>
      <c r="K111" s="232"/>
      <c r="L111" s="414"/>
      <c r="M111" s="11"/>
    </row>
    <row r="112" spans="1:13" x14ac:dyDescent="0.2">
      <c r="A112" s="19" t="s">
        <v>9</v>
      </c>
      <c r="B112" s="230"/>
      <c r="C112" s="143"/>
      <c r="D112" s="164"/>
      <c r="E112" s="25"/>
      <c r="F112" s="230"/>
      <c r="G112" s="143"/>
      <c r="H112" s="164"/>
      <c r="I112" s="25"/>
      <c r="J112" s="282"/>
      <c r="K112" s="42"/>
      <c r="L112" s="249"/>
      <c r="M112" s="25"/>
    </row>
    <row r="113" spans="1:14" x14ac:dyDescent="0.2">
      <c r="A113" s="19" t="s">
        <v>10</v>
      </c>
      <c r="B113" s="230"/>
      <c r="C113" s="143"/>
      <c r="D113" s="164"/>
      <c r="E113" s="25"/>
      <c r="F113" s="230"/>
      <c r="G113" s="143"/>
      <c r="H113" s="164"/>
      <c r="I113" s="25"/>
      <c r="J113" s="282"/>
      <c r="K113" s="42"/>
      <c r="L113" s="249"/>
      <c r="M113" s="25"/>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c r="C116" s="230"/>
      <c r="D116" s="164"/>
      <c r="E116" s="25"/>
      <c r="F116" s="230"/>
      <c r="G116" s="230"/>
      <c r="H116" s="164"/>
      <c r="I116" s="25"/>
      <c r="J116" s="282"/>
      <c r="K116" s="42"/>
      <c r="L116" s="249"/>
      <c r="M116" s="25"/>
    </row>
    <row r="117" spans="1:14" ht="15.75" x14ac:dyDescent="0.2">
      <c r="A117" s="36" t="s">
        <v>408</v>
      </c>
      <c r="B117" s="230"/>
      <c r="C117" s="230"/>
      <c r="D117" s="164"/>
      <c r="E117" s="25"/>
      <c r="F117" s="230"/>
      <c r="G117" s="230"/>
      <c r="H117" s="164"/>
      <c r="I117" s="25"/>
      <c r="J117" s="282"/>
      <c r="K117" s="42"/>
      <c r="L117" s="249"/>
      <c r="M117" s="25"/>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c r="C119" s="157"/>
      <c r="D119" s="169"/>
      <c r="E119" s="11"/>
      <c r="F119" s="300"/>
      <c r="G119" s="157"/>
      <c r="H119" s="169"/>
      <c r="I119" s="11"/>
      <c r="J119" s="301"/>
      <c r="K119" s="232"/>
      <c r="L119" s="414"/>
      <c r="M119" s="11"/>
    </row>
    <row r="120" spans="1:14" x14ac:dyDescent="0.2">
      <c r="A120" s="19" t="s">
        <v>9</v>
      </c>
      <c r="B120" s="230"/>
      <c r="C120" s="143"/>
      <c r="D120" s="164"/>
      <c r="E120" s="25"/>
      <c r="F120" s="230"/>
      <c r="G120" s="143"/>
      <c r="H120" s="164"/>
      <c r="I120" s="25"/>
      <c r="J120" s="282"/>
      <c r="K120" s="42"/>
      <c r="L120" s="249"/>
      <c r="M120" s="25"/>
    </row>
    <row r="121" spans="1:14" x14ac:dyDescent="0.2">
      <c r="A121" s="19" t="s">
        <v>10</v>
      </c>
      <c r="B121" s="230"/>
      <c r="C121" s="143"/>
      <c r="D121" s="164"/>
      <c r="E121" s="25"/>
      <c r="F121" s="230"/>
      <c r="G121" s="143"/>
      <c r="H121" s="164"/>
      <c r="I121" s="25"/>
      <c r="J121" s="282"/>
      <c r="K121" s="42"/>
      <c r="L121" s="249"/>
      <c r="M121" s="25"/>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c r="C125" s="230"/>
      <c r="D125" s="164"/>
      <c r="E125" s="25"/>
      <c r="F125" s="230"/>
      <c r="G125" s="230"/>
      <c r="H125" s="164"/>
      <c r="I125" s="25"/>
      <c r="J125" s="282"/>
      <c r="K125" s="42"/>
      <c r="L125" s="249"/>
      <c r="M125" s="25"/>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291"/>
      <c r="F130" s="707"/>
      <c r="G130" s="707"/>
      <c r="H130" s="707"/>
      <c r="I130" s="291"/>
      <c r="J130" s="707"/>
      <c r="K130" s="707"/>
      <c r="L130" s="707"/>
      <c r="M130" s="291"/>
    </row>
    <row r="131" spans="1:14" s="3" customFormat="1" x14ac:dyDescent="0.2">
      <c r="A131" s="142"/>
      <c r="B131" s="705" t="s">
        <v>0</v>
      </c>
      <c r="C131" s="706"/>
      <c r="D131" s="706"/>
      <c r="E131" s="293"/>
      <c r="F131" s="705" t="s">
        <v>1</v>
      </c>
      <c r="G131" s="706"/>
      <c r="H131" s="706"/>
      <c r="I131" s="296"/>
      <c r="J131" s="705" t="s">
        <v>2</v>
      </c>
      <c r="K131" s="706"/>
      <c r="L131" s="706"/>
      <c r="M131" s="296"/>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v>6027143</v>
      </c>
      <c r="C134" s="301">
        <v>7023000</v>
      </c>
      <c r="D134" s="341">
        <f t="shared" ref="D134:D136" si="1">IF(B134=0, "    ---- ", IF(ABS(ROUND(100/B134*C134-100,1))&lt;999,ROUND(100/B134*C134-100,1),IF(ROUND(100/B134*C134-100,1)&gt;999,999,-999)))</f>
        <v>16.5</v>
      </c>
      <c r="E134" s="11">
        <f>IFERROR(100/'Skjema total MA'!C134*C134,0)</f>
        <v>14.570265208639618</v>
      </c>
      <c r="F134" s="308"/>
      <c r="G134" s="309"/>
      <c r="H134" s="417"/>
      <c r="I134" s="22"/>
      <c r="J134" s="310">
        <f t="shared" ref="J134:K136" si="2">SUM(B134,F134)</f>
        <v>6027143</v>
      </c>
      <c r="K134" s="310">
        <f t="shared" si="2"/>
        <v>7023000</v>
      </c>
      <c r="L134" s="413">
        <f t="shared" ref="L134:L136" si="3">IF(J134=0, "    ---- ", IF(ABS(ROUND(100/J134*K134-100,1))&lt;999,ROUND(100/J134*K134-100,1),IF(ROUND(100/J134*K134-100,1)&gt;999,999,-999)))</f>
        <v>16.5</v>
      </c>
      <c r="M134" s="11">
        <f>IFERROR(100/'Skjema total MA'!I134*K134,0)</f>
        <v>14.530560303899492</v>
      </c>
      <c r="N134" s="146"/>
    </row>
    <row r="135" spans="1:14" s="3" customFormat="1" ht="15.75" x14ac:dyDescent="0.2">
      <c r="A135" s="13" t="s">
        <v>377</v>
      </c>
      <c r="B135" s="232">
        <v>90681751</v>
      </c>
      <c r="C135" s="301">
        <v>85289000</v>
      </c>
      <c r="D135" s="169">
        <f t="shared" si="1"/>
        <v>-5.9</v>
      </c>
      <c r="E135" s="11">
        <f>IFERROR(100/'Skjema total MA'!C135*C135,0)</f>
        <v>11.511289815523233</v>
      </c>
      <c r="F135" s="232"/>
      <c r="G135" s="301"/>
      <c r="H135" s="418"/>
      <c r="I135" s="22"/>
      <c r="J135" s="300">
        <f t="shared" si="2"/>
        <v>90681751</v>
      </c>
      <c r="K135" s="300">
        <f t="shared" si="2"/>
        <v>85289000</v>
      </c>
      <c r="L135" s="414">
        <f t="shared" si="3"/>
        <v>-5.9</v>
      </c>
      <c r="M135" s="11">
        <f>IFERROR(100/'Skjema total MA'!I135*K135,0)</f>
        <v>11.471827998375439</v>
      </c>
      <c r="N135" s="146"/>
    </row>
    <row r="136" spans="1:14" s="3" customFormat="1" ht="15.75" x14ac:dyDescent="0.2">
      <c r="A136" s="13" t="s">
        <v>374</v>
      </c>
      <c r="B136" s="232">
        <v>14000</v>
      </c>
      <c r="C136" s="301">
        <v>13000</v>
      </c>
      <c r="D136" s="169">
        <f t="shared" si="1"/>
        <v>-7.1</v>
      </c>
      <c r="E136" s="11">
        <f>IFERROR(100/'Skjema total MA'!C136*C136,0)</f>
        <v>0.38014361480128922</v>
      </c>
      <c r="F136" s="232"/>
      <c r="G136" s="301"/>
      <c r="H136" s="418"/>
      <c r="I136" s="22"/>
      <c r="J136" s="300">
        <f t="shared" si="2"/>
        <v>14000</v>
      </c>
      <c r="K136" s="300">
        <f t="shared" si="2"/>
        <v>13000</v>
      </c>
      <c r="L136" s="414">
        <f t="shared" si="3"/>
        <v>-7.1</v>
      </c>
      <c r="M136" s="11">
        <f>IFERROR(100/'Skjema total MA'!I136*K136,0)</f>
        <v>0.34244764609941253</v>
      </c>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298" priority="12">
      <formula>kvartal &lt; 4</formula>
    </cfRule>
  </conditionalFormatting>
  <conditionalFormatting sqref="A69:A74">
    <cfRule type="expression" dxfId="297" priority="10">
      <formula>kvartal &lt; 4</formula>
    </cfRule>
  </conditionalFormatting>
  <conditionalFormatting sqref="A80:A85">
    <cfRule type="expression" dxfId="296" priority="9">
      <formula>kvartal &lt; 4</formula>
    </cfRule>
  </conditionalFormatting>
  <conditionalFormatting sqref="A90:A95">
    <cfRule type="expression" dxfId="295" priority="6">
      <formula>kvartal &lt; 4</formula>
    </cfRule>
  </conditionalFormatting>
  <conditionalFormatting sqref="A101:A106">
    <cfRule type="expression" dxfId="294" priority="5">
      <formula>kvartal &lt; 4</formula>
    </cfRule>
  </conditionalFormatting>
  <conditionalFormatting sqref="A115">
    <cfRule type="expression" dxfId="293" priority="4">
      <formula>kvartal &lt; 4</formula>
    </cfRule>
  </conditionalFormatting>
  <conditionalFormatting sqref="A123">
    <cfRule type="expression" dxfId="292" priority="3">
      <formula>kvartal &lt; 4</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495" t="s">
        <v>349</v>
      </c>
      <c r="D1" s="24"/>
      <c r="E1" s="24"/>
      <c r="F1" s="24"/>
      <c r="G1" s="24"/>
      <c r="H1" s="24"/>
      <c r="I1" s="24"/>
      <c r="J1" s="24"/>
      <c r="K1" s="24"/>
      <c r="L1" s="24"/>
      <c r="M1" s="24"/>
    </row>
    <row r="2" spans="1:14" ht="15.75" x14ac:dyDescent="0.25">
      <c r="A2" s="163" t="s">
        <v>28</v>
      </c>
      <c r="B2" s="704"/>
      <c r="C2" s="704"/>
      <c r="D2" s="704"/>
      <c r="E2" s="492"/>
      <c r="F2" s="704"/>
      <c r="G2" s="704"/>
      <c r="H2" s="704"/>
      <c r="I2" s="492"/>
      <c r="J2" s="704"/>
      <c r="K2" s="704"/>
      <c r="L2" s="704"/>
      <c r="M2" s="492"/>
    </row>
    <row r="3" spans="1:14" ht="15.75" x14ac:dyDescent="0.25">
      <c r="A3" s="161"/>
      <c r="B3" s="492"/>
      <c r="C3" s="492"/>
      <c r="D3" s="492"/>
      <c r="E3" s="492"/>
      <c r="F3" s="492"/>
      <c r="G3" s="492"/>
      <c r="H3" s="492"/>
      <c r="I3" s="492"/>
      <c r="J3" s="492"/>
      <c r="K3" s="492"/>
      <c r="L3" s="492"/>
      <c r="M3" s="492"/>
    </row>
    <row r="4" spans="1:14" x14ac:dyDescent="0.2">
      <c r="A4" s="142"/>
      <c r="B4" s="705" t="s">
        <v>0</v>
      </c>
      <c r="C4" s="706"/>
      <c r="D4" s="706"/>
      <c r="E4" s="490"/>
      <c r="F4" s="705" t="s">
        <v>1</v>
      </c>
      <c r="G4" s="706"/>
      <c r="H4" s="706"/>
      <c r="I4" s="491"/>
      <c r="J4" s="705" t="s">
        <v>2</v>
      </c>
      <c r="K4" s="706"/>
      <c r="L4" s="706"/>
      <c r="M4" s="491"/>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v>2061.7857186615802</v>
      </c>
      <c r="C7" s="299">
        <v>1516.0919285320599</v>
      </c>
      <c r="D7" s="341">
        <f>IF(B7=0, "    ---- ", IF(ABS(ROUND(100/B7*C7-100,1))&lt;999,ROUND(100/B7*C7-100,1),IF(ROUND(100/B7*C7-100,1)&gt;999,999,-999)))</f>
        <v>-26.5</v>
      </c>
      <c r="E7" s="11">
        <f>IFERROR(100/'Skjema total MA'!C7*C7,0)</f>
        <v>3.8037428528790961E-2</v>
      </c>
      <c r="F7" s="298"/>
      <c r="G7" s="299"/>
      <c r="H7" s="341"/>
      <c r="I7" s="158"/>
      <c r="J7" s="300">
        <f t="shared" ref="J7:K9" si="0">SUM(B7,F7)</f>
        <v>2061.7857186615802</v>
      </c>
      <c r="K7" s="301">
        <f t="shared" si="0"/>
        <v>1516.0919285320599</v>
      </c>
      <c r="L7" s="413">
        <f>IF(J7=0, "    ---- ", IF(ABS(ROUND(100/J7*K7-100,1))&lt;999,ROUND(100/J7*K7-100,1),IF(ROUND(100/J7*K7-100,1)&gt;999,999,-999)))</f>
        <v>-26.5</v>
      </c>
      <c r="M7" s="11">
        <f>IFERROR(100/'Skjema total MA'!I7*K7,0)</f>
        <v>1.3538981916643062E-2</v>
      </c>
    </row>
    <row r="8" spans="1:14" ht="15.75" x14ac:dyDescent="0.2">
      <c r="A8" s="19" t="s">
        <v>25</v>
      </c>
      <c r="B8" s="276"/>
      <c r="C8" s="277"/>
      <c r="D8" s="164"/>
      <c r="E8" s="25"/>
      <c r="F8" s="280"/>
      <c r="G8" s="281"/>
      <c r="H8" s="164"/>
      <c r="I8" s="172"/>
      <c r="J8" s="230"/>
      <c r="K8" s="282"/>
      <c r="L8" s="164"/>
      <c r="M8" s="25"/>
    </row>
    <row r="9" spans="1:14" ht="15.75" x14ac:dyDescent="0.2">
      <c r="A9" s="19" t="s">
        <v>24</v>
      </c>
      <c r="B9" s="276">
        <v>2061.7857186615802</v>
      </c>
      <c r="C9" s="277">
        <v>1516.0919285320599</v>
      </c>
      <c r="D9" s="164">
        <f t="shared" ref="D9" si="1">IF(B9=0, "    ---- ", IF(ABS(ROUND(100/B9*C9-100,1))&lt;999,ROUND(100/B9*C9-100,1),IF(ROUND(100/B9*C9-100,1)&gt;999,999,-999)))</f>
        <v>-26.5</v>
      </c>
      <c r="E9" s="25">
        <f>IFERROR(100/'Skjema total MA'!C9*C9,0)</f>
        <v>0.18691612395806817</v>
      </c>
      <c r="F9" s="280"/>
      <c r="G9" s="281"/>
      <c r="H9" s="164"/>
      <c r="I9" s="172"/>
      <c r="J9" s="230">
        <f t="shared" si="0"/>
        <v>2061.7857186615802</v>
      </c>
      <c r="K9" s="282">
        <f t="shared" si="0"/>
        <v>1516.0919285320599</v>
      </c>
      <c r="L9" s="164">
        <f t="shared" ref="L9" si="2">IF(J9=0, "    ---- ", IF(ABS(ROUND(100/J9*K9-100,1))&lt;999,ROUND(100/J9*K9-100,1),IF(ROUND(100/J9*K9-100,1)&gt;999,999,-999)))</f>
        <v>-26.5</v>
      </c>
      <c r="M9" s="25">
        <f>IFERROR(100/'Skjema total MA'!I9*K9,0)</f>
        <v>0.18691612395806817</v>
      </c>
    </row>
    <row r="10" spans="1:14" ht="15.75" x14ac:dyDescent="0.2">
      <c r="A10" s="13" t="s">
        <v>350</v>
      </c>
      <c r="B10" s="302"/>
      <c r="C10" s="303"/>
      <c r="D10" s="169"/>
      <c r="E10" s="11"/>
      <c r="F10" s="302"/>
      <c r="G10" s="303"/>
      <c r="H10" s="169"/>
      <c r="I10" s="158"/>
      <c r="J10" s="300"/>
      <c r="K10" s="301"/>
      <c r="L10" s="414"/>
      <c r="M10" s="11"/>
    </row>
    <row r="11" spans="1:14" s="41" customFormat="1" ht="15.75" x14ac:dyDescent="0.2">
      <c r="A11" s="13" t="s">
        <v>351</v>
      </c>
      <c r="B11" s="302"/>
      <c r="C11" s="303"/>
      <c r="D11" s="169"/>
      <c r="E11" s="11"/>
      <c r="F11" s="302"/>
      <c r="G11" s="303"/>
      <c r="H11" s="169"/>
      <c r="I11" s="158"/>
      <c r="J11" s="300"/>
      <c r="K11" s="301"/>
      <c r="L11" s="414"/>
      <c r="M11" s="11"/>
      <c r="N11" s="141"/>
    </row>
    <row r="12" spans="1:14" s="41" customFormat="1" ht="15.75" x14ac:dyDescent="0.2">
      <c r="A12" s="39" t="s">
        <v>352</v>
      </c>
      <c r="B12" s="304"/>
      <c r="C12" s="305"/>
      <c r="D12" s="167"/>
      <c r="E12" s="34"/>
      <c r="F12" s="304"/>
      <c r="G12" s="305"/>
      <c r="H12" s="167"/>
      <c r="I12" s="167"/>
      <c r="J12" s="306"/>
      <c r="K12" s="307"/>
      <c r="L12" s="415"/>
      <c r="M12" s="34"/>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492"/>
      <c r="F18" s="707"/>
      <c r="G18" s="707"/>
      <c r="H18" s="707"/>
      <c r="I18" s="492"/>
      <c r="J18" s="707"/>
      <c r="K18" s="707"/>
      <c r="L18" s="707"/>
      <c r="M18" s="492"/>
    </row>
    <row r="19" spans="1:14" x14ac:dyDescent="0.2">
      <c r="A19" s="142"/>
      <c r="B19" s="705" t="s">
        <v>0</v>
      </c>
      <c r="C19" s="706"/>
      <c r="D19" s="706"/>
      <c r="E19" s="490"/>
      <c r="F19" s="705" t="s">
        <v>1</v>
      </c>
      <c r="G19" s="706"/>
      <c r="H19" s="706"/>
      <c r="I19" s="491"/>
      <c r="J19" s="705" t="s">
        <v>2</v>
      </c>
      <c r="K19" s="706"/>
      <c r="L19" s="706"/>
      <c r="M19" s="491"/>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302"/>
      <c r="C22" s="302"/>
      <c r="D22" s="341"/>
      <c r="E22" s="11"/>
      <c r="F22" s="310"/>
      <c r="G22" s="310"/>
      <c r="H22" s="341"/>
      <c r="I22" s="11"/>
      <c r="J22" s="308"/>
      <c r="K22" s="308"/>
      <c r="L22" s="413"/>
      <c r="M22" s="22"/>
    </row>
    <row r="23" spans="1:14" ht="15.75" x14ac:dyDescent="0.2">
      <c r="A23" s="496" t="s">
        <v>353</v>
      </c>
      <c r="B23" s="276"/>
      <c r="C23" s="276"/>
      <c r="D23" s="164"/>
      <c r="E23" s="11"/>
      <c r="F23" s="285"/>
      <c r="G23" s="285"/>
      <c r="H23" s="164"/>
      <c r="I23" s="403"/>
      <c r="J23" s="285"/>
      <c r="K23" s="285"/>
      <c r="L23" s="164"/>
      <c r="M23" s="21"/>
    </row>
    <row r="24" spans="1:14" ht="15.75" x14ac:dyDescent="0.2">
      <c r="A24" s="496" t="s">
        <v>354</v>
      </c>
      <c r="B24" s="276"/>
      <c r="C24" s="276"/>
      <c r="D24" s="164"/>
      <c r="E24" s="11"/>
      <c r="F24" s="285"/>
      <c r="G24" s="285"/>
      <c r="H24" s="164"/>
      <c r="I24" s="403"/>
      <c r="J24" s="285"/>
      <c r="K24" s="285"/>
      <c r="L24" s="164"/>
      <c r="M24" s="21"/>
    </row>
    <row r="25" spans="1:14" ht="15.75" x14ac:dyDescent="0.2">
      <c r="A25" s="496" t="s">
        <v>355</v>
      </c>
      <c r="B25" s="276"/>
      <c r="C25" s="276"/>
      <c r="D25" s="164"/>
      <c r="E25" s="11"/>
      <c r="F25" s="285"/>
      <c r="G25" s="285"/>
      <c r="H25" s="164"/>
      <c r="I25" s="403"/>
      <c r="J25" s="285"/>
      <c r="K25" s="285"/>
      <c r="L25" s="164"/>
      <c r="M25" s="21"/>
    </row>
    <row r="26" spans="1:14" ht="15.75" x14ac:dyDescent="0.2">
      <c r="A26" s="496" t="s">
        <v>356</v>
      </c>
      <c r="B26" s="276"/>
      <c r="C26" s="276"/>
      <c r="D26" s="164"/>
      <c r="E26" s="11"/>
      <c r="F26" s="285"/>
      <c r="G26" s="285"/>
      <c r="H26" s="164"/>
      <c r="I26" s="403"/>
      <c r="J26" s="285"/>
      <c r="K26" s="285"/>
      <c r="L26" s="164"/>
      <c r="M26" s="21"/>
    </row>
    <row r="27" spans="1:14" x14ac:dyDescent="0.2">
      <c r="A27" s="496" t="s">
        <v>11</v>
      </c>
      <c r="B27" s="276"/>
      <c r="C27" s="276"/>
      <c r="D27" s="164"/>
      <c r="E27" s="11"/>
      <c r="F27" s="285"/>
      <c r="G27" s="285"/>
      <c r="H27" s="164"/>
      <c r="I27" s="403"/>
      <c r="J27" s="285"/>
      <c r="K27" s="285"/>
      <c r="L27" s="164"/>
      <c r="M27" s="21"/>
    </row>
    <row r="28" spans="1:14" ht="15.75" x14ac:dyDescent="0.2">
      <c r="A28" s="47" t="s">
        <v>271</v>
      </c>
      <c r="B28" s="42"/>
      <c r="C28" s="282"/>
      <c r="D28" s="164"/>
      <c r="E28" s="11"/>
      <c r="F28" s="230"/>
      <c r="G28" s="282"/>
      <c r="H28" s="164"/>
      <c r="I28" s="25"/>
      <c r="J28" s="42"/>
      <c r="K28" s="42"/>
      <c r="L28" s="249"/>
      <c r="M28" s="21"/>
    </row>
    <row r="29" spans="1:14" s="3" customFormat="1" ht="15.75" x14ac:dyDescent="0.2">
      <c r="A29" s="13" t="s">
        <v>350</v>
      </c>
      <c r="B29" s="232"/>
      <c r="C29" s="232"/>
      <c r="D29" s="169"/>
      <c r="E29" s="11"/>
      <c r="F29" s="300"/>
      <c r="G29" s="300"/>
      <c r="H29" s="169"/>
      <c r="I29" s="11"/>
      <c r="J29" s="232"/>
      <c r="K29" s="232"/>
      <c r="L29" s="414"/>
      <c r="M29" s="22"/>
      <c r="N29" s="146"/>
    </row>
    <row r="30" spans="1:14" s="3" customFormat="1" ht="15.75" x14ac:dyDescent="0.2">
      <c r="A30" s="496" t="s">
        <v>353</v>
      </c>
      <c r="B30" s="276"/>
      <c r="C30" s="276"/>
      <c r="D30" s="164"/>
      <c r="E30" s="11"/>
      <c r="F30" s="285"/>
      <c r="G30" s="285"/>
      <c r="H30" s="164"/>
      <c r="I30" s="403"/>
      <c r="J30" s="285"/>
      <c r="K30" s="285"/>
      <c r="L30" s="164"/>
      <c r="M30" s="21"/>
      <c r="N30" s="146"/>
    </row>
    <row r="31" spans="1:14" s="3" customFormat="1" ht="15.75" x14ac:dyDescent="0.2">
      <c r="A31" s="496" t="s">
        <v>354</v>
      </c>
      <c r="B31" s="276"/>
      <c r="C31" s="276"/>
      <c r="D31" s="164"/>
      <c r="E31" s="11"/>
      <c r="F31" s="285"/>
      <c r="G31" s="285"/>
      <c r="H31" s="164"/>
      <c r="I31" s="403"/>
      <c r="J31" s="285"/>
      <c r="K31" s="285"/>
      <c r="L31" s="164"/>
      <c r="M31" s="21"/>
      <c r="N31" s="146"/>
    </row>
    <row r="32" spans="1:14" ht="15.75" x14ac:dyDescent="0.2">
      <c r="A32" s="496" t="s">
        <v>355</v>
      </c>
      <c r="B32" s="276"/>
      <c r="C32" s="276"/>
      <c r="D32" s="164"/>
      <c r="E32" s="11"/>
      <c r="F32" s="285"/>
      <c r="G32" s="285"/>
      <c r="H32" s="164"/>
      <c r="I32" s="403"/>
      <c r="J32" s="285"/>
      <c r="K32" s="285"/>
      <c r="L32" s="164"/>
      <c r="M32" s="21"/>
    </row>
    <row r="33" spans="1:14" ht="15.75" x14ac:dyDescent="0.2">
      <c r="A33" s="496" t="s">
        <v>356</v>
      </c>
      <c r="B33" s="276"/>
      <c r="C33" s="276"/>
      <c r="D33" s="164"/>
      <c r="E33" s="11"/>
      <c r="F33" s="285"/>
      <c r="G33" s="285"/>
      <c r="H33" s="164"/>
      <c r="I33" s="403"/>
      <c r="J33" s="285"/>
      <c r="K33" s="285"/>
      <c r="L33" s="164"/>
      <c r="M33" s="21"/>
    </row>
    <row r="34" spans="1:14" ht="15.75" x14ac:dyDescent="0.2">
      <c r="A34" s="13" t="s">
        <v>351</v>
      </c>
      <c r="B34" s="232"/>
      <c r="C34" s="301"/>
      <c r="D34" s="169"/>
      <c r="E34" s="11"/>
      <c r="F34" s="300"/>
      <c r="G34" s="301"/>
      <c r="H34" s="169"/>
      <c r="I34" s="11"/>
      <c r="J34" s="232"/>
      <c r="K34" s="232"/>
      <c r="L34" s="414"/>
      <c r="M34" s="22"/>
    </row>
    <row r="35" spans="1:14" ht="15.75" x14ac:dyDescent="0.2">
      <c r="A35" s="13" t="s">
        <v>352</v>
      </c>
      <c r="B35" s="232"/>
      <c r="C35" s="301"/>
      <c r="D35" s="169"/>
      <c r="E35" s="11"/>
      <c r="F35" s="300"/>
      <c r="G35" s="301"/>
      <c r="H35" s="169"/>
      <c r="I35" s="11"/>
      <c r="J35" s="232"/>
      <c r="K35" s="232"/>
      <c r="L35" s="414"/>
      <c r="M35" s="22"/>
    </row>
    <row r="36" spans="1:14" ht="15.75" x14ac:dyDescent="0.2">
      <c r="A36" s="12" t="s">
        <v>279</v>
      </c>
      <c r="B36" s="232"/>
      <c r="C36" s="301"/>
      <c r="D36" s="169"/>
      <c r="E36" s="11"/>
      <c r="F36" s="311"/>
      <c r="G36" s="312"/>
      <c r="H36" s="169"/>
      <c r="I36" s="420"/>
      <c r="J36" s="232"/>
      <c r="K36" s="232"/>
      <c r="L36" s="414"/>
      <c r="M36" s="22"/>
    </row>
    <row r="37" spans="1:14" ht="15.75" x14ac:dyDescent="0.2">
      <c r="A37" s="12" t="s">
        <v>358</v>
      </c>
      <c r="B37" s="232"/>
      <c r="C37" s="301"/>
      <c r="D37" s="169"/>
      <c r="E37" s="11"/>
      <c r="F37" s="311"/>
      <c r="G37" s="313"/>
      <c r="H37" s="169"/>
      <c r="I37" s="420"/>
      <c r="J37" s="232"/>
      <c r="K37" s="232"/>
      <c r="L37" s="414"/>
      <c r="M37" s="22"/>
    </row>
    <row r="38" spans="1:14" ht="15.75" x14ac:dyDescent="0.2">
      <c r="A38" s="12" t="s">
        <v>359</v>
      </c>
      <c r="B38" s="232"/>
      <c r="C38" s="301"/>
      <c r="D38" s="169"/>
      <c r="E38" s="22"/>
      <c r="F38" s="311"/>
      <c r="G38" s="312"/>
      <c r="H38" s="169"/>
      <c r="I38" s="420"/>
      <c r="J38" s="232"/>
      <c r="K38" s="232"/>
      <c r="L38" s="414"/>
      <c r="M38" s="22"/>
    </row>
    <row r="39" spans="1:14" ht="15.75" x14ac:dyDescent="0.2">
      <c r="A39" s="18" t="s">
        <v>360</v>
      </c>
      <c r="B39" s="271"/>
      <c r="C39" s="307"/>
      <c r="D39" s="167"/>
      <c r="E39" s="34"/>
      <c r="F39" s="314"/>
      <c r="G39" s="315"/>
      <c r="H39" s="167"/>
      <c r="I39" s="34"/>
      <c r="J39" s="232"/>
      <c r="K39" s="232"/>
      <c r="L39" s="415"/>
      <c r="M39" s="34"/>
    </row>
    <row r="40" spans="1:14" ht="15.75" x14ac:dyDescent="0.25">
      <c r="A40" s="45"/>
      <c r="B40" s="248"/>
      <c r="C40" s="248"/>
      <c r="D40" s="708"/>
      <c r="E40" s="708"/>
      <c r="F40" s="708"/>
      <c r="G40" s="708"/>
      <c r="H40" s="708"/>
      <c r="I40" s="708"/>
      <c r="J40" s="708"/>
      <c r="K40" s="708"/>
      <c r="L40" s="708"/>
      <c r="M40" s="494"/>
    </row>
    <row r="41" spans="1:14" x14ac:dyDescent="0.2">
      <c r="A41" s="153"/>
    </row>
    <row r="42" spans="1:14" ht="15.75" x14ac:dyDescent="0.25">
      <c r="A42" s="145" t="s">
        <v>268</v>
      </c>
      <c r="B42" s="704"/>
      <c r="C42" s="704"/>
      <c r="D42" s="704"/>
      <c r="E42" s="492"/>
      <c r="F42" s="709"/>
      <c r="G42" s="709"/>
      <c r="H42" s="709"/>
      <c r="I42" s="494"/>
      <c r="J42" s="709"/>
      <c r="K42" s="709"/>
      <c r="L42" s="709"/>
      <c r="M42" s="494"/>
    </row>
    <row r="43" spans="1:14" ht="15.75" x14ac:dyDescent="0.25">
      <c r="A43" s="161"/>
      <c r="B43" s="493"/>
      <c r="C43" s="493"/>
      <c r="D43" s="493"/>
      <c r="E43" s="493"/>
      <c r="F43" s="494"/>
      <c r="G43" s="494"/>
      <c r="H43" s="494"/>
      <c r="I43" s="494"/>
      <c r="J43" s="494"/>
      <c r="K43" s="494"/>
      <c r="L43" s="494"/>
      <c r="M43" s="494"/>
    </row>
    <row r="44" spans="1:14" ht="15.75" x14ac:dyDescent="0.25">
      <c r="A44" s="243"/>
      <c r="B44" s="705" t="s">
        <v>0</v>
      </c>
      <c r="C44" s="706"/>
      <c r="D44" s="706"/>
      <c r="E44" s="239"/>
      <c r="F44" s="494"/>
      <c r="G44" s="494"/>
      <c r="H44" s="494"/>
      <c r="I44" s="494"/>
      <c r="J44" s="494"/>
      <c r="K44" s="494"/>
      <c r="L44" s="494"/>
      <c r="M44" s="494"/>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v>311683.49974882702</v>
      </c>
      <c r="C47" s="303">
        <v>336586.42185882799</v>
      </c>
      <c r="D47" s="413">
        <f t="shared" ref="D47:D48" si="3">IF(B47=0, "    ---- ", IF(ABS(ROUND(100/B47*C47-100,1))&lt;999,ROUND(100/B47*C47-100,1),IF(ROUND(100/B47*C47-100,1)&gt;999,999,-999)))</f>
        <v>8</v>
      </c>
      <c r="E47" s="11">
        <f>IFERROR(100/'Skjema total MA'!C47*C47,0)</f>
        <v>6.9221982997099865</v>
      </c>
      <c r="F47" s="143"/>
      <c r="G47" s="31"/>
      <c r="H47" s="157"/>
      <c r="I47" s="157"/>
      <c r="J47" s="35"/>
      <c r="K47" s="35"/>
      <c r="L47" s="157"/>
      <c r="M47" s="157"/>
      <c r="N47" s="146"/>
    </row>
    <row r="48" spans="1:14" s="3" customFormat="1" ht="15.75" x14ac:dyDescent="0.2">
      <c r="A48" s="36" t="s">
        <v>361</v>
      </c>
      <c r="B48" s="276">
        <v>311683.49974882702</v>
      </c>
      <c r="C48" s="277">
        <v>336586.42185882799</v>
      </c>
      <c r="D48" s="249">
        <f t="shared" si="3"/>
        <v>8</v>
      </c>
      <c r="E48" s="25">
        <f>IFERROR(100/'Skjema total MA'!C48*C48,0)</f>
        <v>12.410966877671411</v>
      </c>
      <c r="F48" s="143"/>
      <c r="G48" s="31"/>
      <c r="H48" s="143"/>
      <c r="I48" s="143"/>
      <c r="J48" s="31"/>
      <c r="K48" s="31"/>
      <c r="L48" s="157"/>
      <c r="M48" s="157"/>
      <c r="N48" s="146"/>
    </row>
    <row r="49" spans="1:14" s="3" customFormat="1" ht="15.75" x14ac:dyDescent="0.2">
      <c r="A49" s="36" t="s">
        <v>362</v>
      </c>
      <c r="B49" s="42"/>
      <c r="C49" s="282"/>
      <c r="D49" s="249"/>
      <c r="E49" s="25"/>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c r="C53" s="303"/>
      <c r="D53" s="414"/>
      <c r="E53" s="11"/>
      <c r="F53" s="143"/>
      <c r="G53" s="31"/>
      <c r="H53" s="143"/>
      <c r="I53" s="143"/>
      <c r="J53" s="31"/>
      <c r="K53" s="31"/>
      <c r="L53" s="157"/>
      <c r="M53" s="157"/>
      <c r="N53" s="146"/>
    </row>
    <row r="54" spans="1:14" s="3" customFormat="1" ht="15.75" x14ac:dyDescent="0.2">
      <c r="A54" s="36" t="s">
        <v>361</v>
      </c>
      <c r="B54" s="276"/>
      <c r="C54" s="277"/>
      <c r="D54" s="249"/>
      <c r="E54" s="25"/>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c r="C56" s="303"/>
      <c r="D56" s="414"/>
      <c r="E56" s="11"/>
      <c r="F56" s="143"/>
      <c r="G56" s="31"/>
      <c r="H56" s="143"/>
      <c r="I56" s="143"/>
      <c r="J56" s="31"/>
      <c r="K56" s="31"/>
      <c r="L56" s="157"/>
      <c r="M56" s="157"/>
      <c r="N56" s="146"/>
    </row>
    <row r="57" spans="1:14" s="3" customFormat="1" ht="15.75" x14ac:dyDescent="0.2">
      <c r="A57" s="36" t="s">
        <v>361</v>
      </c>
      <c r="B57" s="276"/>
      <c r="C57" s="277"/>
      <c r="D57" s="249"/>
      <c r="E57" s="25"/>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492"/>
      <c r="F62" s="707"/>
      <c r="G62" s="707"/>
      <c r="H62" s="707"/>
      <c r="I62" s="492"/>
      <c r="J62" s="707"/>
      <c r="K62" s="707"/>
      <c r="L62" s="707"/>
      <c r="M62" s="492"/>
    </row>
    <row r="63" spans="1:14" x14ac:dyDescent="0.2">
      <c r="A63" s="142"/>
      <c r="B63" s="705" t="s">
        <v>0</v>
      </c>
      <c r="C63" s="706"/>
      <c r="D63" s="710"/>
      <c r="E63" s="489"/>
      <c r="F63" s="706" t="s">
        <v>1</v>
      </c>
      <c r="G63" s="706"/>
      <c r="H63" s="706"/>
      <c r="I63" s="491"/>
      <c r="J63" s="705" t="s">
        <v>2</v>
      </c>
      <c r="K63" s="706"/>
      <c r="L63" s="706"/>
      <c r="M63" s="491"/>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c r="C66" s="344"/>
      <c r="D66" s="341"/>
      <c r="E66" s="11"/>
      <c r="F66" s="343"/>
      <c r="G66" s="343"/>
      <c r="H66" s="341"/>
      <c r="I66" s="11"/>
      <c r="J66" s="301"/>
      <c r="K66" s="308"/>
      <c r="L66" s="414"/>
      <c r="M66" s="11"/>
    </row>
    <row r="67" spans="1:14" x14ac:dyDescent="0.2">
      <c r="A67" s="405" t="s">
        <v>9</v>
      </c>
      <c r="B67" s="42"/>
      <c r="C67" s="143"/>
      <c r="D67" s="164"/>
      <c r="E67" s="25"/>
      <c r="F67" s="230"/>
      <c r="G67" s="143"/>
      <c r="H67" s="164"/>
      <c r="I67" s="25"/>
      <c r="J67" s="282"/>
      <c r="K67" s="42"/>
      <c r="L67" s="249"/>
      <c r="M67" s="25"/>
    </row>
    <row r="68" spans="1:14" x14ac:dyDescent="0.2">
      <c r="A68" s="19" t="s">
        <v>10</v>
      </c>
      <c r="B68" s="286"/>
      <c r="C68" s="287"/>
      <c r="D68" s="164"/>
      <c r="E68" s="25"/>
      <c r="F68" s="286"/>
      <c r="G68" s="287"/>
      <c r="H68" s="164"/>
      <c r="I68" s="25"/>
      <c r="J68" s="282"/>
      <c r="K68" s="42"/>
      <c r="L68" s="249"/>
      <c r="M68" s="25"/>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c r="C75" s="143"/>
      <c r="D75" s="164"/>
      <c r="E75" s="25"/>
      <c r="F75" s="230"/>
      <c r="G75" s="143"/>
      <c r="H75" s="164"/>
      <c r="I75" s="25"/>
      <c r="J75" s="282"/>
      <c r="K75" s="42"/>
      <c r="L75" s="249"/>
      <c r="M75" s="25"/>
      <c r="N75" s="146"/>
    </row>
    <row r="76" spans="1:14" s="3" customFormat="1" x14ac:dyDescent="0.2">
      <c r="A76" s="19" t="s">
        <v>336</v>
      </c>
      <c r="B76" s="230"/>
      <c r="C76" s="143"/>
      <c r="D76" s="164"/>
      <c r="E76" s="25"/>
      <c r="F76" s="230"/>
      <c r="G76" s="143"/>
      <c r="H76" s="164"/>
      <c r="I76" s="25"/>
      <c r="J76" s="282"/>
      <c r="K76" s="42"/>
      <c r="L76" s="249"/>
      <c r="M76" s="25"/>
      <c r="N76" s="146"/>
    </row>
    <row r="77" spans="1:14" ht="15.75" x14ac:dyDescent="0.2">
      <c r="A77" s="19" t="s">
        <v>367</v>
      </c>
      <c r="B77" s="230"/>
      <c r="C77" s="230"/>
      <c r="D77" s="164"/>
      <c r="E77" s="25"/>
      <c r="F77" s="230"/>
      <c r="G77" s="143"/>
      <c r="H77" s="164"/>
      <c r="I77" s="25"/>
      <c r="J77" s="282"/>
      <c r="K77" s="42"/>
      <c r="L77" s="249"/>
      <c r="M77" s="25"/>
    </row>
    <row r="78" spans="1:14" x14ac:dyDescent="0.2">
      <c r="A78" s="19" t="s">
        <v>9</v>
      </c>
      <c r="B78" s="230"/>
      <c r="C78" s="143"/>
      <c r="D78" s="164"/>
      <c r="E78" s="25"/>
      <c r="F78" s="230"/>
      <c r="G78" s="143"/>
      <c r="H78" s="164"/>
      <c r="I78" s="25"/>
      <c r="J78" s="282"/>
      <c r="K78" s="42"/>
      <c r="L78" s="249"/>
      <c r="M78" s="25"/>
    </row>
    <row r="79" spans="1:14" x14ac:dyDescent="0.2">
      <c r="A79" s="36" t="s">
        <v>400</v>
      </c>
      <c r="B79" s="286"/>
      <c r="C79" s="287"/>
      <c r="D79" s="164"/>
      <c r="E79" s="25"/>
      <c r="F79" s="286"/>
      <c r="G79" s="287"/>
      <c r="H79" s="164"/>
      <c r="I79" s="25"/>
      <c r="J79" s="282"/>
      <c r="K79" s="42"/>
      <c r="L79" s="249"/>
      <c r="M79" s="25"/>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c r="C86" s="143"/>
      <c r="D86" s="164"/>
      <c r="E86" s="25"/>
      <c r="F86" s="230"/>
      <c r="G86" s="143"/>
      <c r="H86" s="164"/>
      <c r="I86" s="25"/>
      <c r="J86" s="282"/>
      <c r="K86" s="42"/>
      <c r="L86" s="249"/>
      <c r="M86" s="25"/>
    </row>
    <row r="87" spans="1:13" ht="15.75" x14ac:dyDescent="0.2">
      <c r="A87" s="13" t="s">
        <v>350</v>
      </c>
      <c r="B87" s="344"/>
      <c r="C87" s="344"/>
      <c r="D87" s="169"/>
      <c r="E87" s="11"/>
      <c r="F87" s="343"/>
      <c r="G87" s="343"/>
      <c r="H87" s="169"/>
      <c r="I87" s="11"/>
      <c r="J87" s="301"/>
      <c r="K87" s="232"/>
      <c r="L87" s="414"/>
      <c r="M87" s="11"/>
    </row>
    <row r="88" spans="1:13" x14ac:dyDescent="0.2">
      <c r="A88" s="19" t="s">
        <v>9</v>
      </c>
      <c r="B88" s="230"/>
      <c r="C88" s="143"/>
      <c r="D88" s="164"/>
      <c r="E88" s="25"/>
      <c r="F88" s="230"/>
      <c r="G88" s="143"/>
      <c r="H88" s="164"/>
      <c r="I88" s="25"/>
      <c r="J88" s="282"/>
      <c r="K88" s="42"/>
      <c r="L88" s="249"/>
      <c r="M88" s="25"/>
    </row>
    <row r="89" spans="1:13" x14ac:dyDescent="0.2">
      <c r="A89" s="19" t="s">
        <v>10</v>
      </c>
      <c r="B89" s="230"/>
      <c r="C89" s="143"/>
      <c r="D89" s="164"/>
      <c r="E89" s="25"/>
      <c r="F89" s="230"/>
      <c r="G89" s="143"/>
      <c r="H89" s="164"/>
      <c r="I89" s="25"/>
      <c r="J89" s="282"/>
      <c r="K89" s="42"/>
      <c r="L89" s="249"/>
      <c r="M89" s="25"/>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c r="C96" s="143"/>
      <c r="D96" s="164"/>
      <c r="E96" s="25"/>
      <c r="F96" s="230"/>
      <c r="G96" s="143"/>
      <c r="H96" s="164"/>
      <c r="I96" s="25"/>
      <c r="J96" s="282"/>
      <c r="K96" s="42"/>
      <c r="L96" s="249"/>
      <c r="M96" s="25"/>
    </row>
    <row r="97" spans="1:13" x14ac:dyDescent="0.2">
      <c r="A97" s="19" t="s">
        <v>334</v>
      </c>
      <c r="B97" s="230"/>
      <c r="C97" s="143"/>
      <c r="D97" s="164"/>
      <c r="E97" s="25"/>
      <c r="F97" s="230"/>
      <c r="G97" s="143"/>
      <c r="H97" s="164"/>
      <c r="I97" s="25"/>
      <c r="J97" s="282"/>
      <c r="K97" s="42"/>
      <c r="L97" s="249"/>
      <c r="M97" s="25"/>
    </row>
    <row r="98" spans="1:13" ht="15.75" x14ac:dyDescent="0.2">
      <c r="A98" s="19" t="s">
        <v>367</v>
      </c>
      <c r="B98" s="230"/>
      <c r="C98" s="230"/>
      <c r="D98" s="164"/>
      <c r="E98" s="25"/>
      <c r="F98" s="286"/>
      <c r="G98" s="286"/>
      <c r="H98" s="164"/>
      <c r="I98" s="25"/>
      <c r="J98" s="282"/>
      <c r="K98" s="42"/>
      <c r="L98" s="249"/>
      <c r="M98" s="25"/>
    </row>
    <row r="99" spans="1:13" x14ac:dyDescent="0.2">
      <c r="A99" s="19" t="s">
        <v>9</v>
      </c>
      <c r="B99" s="286"/>
      <c r="C99" s="287"/>
      <c r="D99" s="164"/>
      <c r="E99" s="25"/>
      <c r="F99" s="230"/>
      <c r="G99" s="143"/>
      <c r="H99" s="164"/>
      <c r="I99" s="25"/>
      <c r="J99" s="282"/>
      <c r="K99" s="42"/>
      <c r="L99" s="249"/>
      <c r="M99" s="25"/>
    </row>
    <row r="100" spans="1:13" x14ac:dyDescent="0.2">
      <c r="A100" s="36" t="s">
        <v>400</v>
      </c>
      <c r="B100" s="286"/>
      <c r="C100" s="287"/>
      <c r="D100" s="164"/>
      <c r="E100" s="25"/>
      <c r="F100" s="230"/>
      <c r="G100" s="230"/>
      <c r="H100" s="164"/>
      <c r="I100" s="25"/>
      <c r="J100" s="282"/>
      <c r="K100" s="42"/>
      <c r="L100" s="249"/>
      <c r="M100" s="25"/>
    </row>
    <row r="101" spans="1:13" ht="15.75" x14ac:dyDescent="0.2">
      <c r="A101" s="288" t="s">
        <v>365</v>
      </c>
      <c r="B101" s="311"/>
      <c r="C101" s="311"/>
      <c r="D101" s="164"/>
      <c r="E101" s="21"/>
      <c r="F101" s="311"/>
      <c r="G101" s="311"/>
      <c r="H101" s="164"/>
      <c r="I101" s="21"/>
      <c r="J101" s="311"/>
      <c r="K101" s="311"/>
      <c r="L101" s="164"/>
      <c r="M101" s="21"/>
    </row>
    <row r="102" spans="1:13" x14ac:dyDescent="0.2">
      <c r="A102" s="288" t="s">
        <v>12</v>
      </c>
      <c r="B102" s="311"/>
      <c r="C102" s="311"/>
      <c r="D102" s="164"/>
      <c r="E102" s="21"/>
      <c r="F102" s="311"/>
      <c r="G102" s="311"/>
      <c r="H102" s="164"/>
      <c r="I102" s="21"/>
      <c r="J102" s="311"/>
      <c r="K102" s="311"/>
      <c r="L102" s="164"/>
      <c r="M102" s="21"/>
    </row>
    <row r="103" spans="1:13" x14ac:dyDescent="0.2">
      <c r="A103" s="288" t="s">
        <v>13</v>
      </c>
      <c r="B103" s="311"/>
      <c r="C103" s="311"/>
      <c r="D103" s="164"/>
      <c r="E103" s="21"/>
      <c r="F103" s="311"/>
      <c r="G103" s="311"/>
      <c r="H103" s="164"/>
      <c r="I103" s="21"/>
      <c r="J103" s="311"/>
      <c r="K103" s="311"/>
      <c r="L103" s="164"/>
      <c r="M103" s="21"/>
    </row>
    <row r="104" spans="1:13" ht="15.75" x14ac:dyDescent="0.2">
      <c r="A104" s="288" t="s">
        <v>366</v>
      </c>
      <c r="B104" s="311"/>
      <c r="C104" s="311"/>
      <c r="D104" s="164"/>
      <c r="E104" s="21"/>
      <c r="F104" s="311"/>
      <c r="G104" s="311"/>
      <c r="H104" s="164"/>
      <c r="I104" s="21"/>
      <c r="J104" s="311"/>
      <c r="K104" s="311"/>
      <c r="L104" s="164"/>
      <c r="M104" s="21"/>
    </row>
    <row r="105" spans="1:13" x14ac:dyDescent="0.2">
      <c r="A105" s="288" t="s">
        <v>12</v>
      </c>
      <c r="B105" s="231"/>
      <c r="C105" s="284"/>
      <c r="D105" s="164"/>
      <c r="E105" s="21"/>
      <c r="F105" s="311"/>
      <c r="G105" s="311"/>
      <c r="H105" s="164"/>
      <c r="I105" s="21"/>
      <c r="J105" s="311"/>
      <c r="K105" s="311"/>
      <c r="L105" s="164"/>
      <c r="M105" s="21"/>
    </row>
    <row r="106" spans="1:13" x14ac:dyDescent="0.2">
      <c r="A106" s="288" t="s">
        <v>13</v>
      </c>
      <c r="B106" s="231"/>
      <c r="C106" s="284"/>
      <c r="D106" s="164"/>
      <c r="E106" s="21"/>
      <c r="F106" s="311"/>
      <c r="G106" s="311"/>
      <c r="H106" s="164"/>
      <c r="I106" s="21"/>
      <c r="J106" s="311"/>
      <c r="K106" s="311"/>
      <c r="L106" s="164"/>
      <c r="M106" s="21"/>
    </row>
    <row r="107" spans="1:13" ht="15.75" x14ac:dyDescent="0.2">
      <c r="A107" s="19" t="s">
        <v>368</v>
      </c>
      <c r="B107" s="230"/>
      <c r="C107" s="143"/>
      <c r="D107" s="164"/>
      <c r="E107" s="25"/>
      <c r="F107" s="230"/>
      <c r="G107" s="143"/>
      <c r="H107" s="164"/>
      <c r="I107" s="25"/>
      <c r="J107" s="282"/>
      <c r="K107" s="42"/>
      <c r="L107" s="249"/>
      <c r="M107" s="25"/>
    </row>
    <row r="108" spans="1:13" ht="15.75" x14ac:dyDescent="0.2">
      <c r="A108" s="19" t="s">
        <v>369</v>
      </c>
      <c r="B108" s="230"/>
      <c r="C108" s="230"/>
      <c r="D108" s="164"/>
      <c r="E108" s="25"/>
      <c r="F108" s="230"/>
      <c r="G108" s="230"/>
      <c r="H108" s="164"/>
      <c r="I108" s="25"/>
      <c r="J108" s="282"/>
      <c r="K108" s="42"/>
      <c r="L108" s="249"/>
      <c r="M108" s="25"/>
    </row>
    <row r="109" spans="1:13" ht="15.75" x14ac:dyDescent="0.2">
      <c r="A109" s="36" t="s">
        <v>408</v>
      </c>
      <c r="B109" s="230"/>
      <c r="C109" s="230"/>
      <c r="D109" s="164"/>
      <c r="E109" s="25"/>
      <c r="F109" s="230"/>
      <c r="G109" s="230"/>
      <c r="H109" s="164"/>
      <c r="I109" s="25"/>
      <c r="J109" s="282"/>
      <c r="K109" s="42"/>
      <c r="L109" s="249"/>
      <c r="M109" s="25"/>
    </row>
    <row r="110" spans="1:13" ht="15.75" x14ac:dyDescent="0.2">
      <c r="A110" s="19" t="s">
        <v>370</v>
      </c>
      <c r="B110" s="230"/>
      <c r="C110" s="230"/>
      <c r="D110" s="164"/>
      <c r="E110" s="25"/>
      <c r="F110" s="230"/>
      <c r="G110" s="230"/>
      <c r="H110" s="164"/>
      <c r="I110" s="25"/>
      <c r="J110" s="282"/>
      <c r="K110" s="42"/>
      <c r="L110" s="249"/>
      <c r="M110" s="25"/>
    </row>
    <row r="111" spans="1:13" ht="15.75" x14ac:dyDescent="0.2">
      <c r="A111" s="13" t="s">
        <v>351</v>
      </c>
      <c r="B111" s="300"/>
      <c r="C111" s="157"/>
      <c r="D111" s="169"/>
      <c r="E111" s="11"/>
      <c r="F111" s="300"/>
      <c r="G111" s="157"/>
      <c r="H111" s="169"/>
      <c r="I111" s="11"/>
      <c r="J111" s="301"/>
      <c r="K111" s="232"/>
      <c r="L111" s="414"/>
      <c r="M111" s="11"/>
    </row>
    <row r="112" spans="1:13" x14ac:dyDescent="0.2">
      <c r="A112" s="19" t="s">
        <v>9</v>
      </c>
      <c r="B112" s="230"/>
      <c r="C112" s="143"/>
      <c r="D112" s="164"/>
      <c r="E112" s="25"/>
      <c r="F112" s="230"/>
      <c r="G112" s="143"/>
      <c r="H112" s="164"/>
      <c r="I112" s="25"/>
      <c r="J112" s="282"/>
      <c r="K112" s="42"/>
      <c r="L112" s="249"/>
      <c r="M112" s="25"/>
    </row>
    <row r="113" spans="1:14" x14ac:dyDescent="0.2">
      <c r="A113" s="19" t="s">
        <v>10</v>
      </c>
      <c r="B113" s="230"/>
      <c r="C113" s="143"/>
      <c r="D113" s="164"/>
      <c r="E113" s="25"/>
      <c r="F113" s="230"/>
      <c r="G113" s="143"/>
      <c r="H113" s="164"/>
      <c r="I113" s="25"/>
      <c r="J113" s="282"/>
      <c r="K113" s="42"/>
      <c r="L113" s="249"/>
      <c r="M113" s="25"/>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c r="C116" s="230"/>
      <c r="D116" s="164"/>
      <c r="E116" s="25"/>
      <c r="F116" s="230"/>
      <c r="G116" s="230"/>
      <c r="H116" s="164"/>
      <c r="I116" s="25"/>
      <c r="J116" s="282"/>
      <c r="K116" s="42"/>
      <c r="L116" s="249"/>
      <c r="M116" s="25"/>
    </row>
    <row r="117" spans="1:14" ht="15.75" x14ac:dyDescent="0.2">
      <c r="A117" s="36" t="s">
        <v>408</v>
      </c>
      <c r="B117" s="230"/>
      <c r="C117" s="230"/>
      <c r="D117" s="164"/>
      <c r="E117" s="25"/>
      <c r="F117" s="230"/>
      <c r="G117" s="230"/>
      <c r="H117" s="164"/>
      <c r="I117" s="25"/>
      <c r="J117" s="282"/>
      <c r="K117" s="42"/>
      <c r="L117" s="249"/>
      <c r="M117" s="25"/>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c r="C119" s="157"/>
      <c r="D119" s="169"/>
      <c r="E119" s="11"/>
      <c r="F119" s="300"/>
      <c r="G119" s="157"/>
      <c r="H119" s="169"/>
      <c r="I119" s="11"/>
      <c r="J119" s="301"/>
      <c r="K119" s="232"/>
      <c r="L119" s="414"/>
      <c r="M119" s="11"/>
    </row>
    <row r="120" spans="1:14" x14ac:dyDescent="0.2">
      <c r="A120" s="19" t="s">
        <v>9</v>
      </c>
      <c r="B120" s="230"/>
      <c r="C120" s="143"/>
      <c r="D120" s="164"/>
      <c r="E120" s="25"/>
      <c r="F120" s="230"/>
      <c r="G120" s="143"/>
      <c r="H120" s="164"/>
      <c r="I120" s="25"/>
      <c r="J120" s="282"/>
      <c r="K120" s="42"/>
      <c r="L120" s="249"/>
      <c r="M120" s="25"/>
    </row>
    <row r="121" spans="1:14" x14ac:dyDescent="0.2">
      <c r="A121" s="19" t="s">
        <v>10</v>
      </c>
      <c r="B121" s="230"/>
      <c r="C121" s="143"/>
      <c r="D121" s="164"/>
      <c r="E121" s="25"/>
      <c r="F121" s="230"/>
      <c r="G121" s="143"/>
      <c r="H121" s="164"/>
      <c r="I121" s="25"/>
      <c r="J121" s="282"/>
      <c r="K121" s="42"/>
      <c r="L121" s="249"/>
      <c r="M121" s="25"/>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c r="C125" s="230"/>
      <c r="D125" s="164"/>
      <c r="E125" s="25"/>
      <c r="F125" s="230"/>
      <c r="G125" s="230"/>
      <c r="H125" s="164"/>
      <c r="I125" s="25"/>
      <c r="J125" s="282"/>
      <c r="K125" s="42"/>
      <c r="L125" s="249"/>
      <c r="M125" s="25"/>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492"/>
      <c r="F130" s="707"/>
      <c r="G130" s="707"/>
      <c r="H130" s="707"/>
      <c r="I130" s="492"/>
      <c r="J130" s="707"/>
      <c r="K130" s="707"/>
      <c r="L130" s="707"/>
      <c r="M130" s="492"/>
    </row>
    <row r="131" spans="1:14" s="3" customFormat="1" x14ac:dyDescent="0.2">
      <c r="A131" s="142"/>
      <c r="B131" s="705" t="s">
        <v>0</v>
      </c>
      <c r="C131" s="706"/>
      <c r="D131" s="706"/>
      <c r="E131" s="490"/>
      <c r="F131" s="705" t="s">
        <v>1</v>
      </c>
      <c r="G131" s="706"/>
      <c r="H131" s="706"/>
      <c r="I131" s="491"/>
      <c r="J131" s="705" t="s">
        <v>2</v>
      </c>
      <c r="K131" s="706"/>
      <c r="L131" s="706"/>
      <c r="M131" s="491"/>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c r="C134" s="301"/>
      <c r="D134" s="341"/>
      <c r="E134" s="11"/>
      <c r="F134" s="308"/>
      <c r="G134" s="309"/>
      <c r="H134" s="417"/>
      <c r="I134" s="22"/>
      <c r="J134" s="310"/>
      <c r="K134" s="310"/>
      <c r="L134" s="413"/>
      <c r="M134" s="11"/>
      <c r="N134" s="146"/>
    </row>
    <row r="135" spans="1:14" s="3" customFormat="1" ht="15.75" x14ac:dyDescent="0.2">
      <c r="A135" s="13" t="s">
        <v>377</v>
      </c>
      <c r="B135" s="232"/>
      <c r="C135" s="301"/>
      <c r="D135" s="169"/>
      <c r="E135" s="11"/>
      <c r="F135" s="232"/>
      <c r="G135" s="301"/>
      <c r="H135" s="418"/>
      <c r="I135" s="22"/>
      <c r="J135" s="300"/>
      <c r="K135" s="300"/>
      <c r="L135" s="414"/>
      <c r="M135" s="11"/>
      <c r="N135" s="146"/>
    </row>
    <row r="136" spans="1:14" s="3" customFormat="1" ht="15.75" x14ac:dyDescent="0.2">
      <c r="A136" s="13" t="s">
        <v>374</v>
      </c>
      <c r="B136" s="232"/>
      <c r="C136" s="301"/>
      <c r="D136" s="169"/>
      <c r="E136" s="11"/>
      <c r="F136" s="232"/>
      <c r="G136" s="301"/>
      <c r="H136" s="418"/>
      <c r="I136" s="22"/>
      <c r="J136" s="300"/>
      <c r="K136" s="300"/>
      <c r="L136" s="414"/>
      <c r="M136" s="11"/>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2:D2"/>
    <mergeCell ref="F2:H2"/>
    <mergeCell ref="J2:L2"/>
    <mergeCell ref="B4:D4"/>
    <mergeCell ref="F4:H4"/>
    <mergeCell ref="J4:L4"/>
    <mergeCell ref="B18:D18"/>
    <mergeCell ref="F18:H18"/>
    <mergeCell ref="J18:L18"/>
    <mergeCell ref="B19:D19"/>
    <mergeCell ref="F19:H19"/>
    <mergeCell ref="J19:L19"/>
    <mergeCell ref="D40:F40"/>
    <mergeCell ref="G40:I40"/>
    <mergeCell ref="J40:L40"/>
    <mergeCell ref="B42:D42"/>
    <mergeCell ref="F42:H42"/>
    <mergeCell ref="J42:L42"/>
    <mergeCell ref="B44:D44"/>
    <mergeCell ref="B62:D62"/>
    <mergeCell ref="F62:H62"/>
    <mergeCell ref="J62:L62"/>
    <mergeCell ref="B63:D63"/>
    <mergeCell ref="F63:H63"/>
    <mergeCell ref="J63:L63"/>
    <mergeCell ref="B130:D130"/>
    <mergeCell ref="F130:H130"/>
    <mergeCell ref="J130:L130"/>
    <mergeCell ref="B131:D131"/>
    <mergeCell ref="F131:H131"/>
    <mergeCell ref="J131:L131"/>
  </mergeCells>
  <conditionalFormatting sqref="A50:A52">
    <cfRule type="expression" dxfId="291" priority="8">
      <formula>kvartal &lt; 4</formula>
    </cfRule>
  </conditionalFormatting>
  <conditionalFormatting sqref="A69:A74">
    <cfRule type="expression" dxfId="290" priority="7">
      <formula>kvartal &lt; 4</formula>
    </cfRule>
  </conditionalFormatting>
  <conditionalFormatting sqref="A80:A85">
    <cfRule type="expression" dxfId="289" priority="6">
      <formula>kvartal &lt; 4</formula>
    </cfRule>
  </conditionalFormatting>
  <conditionalFormatting sqref="A90:A95">
    <cfRule type="expression" dxfId="288" priority="5">
      <formula>kvartal &lt; 4</formula>
    </cfRule>
  </conditionalFormatting>
  <conditionalFormatting sqref="A101:A106">
    <cfRule type="expression" dxfId="287" priority="4">
      <formula>kvartal &lt; 4</formula>
    </cfRule>
  </conditionalFormatting>
  <conditionalFormatting sqref="A115">
    <cfRule type="expression" dxfId="286" priority="3">
      <formula>kvartal &lt; 4</formula>
    </cfRule>
  </conditionalFormatting>
  <conditionalFormatting sqref="A123">
    <cfRule type="expression" dxfId="285" priority="2">
      <formula>kvartal &lt; 4</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27"/>
  <dimension ref="A1:N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244" t="s">
        <v>70</v>
      </c>
      <c r="D1" s="24"/>
      <c r="E1" s="24"/>
      <c r="F1" s="24"/>
      <c r="G1" s="24"/>
      <c r="H1" s="24"/>
      <c r="I1" s="24"/>
      <c r="J1" s="24"/>
      <c r="K1" s="24"/>
      <c r="L1" s="24"/>
      <c r="M1" s="24"/>
    </row>
    <row r="2" spans="1:14" ht="15.75" x14ac:dyDescent="0.25">
      <c r="A2" s="163" t="s">
        <v>28</v>
      </c>
      <c r="B2" s="704"/>
      <c r="C2" s="704"/>
      <c r="D2" s="704"/>
      <c r="E2" s="291"/>
      <c r="F2" s="704"/>
      <c r="G2" s="704"/>
      <c r="H2" s="704"/>
      <c r="I2" s="291"/>
      <c r="J2" s="704"/>
      <c r="K2" s="704"/>
      <c r="L2" s="704"/>
      <c r="M2" s="291"/>
    </row>
    <row r="3" spans="1:14" ht="15.75" x14ac:dyDescent="0.25">
      <c r="A3" s="161"/>
      <c r="B3" s="291"/>
      <c r="C3" s="291"/>
      <c r="D3" s="291"/>
      <c r="E3" s="291"/>
      <c r="F3" s="291"/>
      <c r="G3" s="291"/>
      <c r="H3" s="291"/>
      <c r="I3" s="291"/>
      <c r="J3" s="291"/>
      <c r="K3" s="291"/>
      <c r="L3" s="291"/>
      <c r="M3" s="291"/>
    </row>
    <row r="4" spans="1:14" x14ac:dyDescent="0.2">
      <c r="A4" s="142"/>
      <c r="B4" s="705" t="s">
        <v>0</v>
      </c>
      <c r="C4" s="706"/>
      <c r="D4" s="706"/>
      <c r="E4" s="293"/>
      <c r="F4" s="705" t="s">
        <v>1</v>
      </c>
      <c r="G4" s="706"/>
      <c r="H4" s="706"/>
      <c r="I4" s="296"/>
      <c r="J4" s="705" t="s">
        <v>2</v>
      </c>
      <c r="K4" s="706"/>
      <c r="L4" s="706"/>
      <c r="M4" s="296"/>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c r="C7" s="299"/>
      <c r="D7" s="341"/>
      <c r="E7" s="11"/>
      <c r="F7" s="298">
        <v>83179.620139999999</v>
      </c>
      <c r="G7" s="299">
        <v>66427.870980000007</v>
      </c>
      <c r="H7" s="341">
        <f>IF(F7=0, "    ---- ", IF(ABS(ROUND(100/F7*G7-100,1))&lt;999,ROUND(100/F7*G7-100,1),IF(ROUND(100/F7*G7-100,1)&gt;999,999,-999)))</f>
        <v>-20.100000000000001</v>
      </c>
      <c r="I7" s="158">
        <f>IFERROR(100/'Skjema total MA'!F7*G7,0)</f>
        <v>0.92105042589197084</v>
      </c>
      <c r="J7" s="300">
        <f t="shared" ref="J7:K12" si="0">SUM(B7,F7)</f>
        <v>83179.620139999999</v>
      </c>
      <c r="K7" s="301">
        <f t="shared" si="0"/>
        <v>66427.870980000007</v>
      </c>
      <c r="L7" s="413">
        <f>IF(J7=0, "    ---- ", IF(ABS(ROUND(100/J7*K7-100,1))&lt;999,ROUND(100/J7*K7-100,1),IF(ROUND(100/J7*K7-100,1)&gt;999,999,-999)))</f>
        <v>-20.100000000000001</v>
      </c>
      <c r="M7" s="11">
        <f>IFERROR(100/'Skjema total MA'!I7*K7,0)</f>
        <v>0.59321319969701314</v>
      </c>
    </row>
    <row r="8" spans="1:14" ht="15.75" x14ac:dyDescent="0.2">
      <c r="A8" s="19" t="s">
        <v>25</v>
      </c>
      <c r="B8" s="276"/>
      <c r="C8" s="277"/>
      <c r="D8" s="164"/>
      <c r="E8" s="25"/>
      <c r="F8" s="280"/>
      <c r="G8" s="281"/>
      <c r="H8" s="164"/>
      <c r="I8" s="172"/>
      <c r="J8" s="230"/>
      <c r="K8" s="282"/>
      <c r="L8" s="164"/>
      <c r="M8" s="25"/>
    </row>
    <row r="9" spans="1:14" ht="15.75" x14ac:dyDescent="0.2">
      <c r="A9" s="19" t="s">
        <v>24</v>
      </c>
      <c r="B9" s="276"/>
      <c r="C9" s="277"/>
      <c r="D9" s="164"/>
      <c r="E9" s="25"/>
      <c r="F9" s="280"/>
      <c r="G9" s="281"/>
      <c r="H9" s="164"/>
      <c r="I9" s="172"/>
      <c r="J9" s="230"/>
      <c r="K9" s="282"/>
      <c r="L9" s="164"/>
      <c r="M9" s="25"/>
    </row>
    <row r="10" spans="1:14" ht="15.75" x14ac:dyDescent="0.2">
      <c r="A10" s="13" t="s">
        <v>350</v>
      </c>
      <c r="B10" s="302"/>
      <c r="C10" s="303"/>
      <c r="D10" s="169"/>
      <c r="E10" s="11"/>
      <c r="F10" s="302">
        <v>1239557.0603499999</v>
      </c>
      <c r="G10" s="303">
        <v>1145646.1975100001</v>
      </c>
      <c r="H10" s="169">
        <f t="shared" ref="H10:H12" si="1">IF(F10=0, "    ---- ", IF(ABS(ROUND(100/F10*G10-100,1))&lt;999,ROUND(100/F10*G10-100,1),IF(ROUND(100/F10*G10-100,1)&gt;999,999,-999)))</f>
        <v>-7.6</v>
      </c>
      <c r="I10" s="158">
        <f>IFERROR(100/'Skjema total MA'!F10*G10,0)</f>
        <v>1.6608498556943461</v>
      </c>
      <c r="J10" s="300">
        <f t="shared" si="0"/>
        <v>1239557.0603499999</v>
      </c>
      <c r="K10" s="301">
        <f t="shared" si="0"/>
        <v>1145646.1975100001</v>
      </c>
      <c r="L10" s="414">
        <f t="shared" ref="L10:L12" si="2">IF(J10=0, "    ---- ", IF(ABS(ROUND(100/J10*K10-100,1))&lt;999,ROUND(100/J10*K10-100,1),IF(ROUND(100/J10*K10-100,1)&gt;999,999,-999)))</f>
        <v>-7.6</v>
      </c>
      <c r="M10" s="11">
        <f>IFERROR(100/'Skjema total MA'!I10*K10,0)</f>
        <v>1.3524144075542346</v>
      </c>
    </row>
    <row r="11" spans="1:14" s="41" customFormat="1" ht="15.75" x14ac:dyDescent="0.2">
      <c r="A11" s="13" t="s">
        <v>351</v>
      </c>
      <c r="B11" s="302"/>
      <c r="C11" s="303"/>
      <c r="D11" s="169"/>
      <c r="E11" s="11"/>
      <c r="F11" s="302">
        <v>8674.8909999999996</v>
      </c>
      <c r="G11" s="303">
        <v>13325.159</v>
      </c>
      <c r="H11" s="169">
        <f t="shared" si="1"/>
        <v>53.6</v>
      </c>
      <c r="I11" s="158">
        <f>IFERROR(100/'Skjema total MA'!F11*G11,0)</f>
        <v>7.88275362101606</v>
      </c>
      <c r="J11" s="300">
        <f t="shared" si="0"/>
        <v>8674.8909999999996</v>
      </c>
      <c r="K11" s="301">
        <f t="shared" si="0"/>
        <v>13325.159</v>
      </c>
      <c r="L11" s="414">
        <f t="shared" si="2"/>
        <v>53.6</v>
      </c>
      <c r="M11" s="11">
        <f>IFERROR(100/'Skjema total MA'!I11*K11,0)</f>
        <v>6.603840589862811</v>
      </c>
      <c r="N11" s="141"/>
    </row>
    <row r="12" spans="1:14" s="41" customFormat="1" ht="15.75" x14ac:dyDescent="0.2">
      <c r="A12" s="39" t="s">
        <v>352</v>
      </c>
      <c r="B12" s="304"/>
      <c r="C12" s="305"/>
      <c r="D12" s="167"/>
      <c r="E12" s="34"/>
      <c r="F12" s="304">
        <v>12024.84743</v>
      </c>
      <c r="G12" s="305">
        <v>6245.2145</v>
      </c>
      <c r="H12" s="167">
        <f t="shared" si="1"/>
        <v>-48.1</v>
      </c>
      <c r="I12" s="167">
        <f>IFERROR(100/'Skjema total MA'!F12*G12,0)</f>
        <v>4.7197089730578003</v>
      </c>
      <c r="J12" s="306">
        <f t="shared" si="0"/>
        <v>12024.84743</v>
      </c>
      <c r="K12" s="307">
        <f t="shared" si="0"/>
        <v>6245.2145</v>
      </c>
      <c r="L12" s="415">
        <f t="shared" si="2"/>
        <v>-48.1</v>
      </c>
      <c r="M12" s="34">
        <f>IFERROR(100/'Skjema total MA'!I12*K12,0)</f>
        <v>4.6177719609066843</v>
      </c>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291"/>
      <c r="F18" s="707"/>
      <c r="G18" s="707"/>
      <c r="H18" s="707"/>
      <c r="I18" s="291"/>
      <c r="J18" s="707"/>
      <c r="K18" s="707"/>
      <c r="L18" s="707"/>
      <c r="M18" s="291"/>
    </row>
    <row r="19" spans="1:14" x14ac:dyDescent="0.2">
      <c r="A19" s="142"/>
      <c r="B19" s="705" t="s">
        <v>0</v>
      </c>
      <c r="C19" s="706"/>
      <c r="D19" s="706"/>
      <c r="E19" s="293"/>
      <c r="F19" s="705" t="s">
        <v>1</v>
      </c>
      <c r="G19" s="706"/>
      <c r="H19" s="706"/>
      <c r="I19" s="296"/>
      <c r="J19" s="705" t="s">
        <v>2</v>
      </c>
      <c r="K19" s="706"/>
      <c r="L19" s="706"/>
      <c r="M19" s="296"/>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302"/>
      <c r="C22" s="302"/>
      <c r="D22" s="341"/>
      <c r="E22" s="11"/>
      <c r="F22" s="310">
        <v>35343.538589999996</v>
      </c>
      <c r="G22" s="310">
        <v>16489.446329999999</v>
      </c>
      <c r="H22" s="341">
        <f t="shared" ref="H22:H35" si="3">IF(F22=0, "    ---- ", IF(ABS(ROUND(100/F22*G22-100,1))&lt;999,ROUND(100/F22*G22-100,1),IF(ROUND(100/F22*G22-100,1)&gt;999,999,-999)))</f>
        <v>-53.3</v>
      </c>
      <c r="I22" s="11">
        <f>IFERROR(100/'Skjema total MA'!F22*G22,0)</f>
        <v>2.3429186827228508</v>
      </c>
      <c r="J22" s="308">
        <f t="shared" ref="J22:K35" si="4">SUM(B22,F22)</f>
        <v>35343.538589999996</v>
      </c>
      <c r="K22" s="308">
        <f t="shared" si="4"/>
        <v>16489.446329999999</v>
      </c>
      <c r="L22" s="413">
        <f t="shared" ref="L22:L35" si="5">IF(J22=0, "    ---- ", IF(ABS(ROUND(100/J22*K22-100,1))&lt;999,ROUND(100/J22*K22-100,1),IF(ROUND(100/J22*K22-100,1)&gt;999,999,-999)))</f>
        <v>-53.3</v>
      </c>
      <c r="M22" s="22">
        <f>IFERROR(100/'Skjema total MA'!I22*K22,0)</f>
        <v>0.69258527751774268</v>
      </c>
    </row>
    <row r="23" spans="1:14" ht="15.75" x14ac:dyDescent="0.2">
      <c r="A23" s="496" t="s">
        <v>353</v>
      </c>
      <c r="B23" s="276"/>
      <c r="C23" s="276"/>
      <c r="D23" s="164"/>
      <c r="E23" s="11"/>
      <c r="F23" s="285">
        <v>291.40195999999997</v>
      </c>
      <c r="G23" s="285">
        <v>190.2</v>
      </c>
      <c r="H23" s="164">
        <f t="shared" si="3"/>
        <v>-34.700000000000003</v>
      </c>
      <c r="I23" s="403">
        <f>IFERROR(100/'Skjema total MA'!F23*G23,0)</f>
        <v>0.26131039201382461</v>
      </c>
      <c r="J23" s="285">
        <f t="shared" ref="J23:J26" si="6">SUM(B23,F23)</f>
        <v>291.40195999999997</v>
      </c>
      <c r="K23" s="285">
        <f t="shared" ref="K23:K26" si="7">SUM(C23,G23)</f>
        <v>190.2</v>
      </c>
      <c r="L23" s="164">
        <f t="shared" si="5"/>
        <v>-34.700000000000003</v>
      </c>
      <c r="M23" s="21">
        <f>IFERROR(100/'Skjema total MA'!I23*K23,0)</f>
        <v>2.7998451915775976E-2</v>
      </c>
    </row>
    <row r="24" spans="1:14" ht="15.75" x14ac:dyDescent="0.2">
      <c r="A24" s="496" t="s">
        <v>354</v>
      </c>
      <c r="B24" s="276"/>
      <c r="C24" s="276"/>
      <c r="D24" s="164"/>
      <c r="E24" s="11"/>
      <c r="F24" s="285"/>
      <c r="G24" s="285"/>
      <c r="H24" s="164"/>
      <c r="I24" s="403"/>
      <c r="J24" s="285"/>
      <c r="K24" s="285"/>
      <c r="L24" s="164"/>
      <c r="M24" s="21"/>
    </row>
    <row r="25" spans="1:14" ht="15.75" x14ac:dyDescent="0.2">
      <c r="A25" s="496" t="s">
        <v>355</v>
      </c>
      <c r="B25" s="276"/>
      <c r="C25" s="276"/>
      <c r="D25" s="164"/>
      <c r="E25" s="11"/>
      <c r="F25" s="285"/>
      <c r="G25" s="285"/>
      <c r="H25" s="164"/>
      <c r="I25" s="403"/>
      <c r="J25" s="285"/>
      <c r="K25" s="285"/>
      <c r="L25" s="164"/>
      <c r="M25" s="21"/>
    </row>
    <row r="26" spans="1:14" ht="15.75" x14ac:dyDescent="0.2">
      <c r="A26" s="496" t="s">
        <v>356</v>
      </c>
      <c r="B26" s="276"/>
      <c r="C26" s="276"/>
      <c r="D26" s="164"/>
      <c r="E26" s="11"/>
      <c r="F26" s="285">
        <v>35052.136630000001</v>
      </c>
      <c r="G26" s="285">
        <v>16299.24633</v>
      </c>
      <c r="H26" s="164">
        <f t="shared" si="3"/>
        <v>-53.5</v>
      </c>
      <c r="I26" s="403">
        <f>IFERROR(100/'Skjema total MA'!F26*G26,0)</f>
        <v>2.6423959505952119</v>
      </c>
      <c r="J26" s="285">
        <f t="shared" si="6"/>
        <v>35052.136630000001</v>
      </c>
      <c r="K26" s="285">
        <f t="shared" si="7"/>
        <v>16299.24633</v>
      </c>
      <c r="L26" s="164">
        <f t="shared" si="5"/>
        <v>-53.5</v>
      </c>
      <c r="M26" s="21">
        <f>IFERROR(100/'Skjema total MA'!I26*K26,0)</f>
        <v>2.6423959505952119</v>
      </c>
    </row>
    <row r="27" spans="1:14" x14ac:dyDescent="0.2">
      <c r="A27" s="496" t="s">
        <v>11</v>
      </c>
      <c r="B27" s="276"/>
      <c r="C27" s="276"/>
      <c r="D27" s="164"/>
      <c r="E27" s="11"/>
      <c r="F27" s="285"/>
      <c r="G27" s="285"/>
      <c r="H27" s="164"/>
      <c r="I27" s="403"/>
      <c r="J27" s="285"/>
      <c r="K27" s="285"/>
      <c r="L27" s="164"/>
      <c r="M27" s="21"/>
    </row>
    <row r="28" spans="1:14" ht="15.75" x14ac:dyDescent="0.2">
      <c r="A28" s="47" t="s">
        <v>271</v>
      </c>
      <c r="B28" s="42"/>
      <c r="C28" s="282"/>
      <c r="D28" s="164"/>
      <c r="E28" s="11"/>
      <c r="F28" s="230"/>
      <c r="G28" s="282"/>
      <c r="H28" s="164"/>
      <c r="I28" s="25"/>
      <c r="J28" s="42"/>
      <c r="K28" s="42"/>
      <c r="L28" s="249"/>
      <c r="M28" s="21"/>
    </row>
    <row r="29" spans="1:14" s="3" customFormat="1" ht="15.75" x14ac:dyDescent="0.2">
      <c r="A29" s="13" t="s">
        <v>350</v>
      </c>
      <c r="B29" s="232"/>
      <c r="C29" s="232"/>
      <c r="D29" s="169"/>
      <c r="E29" s="11"/>
      <c r="F29" s="300">
        <v>1083975.7617299999</v>
      </c>
      <c r="G29" s="300">
        <v>940102.25233000005</v>
      </c>
      <c r="H29" s="169">
        <f t="shared" si="3"/>
        <v>-13.3</v>
      </c>
      <c r="I29" s="11">
        <f>IFERROR(100/'Skjema total MA'!F29*G29,0)</f>
        <v>4.0693843313651925</v>
      </c>
      <c r="J29" s="232">
        <f t="shared" si="4"/>
        <v>1083975.7617299999</v>
      </c>
      <c r="K29" s="232">
        <f t="shared" si="4"/>
        <v>940102.25233000005</v>
      </c>
      <c r="L29" s="414">
        <f t="shared" si="5"/>
        <v>-13.3</v>
      </c>
      <c r="M29" s="22">
        <f>IFERROR(100/'Skjema total MA'!I29*K29,0)</f>
        <v>1.3891770388688549</v>
      </c>
      <c r="N29" s="146"/>
    </row>
    <row r="30" spans="1:14" s="3" customFormat="1" ht="15.75" x14ac:dyDescent="0.2">
      <c r="A30" s="496" t="s">
        <v>353</v>
      </c>
      <c r="B30" s="276"/>
      <c r="C30" s="276"/>
      <c r="D30" s="164"/>
      <c r="E30" s="11"/>
      <c r="F30" s="285">
        <v>121261.20474</v>
      </c>
      <c r="G30" s="285">
        <v>101509.45948</v>
      </c>
      <c r="H30" s="164">
        <f t="shared" si="3"/>
        <v>-16.3</v>
      </c>
      <c r="I30" s="403">
        <f>IFERROR(100/'Skjema total MA'!F30*G30,0)</f>
        <v>2.9698484771747631</v>
      </c>
      <c r="J30" s="285">
        <f t="shared" ref="J30:J33" si="8">SUM(B30,F30)</f>
        <v>121261.20474</v>
      </c>
      <c r="K30" s="285">
        <f t="shared" ref="K30:K33" si="9">SUM(C30,G30)</f>
        <v>101509.45948</v>
      </c>
      <c r="L30" s="164">
        <f t="shared" si="5"/>
        <v>-16.3</v>
      </c>
      <c r="M30" s="21">
        <f>IFERROR(100/'Skjema total MA'!I30*K30,0)</f>
        <v>0.76870488001526793</v>
      </c>
      <c r="N30" s="146"/>
    </row>
    <row r="31" spans="1:14" s="3" customFormat="1" ht="15.75" x14ac:dyDescent="0.2">
      <c r="A31" s="496" t="s">
        <v>354</v>
      </c>
      <c r="B31" s="276"/>
      <c r="C31" s="276"/>
      <c r="D31" s="164"/>
      <c r="E31" s="11"/>
      <c r="F31" s="285">
        <v>657356.46048000001</v>
      </c>
      <c r="G31" s="285">
        <v>519817.08198999998</v>
      </c>
      <c r="H31" s="164">
        <f t="shared" si="3"/>
        <v>-20.9</v>
      </c>
      <c r="I31" s="403">
        <f>IFERROR(100/'Skjema total MA'!F31*G31,0)</f>
        <v>6.8915615170836944</v>
      </c>
      <c r="J31" s="285">
        <f t="shared" si="8"/>
        <v>657356.46048000001</v>
      </c>
      <c r="K31" s="285">
        <f t="shared" si="9"/>
        <v>519817.08198999998</v>
      </c>
      <c r="L31" s="164">
        <f t="shared" si="5"/>
        <v>-20.9</v>
      </c>
      <c r="M31" s="21">
        <f>IFERROR(100/'Skjema total MA'!I31*K31,0)</f>
        <v>1.5920781751549249</v>
      </c>
      <c r="N31" s="146"/>
    </row>
    <row r="32" spans="1:14" ht="15.75" x14ac:dyDescent="0.2">
      <c r="A32" s="496" t="s">
        <v>355</v>
      </c>
      <c r="B32" s="276"/>
      <c r="C32" s="276"/>
      <c r="D32" s="164"/>
      <c r="E32" s="11"/>
      <c r="F32" s="285"/>
      <c r="G32" s="285"/>
      <c r="H32" s="164"/>
      <c r="I32" s="403"/>
      <c r="J32" s="285"/>
      <c r="K32" s="285"/>
      <c r="L32" s="164"/>
      <c r="M32" s="21"/>
    </row>
    <row r="33" spans="1:14" ht="15.75" x14ac:dyDescent="0.2">
      <c r="A33" s="496" t="s">
        <v>356</v>
      </c>
      <c r="B33" s="276"/>
      <c r="C33" s="276"/>
      <c r="D33" s="164"/>
      <c r="E33" s="11"/>
      <c r="F33" s="285">
        <v>305358.09651</v>
      </c>
      <c r="G33" s="285">
        <v>318755.71085999999</v>
      </c>
      <c r="H33" s="164">
        <f t="shared" si="3"/>
        <v>4.4000000000000004</v>
      </c>
      <c r="I33" s="403">
        <f>IFERROR(100/'Skjema total MA'!F34*G33,0)</f>
        <v>463.03804604984055</v>
      </c>
      <c r="J33" s="285">
        <f t="shared" si="8"/>
        <v>305358.09651</v>
      </c>
      <c r="K33" s="285">
        <f t="shared" si="9"/>
        <v>318755.71085999999</v>
      </c>
      <c r="L33" s="164">
        <f t="shared" si="5"/>
        <v>4.4000000000000004</v>
      </c>
      <c r="M33" s="21">
        <f>IFERROR(100/'Skjema total MA'!I34*K33,0)</f>
        <v>346.5405000240994</v>
      </c>
    </row>
    <row r="34" spans="1:14" ht="15.75" x14ac:dyDescent="0.2">
      <c r="A34" s="13" t="s">
        <v>351</v>
      </c>
      <c r="B34" s="232"/>
      <c r="C34" s="301"/>
      <c r="D34" s="169"/>
      <c r="E34" s="11"/>
      <c r="F34" s="300">
        <v>5914.1840000000002</v>
      </c>
      <c r="G34" s="301">
        <v>1945.2280000000001</v>
      </c>
      <c r="H34" s="169">
        <f t="shared" si="3"/>
        <v>-67.099999999999994</v>
      </c>
      <c r="I34" s="11">
        <f>IFERROR(100/'Skjema total MA'!F34*G34,0)</f>
        <v>2.8257205802252749</v>
      </c>
      <c r="J34" s="232">
        <f t="shared" si="4"/>
        <v>5914.1840000000002</v>
      </c>
      <c r="K34" s="232">
        <f t="shared" si="4"/>
        <v>1945.2280000000001</v>
      </c>
      <c r="L34" s="414">
        <f t="shared" si="5"/>
        <v>-67.099999999999994</v>
      </c>
      <c r="M34" s="22">
        <f>IFERROR(100/'Skjema total MA'!I34*K34,0)</f>
        <v>2.1147865302935669</v>
      </c>
    </row>
    <row r="35" spans="1:14" ht="15.75" x14ac:dyDescent="0.2">
      <c r="A35" s="13" t="s">
        <v>352</v>
      </c>
      <c r="B35" s="232"/>
      <c r="C35" s="301"/>
      <c r="D35" s="169"/>
      <c r="E35" s="11"/>
      <c r="F35" s="300">
        <v>1687.53162</v>
      </c>
      <c r="G35" s="301">
        <v>2901.2574599999998</v>
      </c>
      <c r="H35" s="169">
        <f t="shared" si="3"/>
        <v>71.900000000000006</v>
      </c>
      <c r="I35" s="11">
        <f>IFERROR(100/'Skjema total MA'!F35*G35,0)</f>
        <v>3.8189661028933521</v>
      </c>
      <c r="J35" s="232">
        <f t="shared" si="4"/>
        <v>1687.53162</v>
      </c>
      <c r="K35" s="232">
        <f t="shared" si="4"/>
        <v>2901.2574599999998</v>
      </c>
      <c r="L35" s="414">
        <f t="shared" si="5"/>
        <v>71.900000000000006</v>
      </c>
      <c r="M35" s="22">
        <f>IFERROR(100/'Skjema total MA'!I35*K35,0)</f>
        <v>5.2497629331676228</v>
      </c>
    </row>
    <row r="36" spans="1:14" ht="15.75" x14ac:dyDescent="0.2">
      <c r="A36" s="12" t="s">
        <v>279</v>
      </c>
      <c r="B36" s="232"/>
      <c r="C36" s="301"/>
      <c r="D36" s="169"/>
      <c r="E36" s="11"/>
      <c r="F36" s="311"/>
      <c r="G36" s="312"/>
      <c r="H36" s="169"/>
      <c r="I36" s="420"/>
      <c r="J36" s="232"/>
      <c r="K36" s="232"/>
      <c r="L36" s="414"/>
      <c r="M36" s="22"/>
    </row>
    <row r="37" spans="1:14" ht="15.75" x14ac:dyDescent="0.2">
      <c r="A37" s="12" t="s">
        <v>358</v>
      </c>
      <c r="B37" s="232"/>
      <c r="C37" s="301"/>
      <c r="D37" s="169"/>
      <c r="E37" s="11"/>
      <c r="F37" s="311"/>
      <c r="G37" s="313"/>
      <c r="H37" s="169"/>
      <c r="I37" s="420"/>
      <c r="J37" s="232"/>
      <c r="K37" s="232"/>
      <c r="L37" s="414"/>
      <c r="M37" s="22"/>
    </row>
    <row r="38" spans="1:14" ht="15.75" x14ac:dyDescent="0.2">
      <c r="A38" s="12" t="s">
        <v>359</v>
      </c>
      <c r="B38" s="232"/>
      <c r="C38" s="301"/>
      <c r="D38" s="169"/>
      <c r="E38" s="22"/>
      <c r="F38" s="311"/>
      <c r="G38" s="312"/>
      <c r="H38" s="169"/>
      <c r="I38" s="420"/>
      <c r="J38" s="232"/>
      <c r="K38" s="232"/>
      <c r="L38" s="414"/>
      <c r="M38" s="22"/>
    </row>
    <row r="39" spans="1:14" ht="15.75" x14ac:dyDescent="0.2">
      <c r="A39" s="18" t="s">
        <v>360</v>
      </c>
      <c r="B39" s="271"/>
      <c r="C39" s="307"/>
      <c r="D39" s="167"/>
      <c r="E39" s="34"/>
      <c r="F39" s="314"/>
      <c r="G39" s="315"/>
      <c r="H39" s="167"/>
      <c r="I39" s="34"/>
      <c r="J39" s="232"/>
      <c r="K39" s="232"/>
      <c r="L39" s="415"/>
      <c r="M39" s="34"/>
    </row>
    <row r="40" spans="1:14" ht="15.75" x14ac:dyDescent="0.25">
      <c r="A40" s="45"/>
      <c r="B40" s="248"/>
      <c r="C40" s="248"/>
      <c r="D40" s="708"/>
      <c r="E40" s="708"/>
      <c r="F40" s="708"/>
      <c r="G40" s="708"/>
      <c r="H40" s="708"/>
      <c r="I40" s="708"/>
      <c r="J40" s="708"/>
      <c r="K40" s="708"/>
      <c r="L40" s="708"/>
      <c r="M40" s="294"/>
    </row>
    <row r="41" spans="1:14" x14ac:dyDescent="0.2">
      <c r="A41" s="153"/>
    </row>
    <row r="42" spans="1:14" ht="15.75" x14ac:dyDescent="0.25">
      <c r="A42" s="145" t="s">
        <v>268</v>
      </c>
      <c r="B42" s="704"/>
      <c r="C42" s="704"/>
      <c r="D42" s="704"/>
      <c r="E42" s="291"/>
      <c r="F42" s="709"/>
      <c r="G42" s="709"/>
      <c r="H42" s="709"/>
      <c r="I42" s="294"/>
      <c r="J42" s="709"/>
      <c r="K42" s="709"/>
      <c r="L42" s="709"/>
      <c r="M42" s="294"/>
    </row>
    <row r="43" spans="1:14" ht="15.75" x14ac:dyDescent="0.25">
      <c r="A43" s="161"/>
      <c r="B43" s="295"/>
      <c r="C43" s="295"/>
      <c r="D43" s="295"/>
      <c r="E43" s="295"/>
      <c r="F43" s="294"/>
      <c r="G43" s="294"/>
      <c r="H43" s="294"/>
      <c r="I43" s="294"/>
      <c r="J43" s="294"/>
      <c r="K43" s="294"/>
      <c r="L43" s="294"/>
      <c r="M43" s="294"/>
    </row>
    <row r="44" spans="1:14" ht="15.75" x14ac:dyDescent="0.25">
      <c r="A44" s="243"/>
      <c r="B44" s="705" t="s">
        <v>0</v>
      </c>
      <c r="C44" s="706"/>
      <c r="D44" s="706"/>
      <c r="E44" s="239"/>
      <c r="F44" s="294"/>
      <c r="G44" s="294"/>
      <c r="H44" s="294"/>
      <c r="I44" s="294"/>
      <c r="J44" s="294"/>
      <c r="K44" s="294"/>
      <c r="L44" s="294"/>
      <c r="M44" s="294"/>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c r="C47" s="303"/>
      <c r="D47" s="413"/>
      <c r="E47" s="11"/>
      <c r="F47" s="143"/>
      <c r="G47" s="31"/>
      <c r="H47" s="157"/>
      <c r="I47" s="157"/>
      <c r="J47" s="35"/>
      <c r="K47" s="35"/>
      <c r="L47" s="157"/>
      <c r="M47" s="157"/>
      <c r="N47" s="146"/>
    </row>
    <row r="48" spans="1:14" s="3" customFormat="1" ht="15.75" x14ac:dyDescent="0.2">
      <c r="A48" s="36" t="s">
        <v>361</v>
      </c>
      <c r="B48" s="276"/>
      <c r="C48" s="277"/>
      <c r="D48" s="249"/>
      <c r="E48" s="25"/>
      <c r="F48" s="143"/>
      <c r="G48" s="31"/>
      <c r="H48" s="143"/>
      <c r="I48" s="143"/>
      <c r="J48" s="31"/>
      <c r="K48" s="31"/>
      <c r="L48" s="157"/>
      <c r="M48" s="157"/>
      <c r="N48" s="146"/>
    </row>
    <row r="49" spans="1:14" s="3" customFormat="1" ht="15.75" x14ac:dyDescent="0.2">
      <c r="A49" s="36" t="s">
        <v>362</v>
      </c>
      <c r="B49" s="42"/>
      <c r="C49" s="282"/>
      <c r="D49" s="249"/>
      <c r="E49" s="25"/>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c r="C53" s="303"/>
      <c r="D53" s="414"/>
      <c r="E53" s="11"/>
      <c r="F53" s="143"/>
      <c r="G53" s="31"/>
      <c r="H53" s="143"/>
      <c r="I53" s="143"/>
      <c r="J53" s="31"/>
      <c r="K53" s="31"/>
      <c r="L53" s="157"/>
      <c r="M53" s="157"/>
      <c r="N53" s="146"/>
    </row>
    <row r="54" spans="1:14" s="3" customFormat="1" ht="15.75" x14ac:dyDescent="0.2">
      <c r="A54" s="36" t="s">
        <v>361</v>
      </c>
      <c r="B54" s="276"/>
      <c r="C54" s="277"/>
      <c r="D54" s="249"/>
      <c r="E54" s="25"/>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c r="C56" s="303"/>
      <c r="D56" s="414"/>
      <c r="E56" s="11"/>
      <c r="F56" s="143"/>
      <c r="G56" s="31"/>
      <c r="H56" s="143"/>
      <c r="I56" s="143"/>
      <c r="J56" s="31"/>
      <c r="K56" s="31"/>
      <c r="L56" s="157"/>
      <c r="M56" s="157"/>
      <c r="N56" s="146"/>
    </row>
    <row r="57" spans="1:14" s="3" customFormat="1" ht="15.75" x14ac:dyDescent="0.2">
      <c r="A57" s="36" t="s">
        <v>361</v>
      </c>
      <c r="B57" s="276"/>
      <c r="C57" s="277"/>
      <c r="D57" s="249"/>
      <c r="E57" s="25"/>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291"/>
      <c r="F62" s="707"/>
      <c r="G62" s="707"/>
      <c r="H62" s="707"/>
      <c r="I62" s="291"/>
      <c r="J62" s="707"/>
      <c r="K62" s="707"/>
      <c r="L62" s="707"/>
      <c r="M62" s="291"/>
    </row>
    <row r="63" spans="1:14" x14ac:dyDescent="0.2">
      <c r="A63" s="142"/>
      <c r="B63" s="705" t="s">
        <v>0</v>
      </c>
      <c r="C63" s="706"/>
      <c r="D63" s="710"/>
      <c r="E63" s="292"/>
      <c r="F63" s="706" t="s">
        <v>1</v>
      </c>
      <c r="G63" s="706"/>
      <c r="H63" s="706"/>
      <c r="I63" s="296"/>
      <c r="J63" s="705" t="s">
        <v>2</v>
      </c>
      <c r="K63" s="706"/>
      <c r="L63" s="706"/>
      <c r="M63" s="296"/>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c r="C66" s="344"/>
      <c r="D66" s="341"/>
      <c r="E66" s="11"/>
      <c r="F66" s="343">
        <v>57.563490000000002</v>
      </c>
      <c r="G66" s="343">
        <v>15.702680000000001</v>
      </c>
      <c r="H66" s="341">
        <f t="shared" ref="H66:H111" si="10">IF(F66=0, "    ---- ", IF(ABS(ROUND(100/F66*G66-100,1))&lt;999,ROUND(100/F66*G66-100,1),IF(ROUND(100/F66*G66-100,1)&gt;999,999,-999)))</f>
        <v>-72.7</v>
      </c>
      <c r="I66" s="11">
        <f>IFERROR(100/'Skjema total MA'!F66*G66,0)</f>
        <v>4.9842979625050873E-5</v>
      </c>
      <c r="J66" s="301">
        <f t="shared" ref="J66:K86" si="11">SUM(B66,F66)</f>
        <v>57.563490000000002</v>
      </c>
      <c r="K66" s="308">
        <f t="shared" si="11"/>
        <v>15.702680000000001</v>
      </c>
      <c r="L66" s="414">
        <f t="shared" ref="L66:L111" si="12">IF(J66=0, "    ---- ", IF(ABS(ROUND(100/J66*K66-100,1))&lt;999,ROUND(100/J66*K66-100,1),IF(ROUND(100/J66*K66-100,1)&gt;999,999,-999)))</f>
        <v>-72.7</v>
      </c>
      <c r="M66" s="11">
        <f>IFERROR(100/'Skjema total MA'!I66*K66,0)</f>
        <v>4.1694194640510013E-5</v>
      </c>
    </row>
    <row r="67" spans="1:14" x14ac:dyDescent="0.2">
      <c r="A67" s="405" t="s">
        <v>9</v>
      </c>
      <c r="B67" s="42"/>
      <c r="C67" s="143"/>
      <c r="D67" s="164"/>
      <c r="E67" s="25"/>
      <c r="F67" s="230"/>
      <c r="G67" s="143"/>
      <c r="H67" s="164"/>
      <c r="I67" s="25"/>
      <c r="J67" s="282"/>
      <c r="K67" s="42"/>
      <c r="L67" s="249"/>
      <c r="M67" s="25"/>
    </row>
    <row r="68" spans="1:14" x14ac:dyDescent="0.2">
      <c r="A68" s="19" t="s">
        <v>10</v>
      </c>
      <c r="B68" s="286"/>
      <c r="C68" s="287"/>
      <c r="D68" s="164"/>
      <c r="E68" s="25"/>
      <c r="F68" s="286">
        <v>57.563490000000002</v>
      </c>
      <c r="G68" s="287">
        <v>15.702680000000001</v>
      </c>
      <c r="H68" s="164">
        <f t="shared" si="10"/>
        <v>-72.7</v>
      </c>
      <c r="I68" s="25">
        <f>IFERROR(100/'Skjema total MA'!F68*G68,0)</f>
        <v>5.1822929961103322E-5</v>
      </c>
      <c r="J68" s="282">
        <f t="shared" si="11"/>
        <v>57.563490000000002</v>
      </c>
      <c r="K68" s="42">
        <f t="shared" si="11"/>
        <v>15.702680000000001</v>
      </c>
      <c r="L68" s="249">
        <f t="shared" si="12"/>
        <v>-72.7</v>
      </c>
      <c r="M68" s="25">
        <f>IFERROR(100/'Skjema total MA'!I68*K68,0)</f>
        <v>5.1747262416850597E-5</v>
      </c>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c r="C75" s="143"/>
      <c r="D75" s="164"/>
      <c r="E75" s="25"/>
      <c r="F75" s="230"/>
      <c r="G75" s="143"/>
      <c r="H75" s="164"/>
      <c r="I75" s="25"/>
      <c r="J75" s="282"/>
      <c r="K75" s="42"/>
      <c r="L75" s="249"/>
      <c r="M75" s="25"/>
      <c r="N75" s="146"/>
    </row>
    <row r="76" spans="1:14" s="3" customFormat="1" x14ac:dyDescent="0.2">
      <c r="A76" s="19" t="s">
        <v>336</v>
      </c>
      <c r="B76" s="230"/>
      <c r="C76" s="143"/>
      <c r="D76" s="164"/>
      <c r="E76" s="25"/>
      <c r="F76" s="230"/>
      <c r="G76" s="143"/>
      <c r="H76" s="164"/>
      <c r="I76" s="25"/>
      <c r="J76" s="282"/>
      <c r="K76" s="42"/>
      <c r="L76" s="249"/>
      <c r="M76" s="25"/>
      <c r="N76" s="146"/>
    </row>
    <row r="77" spans="1:14" ht="15.75" x14ac:dyDescent="0.2">
      <c r="A77" s="19" t="s">
        <v>367</v>
      </c>
      <c r="B77" s="230"/>
      <c r="C77" s="230"/>
      <c r="D77" s="164"/>
      <c r="E77" s="25"/>
      <c r="F77" s="230"/>
      <c r="G77" s="143"/>
      <c r="H77" s="164"/>
      <c r="I77" s="25"/>
      <c r="J77" s="282"/>
      <c r="K77" s="42"/>
      <c r="L77" s="249"/>
      <c r="M77" s="25"/>
    </row>
    <row r="78" spans="1:14" x14ac:dyDescent="0.2">
      <c r="A78" s="19" t="s">
        <v>9</v>
      </c>
      <c r="B78" s="230"/>
      <c r="C78" s="143"/>
      <c r="D78" s="164"/>
      <c r="E78" s="25"/>
      <c r="F78" s="230"/>
      <c r="G78" s="143"/>
      <c r="H78" s="164"/>
      <c r="I78" s="25"/>
      <c r="J78" s="282"/>
      <c r="K78" s="42"/>
      <c r="L78" s="249"/>
      <c r="M78" s="25"/>
    </row>
    <row r="79" spans="1:14" x14ac:dyDescent="0.2">
      <c r="A79" s="36" t="s">
        <v>400</v>
      </c>
      <c r="B79" s="286"/>
      <c r="C79" s="287"/>
      <c r="D79" s="164"/>
      <c r="E79" s="25"/>
      <c r="F79" s="286"/>
      <c r="G79" s="287"/>
      <c r="H79" s="164"/>
      <c r="I79" s="25"/>
      <c r="J79" s="282"/>
      <c r="K79" s="42"/>
      <c r="L79" s="249"/>
      <c r="M79" s="25"/>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c r="C86" s="143"/>
      <c r="D86" s="164"/>
      <c r="E86" s="25"/>
      <c r="F86" s="230">
        <v>57.563490000000002</v>
      </c>
      <c r="G86" s="143">
        <v>15.702680000000001</v>
      </c>
      <c r="H86" s="164">
        <f t="shared" si="10"/>
        <v>-72.7</v>
      </c>
      <c r="I86" s="25">
        <f>IFERROR(100/'Skjema total MA'!F86*G86,0)</f>
        <v>0.15925887653973728</v>
      </c>
      <c r="J86" s="282">
        <f t="shared" si="11"/>
        <v>57.563490000000002</v>
      </c>
      <c r="K86" s="42">
        <f t="shared" si="11"/>
        <v>15.702680000000001</v>
      </c>
      <c r="L86" s="249">
        <f t="shared" si="12"/>
        <v>-72.7</v>
      </c>
      <c r="M86" s="25">
        <f>IFERROR(100/'Skjema total MA'!I86*K86,0)</f>
        <v>1.7545463539286436E-2</v>
      </c>
    </row>
    <row r="87" spans="1:13" ht="15.75" x14ac:dyDescent="0.2">
      <c r="A87" s="13" t="s">
        <v>350</v>
      </c>
      <c r="B87" s="344"/>
      <c r="C87" s="344"/>
      <c r="D87" s="169"/>
      <c r="E87" s="11"/>
      <c r="F87" s="343">
        <v>860565.88491999998</v>
      </c>
      <c r="G87" s="343">
        <v>612565.39625999995</v>
      </c>
      <c r="H87" s="169">
        <f t="shared" si="10"/>
        <v>-28.8</v>
      </c>
      <c r="I87" s="11">
        <f>IFERROR(100/'Skjema total MA'!F87*G87,0)</f>
        <v>0.14799263192267686</v>
      </c>
      <c r="J87" s="301">
        <f t="shared" ref="J87:K111" si="13">SUM(B87,F87)</f>
        <v>860565.88491999998</v>
      </c>
      <c r="K87" s="232">
        <f t="shared" si="13"/>
        <v>612565.39625999995</v>
      </c>
      <c r="L87" s="414">
        <f t="shared" si="12"/>
        <v>-28.8</v>
      </c>
      <c r="M87" s="11">
        <f>IFERROR(100/'Skjema total MA'!I87*K87,0)</f>
        <v>7.5049083441108555E-2</v>
      </c>
    </row>
    <row r="88" spans="1:13" x14ac:dyDescent="0.2">
      <c r="A88" s="19" t="s">
        <v>9</v>
      </c>
      <c r="B88" s="230"/>
      <c r="C88" s="143"/>
      <c r="D88" s="164"/>
      <c r="E88" s="25"/>
      <c r="F88" s="230"/>
      <c r="G88" s="143"/>
      <c r="H88" s="164"/>
      <c r="I88" s="25"/>
      <c r="J88" s="282"/>
      <c r="K88" s="42"/>
      <c r="L88" s="249"/>
      <c r="M88" s="25"/>
    </row>
    <row r="89" spans="1:13" x14ac:dyDescent="0.2">
      <c r="A89" s="19" t="s">
        <v>10</v>
      </c>
      <c r="B89" s="230"/>
      <c r="C89" s="143"/>
      <c r="D89" s="164"/>
      <c r="E89" s="25"/>
      <c r="F89" s="230">
        <v>860565.88491999998</v>
      </c>
      <c r="G89" s="143">
        <v>612565.39625999995</v>
      </c>
      <c r="H89" s="164">
        <f t="shared" si="10"/>
        <v>-28.8</v>
      </c>
      <c r="I89" s="25">
        <f>IFERROR(100/'Skjema total MA'!F89*G89,0)</f>
        <v>0.14978452128577399</v>
      </c>
      <c r="J89" s="282">
        <f t="shared" si="13"/>
        <v>860565.88491999998</v>
      </c>
      <c r="K89" s="42">
        <f t="shared" si="13"/>
        <v>612565.39625999995</v>
      </c>
      <c r="L89" s="249">
        <f t="shared" si="12"/>
        <v>-28.8</v>
      </c>
      <c r="M89" s="25">
        <f>IFERROR(100/'Skjema total MA'!I89*K89,0)</f>
        <v>0.14857723053556432</v>
      </c>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c r="C96" s="143"/>
      <c r="D96" s="164"/>
      <c r="E96" s="25"/>
      <c r="F96" s="230"/>
      <c r="G96" s="143"/>
      <c r="H96" s="164"/>
      <c r="I96" s="25"/>
      <c r="J96" s="282"/>
      <c r="K96" s="42"/>
      <c r="L96" s="249"/>
      <c r="M96" s="25"/>
    </row>
    <row r="97" spans="1:13" x14ac:dyDescent="0.2">
      <c r="A97" s="19" t="s">
        <v>334</v>
      </c>
      <c r="B97" s="230"/>
      <c r="C97" s="143"/>
      <c r="D97" s="164"/>
      <c r="E97" s="25"/>
      <c r="F97" s="230"/>
      <c r="G97" s="143"/>
      <c r="H97" s="164"/>
      <c r="I97" s="25"/>
      <c r="J97" s="282"/>
      <c r="K97" s="42"/>
      <c r="L97" s="249"/>
      <c r="M97" s="25"/>
    </row>
    <row r="98" spans="1:13" ht="15.75" x14ac:dyDescent="0.2">
      <c r="A98" s="19" t="s">
        <v>367</v>
      </c>
      <c r="B98" s="230"/>
      <c r="C98" s="230"/>
      <c r="D98" s="164"/>
      <c r="E98" s="25"/>
      <c r="F98" s="286"/>
      <c r="G98" s="286"/>
      <c r="H98" s="164"/>
      <c r="I98" s="25"/>
      <c r="J98" s="282"/>
      <c r="K98" s="42"/>
      <c r="L98" s="249"/>
      <c r="M98" s="25"/>
    </row>
    <row r="99" spans="1:13" x14ac:dyDescent="0.2">
      <c r="A99" s="19" t="s">
        <v>9</v>
      </c>
      <c r="B99" s="286"/>
      <c r="C99" s="287"/>
      <c r="D99" s="164"/>
      <c r="E99" s="25"/>
      <c r="F99" s="230"/>
      <c r="G99" s="143"/>
      <c r="H99" s="164"/>
      <c r="I99" s="25"/>
      <c r="J99" s="282"/>
      <c r="K99" s="42"/>
      <c r="L99" s="249"/>
      <c r="M99" s="25"/>
    </row>
    <row r="100" spans="1:13" x14ac:dyDescent="0.2">
      <c r="A100" s="36" t="s">
        <v>400</v>
      </c>
      <c r="B100" s="286"/>
      <c r="C100" s="287"/>
      <c r="D100" s="164"/>
      <c r="E100" s="25"/>
      <c r="F100" s="230"/>
      <c r="G100" s="230"/>
      <c r="H100" s="164"/>
      <c r="I100" s="25"/>
      <c r="J100" s="282"/>
      <c r="K100" s="42"/>
      <c r="L100" s="249"/>
      <c r="M100" s="25"/>
    </row>
    <row r="101" spans="1:13" ht="15.75" x14ac:dyDescent="0.2">
      <c r="A101" s="288" t="s">
        <v>365</v>
      </c>
      <c r="B101" s="311"/>
      <c r="C101" s="311"/>
      <c r="D101" s="164"/>
      <c r="E101" s="21"/>
      <c r="F101" s="311"/>
      <c r="G101" s="311"/>
      <c r="H101" s="164"/>
      <c r="I101" s="21"/>
      <c r="J101" s="311"/>
      <c r="K101" s="311"/>
      <c r="L101" s="164"/>
      <c r="M101" s="21"/>
    </row>
    <row r="102" spans="1:13" x14ac:dyDescent="0.2">
      <c r="A102" s="288" t="s">
        <v>12</v>
      </c>
      <c r="B102" s="311"/>
      <c r="C102" s="311"/>
      <c r="D102" s="164"/>
      <c r="E102" s="21"/>
      <c r="F102" s="311"/>
      <c r="G102" s="311"/>
      <c r="H102" s="164"/>
      <c r="I102" s="21"/>
      <c r="J102" s="311"/>
      <c r="K102" s="311"/>
      <c r="L102" s="164"/>
      <c r="M102" s="21"/>
    </row>
    <row r="103" spans="1:13" x14ac:dyDescent="0.2">
      <c r="A103" s="288" t="s">
        <v>13</v>
      </c>
      <c r="B103" s="311"/>
      <c r="C103" s="311"/>
      <c r="D103" s="164"/>
      <c r="E103" s="21"/>
      <c r="F103" s="311"/>
      <c r="G103" s="311"/>
      <c r="H103" s="164"/>
      <c r="I103" s="21"/>
      <c r="J103" s="311"/>
      <c r="K103" s="311"/>
      <c r="L103" s="164"/>
      <c r="M103" s="21"/>
    </row>
    <row r="104" spans="1:13" ht="15.75" x14ac:dyDescent="0.2">
      <c r="A104" s="288" t="s">
        <v>366</v>
      </c>
      <c r="B104" s="311"/>
      <c r="C104" s="311"/>
      <c r="D104" s="164"/>
      <c r="E104" s="21"/>
      <c r="F104" s="311"/>
      <c r="G104" s="311"/>
      <c r="H104" s="164"/>
      <c r="I104" s="21"/>
      <c r="J104" s="311"/>
      <c r="K104" s="311"/>
      <c r="L104" s="164"/>
      <c r="M104" s="21"/>
    </row>
    <row r="105" spans="1:13" x14ac:dyDescent="0.2">
      <c r="A105" s="288" t="s">
        <v>12</v>
      </c>
      <c r="B105" s="231"/>
      <c r="C105" s="284"/>
      <c r="D105" s="164"/>
      <c r="E105" s="21"/>
      <c r="F105" s="311"/>
      <c r="G105" s="311"/>
      <c r="H105" s="164"/>
      <c r="I105" s="21"/>
      <c r="J105" s="311"/>
      <c r="K105" s="311"/>
      <c r="L105" s="164"/>
      <c r="M105" s="21"/>
    </row>
    <row r="106" spans="1:13" x14ac:dyDescent="0.2">
      <c r="A106" s="288" t="s">
        <v>13</v>
      </c>
      <c r="B106" s="231"/>
      <c r="C106" s="284"/>
      <c r="D106" s="164"/>
      <c r="E106" s="21"/>
      <c r="F106" s="311"/>
      <c r="G106" s="311"/>
      <c r="H106" s="164"/>
      <c r="I106" s="21"/>
      <c r="J106" s="311"/>
      <c r="K106" s="311"/>
      <c r="L106" s="164"/>
      <c r="M106" s="21"/>
    </row>
    <row r="107" spans="1:13" ht="15.75" x14ac:dyDescent="0.2">
      <c r="A107" s="19" t="s">
        <v>368</v>
      </c>
      <c r="B107" s="230"/>
      <c r="C107" s="143"/>
      <c r="D107" s="164"/>
      <c r="E107" s="25"/>
      <c r="F107" s="230">
        <v>860565.88491999998</v>
      </c>
      <c r="G107" s="143">
        <v>612565.39625999995</v>
      </c>
      <c r="H107" s="164">
        <f t="shared" si="10"/>
        <v>-28.8</v>
      </c>
      <c r="I107" s="25">
        <f>IFERROR(100/'Skjema total MA'!F107*G107,0)</f>
        <v>77.721022205664056</v>
      </c>
      <c r="J107" s="282">
        <f t="shared" si="13"/>
        <v>860565.88491999998</v>
      </c>
      <c r="K107" s="42">
        <f t="shared" si="13"/>
        <v>612565.39625999995</v>
      </c>
      <c r="L107" s="249">
        <f t="shared" si="12"/>
        <v>-28.8</v>
      </c>
      <c r="M107" s="25">
        <f>IFERROR(100/'Skjema total MA'!I107*K107,0)</f>
        <v>11.713029986244015</v>
      </c>
    </row>
    <row r="108" spans="1:13" ht="15.75" x14ac:dyDescent="0.2">
      <c r="A108" s="19" t="s">
        <v>369</v>
      </c>
      <c r="B108" s="230"/>
      <c r="C108" s="230"/>
      <c r="D108" s="164"/>
      <c r="E108" s="25"/>
      <c r="F108" s="230"/>
      <c r="G108" s="230"/>
      <c r="H108" s="164"/>
      <c r="I108" s="25"/>
      <c r="J108" s="282"/>
      <c r="K108" s="42"/>
      <c r="L108" s="249"/>
      <c r="M108" s="25"/>
    </row>
    <row r="109" spans="1:13" ht="15.75" x14ac:dyDescent="0.2">
      <c r="A109" s="36" t="s">
        <v>408</v>
      </c>
      <c r="B109" s="230"/>
      <c r="C109" s="230"/>
      <c r="D109" s="164"/>
      <c r="E109" s="25"/>
      <c r="F109" s="230">
        <v>665903.97585000005</v>
      </c>
      <c r="G109" s="230">
        <v>452809.40763999999</v>
      </c>
      <c r="H109" s="164">
        <f t="shared" si="10"/>
        <v>-32</v>
      </c>
      <c r="I109" s="25">
        <f>IFERROR(100/'Skjema total MA'!F109*G109,0)</f>
        <v>0.29848783710196586</v>
      </c>
      <c r="J109" s="282">
        <f t="shared" si="13"/>
        <v>665903.97585000005</v>
      </c>
      <c r="K109" s="42">
        <f t="shared" si="13"/>
        <v>452809.40763999999</v>
      </c>
      <c r="L109" s="249">
        <f t="shared" si="12"/>
        <v>-32</v>
      </c>
      <c r="M109" s="25">
        <f>IFERROR(100/'Skjema total MA'!I109*K109,0)</f>
        <v>0.29485783171060492</v>
      </c>
    </row>
    <row r="110" spans="1:13" ht="15.75" x14ac:dyDescent="0.2">
      <c r="A110" s="19" t="s">
        <v>370</v>
      </c>
      <c r="B110" s="230"/>
      <c r="C110" s="230"/>
      <c r="D110" s="164"/>
      <c r="E110" s="25"/>
      <c r="F110" s="230"/>
      <c r="G110" s="230"/>
      <c r="H110" s="164"/>
      <c r="I110" s="25"/>
      <c r="J110" s="282"/>
      <c r="K110" s="42"/>
      <c r="L110" s="249"/>
      <c r="M110" s="25"/>
    </row>
    <row r="111" spans="1:13" ht="15.75" x14ac:dyDescent="0.2">
      <c r="A111" s="13" t="s">
        <v>351</v>
      </c>
      <c r="B111" s="300"/>
      <c r="C111" s="157"/>
      <c r="D111" s="169"/>
      <c r="E111" s="11"/>
      <c r="F111" s="300">
        <v>63475.338000000003</v>
      </c>
      <c r="G111" s="157">
        <v>16383.03</v>
      </c>
      <c r="H111" s="169">
        <f t="shared" si="10"/>
        <v>-74.2</v>
      </c>
      <c r="I111" s="11">
        <f>IFERROR(100/'Skjema total MA'!F111*G111,0)</f>
        <v>5.5559154161619023E-2</v>
      </c>
      <c r="J111" s="301">
        <f t="shared" si="13"/>
        <v>63475.338000000003</v>
      </c>
      <c r="K111" s="232">
        <f t="shared" si="13"/>
        <v>16383.03</v>
      </c>
      <c r="L111" s="414">
        <f t="shared" si="12"/>
        <v>-74.2</v>
      </c>
      <c r="M111" s="11">
        <f>IFERROR(100/'Skjema total MA'!I111*K111,0)</f>
        <v>5.4414929154800895E-2</v>
      </c>
    </row>
    <row r="112" spans="1:13" x14ac:dyDescent="0.2">
      <c r="A112" s="19" t="s">
        <v>9</v>
      </c>
      <c r="B112" s="230"/>
      <c r="C112" s="143"/>
      <c r="D112" s="164"/>
      <c r="E112" s="25"/>
      <c r="F112" s="230"/>
      <c r="G112" s="143"/>
      <c r="H112" s="164"/>
      <c r="I112" s="25"/>
      <c r="J112" s="282"/>
      <c r="K112" s="42"/>
      <c r="L112" s="249"/>
      <c r="M112" s="25"/>
    </row>
    <row r="113" spans="1:14" x14ac:dyDescent="0.2">
      <c r="A113" s="19" t="s">
        <v>10</v>
      </c>
      <c r="B113" s="230"/>
      <c r="C113" s="143"/>
      <c r="D113" s="164"/>
      <c r="E113" s="25"/>
      <c r="F113" s="230">
        <v>63475.338000000003</v>
      </c>
      <c r="G113" s="143">
        <v>16383.03</v>
      </c>
      <c r="H113" s="164">
        <f t="shared" ref="H113:H125" si="14">IF(F113=0, "    ---- ", IF(ABS(ROUND(100/F113*G113-100,1))&lt;999,ROUND(100/F113*G113-100,1),IF(ROUND(100/F113*G113-100,1)&gt;999,999,-999)))</f>
        <v>-74.2</v>
      </c>
      <c r="I113" s="25">
        <f>IFERROR(100/'Skjema total MA'!F113*G113,0)</f>
        <v>5.5567017491073366E-2</v>
      </c>
      <c r="J113" s="282">
        <f t="shared" ref="J113:K125" si="15">SUM(B113,F113)</f>
        <v>63475.338000000003</v>
      </c>
      <c r="K113" s="42">
        <f t="shared" si="15"/>
        <v>16383.03</v>
      </c>
      <c r="L113" s="249">
        <f t="shared" ref="L113:L125" si="16">IF(J113=0, "    ---- ", IF(ABS(ROUND(100/J113*K113-100,1))&lt;999,ROUND(100/J113*K113-100,1),IF(ROUND(100/J113*K113-100,1)&gt;999,999,-999)))</f>
        <v>-74.2</v>
      </c>
      <c r="M113" s="25">
        <f>IFERROR(100/'Skjema total MA'!I113*K113,0)</f>
        <v>5.5566676307720782E-2</v>
      </c>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c r="C116" s="230"/>
      <c r="D116" s="164"/>
      <c r="E116" s="25"/>
      <c r="F116" s="230"/>
      <c r="G116" s="230"/>
      <c r="H116" s="164"/>
      <c r="I116" s="25"/>
      <c r="J116" s="282"/>
      <c r="K116" s="42"/>
      <c r="L116" s="249"/>
      <c r="M116" s="25"/>
    </row>
    <row r="117" spans="1:14" ht="15.75" x14ac:dyDescent="0.2">
      <c r="A117" s="36" t="s">
        <v>408</v>
      </c>
      <c r="B117" s="230"/>
      <c r="C117" s="230"/>
      <c r="D117" s="164"/>
      <c r="E117" s="25"/>
      <c r="F117" s="230">
        <v>63475.338000000003</v>
      </c>
      <c r="G117" s="230">
        <v>16383.03</v>
      </c>
      <c r="H117" s="164">
        <f t="shared" si="14"/>
        <v>-74.2</v>
      </c>
      <c r="I117" s="25">
        <f>IFERROR(100/'Skjema total MA'!F117*G117,0)</f>
        <v>9.7889718613768148E-2</v>
      </c>
      <c r="J117" s="282">
        <f t="shared" si="15"/>
        <v>63475.338000000003</v>
      </c>
      <c r="K117" s="42">
        <f t="shared" si="15"/>
        <v>16383.03</v>
      </c>
      <c r="L117" s="249">
        <f t="shared" si="16"/>
        <v>-74.2</v>
      </c>
      <c r="M117" s="25">
        <f>IFERROR(100/'Skjema total MA'!I117*K117,0)</f>
        <v>9.7888660176738737E-2</v>
      </c>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c r="C119" s="157"/>
      <c r="D119" s="169"/>
      <c r="E119" s="11"/>
      <c r="F119" s="300">
        <v>116546.16045</v>
      </c>
      <c r="G119" s="157">
        <v>43448.46</v>
      </c>
      <c r="H119" s="169">
        <f t="shared" si="14"/>
        <v>-62.7</v>
      </c>
      <c r="I119" s="11">
        <f>IFERROR(100/'Skjema total MA'!F119*G119,0)</f>
        <v>0.13594527845302457</v>
      </c>
      <c r="J119" s="301">
        <f t="shared" si="15"/>
        <v>116546.16045</v>
      </c>
      <c r="K119" s="232">
        <f t="shared" si="15"/>
        <v>43448.46</v>
      </c>
      <c r="L119" s="414">
        <f t="shared" si="16"/>
        <v>-62.7</v>
      </c>
      <c r="M119" s="11">
        <f>IFERROR(100/'Skjema total MA'!I119*K119,0)</f>
        <v>0.13359802615917424</v>
      </c>
    </row>
    <row r="120" spans="1:14" x14ac:dyDescent="0.2">
      <c r="A120" s="19" t="s">
        <v>9</v>
      </c>
      <c r="B120" s="230"/>
      <c r="C120" s="143"/>
      <c r="D120" s="164"/>
      <c r="E120" s="25"/>
      <c r="F120" s="230"/>
      <c r="G120" s="143"/>
      <c r="H120" s="164"/>
      <c r="I120" s="25"/>
      <c r="J120" s="282"/>
      <c r="K120" s="42"/>
      <c r="L120" s="249"/>
      <c r="M120" s="25"/>
    </row>
    <row r="121" spans="1:14" x14ac:dyDescent="0.2">
      <c r="A121" s="19" t="s">
        <v>10</v>
      </c>
      <c r="B121" s="230"/>
      <c r="C121" s="143"/>
      <c r="D121" s="164"/>
      <c r="E121" s="25"/>
      <c r="F121" s="230">
        <v>116546.16045</v>
      </c>
      <c r="G121" s="143">
        <v>43448.46</v>
      </c>
      <c r="H121" s="164">
        <f t="shared" si="14"/>
        <v>-62.7</v>
      </c>
      <c r="I121" s="25">
        <f>IFERROR(100/'Skjema total MA'!F121*G121,0)</f>
        <v>0.13594527845302457</v>
      </c>
      <c r="J121" s="282">
        <f t="shared" si="15"/>
        <v>116546.16045</v>
      </c>
      <c r="K121" s="42">
        <f t="shared" si="15"/>
        <v>43448.46</v>
      </c>
      <c r="L121" s="249">
        <f t="shared" si="16"/>
        <v>-62.7</v>
      </c>
      <c r="M121" s="25">
        <f>IFERROR(100/'Skjema total MA'!I121*K121,0)</f>
        <v>0.13591992329266941</v>
      </c>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c r="C125" s="230"/>
      <c r="D125" s="164"/>
      <c r="E125" s="25"/>
      <c r="F125" s="230">
        <v>116546.16045</v>
      </c>
      <c r="G125" s="230">
        <v>43448.46</v>
      </c>
      <c r="H125" s="164">
        <f t="shared" si="14"/>
        <v>-62.7</v>
      </c>
      <c r="I125" s="25">
        <f>IFERROR(100/'Skjema total MA'!F125*G125,0)</f>
        <v>0.26366372511550623</v>
      </c>
      <c r="J125" s="282">
        <f t="shared" si="15"/>
        <v>116546.16045</v>
      </c>
      <c r="K125" s="42">
        <f t="shared" si="15"/>
        <v>43448.46</v>
      </c>
      <c r="L125" s="249">
        <f t="shared" si="16"/>
        <v>-62.7</v>
      </c>
      <c r="M125" s="25">
        <f>IFERROR(100/'Skjema total MA'!I125*K125,0)</f>
        <v>0.26364993558609479</v>
      </c>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291"/>
      <c r="F130" s="707"/>
      <c r="G130" s="707"/>
      <c r="H130" s="707"/>
      <c r="I130" s="291"/>
      <c r="J130" s="707"/>
      <c r="K130" s="707"/>
      <c r="L130" s="707"/>
      <c r="M130" s="291"/>
    </row>
    <row r="131" spans="1:14" s="3" customFormat="1" x14ac:dyDescent="0.2">
      <c r="A131" s="142"/>
      <c r="B131" s="705" t="s">
        <v>0</v>
      </c>
      <c r="C131" s="706"/>
      <c r="D131" s="706"/>
      <c r="E131" s="293"/>
      <c r="F131" s="705" t="s">
        <v>1</v>
      </c>
      <c r="G131" s="706"/>
      <c r="H131" s="706"/>
      <c r="I131" s="296"/>
      <c r="J131" s="705" t="s">
        <v>2</v>
      </c>
      <c r="K131" s="706"/>
      <c r="L131" s="706"/>
      <c r="M131" s="296"/>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c r="C134" s="301"/>
      <c r="D134" s="341"/>
      <c r="E134" s="11"/>
      <c r="F134" s="308"/>
      <c r="G134" s="309"/>
      <c r="H134" s="417"/>
      <c r="I134" s="22"/>
      <c r="J134" s="310"/>
      <c r="K134" s="310"/>
      <c r="L134" s="413"/>
      <c r="M134" s="11"/>
      <c r="N134" s="146"/>
    </row>
    <row r="135" spans="1:14" s="3" customFormat="1" ht="15.75" x14ac:dyDescent="0.2">
      <c r="A135" s="13" t="s">
        <v>377</v>
      </c>
      <c r="B135" s="232"/>
      <c r="C135" s="301"/>
      <c r="D135" s="169"/>
      <c r="E135" s="11"/>
      <c r="F135" s="232"/>
      <c r="G135" s="301"/>
      <c r="H135" s="418"/>
      <c r="I135" s="22"/>
      <c r="J135" s="300"/>
      <c r="K135" s="300"/>
      <c r="L135" s="414"/>
      <c r="M135" s="11"/>
      <c r="N135" s="146"/>
    </row>
    <row r="136" spans="1:14" s="3" customFormat="1" ht="15.75" x14ac:dyDescent="0.2">
      <c r="A136" s="13" t="s">
        <v>374</v>
      </c>
      <c r="B136" s="232"/>
      <c r="C136" s="301"/>
      <c r="D136" s="169"/>
      <c r="E136" s="11"/>
      <c r="F136" s="232"/>
      <c r="G136" s="301"/>
      <c r="H136" s="418"/>
      <c r="I136" s="22"/>
      <c r="J136" s="300"/>
      <c r="K136" s="300"/>
      <c r="L136" s="414"/>
      <c r="M136" s="11"/>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284" priority="12">
      <formula>kvartal &lt; 4</formula>
    </cfRule>
  </conditionalFormatting>
  <conditionalFormatting sqref="A69:A74">
    <cfRule type="expression" dxfId="283" priority="10">
      <formula>kvartal &lt; 4</formula>
    </cfRule>
  </conditionalFormatting>
  <conditionalFormatting sqref="A80:A85">
    <cfRule type="expression" dxfId="282" priority="9">
      <formula>kvartal &lt; 4</formula>
    </cfRule>
  </conditionalFormatting>
  <conditionalFormatting sqref="A90:A95">
    <cfRule type="expression" dxfId="281" priority="6">
      <formula>kvartal &lt; 4</formula>
    </cfRule>
  </conditionalFormatting>
  <conditionalFormatting sqref="A101:A106">
    <cfRule type="expression" dxfId="280" priority="5">
      <formula>kvartal &lt; 4</formula>
    </cfRule>
  </conditionalFormatting>
  <conditionalFormatting sqref="A115">
    <cfRule type="expression" dxfId="279" priority="4">
      <formula>kvartal &lt; 4</formula>
    </cfRule>
  </conditionalFormatting>
  <conditionalFormatting sqref="A123">
    <cfRule type="expression" dxfId="278" priority="3">
      <formula>kvartal &lt; 4</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29"/>
  <dimension ref="A1:N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244" t="s">
        <v>130</v>
      </c>
      <c r="D1" s="24"/>
      <c r="E1" s="24"/>
      <c r="F1" s="24"/>
      <c r="G1" s="24"/>
      <c r="H1" s="24"/>
      <c r="I1" s="24"/>
      <c r="J1" s="24"/>
      <c r="K1" s="24"/>
      <c r="L1" s="24"/>
      <c r="M1" s="24"/>
    </row>
    <row r="2" spans="1:14" ht="15.75" x14ac:dyDescent="0.25">
      <c r="A2" s="163" t="s">
        <v>28</v>
      </c>
      <c r="B2" s="704"/>
      <c r="C2" s="704"/>
      <c r="D2" s="704"/>
      <c r="E2" s="291"/>
      <c r="F2" s="704"/>
      <c r="G2" s="704"/>
      <c r="H2" s="704"/>
      <c r="I2" s="291"/>
      <c r="J2" s="704"/>
      <c r="K2" s="704"/>
      <c r="L2" s="704"/>
      <c r="M2" s="291"/>
    </row>
    <row r="3" spans="1:14" ht="15.75" x14ac:dyDescent="0.25">
      <c r="A3" s="161"/>
      <c r="B3" s="291"/>
      <c r="C3" s="291"/>
      <c r="D3" s="291"/>
      <c r="E3" s="291"/>
      <c r="F3" s="291"/>
      <c r="G3" s="291"/>
      <c r="H3" s="291"/>
      <c r="I3" s="291"/>
      <c r="J3" s="291"/>
      <c r="K3" s="291"/>
      <c r="L3" s="291"/>
      <c r="M3" s="291"/>
    </row>
    <row r="4" spans="1:14" x14ac:dyDescent="0.2">
      <c r="A4" s="142"/>
      <c r="B4" s="705" t="s">
        <v>0</v>
      </c>
      <c r="C4" s="706"/>
      <c r="D4" s="706"/>
      <c r="E4" s="293"/>
      <c r="F4" s="705" t="s">
        <v>1</v>
      </c>
      <c r="G4" s="706"/>
      <c r="H4" s="706"/>
      <c r="I4" s="296"/>
      <c r="J4" s="705" t="s">
        <v>2</v>
      </c>
      <c r="K4" s="706"/>
      <c r="L4" s="706"/>
      <c r="M4" s="296"/>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v>4061.6295300000002</v>
      </c>
      <c r="C7" s="299">
        <v>3505.6479199999999</v>
      </c>
      <c r="D7" s="341">
        <f>IF(B7=0, "    ---- ", IF(ABS(ROUND(100/B7*C7-100,1))&lt;999,ROUND(100/B7*C7-100,1),IF(ROUND(100/B7*C7-100,1)&gt;999,999,-999)))</f>
        <v>-13.7</v>
      </c>
      <c r="E7" s="11">
        <f>IFERROR(100/'Skjema total MA'!C7*C7,0)</f>
        <v>8.795365880828572E-2</v>
      </c>
      <c r="F7" s="298">
        <v>471459.28931999998</v>
      </c>
      <c r="G7" s="299">
        <v>497707.90045999998</v>
      </c>
      <c r="H7" s="341">
        <f>IF(F7=0, "    ---- ", IF(ABS(ROUND(100/F7*G7-100,1))&lt;999,ROUND(100/F7*G7-100,1),IF(ROUND(100/F7*G7-100,1)&gt;999,999,-999)))</f>
        <v>5.6</v>
      </c>
      <c r="I7" s="158">
        <f>IFERROR(100/'Skjema total MA'!F7*G7,0)</f>
        <v>6.9009297893424906</v>
      </c>
      <c r="J7" s="300">
        <f t="shared" ref="J7:K12" si="0">SUM(B7,F7)</f>
        <v>475520.91884999996</v>
      </c>
      <c r="K7" s="301">
        <f t="shared" si="0"/>
        <v>501213.54837999999</v>
      </c>
      <c r="L7" s="413">
        <f>IF(J7=0, "    ---- ", IF(ABS(ROUND(100/J7*K7-100,1))&lt;999,ROUND(100/J7*K7-100,1),IF(ROUND(100/J7*K7-100,1)&gt;999,999,-999)))</f>
        <v>5.4</v>
      </c>
      <c r="M7" s="11">
        <f>IFERROR(100/'Skjema total MA'!I7*K7,0)</f>
        <v>4.4759298827372032</v>
      </c>
    </row>
    <row r="8" spans="1:14" ht="15.75" x14ac:dyDescent="0.2">
      <c r="A8" s="19" t="s">
        <v>25</v>
      </c>
      <c r="B8" s="276">
        <v>4051.4527699999699</v>
      </c>
      <c r="C8" s="277">
        <v>3834.3756100000001</v>
      </c>
      <c r="D8" s="164">
        <f t="shared" ref="D8:D10" si="1">IF(B8=0, "    ---- ", IF(ABS(ROUND(100/B8*C8-100,1))&lt;999,ROUND(100/B8*C8-100,1),IF(ROUND(100/B8*C8-100,1)&gt;999,999,-999)))</f>
        <v>-5.4</v>
      </c>
      <c r="E8" s="25">
        <f>IFERROR(100/'Skjema total MA'!C8*C8,0)</f>
        <v>0.14707956185046858</v>
      </c>
      <c r="F8" s="280"/>
      <c r="G8" s="281"/>
      <c r="H8" s="164"/>
      <c r="I8" s="172"/>
      <c r="J8" s="230">
        <f t="shared" si="0"/>
        <v>4051.4527699999699</v>
      </c>
      <c r="K8" s="282">
        <f t="shared" si="0"/>
        <v>3834.3756100000001</v>
      </c>
      <c r="L8" s="164">
        <f t="shared" ref="L8:L9" si="2">IF(J8=0, "    ---- ", IF(ABS(ROUND(100/J8*K8-100,1))&lt;999,ROUND(100/J8*K8-100,1),IF(ROUND(100/J8*K8-100,1)&gt;999,999,-999)))</f>
        <v>-5.4</v>
      </c>
      <c r="M8" s="25">
        <f>IFERROR(100/'Skjema total MA'!I8*K8,0)</f>
        <v>0.14707956185046858</v>
      </c>
    </row>
    <row r="9" spans="1:14" ht="15.75" x14ac:dyDescent="0.2">
      <c r="A9" s="19" t="s">
        <v>24</v>
      </c>
      <c r="B9" s="276">
        <v>1648.1464699999999</v>
      </c>
      <c r="C9" s="277">
        <v>1503.8249699999999</v>
      </c>
      <c r="D9" s="164">
        <f t="shared" si="1"/>
        <v>-8.8000000000000007</v>
      </c>
      <c r="E9" s="25">
        <f>IFERROR(100/'Skjema total MA'!C9*C9,0)</f>
        <v>0.18540375369976392</v>
      </c>
      <c r="F9" s="280"/>
      <c r="G9" s="281"/>
      <c r="H9" s="164"/>
      <c r="I9" s="172"/>
      <c r="J9" s="230">
        <f t="shared" si="0"/>
        <v>1648.1464699999999</v>
      </c>
      <c r="K9" s="282">
        <f t="shared" si="0"/>
        <v>1503.8249699999999</v>
      </c>
      <c r="L9" s="164">
        <f t="shared" si="2"/>
        <v>-8.8000000000000007</v>
      </c>
      <c r="M9" s="25">
        <f>IFERROR(100/'Skjema total MA'!I9*K9,0)</f>
        <v>0.18540375369976392</v>
      </c>
    </row>
    <row r="10" spans="1:14" ht="15.75" x14ac:dyDescent="0.2">
      <c r="A10" s="13" t="s">
        <v>350</v>
      </c>
      <c r="B10" s="302">
        <v>382381.31141999998</v>
      </c>
      <c r="C10" s="303">
        <v>356805.85109000001</v>
      </c>
      <c r="D10" s="169">
        <f t="shared" si="1"/>
        <v>-6.7</v>
      </c>
      <c r="E10" s="11">
        <f>IFERROR(100/'Skjema total MA'!C10*C10,0)</f>
        <v>2.2680745540573817</v>
      </c>
      <c r="F10" s="302">
        <v>4008299.7245</v>
      </c>
      <c r="G10" s="303">
        <v>3912278.8254499999</v>
      </c>
      <c r="H10" s="169">
        <f t="shared" ref="H10:H12" si="3">IF(F10=0, "    ---- ", IF(ABS(ROUND(100/F10*G10-100,1))&lt;999,ROUND(100/F10*G10-100,1),IF(ROUND(100/F10*G10-100,1)&gt;999,999,-999)))</f>
        <v>-2.4</v>
      </c>
      <c r="I10" s="158">
        <f>IFERROR(100/'Skjema total MA'!F10*G10,0)</f>
        <v>5.6716530258705466</v>
      </c>
      <c r="J10" s="300">
        <f t="shared" si="0"/>
        <v>4390681.0359199997</v>
      </c>
      <c r="K10" s="301">
        <f t="shared" si="0"/>
        <v>4269084.6765400004</v>
      </c>
      <c r="L10" s="414">
        <f t="shared" ref="L10:L12" si="4">IF(J10=0, "    ---- ", IF(ABS(ROUND(100/J10*K10-100,1))&lt;999,ROUND(100/J10*K10-100,1),IF(ROUND(100/J10*K10-100,1)&gt;999,999,-999)))</f>
        <v>-2.8</v>
      </c>
      <c r="M10" s="11">
        <f>IFERROR(100/'Skjema total MA'!I10*K10,0)</f>
        <v>5.0395764732342769</v>
      </c>
    </row>
    <row r="11" spans="1:14" s="41" customFormat="1" ht="15.75" x14ac:dyDescent="0.2">
      <c r="A11" s="13" t="s">
        <v>351</v>
      </c>
      <c r="B11" s="302"/>
      <c r="C11" s="303"/>
      <c r="D11" s="169"/>
      <c r="E11" s="11"/>
      <c r="F11" s="302">
        <v>18670.771830000002</v>
      </c>
      <c r="G11" s="303">
        <v>30753.532500000001</v>
      </c>
      <c r="H11" s="169">
        <f t="shared" si="3"/>
        <v>64.7</v>
      </c>
      <c r="I11" s="158">
        <f>IFERROR(100/'Skjema total MA'!F11*G11,0)</f>
        <v>18.192842552453605</v>
      </c>
      <c r="J11" s="300">
        <f t="shared" si="0"/>
        <v>18670.771830000002</v>
      </c>
      <c r="K11" s="301">
        <f t="shared" si="0"/>
        <v>30753.532500000001</v>
      </c>
      <c r="L11" s="414">
        <f t="shared" si="4"/>
        <v>64.7</v>
      </c>
      <c r="M11" s="11">
        <f>IFERROR(100/'Skjema total MA'!I11*K11,0)</f>
        <v>15.241200964668799</v>
      </c>
      <c r="N11" s="141"/>
    </row>
    <row r="12" spans="1:14" s="41" customFormat="1" ht="15.75" x14ac:dyDescent="0.2">
      <c r="A12" s="39" t="s">
        <v>352</v>
      </c>
      <c r="B12" s="304"/>
      <c r="C12" s="305"/>
      <c r="D12" s="167"/>
      <c r="E12" s="34"/>
      <c r="F12" s="304">
        <v>2868.4313000000002</v>
      </c>
      <c r="G12" s="305">
        <v>6063.3551699999998</v>
      </c>
      <c r="H12" s="167">
        <f t="shared" si="3"/>
        <v>111.4</v>
      </c>
      <c r="I12" s="167">
        <f>IFERROR(100/'Skjema total MA'!F12*G12,0)</f>
        <v>4.5822720424871566</v>
      </c>
      <c r="J12" s="306">
        <f t="shared" si="0"/>
        <v>2868.4313000000002</v>
      </c>
      <c r="K12" s="307">
        <f t="shared" si="0"/>
        <v>6063.3551699999998</v>
      </c>
      <c r="L12" s="415">
        <f t="shared" si="4"/>
        <v>111.4</v>
      </c>
      <c r="M12" s="34">
        <f>IFERROR(100/'Skjema total MA'!I12*K12,0)</f>
        <v>4.4833034146456585</v>
      </c>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291"/>
      <c r="F18" s="707"/>
      <c r="G18" s="707"/>
      <c r="H18" s="707"/>
      <c r="I18" s="291"/>
      <c r="J18" s="707"/>
      <c r="K18" s="707"/>
      <c r="L18" s="707"/>
      <c r="M18" s="291"/>
    </row>
    <row r="19" spans="1:14" x14ac:dyDescent="0.2">
      <c r="A19" s="142"/>
      <c r="B19" s="705" t="s">
        <v>0</v>
      </c>
      <c r="C19" s="706"/>
      <c r="D19" s="706"/>
      <c r="E19" s="293"/>
      <c r="F19" s="705" t="s">
        <v>1</v>
      </c>
      <c r="G19" s="706"/>
      <c r="H19" s="706"/>
      <c r="I19" s="296"/>
      <c r="J19" s="705" t="s">
        <v>2</v>
      </c>
      <c r="K19" s="706"/>
      <c r="L19" s="706"/>
      <c r="M19" s="296"/>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302">
        <v>5773.2712600000004</v>
      </c>
      <c r="C22" s="302">
        <v>5642.3406500000001</v>
      </c>
      <c r="D22" s="341">
        <f t="shared" ref="D22:D35" si="5">IF(B22=0, "    ---- ", IF(ABS(ROUND(100/B22*C22-100,1))&lt;999,ROUND(100/B22*C22-100,1),IF(ROUND(100/B22*C22-100,1)&gt;999,999,-999)))</f>
        <v>-2.2999999999999998</v>
      </c>
      <c r="E22" s="11">
        <f>IFERROR(100/'Skjema total MA'!C22*C22,0)</f>
        <v>0.33644339718035682</v>
      </c>
      <c r="F22" s="310">
        <v>265256.34532999998</v>
      </c>
      <c r="G22" s="310">
        <v>219616.24025999999</v>
      </c>
      <c r="H22" s="341">
        <f t="shared" ref="H22:H35" si="6">IF(F22=0, "    ---- ", IF(ABS(ROUND(100/F22*G22-100,1))&lt;999,ROUND(100/F22*G22-100,1),IF(ROUND(100/F22*G22-100,1)&gt;999,999,-999)))</f>
        <v>-17.2</v>
      </c>
      <c r="I22" s="11">
        <f>IFERROR(100/'Skjema total MA'!F22*G22,0)</f>
        <v>31.204382611584286</v>
      </c>
      <c r="J22" s="308">
        <f t="shared" ref="J22:K35" si="7">SUM(B22,F22)</f>
        <v>271029.61658999999</v>
      </c>
      <c r="K22" s="308">
        <f t="shared" si="7"/>
        <v>225258.58090999999</v>
      </c>
      <c r="L22" s="413">
        <f t="shared" ref="L22:L35" si="8">IF(J22=0, "    ---- ", IF(ABS(ROUND(100/J22*K22-100,1))&lt;999,ROUND(100/J22*K22-100,1),IF(ROUND(100/J22*K22-100,1)&gt;999,999,-999)))</f>
        <v>-16.899999999999999</v>
      </c>
      <c r="M22" s="22">
        <f>IFERROR(100/'Skjema total MA'!I22*K22,0)</f>
        <v>9.461250162715757</v>
      </c>
    </row>
    <row r="23" spans="1:14" ht="15.75" x14ac:dyDescent="0.2">
      <c r="A23" s="496" t="s">
        <v>353</v>
      </c>
      <c r="B23" s="276">
        <v>5768.18732</v>
      </c>
      <c r="C23" s="276">
        <v>5637.3406500000001</v>
      </c>
      <c r="D23" s="164">
        <f t="shared" si="5"/>
        <v>-2.2999999999999998</v>
      </c>
      <c r="E23" s="11">
        <f>IFERROR(100/'Skjema total MA'!C23*C23,0)</f>
        <v>0.92943174493148817</v>
      </c>
      <c r="F23" s="285">
        <v>5542.0717000000004</v>
      </c>
      <c r="G23" s="285">
        <v>4798.5579699999998</v>
      </c>
      <c r="H23" s="164">
        <f t="shared" si="6"/>
        <v>-13.4</v>
      </c>
      <c r="I23" s="403">
        <f>IFERROR(100/'Skjema total MA'!F23*G23,0)</f>
        <v>6.5926028614183103</v>
      </c>
      <c r="J23" s="285">
        <f t="shared" ref="J23:J26" si="9">SUM(B23,F23)</f>
        <v>11310.259020000001</v>
      </c>
      <c r="K23" s="285">
        <f t="shared" ref="K23:K26" si="10">SUM(C23,G23)</f>
        <v>10435.89862</v>
      </c>
      <c r="L23" s="164">
        <f t="shared" si="8"/>
        <v>-7.7</v>
      </c>
      <c r="M23" s="21">
        <f>IFERROR(100/'Skjema total MA'!I23*K23,0)</f>
        <v>1.5362197986855042</v>
      </c>
    </row>
    <row r="24" spans="1:14" ht="15.75" x14ac:dyDescent="0.2">
      <c r="A24" s="496" t="s">
        <v>354</v>
      </c>
      <c r="B24" s="276">
        <v>5.0839400000000001</v>
      </c>
      <c r="C24" s="276">
        <v>5</v>
      </c>
      <c r="D24" s="164">
        <f t="shared" si="5"/>
        <v>-1.7</v>
      </c>
      <c r="E24" s="11">
        <f>IFERROR(100/'Skjema total MA'!C24*C24,0)</f>
        <v>3.2172907831467389E-2</v>
      </c>
      <c r="F24" s="285">
        <v>-783.98806000000002</v>
      </c>
      <c r="G24" s="285">
        <v>161.70083</v>
      </c>
      <c r="H24" s="164">
        <f t="shared" si="6"/>
        <v>-120.6</v>
      </c>
      <c r="I24" s="403">
        <f>IFERROR(100/'Skjema total MA'!F24*G24,0)</f>
        <v>15.658051712808248</v>
      </c>
      <c r="J24" s="285">
        <f t="shared" si="9"/>
        <v>-778.90412000000003</v>
      </c>
      <c r="K24" s="285">
        <f t="shared" si="10"/>
        <v>166.70083</v>
      </c>
      <c r="L24" s="164">
        <f t="shared" si="8"/>
        <v>-121.4</v>
      </c>
      <c r="M24" s="21">
        <f>IFERROR(100/'Skjema total MA'!I24*K24,0)</f>
        <v>1.005813784700635</v>
      </c>
    </row>
    <row r="25" spans="1:14" ht="15.75" x14ac:dyDescent="0.2">
      <c r="A25" s="496" t="s">
        <v>355</v>
      </c>
      <c r="B25" s="276"/>
      <c r="C25" s="276"/>
      <c r="D25" s="164"/>
      <c r="E25" s="11"/>
      <c r="F25" s="285">
        <v>3734.6167999999998</v>
      </c>
      <c r="G25" s="285">
        <v>5299.5219399999996</v>
      </c>
      <c r="H25" s="164">
        <f t="shared" si="6"/>
        <v>41.9</v>
      </c>
      <c r="I25" s="403">
        <f>IFERROR(100/'Skjema total MA'!F25*G25,0)</f>
        <v>40.31967622905259</v>
      </c>
      <c r="J25" s="285">
        <f t="shared" si="9"/>
        <v>3734.6167999999998</v>
      </c>
      <c r="K25" s="285">
        <f t="shared" si="10"/>
        <v>5299.5219399999996</v>
      </c>
      <c r="L25" s="164">
        <f t="shared" si="8"/>
        <v>41.9</v>
      </c>
      <c r="M25" s="21">
        <f>IFERROR(100/'Skjema total MA'!I25*K25,0)</f>
        <v>15.442504879138948</v>
      </c>
    </row>
    <row r="26" spans="1:14" ht="15.75" x14ac:dyDescent="0.2">
      <c r="A26" s="496" t="s">
        <v>356</v>
      </c>
      <c r="B26" s="276"/>
      <c r="C26" s="276"/>
      <c r="D26" s="164"/>
      <c r="E26" s="11"/>
      <c r="F26" s="285">
        <v>256763.64489</v>
      </c>
      <c r="G26" s="285">
        <v>209356.45952</v>
      </c>
      <c r="H26" s="164">
        <f t="shared" si="6"/>
        <v>-18.5</v>
      </c>
      <c r="I26" s="403">
        <f>IFERROR(100/'Skjema total MA'!F26*G26,0)</f>
        <v>33.940382865948038</v>
      </c>
      <c r="J26" s="285">
        <f t="shared" si="9"/>
        <v>256763.64489</v>
      </c>
      <c r="K26" s="285">
        <f t="shared" si="10"/>
        <v>209356.45952</v>
      </c>
      <c r="L26" s="164">
        <f t="shared" si="8"/>
        <v>-18.5</v>
      </c>
      <c r="M26" s="21">
        <f>IFERROR(100/'Skjema total MA'!I26*K26,0)</f>
        <v>33.940382865948038</v>
      </c>
    </row>
    <row r="27" spans="1:14" x14ac:dyDescent="0.2">
      <c r="A27" s="496" t="s">
        <v>11</v>
      </c>
      <c r="B27" s="276"/>
      <c r="C27" s="276"/>
      <c r="D27" s="164"/>
      <c r="E27" s="11"/>
      <c r="F27" s="285"/>
      <c r="G27" s="285"/>
      <c r="H27" s="164"/>
      <c r="I27" s="403"/>
      <c r="J27" s="285"/>
      <c r="K27" s="285"/>
      <c r="L27" s="164"/>
      <c r="M27" s="21"/>
    </row>
    <row r="28" spans="1:14" ht="15.75" x14ac:dyDescent="0.2">
      <c r="A28" s="47" t="s">
        <v>271</v>
      </c>
      <c r="B28" s="42"/>
      <c r="C28" s="282"/>
      <c r="D28" s="164"/>
      <c r="E28" s="11"/>
      <c r="F28" s="230"/>
      <c r="G28" s="282"/>
      <c r="H28" s="164"/>
      <c r="I28" s="25"/>
      <c r="J28" s="42"/>
      <c r="K28" s="42"/>
      <c r="L28" s="249"/>
      <c r="M28" s="21"/>
    </row>
    <row r="29" spans="1:14" s="3" customFormat="1" ht="15.75" x14ac:dyDescent="0.2">
      <c r="A29" s="13" t="s">
        <v>350</v>
      </c>
      <c r="B29" s="232">
        <v>2616069.6016299999</v>
      </c>
      <c r="C29" s="232">
        <v>2498572.99823</v>
      </c>
      <c r="D29" s="169">
        <f t="shared" si="5"/>
        <v>-4.5</v>
      </c>
      <c r="E29" s="11">
        <f>IFERROR(100/'Skjema total MA'!C29*C29,0)</f>
        <v>5.6057647662594912</v>
      </c>
      <c r="F29" s="300">
        <v>3704233.7944700001</v>
      </c>
      <c r="G29" s="300">
        <v>3491800.5231400002</v>
      </c>
      <c r="H29" s="169">
        <f t="shared" si="6"/>
        <v>-5.7</v>
      </c>
      <c r="I29" s="11">
        <f>IFERROR(100/'Skjema total MA'!F29*G29,0)</f>
        <v>15.114822139720612</v>
      </c>
      <c r="J29" s="232">
        <f t="shared" si="7"/>
        <v>6320303.3960999995</v>
      </c>
      <c r="K29" s="232">
        <f t="shared" si="7"/>
        <v>5990373.5213700002</v>
      </c>
      <c r="L29" s="414">
        <f t="shared" si="8"/>
        <v>-5.2</v>
      </c>
      <c r="M29" s="22">
        <f>IFERROR(100/'Skjema total MA'!I29*K29,0)</f>
        <v>8.8518981094984603</v>
      </c>
      <c r="N29" s="146"/>
    </row>
    <row r="30" spans="1:14" s="3" customFormat="1" ht="15.75" x14ac:dyDescent="0.2">
      <c r="A30" s="496" t="s">
        <v>353</v>
      </c>
      <c r="B30" s="276">
        <v>1500818.2760725799</v>
      </c>
      <c r="C30" s="276">
        <v>1433411.4113434099</v>
      </c>
      <c r="D30" s="164">
        <f t="shared" si="5"/>
        <v>-4.5</v>
      </c>
      <c r="E30" s="11">
        <f>IFERROR(100/'Skjema total MA'!C30*C30,0)</f>
        <v>14.64569200104771</v>
      </c>
      <c r="F30" s="285">
        <v>698469.86621999904</v>
      </c>
      <c r="G30" s="285">
        <v>557040.72519999905</v>
      </c>
      <c r="H30" s="164">
        <f t="shared" si="6"/>
        <v>-20.2</v>
      </c>
      <c r="I30" s="403">
        <f>IFERROR(100/'Skjema total MA'!F30*G30,0)</f>
        <v>16.297264884810936</v>
      </c>
      <c r="J30" s="285">
        <f t="shared" ref="J30:J33" si="11">SUM(B30,F30)</f>
        <v>2199288.1422925787</v>
      </c>
      <c r="K30" s="285">
        <f t="shared" ref="K30:K33" si="12">SUM(C30,G30)</f>
        <v>1990452.136543409</v>
      </c>
      <c r="L30" s="164">
        <f t="shared" si="8"/>
        <v>-9.5</v>
      </c>
      <c r="M30" s="21">
        <f>IFERROR(100/'Skjema total MA'!I30*K30,0)</f>
        <v>15.073179175968308</v>
      </c>
      <c r="N30" s="146"/>
    </row>
    <row r="31" spans="1:14" s="3" customFormat="1" ht="15.75" x14ac:dyDescent="0.2">
      <c r="A31" s="496" t="s">
        <v>354</v>
      </c>
      <c r="B31" s="276">
        <v>1115251.32555742</v>
      </c>
      <c r="C31" s="276">
        <v>1065161.5868865901</v>
      </c>
      <c r="D31" s="164">
        <f t="shared" si="5"/>
        <v>-4.5</v>
      </c>
      <c r="E31" s="11">
        <f>IFERROR(100/'Skjema total MA'!C31*C31,0)</f>
        <v>4.242417873152232</v>
      </c>
      <c r="F31" s="285">
        <v>967404.58489999897</v>
      </c>
      <c r="G31" s="285">
        <v>756681.94432999904</v>
      </c>
      <c r="H31" s="164">
        <f t="shared" si="6"/>
        <v>-21.8</v>
      </c>
      <c r="I31" s="403">
        <f>IFERROR(100/'Skjema total MA'!F31*G31,0)</f>
        <v>10.031836868948847</v>
      </c>
      <c r="J31" s="285">
        <f t="shared" si="11"/>
        <v>2082655.910457419</v>
      </c>
      <c r="K31" s="285">
        <f t="shared" si="12"/>
        <v>1821843.5312165893</v>
      </c>
      <c r="L31" s="164">
        <f t="shared" si="8"/>
        <v>-12.5</v>
      </c>
      <c r="M31" s="21">
        <f>IFERROR(100/'Skjema total MA'!I31*K31,0)</f>
        <v>5.5798807409197666</v>
      </c>
      <c r="N31" s="146"/>
    </row>
    <row r="32" spans="1:14" ht="15.75" x14ac:dyDescent="0.2">
      <c r="A32" s="496" t="s">
        <v>355</v>
      </c>
      <c r="B32" s="276"/>
      <c r="C32" s="276"/>
      <c r="D32" s="164"/>
      <c r="E32" s="11"/>
      <c r="F32" s="285">
        <v>546135.66491999896</v>
      </c>
      <c r="G32" s="285">
        <v>498372.96189999999</v>
      </c>
      <c r="H32" s="164">
        <f t="shared" si="6"/>
        <v>-8.6999999999999993</v>
      </c>
      <c r="I32" s="403">
        <f>IFERROR(100/'Skjema total MA'!F32*G32,0)</f>
        <v>9.6148046082881429</v>
      </c>
      <c r="J32" s="285">
        <f t="shared" si="11"/>
        <v>546135.66491999896</v>
      </c>
      <c r="K32" s="285">
        <f t="shared" si="12"/>
        <v>498372.96189999999</v>
      </c>
      <c r="L32" s="164">
        <f t="shared" si="8"/>
        <v>-8.6999999999999993</v>
      </c>
      <c r="M32" s="21">
        <f>IFERROR(100/'Skjema total MA'!I32*K32,0)</f>
        <v>6.5260724781967054</v>
      </c>
    </row>
    <row r="33" spans="1:14" ht="15.75" x14ac:dyDescent="0.2">
      <c r="A33" s="496" t="s">
        <v>356</v>
      </c>
      <c r="B33" s="276"/>
      <c r="C33" s="276"/>
      <c r="D33" s="164"/>
      <c r="E33" s="11"/>
      <c r="F33" s="285">
        <v>1492223.6784300001</v>
      </c>
      <c r="G33" s="285">
        <v>1679704.8917100001</v>
      </c>
      <c r="H33" s="164">
        <f t="shared" si="6"/>
        <v>12.6</v>
      </c>
      <c r="I33" s="403">
        <f>IFERROR(100/'Skjema total MA'!F34*G33,0)</f>
        <v>2440.0104672614284</v>
      </c>
      <c r="J33" s="285">
        <f t="shared" si="11"/>
        <v>1492223.6784300001</v>
      </c>
      <c r="K33" s="285">
        <f t="shared" si="12"/>
        <v>1679704.8917100001</v>
      </c>
      <c r="L33" s="164">
        <f t="shared" si="8"/>
        <v>12.6</v>
      </c>
      <c r="M33" s="21">
        <f>IFERROR(100/'Skjema total MA'!I34*K33,0)</f>
        <v>1826.1187273967487</v>
      </c>
    </row>
    <row r="34" spans="1:14" ht="15.75" x14ac:dyDescent="0.2">
      <c r="A34" s="13" t="s">
        <v>351</v>
      </c>
      <c r="B34" s="232"/>
      <c r="C34" s="301"/>
      <c r="D34" s="169"/>
      <c r="E34" s="11"/>
      <c r="F34" s="300">
        <v>20247.578409999998</v>
      </c>
      <c r="G34" s="301">
        <v>30699.61</v>
      </c>
      <c r="H34" s="169">
        <f t="shared" si="6"/>
        <v>51.6</v>
      </c>
      <c r="I34" s="11">
        <f>IFERROR(100/'Skjema total MA'!F34*G34,0)</f>
        <v>44.595553725264935</v>
      </c>
      <c r="J34" s="232">
        <f t="shared" si="7"/>
        <v>20247.578409999998</v>
      </c>
      <c r="K34" s="232">
        <f t="shared" si="7"/>
        <v>30699.61</v>
      </c>
      <c r="L34" s="414">
        <f t="shared" si="8"/>
        <v>51.6</v>
      </c>
      <c r="M34" s="22">
        <f>IFERROR(100/'Skjema total MA'!I34*K34,0)</f>
        <v>33.375584616952715</v>
      </c>
    </row>
    <row r="35" spans="1:14" ht="15.75" x14ac:dyDescent="0.2">
      <c r="A35" s="13" t="s">
        <v>352</v>
      </c>
      <c r="B35" s="232">
        <v>135.08957000000001</v>
      </c>
      <c r="C35" s="301">
        <v>23.832709999999999</v>
      </c>
      <c r="D35" s="169">
        <f t="shared" si="5"/>
        <v>-82.4</v>
      </c>
      <c r="E35" s="11">
        <f>IFERROR(100/'Skjema total MA'!C35*C35,0)</f>
        <v>-0.11510513132395946</v>
      </c>
      <c r="F35" s="300">
        <v>14751.805829999999</v>
      </c>
      <c r="G35" s="301">
        <v>7410.7248</v>
      </c>
      <c r="H35" s="169">
        <f t="shared" si="6"/>
        <v>-49.8</v>
      </c>
      <c r="I35" s="11">
        <f>IFERROR(100/'Skjema total MA'!F35*G35,0)</f>
        <v>9.7548415469032932</v>
      </c>
      <c r="J35" s="232">
        <f t="shared" si="7"/>
        <v>14886.895399999999</v>
      </c>
      <c r="K35" s="232">
        <f t="shared" si="7"/>
        <v>7434.5575099999996</v>
      </c>
      <c r="L35" s="414">
        <f t="shared" si="8"/>
        <v>-50.1</v>
      </c>
      <c r="M35" s="22">
        <f>IFERROR(100/'Skjema total MA'!I35*K35,0)</f>
        <v>13.45267180821001</v>
      </c>
    </row>
    <row r="36" spans="1:14" ht="15.75" x14ac:dyDescent="0.2">
      <c r="A36" s="12" t="s">
        <v>279</v>
      </c>
      <c r="B36" s="232"/>
      <c r="C36" s="301"/>
      <c r="D36" s="169"/>
      <c r="E36" s="11"/>
      <c r="F36" s="311"/>
      <c r="G36" s="312"/>
      <c r="H36" s="169"/>
      <c r="I36" s="420"/>
      <c r="J36" s="232"/>
      <c r="K36" s="232"/>
      <c r="L36" s="414"/>
      <c r="M36" s="22"/>
    </row>
    <row r="37" spans="1:14" ht="15.75" x14ac:dyDescent="0.2">
      <c r="A37" s="12" t="s">
        <v>358</v>
      </c>
      <c r="B37" s="232"/>
      <c r="C37" s="301"/>
      <c r="D37" s="169"/>
      <c r="E37" s="11"/>
      <c r="F37" s="311"/>
      <c r="G37" s="313"/>
      <c r="H37" s="169"/>
      <c r="I37" s="420"/>
      <c r="J37" s="232"/>
      <c r="K37" s="232"/>
      <c r="L37" s="414"/>
      <c r="M37" s="22"/>
    </row>
    <row r="38" spans="1:14" ht="15.75" x14ac:dyDescent="0.2">
      <c r="A38" s="12" t="s">
        <v>359</v>
      </c>
      <c r="B38" s="232"/>
      <c r="C38" s="301"/>
      <c r="D38" s="169"/>
      <c r="E38" s="22"/>
      <c r="F38" s="311"/>
      <c r="G38" s="312"/>
      <c r="H38" s="169"/>
      <c r="I38" s="420"/>
      <c r="J38" s="232"/>
      <c r="K38" s="232"/>
      <c r="L38" s="414"/>
      <c r="M38" s="22"/>
    </row>
    <row r="39" spans="1:14" ht="15.75" x14ac:dyDescent="0.2">
      <c r="A39" s="18" t="s">
        <v>360</v>
      </c>
      <c r="B39" s="271"/>
      <c r="C39" s="307"/>
      <c r="D39" s="167"/>
      <c r="E39" s="34"/>
      <c r="F39" s="314"/>
      <c r="G39" s="315"/>
      <c r="H39" s="167"/>
      <c r="I39" s="34"/>
      <c r="J39" s="232"/>
      <c r="K39" s="232"/>
      <c r="L39" s="415"/>
      <c r="M39" s="34"/>
    </row>
    <row r="40" spans="1:14" ht="15.75" x14ac:dyDescent="0.25">
      <c r="A40" s="45"/>
      <c r="B40" s="248"/>
      <c r="C40" s="248"/>
      <c r="D40" s="708"/>
      <c r="E40" s="708"/>
      <c r="F40" s="708"/>
      <c r="G40" s="708"/>
      <c r="H40" s="708"/>
      <c r="I40" s="708"/>
      <c r="J40" s="708"/>
      <c r="K40" s="708"/>
      <c r="L40" s="708"/>
      <c r="M40" s="294"/>
    </row>
    <row r="41" spans="1:14" x14ac:dyDescent="0.2">
      <c r="A41" s="153"/>
    </row>
    <row r="42" spans="1:14" ht="15.75" x14ac:dyDescent="0.25">
      <c r="A42" s="145" t="s">
        <v>268</v>
      </c>
      <c r="B42" s="704"/>
      <c r="C42" s="704"/>
      <c r="D42" s="704"/>
      <c r="E42" s="291"/>
      <c r="F42" s="709"/>
      <c r="G42" s="709"/>
      <c r="H42" s="709"/>
      <c r="I42" s="294"/>
      <c r="J42" s="709"/>
      <c r="K42" s="709"/>
      <c r="L42" s="709"/>
      <c r="M42" s="294"/>
    </row>
    <row r="43" spans="1:14" ht="15.75" x14ac:dyDescent="0.25">
      <c r="A43" s="161"/>
      <c r="B43" s="295"/>
      <c r="C43" s="295"/>
      <c r="D43" s="295"/>
      <c r="E43" s="295"/>
      <c r="F43" s="294"/>
      <c r="G43" s="294"/>
      <c r="H43" s="294"/>
      <c r="I43" s="294"/>
      <c r="J43" s="294"/>
      <c r="K43" s="294"/>
      <c r="L43" s="294"/>
      <c r="M43" s="294"/>
    </row>
    <row r="44" spans="1:14" ht="15.75" x14ac:dyDescent="0.25">
      <c r="A44" s="243"/>
      <c r="B44" s="705" t="s">
        <v>0</v>
      </c>
      <c r="C44" s="706"/>
      <c r="D44" s="706"/>
      <c r="E44" s="239"/>
      <c r="F44" s="294"/>
      <c r="G44" s="294"/>
      <c r="H44" s="294"/>
      <c r="I44" s="294"/>
      <c r="J44" s="294"/>
      <c r="K44" s="294"/>
      <c r="L44" s="294"/>
      <c r="M44" s="294"/>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c r="C47" s="303"/>
      <c r="D47" s="413"/>
      <c r="E47" s="11"/>
      <c r="F47" s="143"/>
      <c r="G47" s="31"/>
      <c r="H47" s="157"/>
      <c r="I47" s="157"/>
      <c r="J47" s="35"/>
      <c r="K47" s="35"/>
      <c r="L47" s="157"/>
      <c r="M47" s="157"/>
      <c r="N47" s="146"/>
    </row>
    <row r="48" spans="1:14" s="3" customFormat="1" ht="15.75" x14ac:dyDescent="0.2">
      <c r="A48" s="36" t="s">
        <v>361</v>
      </c>
      <c r="B48" s="276"/>
      <c r="C48" s="277"/>
      <c r="D48" s="249"/>
      <c r="E48" s="25"/>
      <c r="F48" s="143"/>
      <c r="G48" s="31"/>
      <c r="H48" s="143"/>
      <c r="I48" s="143"/>
      <c r="J48" s="31"/>
      <c r="K48" s="31"/>
      <c r="L48" s="157"/>
      <c r="M48" s="157"/>
      <c r="N48" s="146"/>
    </row>
    <row r="49" spans="1:14" s="3" customFormat="1" ht="15.75" x14ac:dyDescent="0.2">
      <c r="A49" s="36" t="s">
        <v>362</v>
      </c>
      <c r="B49" s="42"/>
      <c r="C49" s="282"/>
      <c r="D49" s="249"/>
      <c r="E49" s="25"/>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c r="C53" s="303"/>
      <c r="D53" s="414"/>
      <c r="E53" s="11"/>
      <c r="F53" s="143"/>
      <c r="G53" s="31"/>
      <c r="H53" s="143"/>
      <c r="I53" s="143"/>
      <c r="J53" s="31"/>
      <c r="K53" s="31"/>
      <c r="L53" s="157"/>
      <c r="M53" s="157"/>
      <c r="N53" s="146"/>
    </row>
    <row r="54" spans="1:14" s="3" customFormat="1" ht="15.75" x14ac:dyDescent="0.2">
      <c r="A54" s="36" t="s">
        <v>361</v>
      </c>
      <c r="B54" s="276"/>
      <c r="C54" s="277"/>
      <c r="D54" s="249"/>
      <c r="E54" s="25"/>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c r="C56" s="303"/>
      <c r="D56" s="414"/>
      <c r="E56" s="11"/>
      <c r="F56" s="143"/>
      <c r="G56" s="31"/>
      <c r="H56" s="143"/>
      <c r="I56" s="143"/>
      <c r="J56" s="31"/>
      <c r="K56" s="31"/>
      <c r="L56" s="157"/>
      <c r="M56" s="157"/>
      <c r="N56" s="146"/>
    </row>
    <row r="57" spans="1:14" s="3" customFormat="1" ht="15.75" x14ac:dyDescent="0.2">
      <c r="A57" s="36" t="s">
        <v>361</v>
      </c>
      <c r="B57" s="276"/>
      <c r="C57" s="277"/>
      <c r="D57" s="249"/>
      <c r="E57" s="25"/>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291"/>
      <c r="F62" s="707"/>
      <c r="G62" s="707"/>
      <c r="H62" s="707"/>
      <c r="I62" s="291"/>
      <c r="J62" s="707"/>
      <c r="K62" s="707"/>
      <c r="L62" s="707"/>
      <c r="M62" s="291"/>
    </row>
    <row r="63" spans="1:14" x14ac:dyDescent="0.2">
      <c r="A63" s="142"/>
      <c r="B63" s="705" t="s">
        <v>0</v>
      </c>
      <c r="C63" s="706"/>
      <c r="D63" s="710"/>
      <c r="E63" s="292"/>
      <c r="F63" s="706" t="s">
        <v>1</v>
      </c>
      <c r="G63" s="706"/>
      <c r="H63" s="706"/>
      <c r="I63" s="296"/>
      <c r="J63" s="705" t="s">
        <v>2</v>
      </c>
      <c r="K63" s="706"/>
      <c r="L63" s="706"/>
      <c r="M63" s="296"/>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v>621189.54829000006</v>
      </c>
      <c r="C66" s="344">
        <v>612732.98424000002</v>
      </c>
      <c r="D66" s="341">
        <f t="shared" ref="D66:D111" si="13">IF(B66=0, "    ---- ", IF(ABS(ROUND(100/B66*C66-100,1))&lt;999,ROUND(100/B66*C66-100,1),IF(ROUND(100/B66*C66-100,1)&gt;999,999,-999)))</f>
        <v>-1.4</v>
      </c>
      <c r="E66" s="11">
        <f>IFERROR(100/'Skjema total MA'!C66*C66,0)</f>
        <v>9.951400539381698</v>
      </c>
      <c r="F66" s="343">
        <v>3316975.3538199998</v>
      </c>
      <c r="G66" s="343">
        <v>3875450.6484899996</v>
      </c>
      <c r="H66" s="341">
        <f t="shared" ref="H66:H111" si="14">IF(F66=0, "    ---- ", IF(ABS(ROUND(100/F66*G66-100,1))&lt;999,ROUND(100/F66*G66-100,1),IF(ROUND(100/F66*G66-100,1)&gt;999,999,-999)))</f>
        <v>16.8</v>
      </c>
      <c r="I66" s="11">
        <f>IFERROR(100/'Skjema total MA'!F66*G66,0)</f>
        <v>12.301340134969141</v>
      </c>
      <c r="J66" s="301">
        <f t="shared" ref="J66:K86" si="15">SUM(B66,F66)</f>
        <v>3938164.9021100001</v>
      </c>
      <c r="K66" s="308">
        <f t="shared" si="15"/>
        <v>4488183.6327299997</v>
      </c>
      <c r="L66" s="414">
        <f t="shared" ref="L66:L111" si="16">IF(J66=0, "    ---- ", IF(ABS(ROUND(100/J66*K66-100,1))&lt;999,ROUND(100/J66*K66-100,1),IF(ROUND(100/J66*K66-100,1)&gt;999,999,-999)))</f>
        <v>14</v>
      </c>
      <c r="M66" s="11">
        <f>IFERROR(100/'Skjema total MA'!I66*K66,0)</f>
        <v>11.917150573366834</v>
      </c>
    </row>
    <row r="67" spans="1:14" x14ac:dyDescent="0.2">
      <c r="A67" s="405" t="s">
        <v>9</v>
      </c>
      <c r="B67" s="42">
        <v>162960.71119999999</v>
      </c>
      <c r="C67" s="143">
        <v>123557.04025000001</v>
      </c>
      <c r="D67" s="164">
        <f t="shared" si="13"/>
        <v>-24.2</v>
      </c>
      <c r="E67" s="25">
        <f>IFERROR(100/'Skjema total MA'!C67*C67,0)</f>
        <v>3.0932658837399223</v>
      </c>
      <c r="F67" s="230"/>
      <c r="G67" s="143"/>
      <c r="H67" s="164"/>
      <c r="I67" s="25"/>
      <c r="J67" s="282">
        <f t="shared" si="15"/>
        <v>162960.71119999999</v>
      </c>
      <c r="K67" s="42">
        <f t="shared" si="15"/>
        <v>123557.04025000001</v>
      </c>
      <c r="L67" s="249">
        <f t="shared" si="16"/>
        <v>-24.2</v>
      </c>
      <c r="M67" s="25">
        <f>IFERROR(100/'Skjema total MA'!I67*K67,0)</f>
        <v>3.0932658837399223</v>
      </c>
    </row>
    <row r="68" spans="1:14" x14ac:dyDescent="0.2">
      <c r="A68" s="19" t="s">
        <v>10</v>
      </c>
      <c r="B68" s="286">
        <v>26035.568589999999</v>
      </c>
      <c r="C68" s="287">
        <v>38321.17669</v>
      </c>
      <c r="D68" s="164">
        <f t="shared" si="13"/>
        <v>47.2</v>
      </c>
      <c r="E68" s="25">
        <f>IFERROR(100/'Skjema total MA'!C68*C68,0)</f>
        <v>86.48977333428013</v>
      </c>
      <c r="F68" s="286">
        <v>3079739.4501999998</v>
      </c>
      <c r="G68" s="287">
        <v>3629780.0950699998</v>
      </c>
      <c r="H68" s="164">
        <f t="shared" si="14"/>
        <v>17.899999999999999</v>
      </c>
      <c r="I68" s="25">
        <f>IFERROR(100/'Skjema total MA'!F68*G68,0)</f>
        <v>11.979218811121385</v>
      </c>
      <c r="J68" s="282">
        <f t="shared" si="15"/>
        <v>3105775.0187899997</v>
      </c>
      <c r="K68" s="42">
        <f t="shared" si="15"/>
        <v>3668101.2717599999</v>
      </c>
      <c r="L68" s="249">
        <f t="shared" si="16"/>
        <v>18.100000000000001</v>
      </c>
      <c r="M68" s="25">
        <f>IFERROR(100/'Skjema total MA'!I68*K68,0)</f>
        <v>12.088012943099402</v>
      </c>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v>263934.93861000001</v>
      </c>
      <c r="C75" s="143">
        <v>262641.18575</v>
      </c>
      <c r="D75" s="164">
        <f t="shared" si="13"/>
        <v>-0.5</v>
      </c>
      <c r="E75" s="25">
        <f>IFERROR(100/'Skjema total MA'!C75*C75,0)</f>
        <v>54.308227568710819</v>
      </c>
      <c r="F75" s="230">
        <v>237235.90362</v>
      </c>
      <c r="G75" s="143">
        <v>245670.55342000001</v>
      </c>
      <c r="H75" s="164">
        <f t="shared" si="14"/>
        <v>3.6</v>
      </c>
      <c r="I75" s="25">
        <f>IFERROR(100/'Skjema total MA'!F75*G75,0)</f>
        <v>20.410375139023415</v>
      </c>
      <c r="J75" s="282">
        <f t="shared" si="15"/>
        <v>501170.84223000001</v>
      </c>
      <c r="K75" s="42">
        <f t="shared" si="15"/>
        <v>508311.73917000002</v>
      </c>
      <c r="L75" s="249">
        <f t="shared" si="16"/>
        <v>1.4</v>
      </c>
      <c r="M75" s="25">
        <f>IFERROR(100/'Skjema total MA'!I75*K75,0)</f>
        <v>30.126329567706264</v>
      </c>
      <c r="N75" s="146"/>
    </row>
    <row r="76" spans="1:14" s="3" customFormat="1" x14ac:dyDescent="0.2">
      <c r="A76" s="19" t="s">
        <v>336</v>
      </c>
      <c r="B76" s="230">
        <v>168258.32988999999</v>
      </c>
      <c r="C76" s="143">
        <v>188213.58155</v>
      </c>
      <c r="D76" s="164">
        <f t="shared" ref="D76" si="17">IF(B76=0, "    ---- ", IF(ABS(ROUND(100/B76*C76-100,1))&lt;999,ROUND(100/B76*C76-100,1),IF(ROUND(100/B76*C76-100,1)&gt;999,999,-999)))</f>
        <v>11.9</v>
      </c>
      <c r="E76" s="25">
        <f>IFERROR(100/'Skjema total MA'!C77*C76,0)</f>
        <v>4.7539998148472895</v>
      </c>
      <c r="F76" s="230"/>
      <c r="G76" s="143"/>
      <c r="H76" s="164"/>
      <c r="I76" s="25"/>
      <c r="J76" s="282">
        <f t="shared" ref="J76" si="18">SUM(B76,F76)</f>
        <v>168258.32988999999</v>
      </c>
      <c r="K76" s="42">
        <f t="shared" ref="K76" si="19">SUM(C76,G76)</f>
        <v>188213.58155</v>
      </c>
      <c r="L76" s="249">
        <f t="shared" ref="L76" si="20">IF(J76=0, "    ---- ", IF(ABS(ROUND(100/J76*K76-100,1))&lt;999,ROUND(100/J76*K76-100,1),IF(ROUND(100/J76*K76-100,1)&gt;999,999,-999)))</f>
        <v>11.9</v>
      </c>
      <c r="M76" s="25">
        <f>IFERROR(100/'Skjema total MA'!I77*K76,0)</f>
        <v>0.54953129444199011</v>
      </c>
      <c r="N76" s="146"/>
    </row>
    <row r="77" spans="1:14" ht="15.75" x14ac:dyDescent="0.2">
      <c r="A77" s="19" t="s">
        <v>367</v>
      </c>
      <c r="B77" s="230">
        <v>188996.27979</v>
      </c>
      <c r="C77" s="230">
        <v>161878.21694000001</v>
      </c>
      <c r="D77" s="164">
        <f t="shared" si="13"/>
        <v>-14.3</v>
      </c>
      <c r="E77" s="25">
        <f>IFERROR(100/'Skjema total MA'!C77*C77,0)</f>
        <v>4.0888070192539692</v>
      </c>
      <c r="F77" s="230">
        <v>3071929.48685</v>
      </c>
      <c r="G77" s="143">
        <v>3622030.80773</v>
      </c>
      <c r="H77" s="164">
        <f t="shared" si="14"/>
        <v>17.899999999999999</v>
      </c>
      <c r="I77" s="25">
        <f>IFERROR(100/'Skjema total MA'!F77*G77,0)</f>
        <v>11.95753513527943</v>
      </c>
      <c r="J77" s="282">
        <f t="shared" si="15"/>
        <v>3260925.76664</v>
      </c>
      <c r="K77" s="42">
        <f t="shared" si="15"/>
        <v>3783909.0246700002</v>
      </c>
      <c r="L77" s="249">
        <f t="shared" si="16"/>
        <v>16</v>
      </c>
      <c r="M77" s="25">
        <f>IFERROR(100/'Skjema total MA'!I77*K77,0)</f>
        <v>11.047961614955163</v>
      </c>
    </row>
    <row r="78" spans="1:14" x14ac:dyDescent="0.2">
      <c r="A78" s="19" t="s">
        <v>9</v>
      </c>
      <c r="B78" s="230">
        <v>162960.71119999999</v>
      </c>
      <c r="C78" s="143">
        <v>123557.04025000001</v>
      </c>
      <c r="D78" s="164">
        <f t="shared" si="13"/>
        <v>-24.2</v>
      </c>
      <c r="E78" s="25">
        <f>IFERROR(100/'Skjema total MA'!C78*C78,0)</f>
        <v>3.1545316792664604</v>
      </c>
      <c r="F78" s="230"/>
      <c r="G78" s="143"/>
      <c r="H78" s="164"/>
      <c r="I78" s="25"/>
      <c r="J78" s="282">
        <f t="shared" si="15"/>
        <v>162960.71119999999</v>
      </c>
      <c r="K78" s="42">
        <f t="shared" si="15"/>
        <v>123557.04025000001</v>
      </c>
      <c r="L78" s="249">
        <f t="shared" si="16"/>
        <v>-24.2</v>
      </c>
      <c r="M78" s="25">
        <f>IFERROR(100/'Skjema total MA'!I78*K78,0)</f>
        <v>3.1545316792664604</v>
      </c>
    </row>
    <row r="79" spans="1:14" x14ac:dyDescent="0.2">
      <c r="A79" s="36" t="s">
        <v>400</v>
      </c>
      <c r="B79" s="286">
        <v>26035.568589999999</v>
      </c>
      <c r="C79" s="287">
        <v>38321.17669</v>
      </c>
      <c r="D79" s="164">
        <f t="shared" si="13"/>
        <v>47.2</v>
      </c>
      <c r="E79" s="25">
        <f>IFERROR(100/'Skjema total MA'!C79*C79,0)</f>
        <v>90.708492691518629</v>
      </c>
      <c r="F79" s="286">
        <v>3071929.48685</v>
      </c>
      <c r="G79" s="287">
        <v>3622030.80773</v>
      </c>
      <c r="H79" s="164">
        <f t="shared" si="14"/>
        <v>17.899999999999999</v>
      </c>
      <c r="I79" s="25">
        <f>IFERROR(100/'Skjema total MA'!F79*G79,0)</f>
        <v>11.95753513527943</v>
      </c>
      <c r="J79" s="282">
        <f t="shared" si="15"/>
        <v>3097965.0554399998</v>
      </c>
      <c r="K79" s="42">
        <f t="shared" si="15"/>
        <v>3660351.9844200001</v>
      </c>
      <c r="L79" s="249">
        <f t="shared" si="16"/>
        <v>18.2</v>
      </c>
      <c r="M79" s="25">
        <f>IFERROR(100/'Skjema total MA'!I79*K79,0)</f>
        <v>12.067216025489344</v>
      </c>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c r="C86" s="143"/>
      <c r="D86" s="164"/>
      <c r="E86" s="25"/>
      <c r="F86" s="230">
        <v>7809.96335</v>
      </c>
      <c r="G86" s="143">
        <v>7749.2873399999999</v>
      </c>
      <c r="H86" s="164">
        <f t="shared" si="14"/>
        <v>-0.8</v>
      </c>
      <c r="I86" s="25">
        <f>IFERROR(100/'Skjema total MA'!F86*G86,0)</f>
        <v>78.594405270438486</v>
      </c>
      <c r="J86" s="282">
        <f t="shared" si="15"/>
        <v>7809.96335</v>
      </c>
      <c r="K86" s="42">
        <f t="shared" si="15"/>
        <v>7749.2873399999999</v>
      </c>
      <c r="L86" s="249">
        <f t="shared" si="16"/>
        <v>-0.8</v>
      </c>
      <c r="M86" s="25">
        <f>IFERROR(100/'Skjema total MA'!I86*K86,0)</f>
        <v>8.6587027487934503</v>
      </c>
    </row>
    <row r="87" spans="1:13" ht="15.75" x14ac:dyDescent="0.2">
      <c r="A87" s="13" t="s">
        <v>350</v>
      </c>
      <c r="B87" s="344">
        <v>16916124.589680001</v>
      </c>
      <c r="C87" s="344">
        <v>17945789.156429999</v>
      </c>
      <c r="D87" s="169">
        <f t="shared" si="13"/>
        <v>6.1</v>
      </c>
      <c r="E87" s="11">
        <f>IFERROR(100/'Skjema total MA'!C87*C87,0)</f>
        <v>4.4607583890570517</v>
      </c>
      <c r="F87" s="343">
        <v>44781804.1963</v>
      </c>
      <c r="G87" s="343">
        <v>44578188.461619996</v>
      </c>
      <c r="H87" s="169">
        <f t="shared" si="14"/>
        <v>-0.5</v>
      </c>
      <c r="I87" s="11">
        <f>IFERROR(100/'Skjema total MA'!F87*G87,0)</f>
        <v>10.769859801189433</v>
      </c>
      <c r="J87" s="301">
        <f t="shared" ref="J87:K111" si="21">SUM(B87,F87)</f>
        <v>61697928.785980001</v>
      </c>
      <c r="K87" s="232">
        <f t="shared" si="21"/>
        <v>62523977.618049994</v>
      </c>
      <c r="L87" s="414">
        <f t="shared" si="16"/>
        <v>1.3</v>
      </c>
      <c r="M87" s="11">
        <f>IFERROR(100/'Skjema total MA'!I87*K87,0)</f>
        <v>7.6601898213254422</v>
      </c>
    </row>
    <row r="88" spans="1:13" x14ac:dyDescent="0.2">
      <c r="A88" s="19" t="s">
        <v>9</v>
      </c>
      <c r="B88" s="230">
        <v>12214903.78222</v>
      </c>
      <c r="C88" s="143">
        <v>12579762.3375</v>
      </c>
      <c r="D88" s="164">
        <f t="shared" si="13"/>
        <v>3</v>
      </c>
      <c r="E88" s="25">
        <f>IFERROR(100/'Skjema total MA'!C88*C88,0)</f>
        <v>3.2504303178245419</v>
      </c>
      <c r="F88" s="230"/>
      <c r="G88" s="143"/>
      <c r="H88" s="164"/>
      <c r="I88" s="25"/>
      <c r="J88" s="282">
        <f t="shared" si="21"/>
        <v>12214903.78222</v>
      </c>
      <c r="K88" s="42">
        <f t="shared" si="21"/>
        <v>12579762.3375</v>
      </c>
      <c r="L88" s="249">
        <f t="shared" si="16"/>
        <v>3</v>
      </c>
      <c r="M88" s="25">
        <f>IFERROR(100/'Skjema total MA'!I88*K88,0)</f>
        <v>3.2504303178245419</v>
      </c>
    </row>
    <row r="89" spans="1:13" x14ac:dyDescent="0.2">
      <c r="A89" s="19" t="s">
        <v>10</v>
      </c>
      <c r="B89" s="230">
        <v>1679656.39634</v>
      </c>
      <c r="C89" s="143">
        <v>1819108.74538</v>
      </c>
      <c r="D89" s="164">
        <f t="shared" si="13"/>
        <v>8.3000000000000007</v>
      </c>
      <c r="E89" s="25">
        <f>IFERROR(100/'Skjema total MA'!C89*C89,0)</f>
        <v>54.741100385602486</v>
      </c>
      <c r="F89" s="230">
        <v>43197564.57756</v>
      </c>
      <c r="G89" s="143">
        <v>42969830.020549998</v>
      </c>
      <c r="H89" s="164">
        <f t="shared" si="14"/>
        <v>-0.5</v>
      </c>
      <c r="I89" s="25">
        <f>IFERROR(100/'Skjema total MA'!F89*G89,0)</f>
        <v>10.506984982591714</v>
      </c>
      <c r="J89" s="282">
        <f t="shared" si="21"/>
        <v>44877220.973899998</v>
      </c>
      <c r="K89" s="42">
        <f t="shared" si="21"/>
        <v>44788938.765929997</v>
      </c>
      <c r="L89" s="249">
        <f t="shared" si="16"/>
        <v>-0.2</v>
      </c>
      <c r="M89" s="25">
        <f>IFERROR(100/'Skjema total MA'!I89*K89,0)</f>
        <v>10.863520076547614</v>
      </c>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v>1957764.0457200001</v>
      </c>
      <c r="C96" s="143">
        <v>2298834.5586100002</v>
      </c>
      <c r="D96" s="164">
        <f t="shared" si="13"/>
        <v>17.399999999999999</v>
      </c>
      <c r="E96" s="25">
        <f>IFERROR(100/'Skjema total MA'!C96*C96,0)</f>
        <v>65.126597052627631</v>
      </c>
      <c r="F96" s="230">
        <v>1584239.6187400001</v>
      </c>
      <c r="G96" s="143">
        <v>1608358.4410699999</v>
      </c>
      <c r="H96" s="164">
        <f t="shared" si="14"/>
        <v>1.5</v>
      </c>
      <c r="I96" s="25">
        <f>IFERROR(100/'Skjema total MA'!F96*G96,0)</f>
        <v>32.48076286901636</v>
      </c>
      <c r="J96" s="282">
        <f t="shared" si="21"/>
        <v>3542003.6644600001</v>
      </c>
      <c r="K96" s="42">
        <f t="shared" si="21"/>
        <v>3907192.9996800004</v>
      </c>
      <c r="L96" s="249">
        <f t="shared" si="16"/>
        <v>10.3</v>
      </c>
      <c r="M96" s="25">
        <f>IFERROR(100/'Skjema total MA'!I96*K96,0)</f>
        <v>46.067132115261458</v>
      </c>
    </row>
    <row r="97" spans="1:13" x14ac:dyDescent="0.2">
      <c r="A97" s="19" t="s">
        <v>334</v>
      </c>
      <c r="B97" s="230">
        <v>1063800.3654</v>
      </c>
      <c r="C97" s="143">
        <v>1248083.5149399999</v>
      </c>
      <c r="D97" s="164">
        <f t="shared" ref="D97" si="22">IF(B97=0, "    ---- ", IF(ABS(ROUND(100/B97*C97-100,1))&lt;999,ROUND(100/B97*C97-100,1),IF(ROUND(100/B97*C97-100,1)&gt;999,999,-999)))</f>
        <v>17.3</v>
      </c>
      <c r="E97" s="25">
        <f>IFERROR(100/'Skjema total MA'!C98*C97,0)</f>
        <v>0.32342160173144957</v>
      </c>
      <c r="F97" s="230"/>
      <c r="G97" s="143"/>
      <c r="H97" s="164"/>
      <c r="I97" s="25"/>
      <c r="J97" s="282">
        <f t="shared" ref="J97" si="23">SUM(B97,F97)</f>
        <v>1063800.3654</v>
      </c>
      <c r="K97" s="42">
        <f t="shared" ref="K97" si="24">SUM(C97,G97)</f>
        <v>1248083.5149399999</v>
      </c>
      <c r="L97" s="249">
        <f t="shared" ref="L97" si="25">IF(J97=0, "    ---- ", IF(ABS(ROUND(100/J97*K97-100,1))&lt;999,ROUND(100/J97*K97-100,1),IF(ROUND(100/J97*K97-100,1)&gt;999,999,-999)))</f>
        <v>17.3</v>
      </c>
      <c r="M97" s="25">
        <f>IFERROR(100/'Skjema total MA'!I98*K97,0)</f>
        <v>0.15717429118236412</v>
      </c>
    </row>
    <row r="98" spans="1:13" ht="15.75" x14ac:dyDescent="0.2">
      <c r="A98" s="19" t="s">
        <v>367</v>
      </c>
      <c r="B98" s="230">
        <v>13894560.17856</v>
      </c>
      <c r="C98" s="230">
        <v>14398871.08288</v>
      </c>
      <c r="D98" s="164">
        <f t="shared" si="13"/>
        <v>3.6</v>
      </c>
      <c r="E98" s="25">
        <f>IFERROR(100/'Skjema total MA'!C98*C98,0)</f>
        <v>3.7312454599431</v>
      </c>
      <c r="F98" s="286">
        <v>43105183.375909999</v>
      </c>
      <c r="G98" s="286">
        <v>42893784.637699999</v>
      </c>
      <c r="H98" s="164">
        <f t="shared" si="14"/>
        <v>-0.5</v>
      </c>
      <c r="I98" s="25">
        <f>IFERROR(100/'Skjema total MA'!F98*G98,0)</f>
        <v>10.508642694683923</v>
      </c>
      <c r="J98" s="282">
        <f t="shared" si="21"/>
        <v>56999743.554470003</v>
      </c>
      <c r="K98" s="42">
        <f t="shared" si="21"/>
        <v>57292655.720579997</v>
      </c>
      <c r="L98" s="249">
        <f t="shared" si="16"/>
        <v>0.5</v>
      </c>
      <c r="M98" s="25">
        <f>IFERROR(100/'Skjema total MA'!I98*K98,0)</f>
        <v>7.2150080063114048</v>
      </c>
    </row>
    <row r="99" spans="1:13" x14ac:dyDescent="0.2">
      <c r="A99" s="19" t="s">
        <v>9</v>
      </c>
      <c r="B99" s="286">
        <v>12214903.78222</v>
      </c>
      <c r="C99" s="287">
        <v>12579762.3375</v>
      </c>
      <c r="D99" s="164">
        <f t="shared" si="13"/>
        <v>3</v>
      </c>
      <c r="E99" s="25">
        <f>IFERROR(100/'Skjema total MA'!C99*C99,0)</f>
        <v>3.2881669824154978</v>
      </c>
      <c r="F99" s="230"/>
      <c r="G99" s="143"/>
      <c r="H99" s="164"/>
      <c r="I99" s="25"/>
      <c r="J99" s="282">
        <f t="shared" si="21"/>
        <v>12214903.78222</v>
      </c>
      <c r="K99" s="42">
        <f t="shared" si="21"/>
        <v>12579762.3375</v>
      </c>
      <c r="L99" s="249">
        <f t="shared" si="16"/>
        <v>3</v>
      </c>
      <c r="M99" s="25">
        <f>IFERROR(100/'Skjema total MA'!I99*K99,0)</f>
        <v>3.2881669824154978</v>
      </c>
    </row>
    <row r="100" spans="1:13" x14ac:dyDescent="0.2">
      <c r="A100" s="36" t="s">
        <v>400</v>
      </c>
      <c r="B100" s="286">
        <v>1679656.39634</v>
      </c>
      <c r="C100" s="287">
        <v>1819108.74538</v>
      </c>
      <c r="D100" s="164">
        <f t="shared" si="13"/>
        <v>8.3000000000000007</v>
      </c>
      <c r="E100" s="25">
        <f>IFERROR(100/'Skjema total MA'!C100*C100,0)</f>
        <v>54.741100379342804</v>
      </c>
      <c r="F100" s="230">
        <v>43105183.375909999</v>
      </c>
      <c r="G100" s="230">
        <v>42893784.637699999</v>
      </c>
      <c r="H100" s="164">
        <f t="shared" si="14"/>
        <v>-0.5</v>
      </c>
      <c r="I100" s="25">
        <f>IFERROR(100/'Skjema total MA'!F100*G100,0)</f>
        <v>10.508642694683923</v>
      </c>
      <c r="J100" s="282">
        <f t="shared" si="21"/>
        <v>44784839.772249997</v>
      </c>
      <c r="K100" s="42">
        <f t="shared" si="21"/>
        <v>44712893.383079998</v>
      </c>
      <c r="L100" s="249">
        <f t="shared" si="16"/>
        <v>-0.2</v>
      </c>
      <c r="M100" s="25">
        <f>IFERROR(100/'Skjema total MA'!I100*K100,0)</f>
        <v>10.865847285771874</v>
      </c>
    </row>
    <row r="101" spans="1:13" ht="15.75" x14ac:dyDescent="0.2">
      <c r="A101" s="288" t="s">
        <v>365</v>
      </c>
      <c r="B101" s="311"/>
      <c r="C101" s="311"/>
      <c r="D101" s="164"/>
      <c r="E101" s="21"/>
      <c r="F101" s="311"/>
      <c r="G101" s="311"/>
      <c r="H101" s="164"/>
      <c r="I101" s="21"/>
      <c r="J101" s="311"/>
      <c r="K101" s="311"/>
      <c r="L101" s="164"/>
      <c r="M101" s="21"/>
    </row>
    <row r="102" spans="1:13" x14ac:dyDescent="0.2">
      <c r="A102" s="288" t="s">
        <v>12</v>
      </c>
      <c r="B102" s="311"/>
      <c r="C102" s="311"/>
      <c r="D102" s="164"/>
      <c r="E102" s="21"/>
      <c r="F102" s="311"/>
      <c r="G102" s="311"/>
      <c r="H102" s="164"/>
      <c r="I102" s="21"/>
      <c r="J102" s="311"/>
      <c r="K102" s="311"/>
      <c r="L102" s="164"/>
      <c r="M102" s="21"/>
    </row>
    <row r="103" spans="1:13" x14ac:dyDescent="0.2">
      <c r="A103" s="288" t="s">
        <v>13</v>
      </c>
      <c r="B103" s="311"/>
      <c r="C103" s="311"/>
      <c r="D103" s="164"/>
      <c r="E103" s="21"/>
      <c r="F103" s="311"/>
      <c r="G103" s="311"/>
      <c r="H103" s="164"/>
      <c r="I103" s="21"/>
      <c r="J103" s="311"/>
      <c r="K103" s="311"/>
      <c r="L103" s="164"/>
      <c r="M103" s="21"/>
    </row>
    <row r="104" spans="1:13" ht="15.75" x14ac:dyDescent="0.2">
      <c r="A104" s="288" t="s">
        <v>366</v>
      </c>
      <c r="B104" s="311"/>
      <c r="C104" s="311"/>
      <c r="D104" s="164"/>
      <c r="E104" s="21"/>
      <c r="F104" s="311"/>
      <c r="G104" s="311"/>
      <c r="H104" s="164"/>
      <c r="I104" s="21"/>
      <c r="J104" s="311"/>
      <c r="K104" s="311"/>
      <c r="L104" s="164"/>
      <c r="M104" s="21"/>
    </row>
    <row r="105" spans="1:13" x14ac:dyDescent="0.2">
      <c r="A105" s="288" t="s">
        <v>12</v>
      </c>
      <c r="B105" s="231"/>
      <c r="C105" s="284"/>
      <c r="D105" s="164"/>
      <c r="E105" s="21"/>
      <c r="F105" s="311"/>
      <c r="G105" s="311"/>
      <c r="H105" s="164"/>
      <c r="I105" s="21"/>
      <c r="J105" s="311"/>
      <c r="K105" s="311"/>
      <c r="L105" s="164"/>
      <c r="M105" s="21"/>
    </row>
    <row r="106" spans="1:13" x14ac:dyDescent="0.2">
      <c r="A106" s="288" t="s">
        <v>13</v>
      </c>
      <c r="B106" s="231"/>
      <c r="C106" s="284"/>
      <c r="D106" s="164"/>
      <c r="E106" s="21"/>
      <c r="F106" s="311"/>
      <c r="G106" s="311"/>
      <c r="H106" s="164"/>
      <c r="I106" s="21"/>
      <c r="J106" s="311"/>
      <c r="K106" s="311"/>
      <c r="L106" s="164"/>
      <c r="M106" s="21"/>
    </row>
    <row r="107" spans="1:13" ht="15.75" x14ac:dyDescent="0.2">
      <c r="A107" s="19" t="s">
        <v>368</v>
      </c>
      <c r="B107" s="230"/>
      <c r="C107" s="143"/>
      <c r="D107" s="164"/>
      <c r="E107" s="25"/>
      <c r="F107" s="230">
        <v>92381.201649999901</v>
      </c>
      <c r="G107" s="143">
        <v>76045.382849999907</v>
      </c>
      <c r="H107" s="164">
        <f t="shared" si="14"/>
        <v>-17.7</v>
      </c>
      <c r="I107" s="25">
        <f>IFERROR(100/'Skjema total MA'!F107*G107,0)</f>
        <v>9.64847986061306</v>
      </c>
      <c r="J107" s="282">
        <f t="shared" si="21"/>
        <v>92381.201649999901</v>
      </c>
      <c r="K107" s="42">
        <f t="shared" si="21"/>
        <v>76045.382849999907</v>
      </c>
      <c r="L107" s="249">
        <f t="shared" si="16"/>
        <v>-17.7</v>
      </c>
      <c r="M107" s="25">
        <f>IFERROR(100/'Skjema total MA'!I107*K107,0)</f>
        <v>1.4540845027742857</v>
      </c>
    </row>
    <row r="108" spans="1:13" ht="15.75" x14ac:dyDescent="0.2">
      <c r="A108" s="19" t="s">
        <v>369</v>
      </c>
      <c r="B108" s="230">
        <v>8823121.02269</v>
      </c>
      <c r="C108" s="230">
        <v>9660812.6390899997</v>
      </c>
      <c r="D108" s="164">
        <f t="shared" si="13"/>
        <v>9.5</v>
      </c>
      <c r="E108" s="25">
        <f>IFERROR(100/'Skjema total MA'!C108*C108,0)</f>
        <v>2.901055014716154</v>
      </c>
      <c r="F108" s="230"/>
      <c r="G108" s="230"/>
      <c r="H108" s="164"/>
      <c r="I108" s="25"/>
      <c r="J108" s="282">
        <f t="shared" si="21"/>
        <v>8823121.02269</v>
      </c>
      <c r="K108" s="42">
        <f t="shared" si="21"/>
        <v>9660812.6390899997</v>
      </c>
      <c r="L108" s="249">
        <f t="shared" si="16"/>
        <v>9.5</v>
      </c>
      <c r="M108" s="25">
        <f>IFERROR(100/'Skjema total MA'!I108*K108,0)</f>
        <v>2.7481200383507414</v>
      </c>
    </row>
    <row r="109" spans="1:13" ht="15.75" x14ac:dyDescent="0.2">
      <c r="A109" s="36" t="s">
        <v>408</v>
      </c>
      <c r="B109" s="230">
        <v>370296.44011000003</v>
      </c>
      <c r="C109" s="230">
        <v>398165.84742000001</v>
      </c>
      <c r="D109" s="164">
        <f t="shared" si="13"/>
        <v>7.5</v>
      </c>
      <c r="E109" s="25">
        <f>IFERROR(100/'Skjema total MA'!C109*C109,0)</f>
        <v>21.319676035533508</v>
      </c>
      <c r="F109" s="230">
        <v>16096611.144370001</v>
      </c>
      <c r="G109" s="230">
        <v>17228077.614190001</v>
      </c>
      <c r="H109" s="164">
        <f t="shared" si="14"/>
        <v>7</v>
      </c>
      <c r="I109" s="25">
        <f>IFERROR(100/'Skjema total MA'!F109*G109,0)</f>
        <v>11.356591841335469</v>
      </c>
      <c r="J109" s="282">
        <f t="shared" si="21"/>
        <v>16466907.584480001</v>
      </c>
      <c r="K109" s="42">
        <f t="shared" si="21"/>
        <v>17626243.461610001</v>
      </c>
      <c r="L109" s="249">
        <f t="shared" si="16"/>
        <v>7</v>
      </c>
      <c r="M109" s="25">
        <f>IFERROR(100/'Skjema total MA'!I109*K109,0)</f>
        <v>11.477756072651088</v>
      </c>
    </row>
    <row r="110" spans="1:13" ht="15.75" x14ac:dyDescent="0.2">
      <c r="A110" s="19" t="s">
        <v>370</v>
      </c>
      <c r="B110" s="230">
        <v>470901.88043999998</v>
      </c>
      <c r="C110" s="230">
        <v>755700.11806000001</v>
      </c>
      <c r="D110" s="164">
        <f t="shared" si="13"/>
        <v>60.5</v>
      </c>
      <c r="E110" s="25">
        <f>IFERROR(100/'Skjema total MA'!C110*C110,0)</f>
        <v>57.208270090857916</v>
      </c>
      <c r="F110" s="230"/>
      <c r="G110" s="230"/>
      <c r="H110" s="164"/>
      <c r="I110" s="25"/>
      <c r="J110" s="282">
        <f t="shared" si="21"/>
        <v>470901.88043999998</v>
      </c>
      <c r="K110" s="42">
        <f t="shared" si="21"/>
        <v>755700.11806000001</v>
      </c>
      <c r="L110" s="249">
        <f t="shared" si="16"/>
        <v>60.5</v>
      </c>
      <c r="M110" s="25">
        <f>IFERROR(100/'Skjema total MA'!I110*K110,0)</f>
        <v>57.208270090857916</v>
      </c>
    </row>
    <row r="111" spans="1:13" ht="15.75" x14ac:dyDescent="0.2">
      <c r="A111" s="13" t="s">
        <v>351</v>
      </c>
      <c r="B111" s="300">
        <v>14798.247240000001</v>
      </c>
      <c r="C111" s="157">
        <v>38487.617310000001</v>
      </c>
      <c r="D111" s="169">
        <f t="shared" si="13"/>
        <v>160.1</v>
      </c>
      <c r="E111" s="11">
        <f>IFERROR(100/'Skjema total MA'!C111*C111,0)</f>
        <v>6.2071045083540479</v>
      </c>
      <c r="F111" s="300">
        <v>7090461.7289800001</v>
      </c>
      <c r="G111" s="157">
        <v>3579793.6391699999</v>
      </c>
      <c r="H111" s="169">
        <f t="shared" si="14"/>
        <v>-49.5</v>
      </c>
      <c r="I111" s="11">
        <f>IFERROR(100/'Skjema total MA'!F111*G111,0)</f>
        <v>12.140019682893163</v>
      </c>
      <c r="J111" s="301">
        <f t="shared" si="21"/>
        <v>7105259.9762200005</v>
      </c>
      <c r="K111" s="232">
        <f t="shared" si="21"/>
        <v>3618281.25648</v>
      </c>
      <c r="L111" s="414">
        <f t="shared" si="16"/>
        <v>-49.1</v>
      </c>
      <c r="M111" s="11">
        <f>IFERROR(100/'Skjema total MA'!I111*K111,0)</f>
        <v>12.017832979217102</v>
      </c>
    </row>
    <row r="112" spans="1:13" x14ac:dyDescent="0.2">
      <c r="A112" s="19" t="s">
        <v>9</v>
      </c>
      <c r="B112" s="230">
        <v>3391.71038</v>
      </c>
      <c r="C112" s="143">
        <v>27308.43348</v>
      </c>
      <c r="D112" s="164">
        <f t="shared" ref="D112:D126" si="26">IF(B112=0, "    ---- ", IF(ABS(ROUND(100/B112*C112-100,1))&lt;999,ROUND(100/B112*C112-100,1),IF(ROUND(100/B112*C112-100,1)&gt;999,999,-999)))</f>
        <v>705.2</v>
      </c>
      <c r="E112" s="25">
        <f>IFERROR(100/'Skjema total MA'!C112*C112,0)</f>
        <v>7.6933029765063194</v>
      </c>
      <c r="F112" s="230"/>
      <c r="G112" s="143"/>
      <c r="H112" s="164"/>
      <c r="I112" s="25"/>
      <c r="J112" s="282">
        <f t="shared" ref="J112:K126" si="27">SUM(B112,F112)</f>
        <v>3391.71038</v>
      </c>
      <c r="K112" s="42">
        <f t="shared" si="27"/>
        <v>27308.43348</v>
      </c>
      <c r="L112" s="249">
        <f t="shared" ref="L112:L126" si="28">IF(J112=0, "    ---- ", IF(ABS(ROUND(100/J112*K112-100,1))&lt;999,ROUND(100/J112*K112-100,1),IF(ROUND(100/J112*K112-100,1)&gt;999,999,-999)))</f>
        <v>705.2</v>
      </c>
      <c r="M112" s="25">
        <f>IFERROR(100/'Skjema total MA'!I112*K112,0)</f>
        <v>7.6264339479083638</v>
      </c>
    </row>
    <row r="113" spans="1:14" x14ac:dyDescent="0.2">
      <c r="A113" s="19" t="s">
        <v>10</v>
      </c>
      <c r="B113" s="230">
        <v>229.13946999999999</v>
      </c>
      <c r="C113" s="143">
        <v>6.7000000000000004E-2</v>
      </c>
      <c r="D113" s="164">
        <f t="shared" si="26"/>
        <v>-100</v>
      </c>
      <c r="E113" s="25">
        <f>IFERROR(100/'Skjema total MA'!C113*C113,0)</f>
        <v>3.701044025852069E-2</v>
      </c>
      <c r="F113" s="230">
        <v>7090461.7289800001</v>
      </c>
      <c r="G113" s="143">
        <v>3579793.6391699999</v>
      </c>
      <c r="H113" s="164">
        <f t="shared" ref="H113:H125" si="29">IF(F113=0, "    ---- ", IF(ABS(ROUND(100/F113*G113-100,1))&lt;999,ROUND(100/F113*G113-100,1),IF(ROUND(100/F113*G113-100,1)&gt;999,999,-999)))</f>
        <v>-49.5</v>
      </c>
      <c r="I113" s="25">
        <f>IFERROR(100/'Skjema total MA'!F113*G113,0)</f>
        <v>12.141737869136085</v>
      </c>
      <c r="J113" s="282">
        <f t="shared" si="27"/>
        <v>7090690.86845</v>
      </c>
      <c r="K113" s="42">
        <f t="shared" si="27"/>
        <v>3579793.7061699997</v>
      </c>
      <c r="L113" s="249">
        <f t="shared" si="28"/>
        <v>-49.5</v>
      </c>
      <c r="M113" s="25">
        <f>IFERROR(100/'Skjema total MA'!I113*K113,0)</f>
        <v>12.141663545703357</v>
      </c>
    </row>
    <row r="114" spans="1:14" x14ac:dyDescent="0.2">
      <c r="A114" s="19" t="s">
        <v>26</v>
      </c>
      <c r="B114" s="230">
        <v>11177.39739</v>
      </c>
      <c r="C114" s="143">
        <v>11179.116830000001</v>
      </c>
      <c r="D114" s="164">
        <f t="shared" si="26"/>
        <v>0</v>
      </c>
      <c r="E114" s="25">
        <f>IFERROR(100/'Skjema total MA'!C114*C114,0)</f>
        <v>4.2199237748227789</v>
      </c>
      <c r="F114" s="230"/>
      <c r="G114" s="143"/>
      <c r="H114" s="164"/>
      <c r="I114" s="25"/>
      <c r="J114" s="282">
        <f t="shared" si="27"/>
        <v>11177.39739</v>
      </c>
      <c r="K114" s="42">
        <f t="shared" si="27"/>
        <v>11179.116830000001</v>
      </c>
      <c r="L114" s="249">
        <f t="shared" si="28"/>
        <v>0</v>
      </c>
      <c r="M114" s="25">
        <f>IFERROR(100/'Skjema total MA'!I114*K114,0)</f>
        <v>4.2030985303322597</v>
      </c>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v>3391.6977900000002</v>
      </c>
      <c r="C116" s="230">
        <v>27000.502949999998</v>
      </c>
      <c r="D116" s="164">
        <f t="shared" si="26"/>
        <v>696.1</v>
      </c>
      <c r="E116" s="25">
        <f>IFERROR(100/'Skjema total MA'!C116*C116,0)</f>
        <v>25.205627376919026</v>
      </c>
      <c r="F116" s="230"/>
      <c r="G116" s="230"/>
      <c r="H116" s="164"/>
      <c r="I116" s="25"/>
      <c r="J116" s="282">
        <f t="shared" si="27"/>
        <v>3391.6977900000002</v>
      </c>
      <c r="K116" s="42">
        <f t="shared" si="27"/>
        <v>27000.502949999998</v>
      </c>
      <c r="L116" s="249">
        <f t="shared" si="28"/>
        <v>696.1</v>
      </c>
      <c r="M116" s="25">
        <f>IFERROR(100/'Skjema total MA'!I116*K116,0)</f>
        <v>24.192443253085976</v>
      </c>
    </row>
    <row r="117" spans="1:14" ht="15.75" x14ac:dyDescent="0.2">
      <c r="A117" s="36" t="s">
        <v>408</v>
      </c>
      <c r="B117" s="230"/>
      <c r="C117" s="230"/>
      <c r="D117" s="164"/>
      <c r="E117" s="25"/>
      <c r="F117" s="230">
        <v>313690.71189999999</v>
      </c>
      <c r="G117" s="230">
        <v>2265051.3229200002</v>
      </c>
      <c r="H117" s="164">
        <f t="shared" si="29"/>
        <v>622.1</v>
      </c>
      <c r="I117" s="25">
        <f>IFERROR(100/'Skjema total MA'!F117*G117,0)</f>
        <v>13.533835721864763</v>
      </c>
      <c r="J117" s="282">
        <f t="shared" si="27"/>
        <v>313690.71189999999</v>
      </c>
      <c r="K117" s="42">
        <f t="shared" si="27"/>
        <v>2265051.3229200002</v>
      </c>
      <c r="L117" s="249">
        <f t="shared" si="28"/>
        <v>622.1</v>
      </c>
      <c r="M117" s="25">
        <f>IFERROR(100/'Skjema total MA'!I117*K117,0)</f>
        <v>13.533689386651213</v>
      </c>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v>23678.159059999998</v>
      </c>
      <c r="C119" s="157">
        <v>232739.92764000001</v>
      </c>
      <c r="D119" s="169">
        <f t="shared" si="26"/>
        <v>882.9</v>
      </c>
      <c r="E119" s="11">
        <f>IFERROR(100/'Skjema total MA'!C119*C119,0)</f>
        <v>41.447744806049045</v>
      </c>
      <c r="F119" s="300">
        <v>5743726.6056000004</v>
      </c>
      <c r="G119" s="157">
        <v>3715519.5946599999</v>
      </c>
      <c r="H119" s="169">
        <f t="shared" si="29"/>
        <v>-35.299999999999997</v>
      </c>
      <c r="I119" s="11">
        <f>IFERROR(100/'Skjema total MA'!F119*G119,0)</f>
        <v>11.625437262764265</v>
      </c>
      <c r="J119" s="301">
        <f t="shared" si="27"/>
        <v>5767404.7646600008</v>
      </c>
      <c r="K119" s="232">
        <f t="shared" si="27"/>
        <v>3948259.5222999998</v>
      </c>
      <c r="L119" s="414">
        <f t="shared" si="28"/>
        <v>-31.5</v>
      </c>
      <c r="M119" s="11">
        <f>IFERROR(100/'Skjema total MA'!I119*K119,0)</f>
        <v>12.140353857039909</v>
      </c>
    </row>
    <row r="120" spans="1:14" x14ac:dyDescent="0.2">
      <c r="A120" s="19" t="s">
        <v>9</v>
      </c>
      <c r="B120" s="230">
        <v>49.346490000000003</v>
      </c>
      <c r="C120" s="143">
        <v>658.12111000000004</v>
      </c>
      <c r="D120" s="164">
        <f t="shared" si="26"/>
        <v>999</v>
      </c>
      <c r="E120" s="25">
        <f>IFERROR(100/'Skjema total MA'!C120*C120,0)</f>
        <v>0.33391765743336166</v>
      </c>
      <c r="F120" s="230"/>
      <c r="G120" s="143"/>
      <c r="H120" s="164"/>
      <c r="I120" s="25"/>
      <c r="J120" s="282">
        <f t="shared" si="27"/>
        <v>49.346490000000003</v>
      </c>
      <c r="K120" s="42">
        <f t="shared" si="27"/>
        <v>658.12111000000004</v>
      </c>
      <c r="L120" s="249">
        <f t="shared" si="28"/>
        <v>999</v>
      </c>
      <c r="M120" s="25">
        <f>IFERROR(100/'Skjema total MA'!I120*K120,0)</f>
        <v>0.33391765743336166</v>
      </c>
    </row>
    <row r="121" spans="1:14" x14ac:dyDescent="0.2">
      <c r="A121" s="19" t="s">
        <v>10</v>
      </c>
      <c r="B121" s="230">
        <v>10249.906709999999</v>
      </c>
      <c r="C121" s="143">
        <v>5962.0209800000002</v>
      </c>
      <c r="D121" s="164">
        <f t="shared" si="26"/>
        <v>-41.8</v>
      </c>
      <c r="E121" s="25">
        <f>IFERROR(100/'Skjema total MA'!C121*C121,0)</f>
        <v>100</v>
      </c>
      <c r="F121" s="230">
        <v>5743726.6056000004</v>
      </c>
      <c r="G121" s="143">
        <v>3715519.5946599999</v>
      </c>
      <c r="H121" s="164">
        <f t="shared" si="29"/>
        <v>-35.299999999999997</v>
      </c>
      <c r="I121" s="25">
        <f>IFERROR(100/'Skjema total MA'!F121*G121,0)</f>
        <v>11.625437262764265</v>
      </c>
      <c r="J121" s="282">
        <f t="shared" si="27"/>
        <v>5753976.5123100001</v>
      </c>
      <c r="K121" s="42">
        <f t="shared" si="27"/>
        <v>3721481.61564</v>
      </c>
      <c r="L121" s="249">
        <f t="shared" si="28"/>
        <v>-35.299999999999997</v>
      </c>
      <c r="M121" s="25">
        <f>IFERROR(100/'Skjema total MA'!I121*K121,0)</f>
        <v>11.64192000666694</v>
      </c>
    </row>
    <row r="122" spans="1:14" x14ac:dyDescent="0.2">
      <c r="A122" s="19" t="s">
        <v>26</v>
      </c>
      <c r="B122" s="230">
        <v>13378.905860000001</v>
      </c>
      <c r="C122" s="143">
        <v>226119.78555</v>
      </c>
      <c r="D122" s="164">
        <f t="shared" si="26"/>
        <v>999</v>
      </c>
      <c r="E122" s="25">
        <f>IFERROR(100/'Skjema total MA'!C122*C122,0)</f>
        <v>63.078557972656768</v>
      </c>
      <c r="F122" s="230"/>
      <c r="G122" s="143"/>
      <c r="H122" s="164"/>
      <c r="I122" s="25"/>
      <c r="J122" s="282">
        <f t="shared" si="27"/>
        <v>13378.905860000001</v>
      </c>
      <c r="K122" s="42">
        <f t="shared" si="27"/>
        <v>226119.78555</v>
      </c>
      <c r="L122" s="249">
        <f t="shared" si="28"/>
        <v>999</v>
      </c>
      <c r="M122" s="25">
        <f>IFERROR(100/'Skjema total MA'!I122*K122,0)</f>
        <v>63.078557972656768</v>
      </c>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v>1907.2593899999999</v>
      </c>
      <c r="C125" s="230">
        <v>861.87797</v>
      </c>
      <c r="D125" s="164">
        <f t="shared" si="26"/>
        <v>-54.8</v>
      </c>
      <c r="E125" s="25">
        <f>IFERROR(100/'Skjema total MA'!C125*C125,0)</f>
        <v>100</v>
      </c>
      <c r="F125" s="230">
        <v>3692781.7275999999</v>
      </c>
      <c r="G125" s="230">
        <v>1734390.1970899999</v>
      </c>
      <c r="H125" s="164">
        <f t="shared" si="29"/>
        <v>-53</v>
      </c>
      <c r="I125" s="25">
        <f>IFERROR(100/'Skjema total MA'!F125*G125,0)</f>
        <v>10.525017001029875</v>
      </c>
      <c r="J125" s="282">
        <f t="shared" si="27"/>
        <v>3694688.9869899997</v>
      </c>
      <c r="K125" s="42">
        <f t="shared" si="27"/>
        <v>1735252.0750599999</v>
      </c>
      <c r="L125" s="249">
        <f t="shared" si="28"/>
        <v>-53</v>
      </c>
      <c r="M125" s="25">
        <f>IFERROR(100/'Skjema total MA'!I125*K125,0)</f>
        <v>10.529696514334601</v>
      </c>
    </row>
    <row r="126" spans="1:14" ht="15.75" x14ac:dyDescent="0.2">
      <c r="A126" s="10" t="s">
        <v>370</v>
      </c>
      <c r="B126" s="43">
        <v>0</v>
      </c>
      <c r="C126" s="43">
        <v>121.40765</v>
      </c>
      <c r="D126" s="165" t="str">
        <f t="shared" si="26"/>
        <v xml:space="preserve">    ---- </v>
      </c>
      <c r="E126" s="404">
        <f>IFERROR(100/'Skjema total MA'!C126*C126,0)</f>
        <v>100</v>
      </c>
      <c r="F126" s="43"/>
      <c r="G126" s="43"/>
      <c r="H126" s="165"/>
      <c r="I126" s="20"/>
      <c r="J126" s="283">
        <f t="shared" si="27"/>
        <v>0</v>
      </c>
      <c r="K126" s="43">
        <f t="shared" si="27"/>
        <v>121.40765</v>
      </c>
      <c r="L126" s="250" t="str">
        <f t="shared" si="28"/>
        <v xml:space="preserve">    ---- </v>
      </c>
      <c r="M126" s="20">
        <f>IFERROR(100/'Skjema total MA'!I126*K126,0)</f>
        <v>100</v>
      </c>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291"/>
      <c r="F130" s="707"/>
      <c r="G130" s="707"/>
      <c r="H130" s="707"/>
      <c r="I130" s="291"/>
      <c r="J130" s="707"/>
      <c r="K130" s="707"/>
      <c r="L130" s="707"/>
      <c r="M130" s="291"/>
    </row>
    <row r="131" spans="1:14" s="3" customFormat="1" x14ac:dyDescent="0.2">
      <c r="A131" s="142"/>
      <c r="B131" s="705" t="s">
        <v>0</v>
      </c>
      <c r="C131" s="706"/>
      <c r="D131" s="706"/>
      <c r="E131" s="293"/>
      <c r="F131" s="705" t="s">
        <v>1</v>
      </c>
      <c r="G131" s="706"/>
      <c r="H131" s="706"/>
      <c r="I131" s="296"/>
      <c r="J131" s="705" t="s">
        <v>2</v>
      </c>
      <c r="K131" s="706"/>
      <c r="L131" s="706"/>
      <c r="M131" s="296"/>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c r="C134" s="301"/>
      <c r="D134" s="341"/>
      <c r="E134" s="11"/>
      <c r="F134" s="308"/>
      <c r="G134" s="309"/>
      <c r="H134" s="417"/>
      <c r="I134" s="22"/>
      <c r="J134" s="310"/>
      <c r="K134" s="310"/>
      <c r="L134" s="413"/>
      <c r="M134" s="11"/>
      <c r="N134" s="146"/>
    </row>
    <row r="135" spans="1:14" s="3" customFormat="1" ht="15.75" x14ac:dyDescent="0.2">
      <c r="A135" s="13" t="s">
        <v>377</v>
      </c>
      <c r="B135" s="232"/>
      <c r="C135" s="301"/>
      <c r="D135" s="169"/>
      <c r="E135" s="11"/>
      <c r="F135" s="232"/>
      <c r="G135" s="301"/>
      <c r="H135" s="418"/>
      <c r="I135" s="22"/>
      <c r="J135" s="300"/>
      <c r="K135" s="300"/>
      <c r="L135" s="414"/>
      <c r="M135" s="11"/>
      <c r="N135" s="146"/>
    </row>
    <row r="136" spans="1:14" s="3" customFormat="1" ht="15.75" x14ac:dyDescent="0.2">
      <c r="A136" s="13" t="s">
        <v>374</v>
      </c>
      <c r="B136" s="232"/>
      <c r="C136" s="301"/>
      <c r="D136" s="169"/>
      <c r="E136" s="11"/>
      <c r="F136" s="232"/>
      <c r="G136" s="301"/>
      <c r="H136" s="418"/>
      <c r="I136" s="22"/>
      <c r="J136" s="300"/>
      <c r="K136" s="300"/>
      <c r="L136" s="414"/>
      <c r="M136" s="11"/>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277" priority="12">
      <formula>kvartal &lt; 4</formula>
    </cfRule>
  </conditionalFormatting>
  <conditionalFormatting sqref="A69:A74">
    <cfRule type="expression" dxfId="276" priority="10">
      <formula>kvartal &lt; 4</formula>
    </cfRule>
  </conditionalFormatting>
  <conditionalFormatting sqref="A80:A85">
    <cfRule type="expression" dxfId="275" priority="9">
      <formula>kvartal &lt; 4</formula>
    </cfRule>
  </conditionalFormatting>
  <conditionalFormatting sqref="A90:A95">
    <cfRule type="expression" dxfId="274" priority="6">
      <formula>kvartal &lt; 4</formula>
    </cfRule>
  </conditionalFormatting>
  <conditionalFormatting sqref="A101:A106">
    <cfRule type="expression" dxfId="273" priority="5">
      <formula>kvartal &lt; 4</formula>
    </cfRule>
  </conditionalFormatting>
  <conditionalFormatting sqref="A115">
    <cfRule type="expression" dxfId="272" priority="4">
      <formula>kvartal &lt; 4</formula>
    </cfRule>
  </conditionalFormatting>
  <conditionalFormatting sqref="A123">
    <cfRule type="expression" dxfId="271" priority="3">
      <formula>kvartal &lt; 4</formula>
    </cfRule>
  </conditionalFormatting>
  <pageMargins left="0.7" right="0.7" top="0.78740157499999996" bottom="0.78740157499999996"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30"/>
  <dimension ref="A1:N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244" t="s">
        <v>131</v>
      </c>
      <c r="D1" s="24"/>
      <c r="E1" s="24"/>
      <c r="F1" s="24"/>
      <c r="G1" s="24"/>
      <c r="H1" s="24"/>
      <c r="I1" s="24"/>
      <c r="J1" s="24"/>
      <c r="K1" s="24"/>
      <c r="L1" s="24"/>
      <c r="M1" s="24"/>
    </row>
    <row r="2" spans="1:14" ht="15.75" x14ac:dyDescent="0.25">
      <c r="A2" s="163" t="s">
        <v>28</v>
      </c>
      <c r="B2" s="704"/>
      <c r="C2" s="704"/>
      <c r="D2" s="704"/>
      <c r="E2" s="291"/>
      <c r="F2" s="704"/>
      <c r="G2" s="704"/>
      <c r="H2" s="704"/>
      <c r="I2" s="291"/>
      <c r="J2" s="704"/>
      <c r="K2" s="704"/>
      <c r="L2" s="704"/>
      <c r="M2" s="291"/>
    </row>
    <row r="3" spans="1:14" ht="15.75" x14ac:dyDescent="0.25">
      <c r="A3" s="161"/>
      <c r="B3" s="291"/>
      <c r="C3" s="291"/>
      <c r="D3" s="291"/>
      <c r="E3" s="291"/>
      <c r="F3" s="291"/>
      <c r="G3" s="291"/>
      <c r="H3" s="291"/>
      <c r="I3" s="291"/>
      <c r="J3" s="291"/>
      <c r="K3" s="291"/>
      <c r="L3" s="291"/>
      <c r="M3" s="291"/>
    </row>
    <row r="4" spans="1:14" x14ac:dyDescent="0.2">
      <c r="A4" s="142"/>
      <c r="B4" s="705" t="s">
        <v>0</v>
      </c>
      <c r="C4" s="706"/>
      <c r="D4" s="706"/>
      <c r="E4" s="293"/>
      <c r="F4" s="705" t="s">
        <v>1</v>
      </c>
      <c r="G4" s="706"/>
      <c r="H4" s="706"/>
      <c r="I4" s="296"/>
      <c r="J4" s="705" t="s">
        <v>2</v>
      </c>
      <c r="K4" s="706"/>
      <c r="L4" s="706"/>
      <c r="M4" s="296"/>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v>569513.46</v>
      </c>
      <c r="C7" s="299">
        <v>625231.96400000004</v>
      </c>
      <c r="D7" s="341">
        <f>IF(B7=0, "    ---- ", IF(ABS(ROUND(100/B7*C7-100,1))&lt;999,ROUND(100/B7*C7-100,1),IF(ROUND(100/B7*C7-100,1)&gt;999,999,-999)))</f>
        <v>9.8000000000000007</v>
      </c>
      <c r="E7" s="11">
        <f>IFERROR(100/'Skjema total MA'!C7*C7,0)</f>
        <v>15.686526454627646</v>
      </c>
      <c r="F7" s="298">
        <v>1278599.6810000001</v>
      </c>
      <c r="G7" s="299">
        <v>828882.55700000003</v>
      </c>
      <c r="H7" s="341">
        <f>IF(F7=0, "    ---- ", IF(ABS(ROUND(100/F7*G7-100,1))&lt;999,ROUND(100/F7*G7-100,1),IF(ROUND(100/F7*G7-100,1)&gt;999,999,-999)))</f>
        <v>-35.200000000000003</v>
      </c>
      <c r="I7" s="158">
        <f>IFERROR(100/'Skjema total MA'!F7*G7,0)</f>
        <v>11.492805969487293</v>
      </c>
      <c r="J7" s="300">
        <f t="shared" ref="J7:K12" si="0">SUM(B7,F7)</f>
        <v>1848113.1410000001</v>
      </c>
      <c r="K7" s="301">
        <f t="shared" si="0"/>
        <v>1454114.5210000002</v>
      </c>
      <c r="L7" s="413">
        <f>IF(J7=0, "    ---- ", IF(ABS(ROUND(100/J7*K7-100,1))&lt;999,ROUND(100/J7*K7-100,1),IF(ROUND(100/J7*K7-100,1)&gt;999,999,-999)))</f>
        <v>-21.3</v>
      </c>
      <c r="M7" s="11">
        <f>IFERROR(100/'Skjema total MA'!I7*K7,0)</f>
        <v>12.985512180392019</v>
      </c>
    </row>
    <row r="8" spans="1:14" ht="15.75" x14ac:dyDescent="0.2">
      <c r="A8" s="19" t="s">
        <v>25</v>
      </c>
      <c r="B8" s="276">
        <v>225175.57500000001</v>
      </c>
      <c r="C8" s="277">
        <v>222178.473</v>
      </c>
      <c r="D8" s="164">
        <f t="shared" ref="D8:D10" si="1">IF(B8=0, "    ---- ", IF(ABS(ROUND(100/B8*C8-100,1))&lt;999,ROUND(100/B8*C8-100,1),IF(ROUND(100/B8*C8-100,1)&gt;999,999,-999)))</f>
        <v>-1.3</v>
      </c>
      <c r="E8" s="25">
        <f>IFERROR(100/'Skjema total MA'!C8*C8,0)</f>
        <v>8.522355602362639</v>
      </c>
      <c r="F8" s="280"/>
      <c r="G8" s="281"/>
      <c r="H8" s="164"/>
      <c r="I8" s="172"/>
      <c r="J8" s="230">
        <f t="shared" si="0"/>
        <v>225175.57500000001</v>
      </c>
      <c r="K8" s="282">
        <f t="shared" si="0"/>
        <v>222178.473</v>
      </c>
      <c r="L8" s="164">
        <f t="shared" ref="L8:L9" si="2">IF(J8=0, "    ---- ", IF(ABS(ROUND(100/J8*K8-100,1))&lt;999,ROUND(100/J8*K8-100,1),IF(ROUND(100/J8*K8-100,1)&gt;999,999,-999)))</f>
        <v>-1.3</v>
      </c>
      <c r="M8" s="25">
        <f>IFERROR(100/'Skjema total MA'!I8*K8,0)</f>
        <v>8.522355602362639</v>
      </c>
    </row>
    <row r="9" spans="1:14" ht="15.75" x14ac:dyDescent="0.2">
      <c r="A9" s="19" t="s">
        <v>24</v>
      </c>
      <c r="B9" s="276">
        <v>42124.925999999999</v>
      </c>
      <c r="C9" s="277">
        <v>59576.911</v>
      </c>
      <c r="D9" s="164">
        <f t="shared" si="1"/>
        <v>41.4</v>
      </c>
      <c r="E9" s="25">
        <f>IFERROR(100/'Skjema total MA'!C9*C9,0)</f>
        <v>7.3451253660436002</v>
      </c>
      <c r="F9" s="280"/>
      <c r="G9" s="281"/>
      <c r="H9" s="164"/>
      <c r="I9" s="172"/>
      <c r="J9" s="230">
        <f t="shared" si="0"/>
        <v>42124.925999999999</v>
      </c>
      <c r="K9" s="282">
        <f t="shared" si="0"/>
        <v>59576.911</v>
      </c>
      <c r="L9" s="164">
        <f t="shared" si="2"/>
        <v>41.4</v>
      </c>
      <c r="M9" s="25">
        <f>IFERROR(100/'Skjema total MA'!I9*K9,0)</f>
        <v>7.3451253660436002</v>
      </c>
    </row>
    <row r="10" spans="1:14" ht="15.75" x14ac:dyDescent="0.2">
      <c r="A10" s="13" t="s">
        <v>350</v>
      </c>
      <c r="B10" s="302">
        <v>4041340.5350000001</v>
      </c>
      <c r="C10" s="303">
        <v>4281438.4419999998</v>
      </c>
      <c r="D10" s="169">
        <f t="shared" si="1"/>
        <v>5.9</v>
      </c>
      <c r="E10" s="11">
        <f>IFERROR(100/'Skjema total MA'!C10*C10,0)</f>
        <v>27.215421371029851</v>
      </c>
      <c r="F10" s="302">
        <v>10467709.646</v>
      </c>
      <c r="G10" s="303">
        <v>9983828.1349999998</v>
      </c>
      <c r="H10" s="169">
        <f t="shared" ref="H10:H12" si="3">IF(F10=0, "    ---- ", IF(ABS(ROUND(100/F10*G10-100,1))&lt;999,ROUND(100/F10*G10-100,1),IF(ROUND(100/F10*G10-100,1)&gt;999,999,-999)))</f>
        <v>-4.5999999999999996</v>
      </c>
      <c r="I10" s="158">
        <f>IFERROR(100/'Skjema total MA'!F10*G10,0)</f>
        <v>14.473612842543533</v>
      </c>
      <c r="J10" s="300">
        <f t="shared" si="0"/>
        <v>14509050.181</v>
      </c>
      <c r="K10" s="301">
        <f t="shared" si="0"/>
        <v>14265266.577</v>
      </c>
      <c r="L10" s="414">
        <f t="shared" ref="L10:L12" si="4">IF(J10=0, "    ---- ", IF(ABS(ROUND(100/J10*K10-100,1))&lt;999,ROUND(100/J10*K10-100,1),IF(ROUND(100/J10*K10-100,1)&gt;999,999,-999)))</f>
        <v>-1.7</v>
      </c>
      <c r="M10" s="11">
        <f>IFERROR(100/'Skjema total MA'!I10*K10,0)</f>
        <v>16.839886596986045</v>
      </c>
    </row>
    <row r="11" spans="1:14" s="41" customFormat="1" ht="15.75" x14ac:dyDescent="0.2">
      <c r="A11" s="13" t="s">
        <v>351</v>
      </c>
      <c r="B11" s="302"/>
      <c r="C11" s="303"/>
      <c r="D11" s="169"/>
      <c r="E11" s="11"/>
      <c r="F11" s="302">
        <v>7435.6890000000003</v>
      </c>
      <c r="G11" s="303">
        <v>24052.868999999999</v>
      </c>
      <c r="H11" s="169">
        <f t="shared" si="3"/>
        <v>223.5</v>
      </c>
      <c r="I11" s="158">
        <f>IFERROR(100/'Skjema total MA'!F11*G11,0)</f>
        <v>14.228936420614188</v>
      </c>
      <c r="J11" s="300">
        <f t="shared" si="0"/>
        <v>7435.6890000000003</v>
      </c>
      <c r="K11" s="301">
        <f t="shared" si="0"/>
        <v>24052.868999999999</v>
      </c>
      <c r="L11" s="414">
        <f t="shared" si="4"/>
        <v>223.5</v>
      </c>
      <c r="M11" s="11">
        <f>IFERROR(100/'Skjema total MA'!I11*K11,0)</f>
        <v>11.920406548608756</v>
      </c>
      <c r="N11" s="141"/>
    </row>
    <row r="12" spans="1:14" s="41" customFormat="1" ht="15.75" x14ac:dyDescent="0.2">
      <c r="A12" s="39" t="s">
        <v>352</v>
      </c>
      <c r="B12" s="304"/>
      <c r="C12" s="305"/>
      <c r="D12" s="167"/>
      <c r="E12" s="34"/>
      <c r="F12" s="304">
        <v>24785.491999999998</v>
      </c>
      <c r="G12" s="305">
        <v>15278.293</v>
      </c>
      <c r="H12" s="167">
        <f t="shared" si="3"/>
        <v>-38.4</v>
      </c>
      <c r="I12" s="167">
        <f>IFERROR(100/'Skjema total MA'!F12*G12,0)</f>
        <v>11.546296218505574</v>
      </c>
      <c r="J12" s="306">
        <f t="shared" si="0"/>
        <v>24785.491999999998</v>
      </c>
      <c r="K12" s="307">
        <f t="shared" si="0"/>
        <v>15278.293</v>
      </c>
      <c r="L12" s="415">
        <f t="shared" si="4"/>
        <v>-38.4</v>
      </c>
      <c r="M12" s="34">
        <f>IFERROR(100/'Skjema total MA'!I12*K12,0)</f>
        <v>11.296917507944181</v>
      </c>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291"/>
      <c r="F18" s="707"/>
      <c r="G18" s="707"/>
      <c r="H18" s="707"/>
      <c r="I18" s="291"/>
      <c r="J18" s="707"/>
      <c r="K18" s="707"/>
      <c r="L18" s="707"/>
      <c r="M18" s="291"/>
    </row>
    <row r="19" spans="1:14" x14ac:dyDescent="0.2">
      <c r="A19" s="142"/>
      <c r="B19" s="705" t="s">
        <v>0</v>
      </c>
      <c r="C19" s="706"/>
      <c r="D19" s="706"/>
      <c r="E19" s="293"/>
      <c r="F19" s="705" t="s">
        <v>1</v>
      </c>
      <c r="G19" s="706"/>
      <c r="H19" s="706"/>
      <c r="I19" s="296"/>
      <c r="J19" s="705" t="s">
        <v>2</v>
      </c>
      <c r="K19" s="706"/>
      <c r="L19" s="706"/>
      <c r="M19" s="296"/>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302">
        <v>5203.2190000000001</v>
      </c>
      <c r="C22" s="302">
        <v>4786.3630000000003</v>
      </c>
      <c r="D22" s="341">
        <f t="shared" ref="D22:D37" si="5">IF(B22=0, "    ---- ", IF(ABS(ROUND(100/B22*C22-100,1))&lt;999,ROUND(100/B22*C22-100,1),IF(ROUND(100/B22*C22-100,1)&gt;999,999,-999)))</f>
        <v>-8</v>
      </c>
      <c r="E22" s="11">
        <f>IFERROR(100/'Skjema total MA'!C22*C22,0)</f>
        <v>0.28540287227400285</v>
      </c>
      <c r="F22" s="310">
        <v>348652.99200000003</v>
      </c>
      <c r="G22" s="310">
        <v>189697.364</v>
      </c>
      <c r="H22" s="341">
        <f t="shared" ref="H22:H35" si="6">IF(F22=0, "    ---- ", IF(ABS(ROUND(100/F22*G22-100,1))&lt;999,ROUND(100/F22*G22-100,1),IF(ROUND(100/F22*G22-100,1)&gt;999,999,-999)))</f>
        <v>-45.6</v>
      </c>
      <c r="I22" s="11">
        <f>IFERROR(100/'Skjema total MA'!F22*G22,0)</f>
        <v>26.953330590019704</v>
      </c>
      <c r="J22" s="308">
        <f t="shared" ref="J22:K35" si="7">SUM(B22,F22)</f>
        <v>353856.21100000001</v>
      </c>
      <c r="K22" s="308">
        <f t="shared" si="7"/>
        <v>194483.72700000001</v>
      </c>
      <c r="L22" s="413">
        <f t="shared" ref="L22:L35" si="8">IF(J22=0, "    ---- ", IF(ABS(ROUND(100/J22*K22-100,1))&lt;999,ROUND(100/J22*K22-100,1),IF(ROUND(100/J22*K22-100,1)&gt;999,999,-999)))</f>
        <v>-45</v>
      </c>
      <c r="M22" s="22">
        <f>IFERROR(100/'Skjema total MA'!I22*K22,0)</f>
        <v>8.1686530488243463</v>
      </c>
    </row>
    <row r="23" spans="1:14" ht="15.75" x14ac:dyDescent="0.2">
      <c r="A23" s="496" t="s">
        <v>353</v>
      </c>
      <c r="B23" s="276">
        <v>741.35500000000002</v>
      </c>
      <c r="C23" s="276">
        <v>666.88499999999999</v>
      </c>
      <c r="D23" s="164">
        <f t="shared" si="5"/>
        <v>-10</v>
      </c>
      <c r="E23" s="11">
        <f>IFERROR(100/'Skjema total MA'!C23*C23,0)</f>
        <v>0.10994973121211603</v>
      </c>
      <c r="F23" s="285">
        <v>53774.353999999999</v>
      </c>
      <c r="G23" s="285">
        <v>23616.096000000001</v>
      </c>
      <c r="H23" s="164">
        <f t="shared" si="6"/>
        <v>-56.1</v>
      </c>
      <c r="I23" s="403">
        <f>IFERROR(100/'Skjema total MA'!F23*G23,0)</f>
        <v>32.445485297561078</v>
      </c>
      <c r="J23" s="285">
        <f t="shared" ref="J23:J26" si="9">SUM(B23,F23)</f>
        <v>54515.709000000003</v>
      </c>
      <c r="K23" s="285">
        <f t="shared" ref="K23:K26" si="10">SUM(C23,G23)</f>
        <v>24282.981</v>
      </c>
      <c r="L23" s="164">
        <f t="shared" si="8"/>
        <v>-55.5</v>
      </c>
      <c r="M23" s="21">
        <f>IFERROR(100/'Skjema total MA'!I23*K23,0)</f>
        <v>3.5745839952691991</v>
      </c>
    </row>
    <row r="24" spans="1:14" ht="15.75" x14ac:dyDescent="0.2">
      <c r="A24" s="496" t="s">
        <v>354</v>
      </c>
      <c r="B24" s="276">
        <v>4461.8639999999996</v>
      </c>
      <c r="C24" s="276">
        <v>4119.4780000000001</v>
      </c>
      <c r="D24" s="164">
        <f t="shared" si="5"/>
        <v>-7.7</v>
      </c>
      <c r="E24" s="11">
        <f>IFERROR(100/'Skjema total MA'!C24*C24,0)</f>
        <v>26.507117201551527</v>
      </c>
      <c r="F24" s="285"/>
      <c r="G24" s="285"/>
      <c r="H24" s="164"/>
      <c r="I24" s="403"/>
      <c r="J24" s="285">
        <f t="shared" si="9"/>
        <v>4461.8639999999996</v>
      </c>
      <c r="K24" s="285">
        <f t="shared" si="10"/>
        <v>4119.4780000000001</v>
      </c>
      <c r="L24" s="164">
        <f t="shared" si="8"/>
        <v>-7.7</v>
      </c>
      <c r="M24" s="21">
        <f>IFERROR(100/'Skjema total MA'!I24*K24,0)</f>
        <v>24.855471674442189</v>
      </c>
    </row>
    <row r="25" spans="1:14" ht="15.75" x14ac:dyDescent="0.2">
      <c r="A25" s="496" t="s">
        <v>355</v>
      </c>
      <c r="B25" s="276"/>
      <c r="C25" s="276"/>
      <c r="D25" s="164"/>
      <c r="E25" s="11"/>
      <c r="F25" s="285">
        <v>185.99100000000001</v>
      </c>
      <c r="G25" s="285">
        <v>156.35</v>
      </c>
      <c r="H25" s="164">
        <f t="shared" si="6"/>
        <v>-15.9</v>
      </c>
      <c r="I25" s="403">
        <f>IFERROR(100/'Skjema total MA'!F25*G25,0)</f>
        <v>1.189537745061656</v>
      </c>
      <c r="J25" s="285">
        <f t="shared" si="9"/>
        <v>185.99100000000001</v>
      </c>
      <c r="K25" s="285">
        <f t="shared" si="10"/>
        <v>156.35</v>
      </c>
      <c r="L25" s="164">
        <f t="shared" si="8"/>
        <v>-15.9</v>
      </c>
      <c r="M25" s="21">
        <f>IFERROR(100/'Skjema total MA'!I25*K25,0)</f>
        <v>0.45559498860257092</v>
      </c>
    </row>
    <row r="26" spans="1:14" ht="15.75" x14ac:dyDescent="0.2">
      <c r="A26" s="496" t="s">
        <v>356</v>
      </c>
      <c r="B26" s="276"/>
      <c r="C26" s="276"/>
      <c r="D26" s="164"/>
      <c r="E26" s="11"/>
      <c r="F26" s="285">
        <v>294692.647</v>
      </c>
      <c r="G26" s="285">
        <v>165924.91800000001</v>
      </c>
      <c r="H26" s="164">
        <f t="shared" si="6"/>
        <v>-43.7</v>
      </c>
      <c r="I26" s="403">
        <f>IFERROR(100/'Skjema total MA'!F26*G26,0)</f>
        <v>26.899362249594432</v>
      </c>
      <c r="J26" s="285">
        <f t="shared" si="9"/>
        <v>294692.647</v>
      </c>
      <c r="K26" s="285">
        <f t="shared" si="10"/>
        <v>165924.91800000001</v>
      </c>
      <c r="L26" s="164">
        <f t="shared" si="8"/>
        <v>-43.7</v>
      </c>
      <c r="M26" s="21">
        <f>IFERROR(100/'Skjema total MA'!I26*K26,0)</f>
        <v>26.899362249594432</v>
      </c>
    </row>
    <row r="27" spans="1:14" x14ac:dyDescent="0.2">
      <c r="A27" s="496" t="s">
        <v>11</v>
      </c>
      <c r="B27" s="276"/>
      <c r="C27" s="276"/>
      <c r="D27" s="164"/>
      <c r="E27" s="11"/>
      <c r="F27" s="285"/>
      <c r="G27" s="285"/>
      <c r="H27" s="164"/>
      <c r="I27" s="403"/>
      <c r="J27" s="285"/>
      <c r="K27" s="285"/>
      <c r="L27" s="164"/>
      <c r="M27" s="21"/>
    </row>
    <row r="28" spans="1:14" ht="15.75" x14ac:dyDescent="0.2">
      <c r="A28" s="47" t="s">
        <v>271</v>
      </c>
      <c r="B28" s="42">
        <v>164744.698</v>
      </c>
      <c r="C28" s="282">
        <v>190738.45800000001</v>
      </c>
      <c r="D28" s="164">
        <f t="shared" si="5"/>
        <v>15.8</v>
      </c>
      <c r="E28" s="11">
        <f>IFERROR(100/'Skjema total MA'!C28*C28,0)</f>
        <v>10.13167637866184</v>
      </c>
      <c r="F28" s="230"/>
      <c r="G28" s="282"/>
      <c r="H28" s="164"/>
      <c r="I28" s="25"/>
      <c r="J28" s="42">
        <f t="shared" si="7"/>
        <v>164744.698</v>
      </c>
      <c r="K28" s="42">
        <f t="shared" si="7"/>
        <v>190738.45800000001</v>
      </c>
      <c r="L28" s="249">
        <f t="shared" si="8"/>
        <v>15.8</v>
      </c>
      <c r="M28" s="21">
        <f>IFERROR(100/'Skjema total MA'!I28*K28,0)</f>
        <v>10.13167637866184</v>
      </c>
    </row>
    <row r="29" spans="1:14" s="3" customFormat="1" ht="15.75" x14ac:dyDescent="0.2">
      <c r="A29" s="13" t="s">
        <v>350</v>
      </c>
      <c r="B29" s="232">
        <v>8512793.9480000008</v>
      </c>
      <c r="C29" s="232">
        <v>7910754.0820000004</v>
      </c>
      <c r="D29" s="169">
        <f t="shared" si="5"/>
        <v>-7.1</v>
      </c>
      <c r="E29" s="11">
        <f>IFERROR(100/'Skjema total MA'!C29*C29,0)</f>
        <v>17.748461437321954</v>
      </c>
      <c r="F29" s="300">
        <v>6389676.5640000002</v>
      </c>
      <c r="G29" s="300">
        <v>5977126.3329999996</v>
      </c>
      <c r="H29" s="169">
        <f t="shared" si="6"/>
        <v>-6.5</v>
      </c>
      <c r="I29" s="11">
        <f>IFERROR(100/'Skjema total MA'!F29*G29,0)</f>
        <v>25.872956038363377</v>
      </c>
      <c r="J29" s="232">
        <f t="shared" si="7"/>
        <v>14902470.512000002</v>
      </c>
      <c r="K29" s="232">
        <f t="shared" si="7"/>
        <v>13887880.414999999</v>
      </c>
      <c r="L29" s="414">
        <f t="shared" si="8"/>
        <v>-6.8</v>
      </c>
      <c r="M29" s="22">
        <f>IFERROR(100/'Skjema total MA'!I29*K29,0)</f>
        <v>20.521942738950294</v>
      </c>
      <c r="N29" s="146"/>
    </row>
    <row r="30" spans="1:14" s="3" customFormat="1" ht="15.75" x14ac:dyDescent="0.2">
      <c r="A30" s="496" t="s">
        <v>353</v>
      </c>
      <c r="B30" s="276">
        <v>1212903.4169999999</v>
      </c>
      <c r="C30" s="276">
        <v>1102206.9099999999</v>
      </c>
      <c r="D30" s="164">
        <f t="shared" si="5"/>
        <v>-9.1</v>
      </c>
      <c r="E30" s="11">
        <f>IFERROR(100/'Skjema total MA'!C30*C30,0)</f>
        <v>11.261653700773524</v>
      </c>
      <c r="F30" s="285">
        <v>562143.88100000005</v>
      </c>
      <c r="G30" s="285">
        <v>498789.08599999902</v>
      </c>
      <c r="H30" s="164">
        <f t="shared" si="6"/>
        <v>-11.3</v>
      </c>
      <c r="I30" s="403">
        <f>IFERROR(100/'Skjema total MA'!F30*G30,0)</f>
        <v>14.593004583778214</v>
      </c>
      <c r="J30" s="285">
        <f t="shared" ref="J30:J33" si="11">SUM(B30,F30)</f>
        <v>1775047.298</v>
      </c>
      <c r="K30" s="285">
        <f t="shared" ref="K30:K33" si="12">SUM(C30,G30)</f>
        <v>1600995.9959999989</v>
      </c>
      <c r="L30" s="164">
        <f t="shared" si="8"/>
        <v>-9.8000000000000007</v>
      </c>
      <c r="M30" s="21">
        <f>IFERROR(100/'Skjema total MA'!I30*K30,0)</f>
        <v>12.123928561087276</v>
      </c>
      <c r="N30" s="146"/>
    </row>
    <row r="31" spans="1:14" s="3" customFormat="1" ht="15.75" x14ac:dyDescent="0.2">
      <c r="A31" s="496" t="s">
        <v>354</v>
      </c>
      <c r="B31" s="276">
        <v>7299890.5310000004</v>
      </c>
      <c r="C31" s="276">
        <v>6808547.1720000003</v>
      </c>
      <c r="D31" s="164">
        <f t="shared" si="5"/>
        <v>-6.7</v>
      </c>
      <c r="E31" s="11">
        <f>IFERROR(100/'Skjema total MA'!C31*C31,0)</f>
        <v>27.117671692537574</v>
      </c>
      <c r="F31" s="285">
        <v>1723980.632</v>
      </c>
      <c r="G31" s="285">
        <v>1390415.8419999999</v>
      </c>
      <c r="H31" s="164">
        <f t="shared" si="6"/>
        <v>-19.3</v>
      </c>
      <c r="I31" s="403">
        <f>IFERROR(100/'Skjema total MA'!F31*G31,0)</f>
        <v>18.433669537729926</v>
      </c>
      <c r="J31" s="285">
        <f t="shared" si="11"/>
        <v>9023871.1630000006</v>
      </c>
      <c r="K31" s="285">
        <f t="shared" si="12"/>
        <v>8198963.0140000004</v>
      </c>
      <c r="L31" s="164">
        <f t="shared" si="8"/>
        <v>-9.1</v>
      </c>
      <c r="M31" s="21">
        <f>IFERROR(100/'Skjema total MA'!I31*K31,0)</f>
        <v>25.111506577505967</v>
      </c>
      <c r="N31" s="146"/>
    </row>
    <row r="32" spans="1:14" ht="15.75" x14ac:dyDescent="0.2">
      <c r="A32" s="496" t="s">
        <v>355</v>
      </c>
      <c r="B32" s="276"/>
      <c r="C32" s="276"/>
      <c r="D32" s="164"/>
      <c r="E32" s="11"/>
      <c r="F32" s="285">
        <v>1964554.682</v>
      </c>
      <c r="G32" s="285">
        <v>1836835.9750000001</v>
      </c>
      <c r="H32" s="164">
        <f t="shared" si="6"/>
        <v>-6.5</v>
      </c>
      <c r="I32" s="403">
        <f>IFERROR(100/'Skjema total MA'!F32*G32,0)</f>
        <v>35.436952538053497</v>
      </c>
      <c r="J32" s="285">
        <f t="shared" si="11"/>
        <v>1964554.682</v>
      </c>
      <c r="K32" s="285">
        <f t="shared" si="12"/>
        <v>1836835.9750000001</v>
      </c>
      <c r="L32" s="164">
        <f t="shared" si="8"/>
        <v>-6.5</v>
      </c>
      <c r="M32" s="21">
        <f>IFERROR(100/'Skjema total MA'!I32*K32,0)</f>
        <v>24.052919439506844</v>
      </c>
    </row>
    <row r="33" spans="1:14" ht="15.75" x14ac:dyDescent="0.2">
      <c r="A33" s="496" t="s">
        <v>356</v>
      </c>
      <c r="B33" s="276"/>
      <c r="C33" s="276"/>
      <c r="D33" s="164"/>
      <c r="E33" s="11"/>
      <c r="F33" s="285">
        <v>2138997.3689999999</v>
      </c>
      <c r="G33" s="285">
        <v>2251085.4300000002</v>
      </c>
      <c r="H33" s="164">
        <f t="shared" si="6"/>
        <v>5.2</v>
      </c>
      <c r="I33" s="403">
        <f>IFERROR(100/'Skjema total MA'!F34*G33,0)</f>
        <v>3270.0220372091412</v>
      </c>
      <c r="J33" s="285">
        <f t="shared" si="11"/>
        <v>2138997.3689999999</v>
      </c>
      <c r="K33" s="285">
        <f t="shared" si="12"/>
        <v>2251085.4300000002</v>
      </c>
      <c r="L33" s="164">
        <f t="shared" si="8"/>
        <v>5.2</v>
      </c>
      <c r="M33" s="21">
        <f>IFERROR(100/'Skjema total MA'!I34*K33,0)</f>
        <v>2447.3044526935159</v>
      </c>
    </row>
    <row r="34" spans="1:14" ht="15.75" x14ac:dyDescent="0.2">
      <c r="A34" s="13" t="s">
        <v>351</v>
      </c>
      <c r="B34" s="232">
        <v>8618.1450000000004</v>
      </c>
      <c r="C34" s="301">
        <v>7550.7030000000004</v>
      </c>
      <c r="D34" s="169">
        <f t="shared" si="5"/>
        <v>-12.4</v>
      </c>
      <c r="E34" s="11">
        <f>IFERROR(100/'Skjema total MA'!C34*C34,0)</f>
        <v>32.62746338141887</v>
      </c>
      <c r="F34" s="300">
        <v>15464.864</v>
      </c>
      <c r="G34" s="301">
        <v>8195.6880000000001</v>
      </c>
      <c r="H34" s="169">
        <f t="shared" si="6"/>
        <v>-47</v>
      </c>
      <c r="I34" s="11">
        <f>IFERROR(100/'Skjema total MA'!F34*G34,0)</f>
        <v>11.905403505761445</v>
      </c>
      <c r="J34" s="232">
        <f t="shared" si="7"/>
        <v>24083.008999999998</v>
      </c>
      <c r="K34" s="232">
        <f t="shared" si="7"/>
        <v>15746.391</v>
      </c>
      <c r="L34" s="414">
        <f t="shared" si="8"/>
        <v>-34.6</v>
      </c>
      <c r="M34" s="22">
        <f>IFERROR(100/'Skjema total MA'!I34*K34,0)</f>
        <v>17.118947284090012</v>
      </c>
    </row>
    <row r="35" spans="1:14" ht="15.75" x14ac:dyDescent="0.2">
      <c r="A35" s="13" t="s">
        <v>352</v>
      </c>
      <c r="B35" s="232">
        <v>641.99599999999998</v>
      </c>
      <c r="C35" s="301">
        <v>0</v>
      </c>
      <c r="D35" s="169">
        <f t="shared" si="5"/>
        <v>-100</v>
      </c>
      <c r="E35" s="11">
        <f>IFERROR(100/'Skjema total MA'!C35*C35,0)</f>
        <v>0</v>
      </c>
      <c r="F35" s="300">
        <v>30903.554</v>
      </c>
      <c r="G35" s="301">
        <v>13391.159</v>
      </c>
      <c r="H35" s="169">
        <f t="shared" si="6"/>
        <v>-56.7</v>
      </c>
      <c r="I35" s="11">
        <f>IFERROR(100/'Skjema total MA'!F35*G35,0)</f>
        <v>17.626971409650505</v>
      </c>
      <c r="J35" s="232">
        <f t="shared" si="7"/>
        <v>31545.55</v>
      </c>
      <c r="K35" s="232">
        <f t="shared" si="7"/>
        <v>13391.159</v>
      </c>
      <c r="L35" s="414">
        <f t="shared" si="8"/>
        <v>-57.5</v>
      </c>
      <c r="M35" s="22">
        <f>IFERROR(100/'Skjema total MA'!I35*K35,0)</f>
        <v>24.231014006717629</v>
      </c>
    </row>
    <row r="36" spans="1:14" ht="15.75" x14ac:dyDescent="0.2">
      <c r="A36" s="12" t="s">
        <v>279</v>
      </c>
      <c r="B36" s="232">
        <v>64.135000000000005</v>
      </c>
      <c r="C36" s="301">
        <v>68.897999999999996</v>
      </c>
      <c r="D36" s="169">
        <f t="shared" si="5"/>
        <v>7.4</v>
      </c>
      <c r="E36" s="11">
        <f>IFERROR(100/'Skjema total MA'!C36*C36,0)</f>
        <v>2.6197974218011493</v>
      </c>
      <c r="F36" s="311"/>
      <c r="G36" s="312"/>
      <c r="H36" s="169"/>
      <c r="I36" s="420"/>
      <c r="J36" s="232">
        <f t="shared" ref="J36:J37" si="13">SUM(B36,F36)</f>
        <v>64.135000000000005</v>
      </c>
      <c r="K36" s="232">
        <f t="shared" ref="K36:K37" si="14">SUM(C36,G36)</f>
        <v>68.897999999999996</v>
      </c>
      <c r="L36" s="414"/>
      <c r="M36" s="22">
        <f>IFERROR(100/'Skjema total MA'!I36*K36,0)</f>
        <v>2.6197974218011493</v>
      </c>
    </row>
    <row r="37" spans="1:14" ht="15.75" x14ac:dyDescent="0.2">
      <c r="A37" s="12" t="s">
        <v>358</v>
      </c>
      <c r="B37" s="232">
        <v>444384.97100000002</v>
      </c>
      <c r="C37" s="301">
        <v>429750.12800000003</v>
      </c>
      <c r="D37" s="169">
        <f t="shared" si="5"/>
        <v>-3.3</v>
      </c>
      <c r="E37" s="11">
        <f>IFERROR(100/'Skjema total MA'!C37*C37,0)</f>
        <v>14.367522844725702</v>
      </c>
      <c r="F37" s="311"/>
      <c r="G37" s="313"/>
      <c r="H37" s="169"/>
      <c r="I37" s="420"/>
      <c r="J37" s="232">
        <f t="shared" si="13"/>
        <v>444384.97100000002</v>
      </c>
      <c r="K37" s="232">
        <f t="shared" si="14"/>
        <v>429750.12800000003</v>
      </c>
      <c r="L37" s="414"/>
      <c r="M37" s="22">
        <f>IFERROR(100/'Skjema total MA'!I37*K37,0)</f>
        <v>14.367522844725702</v>
      </c>
    </row>
    <row r="38" spans="1:14" ht="15.75" x14ac:dyDescent="0.2">
      <c r="A38" s="12" t="s">
        <v>359</v>
      </c>
      <c r="B38" s="232"/>
      <c r="C38" s="301"/>
      <c r="D38" s="169"/>
      <c r="E38" s="22"/>
      <c r="F38" s="311"/>
      <c r="G38" s="312"/>
      <c r="H38" s="169"/>
      <c r="I38" s="420"/>
      <c r="J38" s="232"/>
      <c r="K38" s="232"/>
      <c r="L38" s="414"/>
      <c r="M38" s="22"/>
    </row>
    <row r="39" spans="1:14" ht="15.75" x14ac:dyDescent="0.2">
      <c r="A39" s="18" t="s">
        <v>360</v>
      </c>
      <c r="B39" s="271"/>
      <c r="C39" s="307"/>
      <c r="D39" s="167"/>
      <c r="E39" s="34"/>
      <c r="F39" s="314"/>
      <c r="G39" s="315"/>
      <c r="H39" s="167"/>
      <c r="I39" s="34"/>
      <c r="J39" s="232"/>
      <c r="K39" s="232"/>
      <c r="L39" s="415"/>
      <c r="M39" s="34"/>
    </row>
    <row r="40" spans="1:14" ht="15.75" x14ac:dyDescent="0.25">
      <c r="A40" s="45"/>
      <c r="B40" s="248"/>
      <c r="C40" s="248"/>
      <c r="D40" s="708"/>
      <c r="E40" s="708"/>
      <c r="F40" s="708"/>
      <c r="G40" s="708"/>
      <c r="H40" s="708"/>
      <c r="I40" s="708"/>
      <c r="J40" s="708"/>
      <c r="K40" s="708"/>
      <c r="L40" s="708"/>
      <c r="M40" s="294"/>
    </row>
    <row r="41" spans="1:14" x14ac:dyDescent="0.2">
      <c r="A41" s="153"/>
    </row>
    <row r="42" spans="1:14" ht="15.75" x14ac:dyDescent="0.25">
      <c r="A42" s="145" t="s">
        <v>268</v>
      </c>
      <c r="B42" s="704"/>
      <c r="C42" s="704"/>
      <c r="D42" s="704"/>
      <c r="E42" s="291"/>
      <c r="F42" s="709"/>
      <c r="G42" s="709"/>
      <c r="H42" s="709"/>
      <c r="I42" s="294"/>
      <c r="J42" s="709"/>
      <c r="K42" s="709"/>
      <c r="L42" s="709"/>
      <c r="M42" s="294"/>
    </row>
    <row r="43" spans="1:14" ht="15.75" x14ac:dyDescent="0.25">
      <c r="A43" s="161"/>
      <c r="B43" s="295"/>
      <c r="C43" s="295"/>
      <c r="D43" s="295"/>
      <c r="E43" s="295"/>
      <c r="F43" s="294"/>
      <c r="G43" s="294"/>
      <c r="H43" s="294"/>
      <c r="I43" s="294"/>
      <c r="J43" s="294"/>
      <c r="K43" s="294"/>
      <c r="L43" s="294"/>
      <c r="M43" s="294"/>
    </row>
    <row r="44" spans="1:14" ht="15.75" x14ac:dyDescent="0.25">
      <c r="A44" s="243"/>
      <c r="B44" s="705" t="s">
        <v>0</v>
      </c>
      <c r="C44" s="706"/>
      <c r="D44" s="706"/>
      <c r="E44" s="239"/>
      <c r="F44" s="294"/>
      <c r="G44" s="294"/>
      <c r="H44" s="294"/>
      <c r="I44" s="294"/>
      <c r="J44" s="294"/>
      <c r="K44" s="294"/>
      <c r="L44" s="294"/>
      <c r="M44" s="294"/>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v>674010.83100000001</v>
      </c>
      <c r="C47" s="303">
        <v>773910.52899999998</v>
      </c>
      <c r="D47" s="413">
        <f t="shared" ref="D47:D57" si="15">IF(B47=0, "    ---- ", IF(ABS(ROUND(100/B47*C47-100,1))&lt;999,ROUND(100/B47*C47-100,1),IF(ROUND(100/B47*C47-100,1)&gt;999,999,-999)))</f>
        <v>14.8</v>
      </c>
      <c r="E47" s="11">
        <f>IFERROR(100/'Skjema total MA'!C47*C47,0)</f>
        <v>15.916156446199045</v>
      </c>
      <c r="F47" s="143"/>
      <c r="G47" s="31"/>
      <c r="H47" s="157"/>
      <c r="I47" s="157"/>
      <c r="J47" s="35"/>
      <c r="K47" s="35"/>
      <c r="L47" s="157"/>
      <c r="M47" s="157"/>
      <c r="N47" s="146"/>
    </row>
    <row r="48" spans="1:14" s="3" customFormat="1" ht="15.75" x14ac:dyDescent="0.2">
      <c r="A48" s="36" t="s">
        <v>361</v>
      </c>
      <c r="B48" s="276">
        <v>232104.098</v>
      </c>
      <c r="C48" s="277">
        <v>267907.76199999999</v>
      </c>
      <c r="D48" s="249">
        <f t="shared" si="15"/>
        <v>15.4</v>
      </c>
      <c r="E48" s="25">
        <f>IFERROR(100/'Skjema total MA'!C48*C48,0)</f>
        <v>9.8785754401217467</v>
      </c>
      <c r="F48" s="143"/>
      <c r="G48" s="31"/>
      <c r="H48" s="143"/>
      <c r="I48" s="143"/>
      <c r="J48" s="31"/>
      <c r="K48" s="31"/>
      <c r="L48" s="157"/>
      <c r="M48" s="157"/>
      <c r="N48" s="146"/>
    </row>
    <row r="49" spans="1:14" s="3" customFormat="1" ht="15.75" x14ac:dyDescent="0.2">
      <c r="A49" s="36" t="s">
        <v>362</v>
      </c>
      <c r="B49" s="42">
        <v>441906.73300000001</v>
      </c>
      <c r="C49" s="282">
        <v>506002.76699999999</v>
      </c>
      <c r="D49" s="249">
        <f>IF(B49=0, "    ---- ", IF(ABS(ROUND(100/B49*C49-100,1))&lt;999,ROUND(100/B49*C49-100,1),IF(ROUND(100/B49*C49-100,1)&gt;999,999,-999)))</f>
        <v>14.5</v>
      </c>
      <c r="E49" s="25">
        <f>IFERROR(100/'Skjema total MA'!C49*C49,0)</f>
        <v>23.530493319944956</v>
      </c>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v>19204.474999999999</v>
      </c>
      <c r="C53" s="303">
        <v>11118.513000000001</v>
      </c>
      <c r="D53" s="414">
        <f t="shared" si="15"/>
        <v>-42.1</v>
      </c>
      <c r="E53" s="11">
        <f>IFERROR(100/'Skjema total MA'!C53*C53,0)</f>
        <v>9.6542759922310886</v>
      </c>
      <c r="F53" s="143"/>
      <c r="G53" s="31"/>
      <c r="H53" s="143"/>
      <c r="I53" s="143"/>
      <c r="J53" s="31"/>
      <c r="K53" s="31"/>
      <c r="L53" s="157"/>
      <c r="M53" s="157"/>
      <c r="N53" s="146"/>
    </row>
    <row r="54" spans="1:14" s="3" customFormat="1" ht="15.75" x14ac:dyDescent="0.2">
      <c r="A54" s="36" t="s">
        <v>361</v>
      </c>
      <c r="B54" s="276">
        <v>14021.164000000001</v>
      </c>
      <c r="C54" s="277">
        <v>11118.513000000001</v>
      </c>
      <c r="D54" s="249">
        <f t="shared" si="15"/>
        <v>-20.7</v>
      </c>
      <c r="E54" s="25">
        <f>IFERROR(100/'Skjema total MA'!C54*C54,0)</f>
        <v>9.7344904100694709</v>
      </c>
      <c r="F54" s="143"/>
      <c r="G54" s="31"/>
      <c r="H54" s="143"/>
      <c r="I54" s="143"/>
      <c r="J54" s="31"/>
      <c r="K54" s="31"/>
      <c r="L54" s="157"/>
      <c r="M54" s="157"/>
      <c r="N54" s="146"/>
    </row>
    <row r="55" spans="1:14" s="3" customFormat="1" ht="15.75" x14ac:dyDescent="0.2">
      <c r="A55" s="36" t="s">
        <v>362</v>
      </c>
      <c r="B55" s="276">
        <v>5183.3109999999997</v>
      </c>
      <c r="C55" s="277">
        <v>0</v>
      </c>
      <c r="D55" s="249">
        <f t="shared" si="15"/>
        <v>-100</v>
      </c>
      <c r="E55" s="25">
        <f>IFERROR(100/'Skjema total MA'!C55*C55,0)</f>
        <v>0</v>
      </c>
      <c r="F55" s="143"/>
      <c r="G55" s="31"/>
      <c r="H55" s="143"/>
      <c r="I55" s="143"/>
      <c r="J55" s="31"/>
      <c r="K55" s="31"/>
      <c r="L55" s="157"/>
      <c r="M55" s="157"/>
      <c r="N55" s="146"/>
    </row>
    <row r="56" spans="1:14" s="3" customFormat="1" ht="15.75" x14ac:dyDescent="0.2">
      <c r="A56" s="37" t="s">
        <v>364</v>
      </c>
      <c r="B56" s="302">
        <v>23227.008999999998</v>
      </c>
      <c r="C56" s="303">
        <v>30.934999999999999</v>
      </c>
      <c r="D56" s="414">
        <f t="shared" si="15"/>
        <v>-99.9</v>
      </c>
      <c r="E56" s="11">
        <f>IFERROR(100/'Skjema total MA'!C56*C56,0)</f>
        <v>3.303694665864311E-2</v>
      </c>
      <c r="F56" s="143"/>
      <c r="G56" s="31"/>
      <c r="H56" s="143"/>
      <c r="I56" s="143"/>
      <c r="J56" s="31"/>
      <c r="K56" s="31"/>
      <c r="L56" s="157"/>
      <c r="M56" s="157"/>
      <c r="N56" s="146"/>
    </row>
    <row r="57" spans="1:14" s="3" customFormat="1" ht="15.75" x14ac:dyDescent="0.2">
      <c r="A57" s="36" t="s">
        <v>361</v>
      </c>
      <c r="B57" s="276">
        <v>23227.008999999998</v>
      </c>
      <c r="C57" s="277">
        <v>30.934999999999999</v>
      </c>
      <c r="D57" s="249">
        <f t="shared" si="15"/>
        <v>-99.9</v>
      </c>
      <c r="E57" s="25">
        <f>IFERROR(100/'Skjema total MA'!C57*C57,0)</f>
        <v>3.303694665864311E-2</v>
      </c>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291"/>
      <c r="F62" s="707"/>
      <c r="G62" s="707"/>
      <c r="H62" s="707"/>
      <c r="I62" s="291"/>
      <c r="J62" s="707"/>
      <c r="K62" s="707"/>
      <c r="L62" s="707"/>
      <c r="M62" s="291"/>
    </row>
    <row r="63" spans="1:14" x14ac:dyDescent="0.2">
      <c r="A63" s="142"/>
      <c r="B63" s="705" t="s">
        <v>0</v>
      </c>
      <c r="C63" s="706"/>
      <c r="D63" s="710"/>
      <c r="E63" s="292"/>
      <c r="F63" s="706" t="s">
        <v>1</v>
      </c>
      <c r="G63" s="706"/>
      <c r="H63" s="706"/>
      <c r="I63" s="296"/>
      <c r="J63" s="705" t="s">
        <v>2</v>
      </c>
      <c r="K63" s="706"/>
      <c r="L63" s="706"/>
      <c r="M63" s="296"/>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v>2923280.9589999998</v>
      </c>
      <c r="C66" s="344">
        <v>2727117.5120000001</v>
      </c>
      <c r="D66" s="341">
        <f t="shared" ref="D66:D111" si="16">IF(B66=0, "    ---- ", IF(ABS(ROUND(100/B66*C66-100,1))&lt;999,ROUND(100/B66*C66-100,1),IF(ROUND(100/B66*C66-100,1)&gt;999,999,-999)))</f>
        <v>-6.7</v>
      </c>
      <c r="E66" s="11">
        <f>IFERROR(100/'Skjema total MA'!C66*C66,0)</f>
        <v>44.291133948885317</v>
      </c>
      <c r="F66" s="343">
        <v>8158254.176</v>
      </c>
      <c r="G66" s="343">
        <v>8820448.165000001</v>
      </c>
      <c r="H66" s="341">
        <f t="shared" ref="H66:H111" si="17">IF(F66=0, "    ---- ", IF(ABS(ROUND(100/F66*G66-100,1))&lt;999,ROUND(100/F66*G66-100,1),IF(ROUND(100/F66*G66-100,1)&gt;999,999,-999)))</f>
        <v>8.1</v>
      </c>
      <c r="I66" s="11">
        <f>IFERROR(100/'Skjema total MA'!F66*G66,0)</f>
        <v>27.99760411419658</v>
      </c>
      <c r="J66" s="301">
        <f t="shared" ref="J66:K86" si="18">SUM(B66,F66)</f>
        <v>11081535.135</v>
      </c>
      <c r="K66" s="308">
        <f t="shared" si="18"/>
        <v>11547565.677000001</v>
      </c>
      <c r="L66" s="414">
        <f t="shared" ref="L66:L111" si="19">IF(J66=0, "    ---- ", IF(ABS(ROUND(100/J66*K66-100,1))&lt;999,ROUND(100/J66*K66-100,1),IF(ROUND(100/J66*K66-100,1)&gt;999,999,-999)))</f>
        <v>4.2</v>
      </c>
      <c r="M66" s="11">
        <f>IFERROR(100/'Skjema total MA'!I66*K66,0)</f>
        <v>30.661419003693052</v>
      </c>
    </row>
    <row r="67" spans="1:14" x14ac:dyDescent="0.2">
      <c r="A67" s="405" t="s">
        <v>9</v>
      </c>
      <c r="B67" s="42">
        <v>1933920.81</v>
      </c>
      <c r="C67" s="143">
        <v>1536953.064</v>
      </c>
      <c r="D67" s="164">
        <f t="shared" si="16"/>
        <v>-20.5</v>
      </c>
      <c r="E67" s="25">
        <f>IFERROR(100/'Skjema total MA'!C67*C67,0)</f>
        <v>38.477811285874836</v>
      </c>
      <c r="F67" s="230"/>
      <c r="G67" s="143"/>
      <c r="H67" s="164"/>
      <c r="I67" s="25"/>
      <c r="J67" s="282">
        <f t="shared" si="18"/>
        <v>1933920.81</v>
      </c>
      <c r="K67" s="42">
        <f t="shared" si="18"/>
        <v>1536953.064</v>
      </c>
      <c r="L67" s="249">
        <f t="shared" si="19"/>
        <v>-20.5</v>
      </c>
      <c r="M67" s="25">
        <f>IFERROR(100/'Skjema total MA'!I67*K67,0)</f>
        <v>38.477811285874836</v>
      </c>
    </row>
    <row r="68" spans="1:14" x14ac:dyDescent="0.2">
      <c r="A68" s="19" t="s">
        <v>10</v>
      </c>
      <c r="B68" s="286"/>
      <c r="C68" s="287"/>
      <c r="D68" s="164"/>
      <c r="E68" s="25"/>
      <c r="F68" s="286">
        <v>7278481.5659999996</v>
      </c>
      <c r="G68" s="287">
        <v>7862463.4610000001</v>
      </c>
      <c r="H68" s="164">
        <f t="shared" si="17"/>
        <v>8</v>
      </c>
      <c r="I68" s="25">
        <f>IFERROR(100/'Skjema total MA'!F68*G68,0)</f>
        <v>25.948175296263887</v>
      </c>
      <c r="J68" s="282">
        <f t="shared" si="18"/>
        <v>7278481.5659999996</v>
      </c>
      <c r="K68" s="42">
        <f t="shared" si="18"/>
        <v>7862463.4610000001</v>
      </c>
      <c r="L68" s="249">
        <f t="shared" si="19"/>
        <v>8</v>
      </c>
      <c r="M68" s="25">
        <f>IFERROR(100/'Skjema total MA'!I68*K68,0)</f>
        <v>25.91028792277919</v>
      </c>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v>145485.16899999999</v>
      </c>
      <c r="C75" s="143">
        <v>220970.962</v>
      </c>
      <c r="D75" s="164">
        <f t="shared" si="16"/>
        <v>51.9</v>
      </c>
      <c r="E75" s="25">
        <f>IFERROR(100/'Skjema total MA'!C75*C75,0)</f>
        <v>45.691772431289181</v>
      </c>
      <c r="F75" s="230">
        <v>879772.61</v>
      </c>
      <c r="G75" s="143">
        <v>957984.70400000003</v>
      </c>
      <c r="H75" s="164">
        <f t="shared" si="17"/>
        <v>8.9</v>
      </c>
      <c r="I75" s="25">
        <f>IFERROR(100/'Skjema total MA'!F75*G75,0)</f>
        <v>79.589624860976571</v>
      </c>
      <c r="J75" s="282">
        <f t="shared" si="18"/>
        <v>1025257.779</v>
      </c>
      <c r="K75" s="42">
        <f t="shared" si="18"/>
        <v>1178955.666</v>
      </c>
      <c r="L75" s="249">
        <f t="shared" si="19"/>
        <v>15</v>
      </c>
      <c r="M75" s="25">
        <f>IFERROR(100/'Skjema total MA'!I75*K75,0)</f>
        <v>69.873670432293721</v>
      </c>
      <c r="N75" s="146"/>
    </row>
    <row r="76" spans="1:14" s="3" customFormat="1" x14ac:dyDescent="0.2">
      <c r="A76" s="19" t="s">
        <v>336</v>
      </c>
      <c r="B76" s="230">
        <v>843874.98</v>
      </c>
      <c r="C76" s="143">
        <v>969193.48600000003</v>
      </c>
      <c r="D76" s="164">
        <f t="shared" ref="D76" si="20">IF(B76=0, "    ---- ", IF(ABS(ROUND(100/B76*C76-100,1))&lt;999,ROUND(100/B76*C76-100,1),IF(ROUND(100/B76*C76-100,1)&gt;999,999,-999)))</f>
        <v>14.9</v>
      </c>
      <c r="E76" s="25">
        <f>IFERROR(100/'Skjema total MA'!C77*C76,0)</f>
        <v>24.480410048257745</v>
      </c>
      <c r="F76" s="230"/>
      <c r="G76" s="143"/>
      <c r="H76" s="164"/>
      <c r="I76" s="25"/>
      <c r="J76" s="282">
        <f t="shared" ref="J76" si="21">SUM(B76,F76)</f>
        <v>843874.98</v>
      </c>
      <c r="K76" s="42">
        <f t="shared" ref="K76" si="22">SUM(C76,G76)</f>
        <v>969193.48600000003</v>
      </c>
      <c r="L76" s="249">
        <f t="shared" ref="L76" si="23">IF(J76=0, "    ---- ", IF(ABS(ROUND(100/J76*K76-100,1))&lt;999,ROUND(100/J76*K76-100,1),IF(ROUND(100/J76*K76-100,1)&gt;999,999,-999)))</f>
        <v>14.9</v>
      </c>
      <c r="M76" s="25">
        <f>IFERROR(100/'Skjema total MA'!I77*K76,0)</f>
        <v>2.8297753357657456</v>
      </c>
      <c r="N76" s="146"/>
    </row>
    <row r="77" spans="1:14" ht="15.75" x14ac:dyDescent="0.2">
      <c r="A77" s="19" t="s">
        <v>367</v>
      </c>
      <c r="B77" s="230">
        <v>1869710.297</v>
      </c>
      <c r="C77" s="230">
        <v>1485739.2720000001</v>
      </c>
      <c r="D77" s="164">
        <f t="shared" si="16"/>
        <v>-20.5</v>
      </c>
      <c r="E77" s="25">
        <f>IFERROR(100/'Skjema total MA'!C77*C77,0)</f>
        <v>37.527601174323152</v>
      </c>
      <c r="F77" s="230">
        <v>7278481.5659999996</v>
      </c>
      <c r="G77" s="143">
        <v>7862463.4610000001</v>
      </c>
      <c r="H77" s="164">
        <f t="shared" si="17"/>
        <v>8</v>
      </c>
      <c r="I77" s="25">
        <f>IFERROR(100/'Skjema total MA'!F77*G77,0)</f>
        <v>25.95662159584991</v>
      </c>
      <c r="J77" s="282">
        <f t="shared" si="18"/>
        <v>9148191.8629999999</v>
      </c>
      <c r="K77" s="42">
        <f t="shared" si="18"/>
        <v>9348202.7330000009</v>
      </c>
      <c r="L77" s="249">
        <f t="shared" si="19"/>
        <v>2.2000000000000002</v>
      </c>
      <c r="M77" s="25">
        <f>IFERROR(100/'Skjema total MA'!I77*K77,0)</f>
        <v>27.294151177963386</v>
      </c>
    </row>
    <row r="78" spans="1:14" x14ac:dyDescent="0.2">
      <c r="A78" s="19" t="s">
        <v>9</v>
      </c>
      <c r="B78" s="230">
        <v>1869710.297</v>
      </c>
      <c r="C78" s="143">
        <v>1485739.2720000001</v>
      </c>
      <c r="D78" s="164">
        <f t="shared" si="16"/>
        <v>-20.5</v>
      </c>
      <c r="E78" s="25">
        <f>IFERROR(100/'Skjema total MA'!C78*C78,0)</f>
        <v>37.932371892133347</v>
      </c>
      <c r="F78" s="230"/>
      <c r="G78" s="143"/>
      <c r="H78" s="164"/>
      <c r="I78" s="25"/>
      <c r="J78" s="282">
        <f t="shared" si="18"/>
        <v>1869710.297</v>
      </c>
      <c r="K78" s="42">
        <f t="shared" si="18"/>
        <v>1485739.2720000001</v>
      </c>
      <c r="L78" s="249">
        <f t="shared" si="19"/>
        <v>-20.5</v>
      </c>
      <c r="M78" s="25">
        <f>IFERROR(100/'Skjema total MA'!I78*K78,0)</f>
        <v>37.932371892133347</v>
      </c>
    </row>
    <row r="79" spans="1:14" x14ac:dyDescent="0.2">
      <c r="A79" s="36" t="s">
        <v>400</v>
      </c>
      <c r="B79" s="286"/>
      <c r="C79" s="287"/>
      <c r="D79" s="164"/>
      <c r="E79" s="25"/>
      <c r="F79" s="286">
        <v>7278481.5659999996</v>
      </c>
      <c r="G79" s="287">
        <v>7862463.4610000001</v>
      </c>
      <c r="H79" s="164">
        <f t="shared" si="17"/>
        <v>8</v>
      </c>
      <c r="I79" s="25">
        <f>IFERROR(100/'Skjema total MA'!F79*G79,0)</f>
        <v>25.95662159584991</v>
      </c>
      <c r="J79" s="282">
        <f t="shared" si="18"/>
        <v>7278481.5659999996</v>
      </c>
      <c r="K79" s="42">
        <f t="shared" si="18"/>
        <v>7862463.4610000001</v>
      </c>
      <c r="L79" s="249">
        <f t="shared" si="19"/>
        <v>8</v>
      </c>
      <c r="M79" s="25">
        <f>IFERROR(100/'Skjema total MA'!I79*K79,0)</f>
        <v>25.920470348273756</v>
      </c>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v>64210.512999999999</v>
      </c>
      <c r="C86" s="143">
        <v>51213.792000000001</v>
      </c>
      <c r="D86" s="164">
        <f t="shared" si="16"/>
        <v>-20.2</v>
      </c>
      <c r="E86" s="25">
        <f>IFERROR(100/'Skjema total MA'!C86*C86,0)</f>
        <v>64.308842013224762</v>
      </c>
      <c r="F86" s="230"/>
      <c r="G86" s="143"/>
      <c r="H86" s="164"/>
      <c r="I86" s="25"/>
      <c r="J86" s="282">
        <f t="shared" si="18"/>
        <v>64210.512999999999</v>
      </c>
      <c r="K86" s="42">
        <f t="shared" si="18"/>
        <v>51213.792000000001</v>
      </c>
      <c r="L86" s="249">
        <f t="shared" si="19"/>
        <v>-20.2</v>
      </c>
      <c r="M86" s="25">
        <f>IFERROR(100/'Skjema total MA'!I86*K86,0)</f>
        <v>57.223971974503669</v>
      </c>
    </row>
    <row r="87" spans="1:13" ht="15.75" x14ac:dyDescent="0.2">
      <c r="A87" s="13" t="s">
        <v>350</v>
      </c>
      <c r="B87" s="344">
        <v>169148736.111</v>
      </c>
      <c r="C87" s="344">
        <v>171135879.22300002</v>
      </c>
      <c r="D87" s="169">
        <f t="shared" si="16"/>
        <v>1.2</v>
      </c>
      <c r="E87" s="11">
        <f>IFERROR(100/'Skjema total MA'!C87*C87,0)</f>
        <v>42.538993535379085</v>
      </c>
      <c r="F87" s="343">
        <v>134552197.15799999</v>
      </c>
      <c r="G87" s="343">
        <v>127688429.11299999</v>
      </c>
      <c r="H87" s="169">
        <f t="shared" si="17"/>
        <v>-5.0999999999999996</v>
      </c>
      <c r="I87" s="11">
        <f>IFERROR(100/'Skjema total MA'!F87*G87,0)</f>
        <v>30.848864147207433</v>
      </c>
      <c r="J87" s="301">
        <f t="shared" ref="J87:K111" si="24">SUM(B87,F87)</f>
        <v>303700933.26899999</v>
      </c>
      <c r="K87" s="232">
        <f t="shared" si="24"/>
        <v>298824308.33600003</v>
      </c>
      <c r="L87" s="414">
        <f t="shared" si="19"/>
        <v>-1.6</v>
      </c>
      <c r="M87" s="11">
        <f>IFERROR(100/'Skjema total MA'!I87*K87,0)</f>
        <v>36.610769376566644</v>
      </c>
    </row>
    <row r="88" spans="1:13" x14ac:dyDescent="0.2">
      <c r="A88" s="19" t="s">
        <v>9</v>
      </c>
      <c r="B88" s="230">
        <v>162422187.03</v>
      </c>
      <c r="C88" s="143">
        <v>163045573.46638</v>
      </c>
      <c r="D88" s="164">
        <f t="shared" si="16"/>
        <v>0.4</v>
      </c>
      <c r="E88" s="25">
        <f>IFERROR(100/'Skjema total MA'!C88*C88,0)</f>
        <v>42.128639712245295</v>
      </c>
      <c r="F88" s="230"/>
      <c r="G88" s="143"/>
      <c r="H88" s="164"/>
      <c r="I88" s="25"/>
      <c r="J88" s="282">
        <f t="shared" si="24"/>
        <v>162422187.03</v>
      </c>
      <c r="K88" s="42">
        <f t="shared" si="24"/>
        <v>163045573.46638</v>
      </c>
      <c r="L88" s="249">
        <f t="shared" si="19"/>
        <v>0.4</v>
      </c>
      <c r="M88" s="25">
        <f>IFERROR(100/'Skjema total MA'!I88*K88,0)</f>
        <v>42.128639712245295</v>
      </c>
    </row>
    <row r="89" spans="1:13" x14ac:dyDescent="0.2">
      <c r="A89" s="19" t="s">
        <v>10</v>
      </c>
      <c r="B89" s="230">
        <v>48388.133999999998</v>
      </c>
      <c r="C89" s="143">
        <v>48558.375619999999</v>
      </c>
      <c r="D89" s="164">
        <f t="shared" si="16"/>
        <v>0.4</v>
      </c>
      <c r="E89" s="25">
        <f>IFERROR(100/'Skjema total MA'!C89*C89,0)</f>
        <v>1.4612314525599976</v>
      </c>
      <c r="F89" s="230">
        <v>131757377.891</v>
      </c>
      <c r="G89" s="143">
        <v>124345061.366</v>
      </c>
      <c r="H89" s="164">
        <f t="shared" si="17"/>
        <v>-5.6</v>
      </c>
      <c r="I89" s="25">
        <f>IFERROR(100/'Skjema total MA'!F89*G89,0)</f>
        <v>30.404860615161549</v>
      </c>
      <c r="J89" s="282">
        <f t="shared" si="24"/>
        <v>131805766.02500001</v>
      </c>
      <c r="K89" s="42">
        <f t="shared" si="24"/>
        <v>124393619.74161999</v>
      </c>
      <c r="L89" s="249">
        <f t="shared" si="19"/>
        <v>-5.6</v>
      </c>
      <c r="M89" s="25">
        <f>IFERROR(100/'Skjema total MA'!I89*K89,0)</f>
        <v>30.171569648474545</v>
      </c>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v>560301.52</v>
      </c>
      <c r="C96" s="143">
        <v>1230959.2009999999</v>
      </c>
      <c r="D96" s="164">
        <f t="shared" si="16"/>
        <v>119.7</v>
      </c>
      <c r="E96" s="25">
        <f>IFERROR(100/'Skjema total MA'!C96*C96,0)</f>
        <v>34.873402947372369</v>
      </c>
      <c r="F96" s="230">
        <v>2794819.267</v>
      </c>
      <c r="G96" s="143">
        <v>3343367.747</v>
      </c>
      <c r="H96" s="164">
        <f t="shared" si="17"/>
        <v>19.600000000000001</v>
      </c>
      <c r="I96" s="25">
        <f>IFERROR(100/'Skjema total MA'!F96*G96,0)</f>
        <v>67.519237130983626</v>
      </c>
      <c r="J96" s="282">
        <f t="shared" si="24"/>
        <v>3355120.787</v>
      </c>
      <c r="K96" s="42">
        <f t="shared" si="24"/>
        <v>4574326.9479999999</v>
      </c>
      <c r="L96" s="249">
        <f t="shared" si="19"/>
        <v>36.299999999999997</v>
      </c>
      <c r="M96" s="25">
        <f>IFERROR(100/'Skjema total MA'!I96*K96,0)</f>
        <v>53.932867884738542</v>
      </c>
    </row>
    <row r="97" spans="1:13" x14ac:dyDescent="0.2">
      <c r="A97" s="19" t="s">
        <v>334</v>
      </c>
      <c r="B97" s="230">
        <v>6117859.4270000001</v>
      </c>
      <c r="C97" s="143">
        <v>6810788.1799999997</v>
      </c>
      <c r="D97" s="164">
        <f t="shared" ref="D97" si="25">IF(B97=0, "    ---- ", IF(ABS(ROUND(100/B97*C97-100,1))&lt;999,ROUND(100/B97*C97-100,1),IF(ROUND(100/B97*C97-100,1)&gt;999,999,-999)))</f>
        <v>11.3</v>
      </c>
      <c r="E97" s="25">
        <f>IFERROR(100/'Skjema total MA'!C98*C97,0)</f>
        <v>1.7649107578631218</v>
      </c>
      <c r="F97" s="230"/>
      <c r="G97" s="143"/>
      <c r="H97" s="164"/>
      <c r="I97" s="25"/>
      <c r="J97" s="282">
        <f t="shared" ref="J97" si="26">SUM(B97,F97)</f>
        <v>6117859.4270000001</v>
      </c>
      <c r="K97" s="42">
        <f t="shared" ref="K97" si="27">SUM(C97,G97)</f>
        <v>6810788.1799999997</v>
      </c>
      <c r="L97" s="249">
        <f t="shared" ref="L97" si="28">IF(J97=0, "    ---- ", IF(ABS(ROUND(100/J97*K97-100,1))&lt;999,ROUND(100/J97*K97-100,1),IF(ROUND(100/J97*K97-100,1)&gt;999,999,-999)))</f>
        <v>11.3</v>
      </c>
      <c r="M97" s="25">
        <f>IFERROR(100/'Skjema total MA'!I98*K97,0)</f>
        <v>0.85769965853301555</v>
      </c>
    </row>
    <row r="98" spans="1:13" ht="15.75" x14ac:dyDescent="0.2">
      <c r="A98" s="19" t="s">
        <v>367</v>
      </c>
      <c r="B98" s="230">
        <v>159189175.12400001</v>
      </c>
      <c r="C98" s="230">
        <v>159806096.51038</v>
      </c>
      <c r="D98" s="164">
        <f t="shared" si="16"/>
        <v>0.4</v>
      </c>
      <c r="E98" s="25">
        <f>IFERROR(100/'Skjema total MA'!C98*C98,0)</f>
        <v>41.411286248999446</v>
      </c>
      <c r="F98" s="286">
        <v>131757377.891</v>
      </c>
      <c r="G98" s="286">
        <v>124345061.366</v>
      </c>
      <c r="H98" s="164">
        <f t="shared" si="17"/>
        <v>-5.6</v>
      </c>
      <c r="I98" s="25">
        <f>IFERROR(100/'Skjema total MA'!F98*G98,0)</f>
        <v>30.463570230064601</v>
      </c>
      <c r="J98" s="282">
        <f t="shared" si="24"/>
        <v>290946553.01499999</v>
      </c>
      <c r="K98" s="42">
        <f t="shared" si="24"/>
        <v>284151157.87637997</v>
      </c>
      <c r="L98" s="249">
        <f t="shared" si="19"/>
        <v>-2.2999999999999998</v>
      </c>
      <c r="M98" s="25">
        <f>IFERROR(100/'Skjema total MA'!I98*K98,0)</f>
        <v>35.7838688623454</v>
      </c>
    </row>
    <row r="99" spans="1:13" x14ac:dyDescent="0.2">
      <c r="A99" s="19" t="s">
        <v>9</v>
      </c>
      <c r="B99" s="286">
        <v>159140786.99000001</v>
      </c>
      <c r="C99" s="287">
        <v>159757538.13438001</v>
      </c>
      <c r="D99" s="164">
        <f t="shared" si="16"/>
        <v>0.4</v>
      </c>
      <c r="E99" s="25">
        <f>IFERROR(100/'Skjema total MA'!C99*C99,0)</f>
        <v>41.758297811359839</v>
      </c>
      <c r="F99" s="230"/>
      <c r="G99" s="143"/>
      <c r="H99" s="164"/>
      <c r="I99" s="25"/>
      <c r="J99" s="282">
        <f t="shared" si="24"/>
        <v>159140786.99000001</v>
      </c>
      <c r="K99" s="42">
        <f t="shared" si="24"/>
        <v>159757538.13438001</v>
      </c>
      <c r="L99" s="249">
        <f t="shared" si="19"/>
        <v>0.4</v>
      </c>
      <c r="M99" s="25">
        <f>IFERROR(100/'Skjema total MA'!I99*K99,0)</f>
        <v>41.758297811359839</v>
      </c>
    </row>
    <row r="100" spans="1:13" x14ac:dyDescent="0.2">
      <c r="A100" s="36" t="s">
        <v>400</v>
      </c>
      <c r="B100" s="286">
        <v>48388.133999999998</v>
      </c>
      <c r="C100" s="287">
        <v>48558.375999999997</v>
      </c>
      <c r="D100" s="164">
        <f t="shared" si="16"/>
        <v>0.4</v>
      </c>
      <c r="E100" s="25">
        <f>IFERROR(100/'Skjema total MA'!C100*C100,0)</f>
        <v>1.4612314638279651</v>
      </c>
      <c r="F100" s="230">
        <v>131757377.891</v>
      </c>
      <c r="G100" s="230">
        <v>124345061.366</v>
      </c>
      <c r="H100" s="164">
        <f t="shared" si="17"/>
        <v>-5.6</v>
      </c>
      <c r="I100" s="25">
        <f>IFERROR(100/'Skjema total MA'!F100*G100,0)</f>
        <v>30.463570230064601</v>
      </c>
      <c r="J100" s="282">
        <f t="shared" si="24"/>
        <v>131805766.02500001</v>
      </c>
      <c r="K100" s="42">
        <f t="shared" si="24"/>
        <v>124393619.742</v>
      </c>
      <c r="L100" s="249">
        <f t="shared" si="19"/>
        <v>-5.6</v>
      </c>
      <c r="M100" s="25">
        <f>IFERROR(100/'Skjema total MA'!I100*K100,0)</f>
        <v>30.22935831641864</v>
      </c>
    </row>
    <row r="101" spans="1:13" ht="15.75" x14ac:dyDescent="0.2">
      <c r="A101" s="288" t="s">
        <v>365</v>
      </c>
      <c r="B101" s="311"/>
      <c r="C101" s="311"/>
      <c r="D101" s="164"/>
      <c r="E101" s="21"/>
      <c r="F101" s="311"/>
      <c r="G101" s="311"/>
      <c r="H101" s="164"/>
      <c r="I101" s="21"/>
      <c r="J101" s="311"/>
      <c r="K101" s="311"/>
      <c r="L101" s="164"/>
      <c r="M101" s="21"/>
    </row>
    <row r="102" spans="1:13" x14ac:dyDescent="0.2">
      <c r="A102" s="288" t="s">
        <v>12</v>
      </c>
      <c r="B102" s="311"/>
      <c r="C102" s="311"/>
      <c r="D102" s="164"/>
      <c r="E102" s="21"/>
      <c r="F102" s="311"/>
      <c r="G102" s="311"/>
      <c r="H102" s="164"/>
      <c r="I102" s="21"/>
      <c r="J102" s="311"/>
      <c r="K102" s="311"/>
      <c r="L102" s="164"/>
      <c r="M102" s="21"/>
    </row>
    <row r="103" spans="1:13" x14ac:dyDescent="0.2">
      <c r="A103" s="288" t="s">
        <v>13</v>
      </c>
      <c r="B103" s="311"/>
      <c r="C103" s="311"/>
      <c r="D103" s="164"/>
      <c r="E103" s="21"/>
      <c r="F103" s="311"/>
      <c r="G103" s="311"/>
      <c r="H103" s="164"/>
      <c r="I103" s="21"/>
      <c r="J103" s="311"/>
      <c r="K103" s="311"/>
      <c r="L103" s="164"/>
      <c r="M103" s="21"/>
    </row>
    <row r="104" spans="1:13" ht="15.75" x14ac:dyDescent="0.2">
      <c r="A104" s="288" t="s">
        <v>366</v>
      </c>
      <c r="B104" s="311"/>
      <c r="C104" s="311"/>
      <c r="D104" s="164"/>
      <c r="E104" s="21"/>
      <c r="F104" s="311"/>
      <c r="G104" s="311"/>
      <c r="H104" s="164"/>
      <c r="I104" s="21"/>
      <c r="J104" s="311"/>
      <c r="K104" s="311"/>
      <c r="L104" s="164"/>
      <c r="M104" s="21"/>
    </row>
    <row r="105" spans="1:13" x14ac:dyDescent="0.2">
      <c r="A105" s="288" t="s">
        <v>12</v>
      </c>
      <c r="B105" s="231"/>
      <c r="C105" s="284"/>
      <c r="D105" s="164"/>
      <c r="E105" s="21"/>
      <c r="F105" s="311"/>
      <c r="G105" s="311"/>
      <c r="H105" s="164"/>
      <c r="I105" s="21"/>
      <c r="J105" s="311"/>
      <c r="K105" s="311"/>
      <c r="L105" s="164"/>
      <c r="M105" s="21"/>
    </row>
    <row r="106" spans="1:13" x14ac:dyDescent="0.2">
      <c r="A106" s="288" t="s">
        <v>13</v>
      </c>
      <c r="B106" s="231"/>
      <c r="C106" s="284"/>
      <c r="D106" s="164"/>
      <c r="E106" s="21"/>
      <c r="F106" s="311"/>
      <c r="G106" s="311"/>
      <c r="H106" s="164"/>
      <c r="I106" s="21"/>
      <c r="J106" s="311"/>
      <c r="K106" s="311"/>
      <c r="L106" s="164"/>
      <c r="M106" s="21"/>
    </row>
    <row r="107" spans="1:13" ht="15.75" x14ac:dyDescent="0.2">
      <c r="A107" s="19" t="s">
        <v>368</v>
      </c>
      <c r="B107" s="230">
        <v>3281400.04</v>
      </c>
      <c r="C107" s="143">
        <v>3288035.3319999999</v>
      </c>
      <c r="D107" s="164">
        <f t="shared" si="16"/>
        <v>0.2</v>
      </c>
      <c r="E107" s="25">
        <f>IFERROR(100/'Skjema total MA'!C107*C107,0)</f>
        <v>74.027869695791452</v>
      </c>
      <c r="F107" s="230"/>
      <c r="G107" s="143"/>
      <c r="H107" s="164"/>
      <c r="I107" s="25"/>
      <c r="J107" s="282">
        <f t="shared" si="24"/>
        <v>3281400.04</v>
      </c>
      <c r="K107" s="42">
        <f t="shared" si="24"/>
        <v>3288035.3319999999</v>
      </c>
      <c r="L107" s="249">
        <f t="shared" si="19"/>
        <v>0.2</v>
      </c>
      <c r="M107" s="25">
        <f>IFERROR(100/'Skjema total MA'!I107*K107,0)</f>
        <v>62.871420218453267</v>
      </c>
    </row>
    <row r="108" spans="1:13" ht="15.75" x14ac:dyDescent="0.2">
      <c r="A108" s="19" t="s">
        <v>369</v>
      </c>
      <c r="B108" s="230">
        <v>141893254.428</v>
      </c>
      <c r="C108" s="230">
        <v>142994145.14399999</v>
      </c>
      <c r="D108" s="164">
        <f t="shared" si="16"/>
        <v>0.8</v>
      </c>
      <c r="E108" s="25">
        <f>IFERROR(100/'Skjema total MA'!C108*C108,0)</f>
        <v>42.939853751694955</v>
      </c>
      <c r="F108" s="230">
        <v>19251118.517000001</v>
      </c>
      <c r="G108" s="230">
        <v>17480311.795000002</v>
      </c>
      <c r="H108" s="164">
        <f t="shared" si="17"/>
        <v>-9.1999999999999993</v>
      </c>
      <c r="I108" s="25">
        <f>IFERROR(100/'Skjema total MA'!F108*G108,0)</f>
        <v>94.323597976896735</v>
      </c>
      <c r="J108" s="282">
        <f t="shared" si="24"/>
        <v>161144372.94499999</v>
      </c>
      <c r="K108" s="42">
        <f t="shared" si="24"/>
        <v>160474456.93900001</v>
      </c>
      <c r="L108" s="249">
        <f t="shared" si="19"/>
        <v>-0.4</v>
      </c>
      <c r="M108" s="25">
        <f>IFERROR(100/'Skjema total MA'!I108*K108,0)</f>
        <v>45.648651643766833</v>
      </c>
    </row>
    <row r="109" spans="1:13" ht="15.75" x14ac:dyDescent="0.2">
      <c r="A109" s="36" t="s">
        <v>408</v>
      </c>
      <c r="B109" s="230">
        <v>343747.48499999999</v>
      </c>
      <c r="C109" s="230">
        <v>414451.8</v>
      </c>
      <c r="D109" s="164">
        <f t="shared" si="16"/>
        <v>20.6</v>
      </c>
      <c r="E109" s="25">
        <f>IFERROR(100/'Skjema total MA'!C109*C109,0)</f>
        <v>22.191702692730477</v>
      </c>
      <c r="F109" s="230">
        <v>42730353.509000003</v>
      </c>
      <c r="G109" s="230">
        <v>38534156.056000002</v>
      </c>
      <c r="H109" s="164">
        <f t="shared" si="17"/>
        <v>-9.8000000000000007</v>
      </c>
      <c r="I109" s="25">
        <f>IFERROR(100/'Skjema total MA'!F109*G109,0)</f>
        <v>25.40136468376901</v>
      </c>
      <c r="J109" s="282">
        <f t="shared" si="24"/>
        <v>43074100.994000003</v>
      </c>
      <c r="K109" s="42">
        <f t="shared" si="24"/>
        <v>38948607.855999999</v>
      </c>
      <c r="L109" s="249">
        <f t="shared" si="19"/>
        <v>-9.6</v>
      </c>
      <c r="M109" s="25">
        <f>IFERROR(100/'Skjema total MA'!I109*K109,0)</f>
        <v>25.362330964857588</v>
      </c>
    </row>
    <row r="110" spans="1:13" ht="15.75" x14ac:dyDescent="0.2">
      <c r="A110" s="19" t="s">
        <v>370</v>
      </c>
      <c r="B110" s="230">
        <v>248822</v>
      </c>
      <c r="C110" s="230">
        <v>565262.94700000004</v>
      </c>
      <c r="D110" s="164">
        <f t="shared" si="16"/>
        <v>127.2</v>
      </c>
      <c r="E110" s="25">
        <f>IFERROR(100/'Skjema total MA'!C110*C110,0)</f>
        <v>42.791729909142084</v>
      </c>
      <c r="F110" s="230"/>
      <c r="G110" s="230"/>
      <c r="H110" s="164"/>
      <c r="I110" s="25"/>
      <c r="J110" s="282">
        <f t="shared" si="24"/>
        <v>248822</v>
      </c>
      <c r="K110" s="42">
        <f t="shared" si="24"/>
        <v>565262.94700000004</v>
      </c>
      <c r="L110" s="249">
        <f t="shared" si="19"/>
        <v>127.2</v>
      </c>
      <c r="M110" s="25">
        <f>IFERROR(100/'Skjema total MA'!I110*K110,0)</f>
        <v>42.791729909142084</v>
      </c>
    </row>
    <row r="111" spans="1:13" ht="15.75" x14ac:dyDescent="0.2">
      <c r="A111" s="13" t="s">
        <v>351</v>
      </c>
      <c r="B111" s="300">
        <v>109377.48300000001</v>
      </c>
      <c r="C111" s="157">
        <v>263570.18099999998</v>
      </c>
      <c r="D111" s="169">
        <f t="shared" si="16"/>
        <v>141</v>
      </c>
      <c r="E111" s="11">
        <f>IFERROR(100/'Skjema total MA'!C111*C111,0)</f>
        <v>42.507376998048635</v>
      </c>
      <c r="F111" s="300">
        <v>7714924.8969999999</v>
      </c>
      <c r="G111" s="157">
        <v>3619837.8169999998</v>
      </c>
      <c r="H111" s="169">
        <f t="shared" si="17"/>
        <v>-53.1</v>
      </c>
      <c r="I111" s="11">
        <f>IFERROR(100/'Skjema total MA'!F111*G111,0)</f>
        <v>12.275819998789078</v>
      </c>
      <c r="J111" s="301">
        <f t="shared" si="24"/>
        <v>7824302.3799999999</v>
      </c>
      <c r="K111" s="232">
        <f t="shared" si="24"/>
        <v>3883407.9979999997</v>
      </c>
      <c r="L111" s="414">
        <f t="shared" si="19"/>
        <v>-50.4</v>
      </c>
      <c r="M111" s="11">
        <f>IFERROR(100/'Skjema total MA'!I111*K111,0)</f>
        <v>12.898430332506084</v>
      </c>
    </row>
    <row r="112" spans="1:13" x14ac:dyDescent="0.2">
      <c r="A112" s="19" t="s">
        <v>9</v>
      </c>
      <c r="B112" s="230">
        <v>7360.7049999999999</v>
      </c>
      <c r="C112" s="143">
        <v>9836.5310000000009</v>
      </c>
      <c r="D112" s="164">
        <f t="shared" ref="D112:D125" si="29">IF(B112=0, "    ---- ", IF(ABS(ROUND(100/B112*C112-100,1))&lt;999,ROUND(100/B112*C112-100,1),IF(ROUND(100/B112*C112-100,1)&gt;999,999,-999)))</f>
        <v>33.6</v>
      </c>
      <c r="E112" s="25">
        <f>IFERROR(100/'Skjema total MA'!C112*C112,0)</f>
        <v>2.7711371022515601</v>
      </c>
      <c r="F112" s="230">
        <v>11255.638000000001</v>
      </c>
      <c r="G112" s="143">
        <v>3112.3429999999998</v>
      </c>
      <c r="H112" s="164">
        <f t="shared" ref="H112:H125" si="30">IF(F112=0, "    ---- ", IF(ABS(ROUND(100/F112*G112-100,1))&lt;999,ROUND(100/F112*G112-100,1),IF(ROUND(100/F112*G112-100,1)&gt;999,999,-999)))</f>
        <v>-72.3</v>
      </c>
      <c r="I112" s="25">
        <f>IFERROR(100/'Skjema total MA'!F112*G112,0)</f>
        <v>100</v>
      </c>
      <c r="J112" s="282">
        <f t="shared" ref="J112:K125" si="31">SUM(B112,F112)</f>
        <v>18616.343000000001</v>
      </c>
      <c r="K112" s="42">
        <f t="shared" si="31"/>
        <v>12948.874</v>
      </c>
      <c r="L112" s="249">
        <f t="shared" ref="L112:L125" si="32">IF(J112=0, "    ---- ", IF(ABS(ROUND(100/J112*K112-100,1))&lt;999,ROUND(100/J112*K112-100,1),IF(ROUND(100/J112*K112-100,1)&gt;999,999,-999)))</f>
        <v>-30.4</v>
      </c>
      <c r="M112" s="25">
        <f>IFERROR(100/'Skjema total MA'!I112*K112,0)</f>
        <v>3.6162357072994564</v>
      </c>
    </row>
    <row r="113" spans="1:14" x14ac:dyDescent="0.2">
      <c r="A113" s="19" t="s">
        <v>10</v>
      </c>
      <c r="B113" s="230"/>
      <c r="C113" s="143"/>
      <c r="D113" s="164"/>
      <c r="E113" s="25"/>
      <c r="F113" s="230">
        <v>7703669.2589999996</v>
      </c>
      <c r="G113" s="143">
        <v>3615665.0129999998</v>
      </c>
      <c r="H113" s="164">
        <f t="shared" si="30"/>
        <v>-53.1</v>
      </c>
      <c r="I113" s="25">
        <f>IFERROR(100/'Skjema total MA'!F113*G113,0)</f>
        <v>12.263404328700673</v>
      </c>
      <c r="J113" s="282">
        <f t="shared" si="31"/>
        <v>7703669.2589999996</v>
      </c>
      <c r="K113" s="42">
        <f t="shared" si="31"/>
        <v>3615665.0129999998</v>
      </c>
      <c r="L113" s="249">
        <f t="shared" si="32"/>
        <v>-53.1</v>
      </c>
      <c r="M113" s="25">
        <f>IFERROR(100/'Skjema total MA'!I113*K113,0)</f>
        <v>12.263329030986455</v>
      </c>
    </row>
    <row r="114" spans="1:14" x14ac:dyDescent="0.2">
      <c r="A114" s="19" t="s">
        <v>26</v>
      </c>
      <c r="B114" s="230">
        <v>102016.77800000001</v>
      </c>
      <c r="C114" s="143">
        <v>253733.65</v>
      </c>
      <c r="D114" s="164">
        <f t="shared" si="29"/>
        <v>148.69999999999999</v>
      </c>
      <c r="E114" s="25">
        <f>IFERROR(100/'Skjema total MA'!C114*C114,0)</f>
        <v>95.78007622517724</v>
      </c>
      <c r="F114" s="230">
        <v>0</v>
      </c>
      <c r="G114" s="143">
        <v>1060.461</v>
      </c>
      <c r="H114" s="164" t="str">
        <f t="shared" si="30"/>
        <v xml:space="preserve">    ---- </v>
      </c>
      <c r="I114" s="25">
        <f>IFERROR(100/'Skjema total MA'!F114*G114,0)</f>
        <v>100</v>
      </c>
      <c r="J114" s="282">
        <f t="shared" si="31"/>
        <v>102016.77800000001</v>
      </c>
      <c r="K114" s="42">
        <f t="shared" si="31"/>
        <v>254794.111</v>
      </c>
      <c r="L114" s="249">
        <f t="shared" si="32"/>
        <v>149.80000000000001</v>
      </c>
      <c r="M114" s="25">
        <f>IFERROR(100/'Skjema total MA'!I114*K114,0)</f>
        <v>95.796901469667745</v>
      </c>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v>502.11200000000002</v>
      </c>
      <c r="C116" s="230">
        <v>5804.5259999999998</v>
      </c>
      <c r="D116" s="164">
        <f t="shared" si="29"/>
        <v>999</v>
      </c>
      <c r="E116" s="25">
        <f>IFERROR(100/'Skjema total MA'!C116*C116,0)</f>
        <v>5.418666449531389</v>
      </c>
      <c r="F116" s="230">
        <v>11255.638000000001</v>
      </c>
      <c r="G116" s="230">
        <v>4486.2449999999999</v>
      </c>
      <c r="H116" s="164">
        <f t="shared" si="30"/>
        <v>-60.1</v>
      </c>
      <c r="I116" s="25">
        <f>IFERROR(100/'Skjema total MA'!F116*G116,0)</f>
        <v>100</v>
      </c>
      <c r="J116" s="282">
        <f t="shared" si="31"/>
        <v>11757.75</v>
      </c>
      <c r="K116" s="42">
        <f t="shared" si="31"/>
        <v>10290.771000000001</v>
      </c>
      <c r="L116" s="249">
        <f t="shared" si="32"/>
        <v>-12.5</v>
      </c>
      <c r="M116" s="25">
        <f>IFERROR(100/'Skjema total MA'!I116*K116,0)</f>
        <v>9.2205279993868725</v>
      </c>
    </row>
    <row r="117" spans="1:14" ht="15.75" x14ac:dyDescent="0.2">
      <c r="A117" s="36" t="s">
        <v>408</v>
      </c>
      <c r="B117" s="230"/>
      <c r="C117" s="230"/>
      <c r="D117" s="164"/>
      <c r="E117" s="25"/>
      <c r="F117" s="230">
        <v>240648.315</v>
      </c>
      <c r="G117" s="230">
        <v>262687.98800000001</v>
      </c>
      <c r="H117" s="164">
        <f t="shared" si="30"/>
        <v>9.1999999999999993</v>
      </c>
      <c r="I117" s="25">
        <f>IFERROR(100/'Skjema total MA'!F117*G117,0)</f>
        <v>1.5695785961776851</v>
      </c>
      <c r="J117" s="282">
        <f t="shared" si="31"/>
        <v>240648.315</v>
      </c>
      <c r="K117" s="42">
        <f t="shared" si="31"/>
        <v>262687.98800000001</v>
      </c>
      <c r="L117" s="249">
        <f t="shared" si="32"/>
        <v>9.1999999999999993</v>
      </c>
      <c r="M117" s="25">
        <f>IFERROR(100/'Skjema total MA'!I117*K117,0)</f>
        <v>1.5695616250378119</v>
      </c>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v>269748.91000000003</v>
      </c>
      <c r="C119" s="157">
        <v>141800.807</v>
      </c>
      <c r="D119" s="169">
        <f t="shared" si="29"/>
        <v>-47.4</v>
      </c>
      <c r="E119" s="11">
        <f>IFERROR(100/'Skjema total MA'!C119*C119,0)</f>
        <v>25.252751951177039</v>
      </c>
      <c r="F119" s="300">
        <v>14502016.188999999</v>
      </c>
      <c r="G119" s="157">
        <v>7574815.3459999999</v>
      </c>
      <c r="H119" s="169">
        <f t="shared" si="30"/>
        <v>-47.8</v>
      </c>
      <c r="I119" s="11">
        <f>IFERROR(100/'Skjema total MA'!F119*G119,0)</f>
        <v>23.700733730084188</v>
      </c>
      <c r="J119" s="301">
        <f t="shared" si="31"/>
        <v>14771765.098999999</v>
      </c>
      <c r="K119" s="232">
        <f t="shared" si="31"/>
        <v>7716616.1529999999</v>
      </c>
      <c r="L119" s="414">
        <f t="shared" si="32"/>
        <v>-47.8</v>
      </c>
      <c r="M119" s="11">
        <f>IFERROR(100/'Skjema total MA'!I119*K119,0)</f>
        <v>23.727531117761146</v>
      </c>
    </row>
    <row r="120" spans="1:14" x14ac:dyDescent="0.2">
      <c r="A120" s="19" t="s">
        <v>9</v>
      </c>
      <c r="B120" s="230">
        <v>156743.185</v>
      </c>
      <c r="C120" s="143">
        <v>9447.2970000000005</v>
      </c>
      <c r="D120" s="164">
        <f t="shared" si="29"/>
        <v>-94</v>
      </c>
      <c r="E120" s="25">
        <f>IFERROR(100/'Skjema total MA'!C120*C120,0)</f>
        <v>4.7933719727015367</v>
      </c>
      <c r="F120" s="230"/>
      <c r="G120" s="143"/>
      <c r="H120" s="164"/>
      <c r="I120" s="25"/>
      <c r="J120" s="282">
        <f t="shared" si="31"/>
        <v>156743.185</v>
      </c>
      <c r="K120" s="42">
        <f t="shared" si="31"/>
        <v>9447.2970000000005</v>
      </c>
      <c r="L120" s="249">
        <f t="shared" si="32"/>
        <v>-94</v>
      </c>
      <c r="M120" s="25">
        <f>IFERROR(100/'Skjema total MA'!I120*K120,0)</f>
        <v>4.7933719727015367</v>
      </c>
    </row>
    <row r="121" spans="1:14" x14ac:dyDescent="0.2">
      <c r="A121" s="19" t="s">
        <v>10</v>
      </c>
      <c r="B121" s="230"/>
      <c r="C121" s="143"/>
      <c r="D121" s="164"/>
      <c r="E121" s="25"/>
      <c r="F121" s="230">
        <v>14502016.188999999</v>
      </c>
      <c r="G121" s="143">
        <v>7574815.3459999999</v>
      </c>
      <c r="H121" s="164">
        <f t="shared" si="30"/>
        <v>-47.8</v>
      </c>
      <c r="I121" s="25">
        <f>IFERROR(100/'Skjema total MA'!F121*G121,0)</f>
        <v>23.700733730084188</v>
      </c>
      <c r="J121" s="282">
        <f t="shared" si="31"/>
        <v>14502016.188999999</v>
      </c>
      <c r="K121" s="42">
        <f t="shared" si="31"/>
        <v>7574815.3459999999</v>
      </c>
      <c r="L121" s="249">
        <f t="shared" si="32"/>
        <v>-47.8</v>
      </c>
      <c r="M121" s="25">
        <f>IFERROR(100/'Skjema total MA'!I121*K121,0)</f>
        <v>23.696313305108056</v>
      </c>
    </row>
    <row r="122" spans="1:14" x14ac:dyDescent="0.2">
      <c r="A122" s="19" t="s">
        <v>26</v>
      </c>
      <c r="B122" s="230">
        <v>113005.72500000001</v>
      </c>
      <c r="C122" s="143">
        <v>132353.51</v>
      </c>
      <c r="D122" s="164">
        <f t="shared" si="29"/>
        <v>17.100000000000001</v>
      </c>
      <c r="E122" s="25">
        <f>IFERROR(100/'Skjema total MA'!C122*C122,0)</f>
        <v>36.921442027343225</v>
      </c>
      <c r="F122" s="230"/>
      <c r="G122" s="143"/>
      <c r="H122" s="164"/>
      <c r="I122" s="25"/>
      <c r="J122" s="282">
        <f t="shared" si="31"/>
        <v>113005.72500000001</v>
      </c>
      <c r="K122" s="42">
        <f t="shared" si="31"/>
        <v>132353.51</v>
      </c>
      <c r="L122" s="249">
        <f t="shared" si="32"/>
        <v>17.100000000000001</v>
      </c>
      <c r="M122" s="25">
        <f>IFERROR(100/'Skjema total MA'!I122*K122,0)</f>
        <v>36.921442027343225</v>
      </c>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v>6083.65</v>
      </c>
      <c r="C124" s="230">
        <v>1373.4590000000001</v>
      </c>
      <c r="D124" s="164">
        <f t="shared" si="29"/>
        <v>-77.400000000000006</v>
      </c>
      <c r="E124" s="25">
        <f>IFERROR(100/'Skjema total MA'!C124*C124,0)</f>
        <v>2.2343035651716026</v>
      </c>
      <c r="F124" s="230">
        <v>42123.902000000002</v>
      </c>
      <c r="G124" s="230">
        <v>9657.9230000000007</v>
      </c>
      <c r="H124" s="164">
        <f t="shared" si="30"/>
        <v>-77.099999999999994</v>
      </c>
      <c r="I124" s="25">
        <f>IFERROR(100/'Skjema total MA'!F124*G124,0)</f>
        <v>100</v>
      </c>
      <c r="J124" s="282">
        <f t="shared" si="31"/>
        <v>48207.552000000003</v>
      </c>
      <c r="K124" s="42">
        <f t="shared" si="31"/>
        <v>11031.382000000001</v>
      </c>
      <c r="L124" s="249">
        <f t="shared" si="32"/>
        <v>-77.099999999999994</v>
      </c>
      <c r="M124" s="25">
        <f>IFERROR(100/'Skjema total MA'!I124*K124,0)</f>
        <v>15.508896168955891</v>
      </c>
    </row>
    <row r="125" spans="1:14" ht="15.75" x14ac:dyDescent="0.2">
      <c r="A125" s="36" t="s">
        <v>408</v>
      </c>
      <c r="B125" s="230">
        <v>310.97500000000002</v>
      </c>
      <c r="C125" s="230">
        <v>0</v>
      </c>
      <c r="D125" s="164">
        <f t="shared" si="29"/>
        <v>-100</v>
      </c>
      <c r="E125" s="25">
        <f>IFERROR(100/'Skjema total MA'!C125*C125,0)</f>
        <v>0</v>
      </c>
      <c r="F125" s="230">
        <v>10855478.534</v>
      </c>
      <c r="G125" s="230">
        <v>639769.88699999999</v>
      </c>
      <c r="H125" s="164">
        <f t="shared" si="30"/>
        <v>-94.1</v>
      </c>
      <c r="I125" s="25">
        <f>IFERROR(100/'Skjema total MA'!F125*G125,0)</f>
        <v>3.8823956389512193</v>
      </c>
      <c r="J125" s="282">
        <f t="shared" si="31"/>
        <v>10855789.509</v>
      </c>
      <c r="K125" s="42">
        <f t="shared" si="31"/>
        <v>639769.88699999999</v>
      </c>
      <c r="L125" s="249">
        <f t="shared" si="32"/>
        <v>-94.1</v>
      </c>
      <c r="M125" s="25">
        <f>IFERROR(100/'Skjema total MA'!I125*K125,0)</f>
        <v>3.8821925908875285</v>
      </c>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291"/>
      <c r="F130" s="707"/>
      <c r="G130" s="707"/>
      <c r="H130" s="707"/>
      <c r="I130" s="291"/>
      <c r="J130" s="707"/>
      <c r="K130" s="707"/>
      <c r="L130" s="707"/>
      <c r="M130" s="291"/>
    </row>
    <row r="131" spans="1:14" s="3" customFormat="1" x14ac:dyDescent="0.2">
      <c r="A131" s="142"/>
      <c r="B131" s="705" t="s">
        <v>0</v>
      </c>
      <c r="C131" s="706"/>
      <c r="D131" s="706"/>
      <c r="E131" s="293"/>
      <c r="F131" s="705" t="s">
        <v>1</v>
      </c>
      <c r="G131" s="706"/>
      <c r="H131" s="706"/>
      <c r="I131" s="296"/>
      <c r="J131" s="705" t="s">
        <v>2</v>
      </c>
      <c r="K131" s="706"/>
      <c r="L131" s="706"/>
      <c r="M131" s="296"/>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v>667520.35499999998</v>
      </c>
      <c r="C134" s="301">
        <v>1061864.5009999999</v>
      </c>
      <c r="D134" s="341">
        <f t="shared" ref="D134:D137" si="33">IF(B134=0, "    ---- ", IF(ABS(ROUND(100/B134*C134-100,1))&lt;999,ROUND(100/B134*C134-100,1),IF(ROUND(100/B134*C134-100,1)&gt;999,999,-999)))</f>
        <v>59.1</v>
      </c>
      <c r="E134" s="11">
        <f>IFERROR(100/'Skjema total MA'!C134*C134,0)</f>
        <v>2.202996923709208</v>
      </c>
      <c r="F134" s="308"/>
      <c r="G134" s="309"/>
      <c r="H134" s="417"/>
      <c r="I134" s="22"/>
      <c r="J134" s="310">
        <f t="shared" ref="J134:K137" si="34">SUM(B134,F134)</f>
        <v>667520.35499999998</v>
      </c>
      <c r="K134" s="310">
        <f t="shared" si="34"/>
        <v>1061864.5009999999</v>
      </c>
      <c r="L134" s="413">
        <f t="shared" ref="L134:L137" si="35">IF(J134=0, "    ---- ", IF(ABS(ROUND(100/J134*K134-100,1))&lt;999,ROUND(100/J134*K134-100,1),IF(ROUND(100/J134*K134-100,1)&gt;999,999,-999)))</f>
        <v>59.1</v>
      </c>
      <c r="M134" s="11">
        <f>IFERROR(100/'Skjema total MA'!I134*K134,0)</f>
        <v>2.1969936161683954</v>
      </c>
      <c r="N134" s="146"/>
    </row>
    <row r="135" spans="1:14" s="3" customFormat="1" ht="15.75" x14ac:dyDescent="0.2">
      <c r="A135" s="13" t="s">
        <v>377</v>
      </c>
      <c r="B135" s="232">
        <v>11070423.164999999</v>
      </c>
      <c r="C135" s="301">
        <v>16407811.461999999</v>
      </c>
      <c r="D135" s="169">
        <f t="shared" si="33"/>
        <v>48.2</v>
      </c>
      <c r="E135" s="11">
        <f>IFERROR(100/'Skjema total MA'!C135*C135,0)</f>
        <v>2.214530279139701</v>
      </c>
      <c r="F135" s="232"/>
      <c r="G135" s="301"/>
      <c r="H135" s="418"/>
      <c r="I135" s="22"/>
      <c r="J135" s="300">
        <f t="shared" si="34"/>
        <v>11070423.164999999</v>
      </c>
      <c r="K135" s="300">
        <f t="shared" si="34"/>
        <v>16407811.461999999</v>
      </c>
      <c r="L135" s="414">
        <f t="shared" si="35"/>
        <v>48.2</v>
      </c>
      <c r="M135" s="11">
        <f>IFERROR(100/'Skjema total MA'!I135*K135,0)</f>
        <v>2.2069386547132344</v>
      </c>
      <c r="N135" s="146"/>
    </row>
    <row r="136" spans="1:14" s="3" customFormat="1" ht="15.75" x14ac:dyDescent="0.2">
      <c r="A136" s="13" t="s">
        <v>374</v>
      </c>
      <c r="B136" s="232">
        <v>6400360.4139999999</v>
      </c>
      <c r="C136" s="301">
        <v>3397569.4810000001</v>
      </c>
      <c r="D136" s="169">
        <f t="shared" si="33"/>
        <v>-46.9</v>
      </c>
      <c r="E136" s="11">
        <f>IFERROR(100/'Skjema total MA'!C136*C136,0)</f>
        <v>99.351103388144622</v>
      </c>
      <c r="F136" s="232"/>
      <c r="G136" s="301"/>
      <c r="H136" s="418"/>
      <c r="I136" s="22"/>
      <c r="J136" s="300">
        <f t="shared" si="34"/>
        <v>6400360.4139999999</v>
      </c>
      <c r="K136" s="300">
        <f t="shared" si="34"/>
        <v>3397569.4810000001</v>
      </c>
      <c r="L136" s="414">
        <f t="shared" si="35"/>
        <v>-46.9</v>
      </c>
      <c r="M136" s="11">
        <f>IFERROR(100/'Skjema total MA'!I136*K136,0)</f>
        <v>89.499205479050218</v>
      </c>
      <c r="N136" s="146"/>
    </row>
    <row r="137" spans="1:14" s="3" customFormat="1" ht="15.75" x14ac:dyDescent="0.2">
      <c r="A137" s="39" t="s">
        <v>375</v>
      </c>
      <c r="B137" s="271">
        <v>0</v>
      </c>
      <c r="C137" s="307">
        <v>10460.601000000001</v>
      </c>
      <c r="D137" s="167" t="str">
        <f t="shared" si="33"/>
        <v xml:space="preserve">    ---- </v>
      </c>
      <c r="E137" s="9">
        <f>IFERROR(100/'Skjema total MA'!C137*C137,0)</f>
        <v>0.22404882259279313</v>
      </c>
      <c r="F137" s="271"/>
      <c r="G137" s="307"/>
      <c r="H137" s="419"/>
      <c r="I137" s="34"/>
      <c r="J137" s="306">
        <f t="shared" si="34"/>
        <v>0</v>
      </c>
      <c r="K137" s="306">
        <f t="shared" si="34"/>
        <v>10460.601000000001</v>
      </c>
      <c r="L137" s="415" t="str">
        <f t="shared" si="35"/>
        <v xml:space="preserve">    ---- </v>
      </c>
      <c r="M137" s="34">
        <f>IFERROR(100/'Skjema total MA'!I137*K137,0)</f>
        <v>0.22404882259279313</v>
      </c>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270" priority="12">
      <formula>kvartal &lt; 4</formula>
    </cfRule>
  </conditionalFormatting>
  <conditionalFormatting sqref="A69:A74">
    <cfRule type="expression" dxfId="269" priority="10">
      <formula>kvartal &lt; 4</formula>
    </cfRule>
  </conditionalFormatting>
  <conditionalFormatting sqref="A80:A85">
    <cfRule type="expression" dxfId="268" priority="9">
      <formula>kvartal &lt; 4</formula>
    </cfRule>
  </conditionalFormatting>
  <conditionalFormatting sqref="A90:A95">
    <cfRule type="expression" dxfId="267" priority="6">
      <formula>kvartal &lt; 4</formula>
    </cfRule>
  </conditionalFormatting>
  <conditionalFormatting sqref="A101:A106">
    <cfRule type="expression" dxfId="266" priority="5">
      <formula>kvartal &lt; 4</formula>
    </cfRule>
  </conditionalFormatting>
  <conditionalFormatting sqref="A115">
    <cfRule type="expression" dxfId="265" priority="4">
      <formula>kvartal &lt; 4</formula>
    </cfRule>
  </conditionalFormatting>
  <conditionalFormatting sqref="A123">
    <cfRule type="expression" dxfId="264" priority="3">
      <formula>kvartal &lt; 4</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Q176"/>
  <sheetViews>
    <sheetView showGridLines="0" showZeros="0" zoomScale="80" zoomScaleNormal="80" workbookViewId="0">
      <selection activeCell="A4" sqref="A4"/>
    </sheetView>
  </sheetViews>
  <sheetFormatPr baseColWidth="10" defaultColWidth="11.42578125" defaultRowHeight="18.75" x14ac:dyDescent="0.3"/>
  <cols>
    <col min="10" max="11" width="16.7109375" customWidth="1"/>
    <col min="12" max="12" width="22.85546875" style="72" customWidth="1"/>
    <col min="13" max="14" width="15.7109375" style="72" bestFit="1" customWidth="1"/>
    <col min="15" max="15" width="22.7109375" customWidth="1"/>
    <col min="16" max="16" width="13.42578125" customWidth="1"/>
    <col min="17" max="17" width="13.7109375" customWidth="1"/>
  </cols>
  <sheetData>
    <row r="1" spans="1:15" x14ac:dyDescent="0.3">
      <c r="A1" s="71" t="s">
        <v>52</v>
      </c>
    </row>
    <row r="2" spans="1:15" x14ac:dyDescent="0.3">
      <c r="A2" s="73"/>
      <c r="B2" s="72"/>
      <c r="C2" s="72"/>
      <c r="D2" s="72"/>
      <c r="E2" s="72"/>
      <c r="F2" s="72"/>
      <c r="G2" s="72"/>
      <c r="H2" s="72"/>
      <c r="I2" s="72"/>
      <c r="J2" s="72"/>
      <c r="K2" s="72"/>
      <c r="O2" s="72"/>
    </row>
    <row r="3" spans="1:15" x14ac:dyDescent="0.3">
      <c r="A3" s="73" t="s">
        <v>32</v>
      </c>
      <c r="B3" s="72"/>
      <c r="C3" s="72"/>
      <c r="D3" s="72"/>
      <c r="E3" s="72"/>
      <c r="F3" s="72"/>
      <c r="G3" s="72"/>
      <c r="H3" s="72"/>
      <c r="I3" s="72"/>
      <c r="J3" s="72"/>
      <c r="K3" s="72"/>
      <c r="O3" s="72"/>
    </row>
    <row r="4" spans="1:15" x14ac:dyDescent="0.3">
      <c r="A4" s="72"/>
      <c r="B4" s="72"/>
      <c r="C4" s="72"/>
      <c r="D4" s="72"/>
      <c r="E4" s="72"/>
      <c r="F4" s="72"/>
      <c r="G4" s="72"/>
      <c r="H4" s="72"/>
      <c r="I4" s="72"/>
      <c r="J4" s="72"/>
      <c r="K4" s="72"/>
      <c r="L4" s="74"/>
      <c r="O4" s="72"/>
    </row>
    <row r="5" spans="1:15" x14ac:dyDescent="0.3">
      <c r="A5" s="73" t="s">
        <v>429</v>
      </c>
      <c r="B5" s="72"/>
      <c r="C5" s="72"/>
      <c r="D5" s="72"/>
      <c r="E5" s="72"/>
      <c r="F5" s="72"/>
      <c r="G5" s="72"/>
      <c r="H5" s="72"/>
      <c r="I5" s="77"/>
      <c r="J5" s="72"/>
      <c r="K5" s="72"/>
      <c r="L5" s="72" t="s">
        <v>53</v>
      </c>
      <c r="O5" s="72"/>
    </row>
    <row r="6" spans="1:15" x14ac:dyDescent="0.3">
      <c r="A6" s="72"/>
      <c r="B6" s="72"/>
      <c r="C6" s="72"/>
      <c r="D6" s="72"/>
      <c r="E6" s="72"/>
      <c r="F6" s="72"/>
      <c r="G6" s="72"/>
      <c r="H6" s="72"/>
      <c r="I6" s="72"/>
      <c r="J6" s="72"/>
      <c r="K6" s="72"/>
      <c r="L6" s="72" t="s">
        <v>0</v>
      </c>
      <c r="O6" s="72"/>
    </row>
    <row r="7" spans="1:15" x14ac:dyDescent="0.3">
      <c r="A7" s="72"/>
      <c r="B7" s="72"/>
      <c r="C7" s="72"/>
      <c r="D7" s="72"/>
      <c r="E7" s="72"/>
      <c r="F7" s="72"/>
      <c r="G7" s="72"/>
      <c r="H7" s="72"/>
      <c r="I7" s="72"/>
      <c r="J7" s="72"/>
      <c r="K7" s="72"/>
      <c r="M7" s="72">
        <v>2021</v>
      </c>
      <c r="N7" s="72">
        <v>2022</v>
      </c>
      <c r="O7" s="72"/>
    </row>
    <row r="8" spans="1:15" x14ac:dyDescent="0.3">
      <c r="A8" s="72"/>
      <c r="B8" s="72"/>
      <c r="C8" s="72"/>
      <c r="D8" s="72"/>
      <c r="E8" s="72"/>
      <c r="F8" s="72"/>
      <c r="G8" s="72"/>
      <c r="H8" s="72"/>
      <c r="I8" s="72"/>
      <c r="J8" s="72"/>
      <c r="K8" s="72"/>
      <c r="L8" s="72" t="s">
        <v>398</v>
      </c>
      <c r="M8" s="75">
        <f>'Tabel 1.1'!B9</f>
        <v>73022</v>
      </c>
      <c r="N8" s="75">
        <f>'Tabel 1.1'!C9</f>
        <v>0</v>
      </c>
      <c r="O8" s="72"/>
    </row>
    <row r="9" spans="1:15" x14ac:dyDescent="0.3">
      <c r="A9" s="72"/>
      <c r="B9" s="72"/>
      <c r="C9" s="72"/>
      <c r="D9" s="72"/>
      <c r="E9" s="72"/>
      <c r="F9" s="72"/>
      <c r="G9" s="72"/>
      <c r="H9" s="72"/>
      <c r="I9" s="72"/>
      <c r="J9" s="72"/>
      <c r="K9" s="72"/>
      <c r="L9" s="72" t="s">
        <v>436</v>
      </c>
      <c r="M9" s="75">
        <f>'Tabel 1.1'!B10</f>
        <v>325384.08600000001</v>
      </c>
      <c r="N9" s="75">
        <f>'Tabel 1.1'!C10</f>
        <v>337291.24852000002</v>
      </c>
      <c r="O9" s="72"/>
    </row>
    <row r="10" spans="1:15" x14ac:dyDescent="0.3">
      <c r="A10" s="72"/>
      <c r="B10" s="72"/>
      <c r="C10" s="72"/>
      <c r="D10" s="72"/>
      <c r="E10" s="72"/>
      <c r="F10" s="72"/>
      <c r="G10" s="72"/>
      <c r="H10" s="72"/>
      <c r="I10" s="72"/>
      <c r="J10" s="72"/>
      <c r="K10" s="72"/>
      <c r="L10" s="72" t="s">
        <v>54</v>
      </c>
      <c r="M10" s="75">
        <f>'Tabel 1.1'!B11</f>
        <v>2650494.3509999998</v>
      </c>
      <c r="N10" s="75">
        <f>'Tabel 1.1'!C11</f>
        <v>2702411</v>
      </c>
      <c r="O10" s="72"/>
    </row>
    <row r="11" spans="1:15" x14ac:dyDescent="0.3">
      <c r="A11" s="72"/>
      <c r="B11" s="72"/>
      <c r="C11" s="72"/>
      <c r="D11" s="72"/>
      <c r="E11" s="72"/>
      <c r="F11" s="72"/>
      <c r="G11" s="72"/>
      <c r="H11" s="72"/>
      <c r="I11" s="72"/>
      <c r="J11" s="72"/>
      <c r="K11" s="72"/>
      <c r="L11" s="72" t="s">
        <v>55</v>
      </c>
      <c r="M11" s="75">
        <f>'Tabel 1.1'!B12</f>
        <v>291419</v>
      </c>
      <c r="N11" s="75">
        <f>'Tabel 1.1'!C12</f>
        <v>335934</v>
      </c>
      <c r="O11" s="72"/>
    </row>
    <row r="12" spans="1:15" x14ac:dyDescent="0.3">
      <c r="A12" s="72"/>
      <c r="B12" s="72"/>
      <c r="C12" s="72"/>
      <c r="D12" s="72"/>
      <c r="E12" s="72"/>
      <c r="F12" s="72"/>
      <c r="G12" s="72"/>
      <c r="H12" s="72"/>
      <c r="I12" s="72"/>
      <c r="J12" s="72"/>
      <c r="K12" s="72"/>
      <c r="L12" s="72" t="s">
        <v>399</v>
      </c>
      <c r="M12" s="75">
        <f>'Tabel 1.1'!B13</f>
        <v>10359.611999999999</v>
      </c>
      <c r="N12" s="75">
        <f>'Tabel 1.1'!C13</f>
        <v>26920</v>
      </c>
      <c r="O12" s="72"/>
    </row>
    <row r="13" spans="1:15" x14ac:dyDescent="0.3">
      <c r="A13" s="72"/>
      <c r="B13" s="72"/>
      <c r="C13" s="72"/>
      <c r="D13" s="72"/>
      <c r="E13" s="72"/>
      <c r="F13" s="72"/>
      <c r="G13" s="72"/>
      <c r="H13" s="72"/>
      <c r="I13" s="72"/>
      <c r="J13" s="72"/>
      <c r="K13" s="72"/>
      <c r="L13" s="72" t="s">
        <v>385</v>
      </c>
      <c r="M13" s="75">
        <f>'Tabel 1.1'!B14</f>
        <v>2307250.8282099999</v>
      </c>
      <c r="N13" s="75">
        <f>'Tabel 1.1'!C14</f>
        <v>2472117.6320799999</v>
      </c>
      <c r="O13" s="72"/>
    </row>
    <row r="14" spans="1:15" x14ac:dyDescent="0.3">
      <c r="A14" s="72"/>
      <c r="B14" s="72"/>
      <c r="C14" s="72"/>
      <c r="D14" s="72"/>
      <c r="E14" s="72"/>
      <c r="F14" s="72"/>
      <c r="G14" s="72"/>
      <c r="H14" s="72"/>
      <c r="I14" s="72"/>
      <c r="J14" s="72"/>
      <c r="K14" s="72"/>
      <c r="L14" s="72" t="s">
        <v>56</v>
      </c>
      <c r="M14" s="75">
        <f>'Tabel 1.1'!B15</f>
        <v>459364</v>
      </c>
      <c r="N14" s="75">
        <f>'Tabel 1.1'!C15</f>
        <v>507793</v>
      </c>
      <c r="O14" s="72"/>
    </row>
    <row r="15" spans="1:15" x14ac:dyDescent="0.3">
      <c r="A15" s="72"/>
      <c r="B15" s="72"/>
      <c r="C15" s="72"/>
      <c r="D15" s="72"/>
      <c r="E15" s="72"/>
      <c r="F15" s="72"/>
      <c r="G15" s="72"/>
      <c r="H15" s="72"/>
      <c r="I15" s="72"/>
      <c r="J15" s="72"/>
      <c r="K15" s="72"/>
      <c r="L15" s="72" t="s">
        <v>57</v>
      </c>
      <c r="M15" s="75">
        <f>'Tabel 1.1'!B16</f>
        <v>5330.2790000000005</v>
      </c>
      <c r="N15" s="75">
        <f>'Tabel 1.1'!C16</f>
        <v>6370.085</v>
      </c>
      <c r="O15" s="72"/>
    </row>
    <row r="16" spans="1:15" x14ac:dyDescent="0.3">
      <c r="A16" s="72"/>
      <c r="B16" s="72"/>
      <c r="C16" s="72"/>
      <c r="D16" s="72"/>
      <c r="E16" s="72"/>
      <c r="F16" s="72"/>
      <c r="G16" s="72"/>
      <c r="H16" s="72"/>
      <c r="I16" s="72"/>
      <c r="J16" s="72"/>
      <c r="K16" s="72"/>
      <c r="L16" s="72" t="s">
        <v>58</v>
      </c>
      <c r="M16" s="75">
        <f>'Tabel 1.1'!B17</f>
        <v>1671885.9509999999</v>
      </c>
      <c r="N16" s="75">
        <f>'Tabel 1.1'!C17</f>
        <v>1802206.75</v>
      </c>
      <c r="O16" s="72"/>
    </row>
    <row r="17" spans="1:15" x14ac:dyDescent="0.3">
      <c r="A17" s="72"/>
      <c r="B17" s="72"/>
      <c r="C17" s="72"/>
      <c r="D17" s="72"/>
      <c r="E17" s="72"/>
      <c r="F17" s="72"/>
      <c r="G17" s="72"/>
      <c r="H17" s="72"/>
      <c r="I17" s="72"/>
      <c r="J17" s="72"/>
      <c r="K17" s="72"/>
      <c r="L17" s="72" t="s">
        <v>59</v>
      </c>
      <c r="M17" s="75">
        <f>'Tabel 1.1'!B18</f>
        <v>556509.5</v>
      </c>
      <c r="N17" s="75">
        <f>'Tabel 1.1'!C18</f>
        <v>625492</v>
      </c>
      <c r="O17" s="72"/>
    </row>
    <row r="18" spans="1:15" x14ac:dyDescent="0.3">
      <c r="A18" s="72"/>
      <c r="B18" s="72"/>
      <c r="C18" s="72"/>
      <c r="D18" s="72"/>
      <c r="E18" s="72"/>
      <c r="F18" s="72"/>
      <c r="G18" s="72"/>
      <c r="H18" s="72"/>
      <c r="I18" s="72"/>
      <c r="J18" s="72"/>
      <c r="K18" s="72"/>
      <c r="L18" s="72" t="s">
        <v>60</v>
      </c>
      <c r="M18" s="75">
        <f>'Tabel 1.1'!B19</f>
        <v>26025.308660000002</v>
      </c>
      <c r="N18" s="75">
        <f>'Tabel 1.1'!C19</f>
        <v>37716.661089999994</v>
      </c>
      <c r="O18" s="72"/>
    </row>
    <row r="19" spans="1:15" x14ac:dyDescent="0.3">
      <c r="A19" s="72"/>
      <c r="B19" s="72"/>
      <c r="C19" s="72"/>
      <c r="D19" s="72"/>
      <c r="E19" s="72"/>
      <c r="F19" s="72"/>
      <c r="G19" s="72"/>
      <c r="H19" s="72"/>
      <c r="I19" s="72"/>
      <c r="J19" s="72"/>
      <c r="K19" s="72"/>
      <c r="L19" s="72" t="s">
        <v>61</v>
      </c>
      <c r="M19" s="75">
        <f>'Tabel 1.1'!B20</f>
        <v>416726.04218554404</v>
      </c>
      <c r="N19" s="75">
        <f>'Tabel 1.1'!C20</f>
        <v>461957.49523765099</v>
      </c>
      <c r="O19" s="72"/>
    </row>
    <row r="20" spans="1:15" x14ac:dyDescent="0.3">
      <c r="A20" s="72"/>
      <c r="B20" s="72"/>
      <c r="C20" s="72"/>
      <c r="D20" s="72"/>
      <c r="E20" s="72"/>
      <c r="F20" s="72"/>
      <c r="G20" s="72"/>
      <c r="H20" s="72"/>
      <c r="I20" s="72"/>
      <c r="J20" s="72"/>
      <c r="K20" s="72"/>
      <c r="L20" s="72" t="s">
        <v>62</v>
      </c>
      <c r="M20" s="75">
        <f>'Tabel 1.1'!B21</f>
        <v>41046577.107529998</v>
      </c>
      <c r="N20" s="75">
        <f>'Tabel 1.1'!C21</f>
        <v>40116042.616570003</v>
      </c>
      <c r="O20" s="72"/>
    </row>
    <row r="21" spans="1:15" x14ac:dyDescent="0.3">
      <c r="A21" s="72"/>
      <c r="B21" s="72"/>
      <c r="C21" s="72"/>
      <c r="D21" s="72"/>
      <c r="E21" s="72"/>
      <c r="F21" s="72"/>
      <c r="G21" s="72"/>
      <c r="H21" s="72"/>
      <c r="I21" s="72"/>
      <c r="J21" s="72"/>
      <c r="K21" s="72"/>
      <c r="L21" s="72" t="s">
        <v>63</v>
      </c>
      <c r="M21" s="75">
        <f>'Tabel 1.1'!B22</f>
        <v>233574.45626000001</v>
      </c>
      <c r="N21" s="75">
        <f>'Tabel 1.1'!C22</f>
        <v>293311.63199999998</v>
      </c>
      <c r="O21" s="72"/>
    </row>
    <row r="22" spans="1:15" x14ac:dyDescent="0.3">
      <c r="A22" s="72"/>
      <c r="B22" s="72"/>
      <c r="C22" s="72"/>
      <c r="D22" s="72"/>
      <c r="E22" s="72"/>
      <c r="F22" s="72"/>
      <c r="G22" s="72"/>
      <c r="H22" s="72"/>
      <c r="I22" s="72"/>
      <c r="J22" s="72"/>
      <c r="K22" s="72"/>
      <c r="L22" s="72" t="s">
        <v>386</v>
      </c>
      <c r="M22" s="75">
        <f>'Tabel 1.1'!B23</f>
        <v>41337</v>
      </c>
      <c r="N22" s="75">
        <f>'Tabel 1.1'!C23</f>
        <v>28431</v>
      </c>
      <c r="O22" s="72"/>
    </row>
    <row r="23" spans="1:15" x14ac:dyDescent="0.3">
      <c r="A23" s="72"/>
      <c r="B23" s="72"/>
      <c r="C23" s="72"/>
      <c r="D23" s="72"/>
      <c r="E23" s="72"/>
      <c r="F23" s="72"/>
      <c r="G23" s="72"/>
      <c r="H23" s="72"/>
      <c r="I23" s="72"/>
      <c r="J23" s="72"/>
      <c r="K23" s="72"/>
      <c r="L23" s="72" t="s">
        <v>403</v>
      </c>
      <c r="M23" s="75">
        <f>'Tabel 1.1'!B24</f>
        <v>0</v>
      </c>
      <c r="N23" s="75">
        <f>'Tabel 1.1'!C24</f>
        <v>16353.946</v>
      </c>
      <c r="O23" s="72"/>
    </row>
    <row r="24" spans="1:15" x14ac:dyDescent="0.3">
      <c r="A24" s="72"/>
      <c r="B24" s="72"/>
      <c r="C24" s="72"/>
      <c r="D24" s="72"/>
      <c r="E24" s="72"/>
      <c r="F24" s="72"/>
      <c r="G24" s="72"/>
      <c r="H24" s="72"/>
      <c r="I24" s="72"/>
      <c r="J24" s="72"/>
      <c r="K24" s="72"/>
      <c r="L24" s="72" t="s">
        <v>64</v>
      </c>
      <c r="M24" s="75">
        <f>'Tabel 1.1'!B25</f>
        <v>1318287.2052763819</v>
      </c>
      <c r="N24" s="75">
        <f>'Tabel 1.1'!C25</f>
        <v>1272563.1350929129</v>
      </c>
      <c r="O24" s="72"/>
    </row>
    <row r="25" spans="1:15" x14ac:dyDescent="0.3">
      <c r="A25" s="72"/>
      <c r="B25" s="72"/>
      <c r="C25" s="72"/>
      <c r="D25" s="72"/>
      <c r="E25" s="72"/>
      <c r="F25" s="72"/>
      <c r="G25" s="72"/>
      <c r="H25" s="72"/>
      <c r="I25" s="72"/>
      <c r="J25" s="72"/>
      <c r="K25" s="72"/>
      <c r="L25" s="72" t="s">
        <v>65</v>
      </c>
      <c r="M25" s="75">
        <f>'Tabel 1.1'!B26</f>
        <v>6050567</v>
      </c>
      <c r="N25" s="75">
        <f>'Tabel 1.1'!C26</f>
        <v>7048000</v>
      </c>
      <c r="O25" s="72"/>
    </row>
    <row r="26" spans="1:15" s="139" customFormat="1" x14ac:dyDescent="0.3">
      <c r="A26" s="72"/>
      <c r="B26" s="72"/>
      <c r="C26" s="72"/>
      <c r="D26" s="72"/>
      <c r="E26" s="72"/>
      <c r="F26" s="72"/>
      <c r="G26" s="72"/>
      <c r="H26" s="72"/>
      <c r="I26" s="72"/>
      <c r="J26" s="72"/>
      <c r="K26" s="72"/>
      <c r="L26" s="72" t="s">
        <v>379</v>
      </c>
      <c r="M26" s="75">
        <f>'Tabel 1.1'!B27</f>
        <v>313745.28546748857</v>
      </c>
      <c r="N26" s="75">
        <f>'Tabel 1.1'!C27</f>
        <v>338102.51378736005</v>
      </c>
      <c r="O26" s="72"/>
    </row>
    <row r="27" spans="1:15" x14ac:dyDescent="0.3">
      <c r="A27" s="72"/>
      <c r="B27" s="72"/>
      <c r="C27" s="72"/>
      <c r="D27" s="72"/>
      <c r="E27" s="72"/>
      <c r="F27" s="72"/>
      <c r="G27" s="72"/>
      <c r="H27" s="72"/>
      <c r="I27" s="72"/>
      <c r="J27" s="72"/>
      <c r="K27" s="72"/>
      <c r="L27" s="72" t="s">
        <v>435</v>
      </c>
      <c r="M27" s="75">
        <f>'Tabel 1.1'!B28</f>
        <v>631024.44908000005</v>
      </c>
      <c r="N27" s="75">
        <f>'Tabel 1.1'!C28</f>
        <v>621880.97281000006</v>
      </c>
      <c r="O27" s="72"/>
    </row>
    <row r="28" spans="1:15" x14ac:dyDescent="0.3">
      <c r="A28" s="72"/>
      <c r="B28" s="72"/>
      <c r="C28" s="72"/>
      <c r="D28" s="72"/>
      <c r="E28" s="72"/>
      <c r="F28" s="72"/>
      <c r="G28" s="72"/>
      <c r="H28" s="72"/>
      <c r="I28" s="72"/>
      <c r="J28" s="72"/>
      <c r="K28" s="72"/>
      <c r="L28" s="72" t="s">
        <v>67</v>
      </c>
      <c r="M28" s="75">
        <f>'Tabel 1.1'!B29</f>
        <v>4839592.9589999998</v>
      </c>
      <c r="N28" s="75">
        <f>'Tabel 1.1'!C29</f>
        <v>5192979.767</v>
      </c>
    </row>
    <row r="29" spans="1:15" x14ac:dyDescent="0.3">
      <c r="A29" s="72"/>
      <c r="B29" s="72"/>
      <c r="C29" s="72"/>
      <c r="D29" s="72"/>
      <c r="E29" s="72"/>
      <c r="F29" s="72"/>
      <c r="G29" s="72"/>
      <c r="H29" s="72"/>
      <c r="I29" s="72"/>
      <c r="J29" s="72"/>
      <c r="K29" s="72"/>
      <c r="L29" s="72" t="s">
        <v>68</v>
      </c>
      <c r="M29" s="75">
        <f>'Tabel 1.1'!B30</f>
        <v>1014</v>
      </c>
      <c r="N29" s="75">
        <f>'Tabel 1.1'!C30</f>
        <v>0</v>
      </c>
    </row>
    <row r="30" spans="1:15" x14ac:dyDescent="0.3">
      <c r="A30" s="72"/>
      <c r="B30" s="72"/>
      <c r="C30" s="72"/>
      <c r="D30" s="72"/>
      <c r="E30" s="72"/>
      <c r="F30" s="72"/>
      <c r="G30" s="72"/>
      <c r="H30" s="72"/>
      <c r="I30" s="72"/>
      <c r="J30" s="72"/>
      <c r="K30" s="72"/>
      <c r="L30" s="72" t="s">
        <v>69</v>
      </c>
      <c r="M30" s="75">
        <f>'Tabel 1.1'!B31</f>
        <v>566035.48</v>
      </c>
      <c r="N30" s="75">
        <f>'Tabel 1.1'!C31</f>
        <v>636479</v>
      </c>
    </row>
    <row r="31" spans="1:15" x14ac:dyDescent="0.3">
      <c r="A31" s="73" t="s">
        <v>430</v>
      </c>
      <c r="B31" s="72"/>
      <c r="C31" s="72"/>
      <c r="D31" s="72"/>
      <c r="E31" s="72"/>
      <c r="F31" s="72"/>
      <c r="G31" s="72"/>
      <c r="H31" s="72"/>
      <c r="I31" s="77"/>
      <c r="J31" s="72"/>
      <c r="K31" s="72"/>
      <c r="L31" s="72" t="s">
        <v>394</v>
      </c>
      <c r="M31" s="75">
        <f>'Tabel 1.1'!B32</f>
        <v>1806</v>
      </c>
      <c r="N31" s="75">
        <f>'Tabel 1.1'!C32</f>
        <v>2123</v>
      </c>
    </row>
    <row r="32" spans="1:15" x14ac:dyDescent="0.3">
      <c r="B32" s="72"/>
      <c r="C32" s="72"/>
      <c r="D32" s="72"/>
      <c r="E32" s="72"/>
      <c r="F32" s="72"/>
      <c r="G32" s="72"/>
      <c r="H32" s="72"/>
      <c r="I32" s="72"/>
      <c r="J32" s="72"/>
      <c r="K32" s="72"/>
      <c r="L32" s="72" t="s">
        <v>406</v>
      </c>
      <c r="M32" s="75">
        <f>'Tabel 1.1'!B33</f>
        <v>0</v>
      </c>
      <c r="N32" s="75">
        <f>'Tabel 1.1'!C33</f>
        <v>3579</v>
      </c>
    </row>
    <row r="33" spans="1:15" x14ac:dyDescent="0.3">
      <c r="B33" s="72"/>
      <c r="C33" s="72"/>
      <c r="D33" s="72"/>
      <c r="E33" s="72"/>
      <c r="F33" s="72"/>
      <c r="G33" s="72"/>
      <c r="H33" s="72"/>
      <c r="I33" s="72"/>
      <c r="J33" s="72"/>
      <c r="K33" s="72"/>
    </row>
    <row r="34" spans="1:15" x14ac:dyDescent="0.3">
      <c r="A34" s="72"/>
      <c r="B34" s="72"/>
      <c r="C34" s="72"/>
      <c r="D34" s="72"/>
      <c r="E34" s="72"/>
      <c r="F34" s="72"/>
      <c r="G34" s="72"/>
      <c r="H34" s="72"/>
      <c r="I34" s="72"/>
      <c r="J34" s="72"/>
      <c r="K34" s="72"/>
      <c r="L34" s="72" t="s">
        <v>53</v>
      </c>
    </row>
    <row r="35" spans="1:15" x14ac:dyDescent="0.3">
      <c r="A35" s="72"/>
      <c r="B35" s="72"/>
      <c r="C35" s="72"/>
      <c r="D35" s="72"/>
      <c r="E35" s="72"/>
      <c r="F35" s="72"/>
      <c r="G35" s="72"/>
      <c r="H35" s="72"/>
      <c r="I35" s="72"/>
      <c r="J35" s="72"/>
      <c r="K35" s="72"/>
      <c r="L35" s="72" t="s">
        <v>1</v>
      </c>
    </row>
    <row r="36" spans="1:15" x14ac:dyDescent="0.3">
      <c r="A36" s="72"/>
      <c r="B36" s="72"/>
      <c r="C36" s="72"/>
      <c r="D36" s="72"/>
      <c r="E36" s="72"/>
      <c r="F36" s="72"/>
      <c r="G36" s="72"/>
      <c r="H36" s="72"/>
      <c r="I36" s="72"/>
      <c r="J36" s="72"/>
      <c r="K36" s="72"/>
      <c r="M36" s="72">
        <f>M7</f>
        <v>2021</v>
      </c>
      <c r="N36" s="72">
        <f>N7</f>
        <v>2022</v>
      </c>
    </row>
    <row r="37" spans="1:15" x14ac:dyDescent="0.3">
      <c r="A37" s="72"/>
      <c r="B37" s="72"/>
      <c r="C37" s="72"/>
      <c r="D37" s="72"/>
      <c r="E37" s="72"/>
      <c r="F37" s="72"/>
      <c r="G37" s="72"/>
      <c r="H37" s="72"/>
      <c r="I37" s="72"/>
      <c r="J37" s="72"/>
      <c r="K37" s="72"/>
      <c r="L37" s="72" t="s">
        <v>436</v>
      </c>
      <c r="M37" s="76">
        <f>'Tabel 1.1'!B37</f>
        <v>1727762.4669999999</v>
      </c>
      <c r="N37" s="76">
        <f>'Tabel 1.1'!C37</f>
        <v>1811787.2900899998</v>
      </c>
    </row>
    <row r="38" spans="1:15" x14ac:dyDescent="0.3">
      <c r="A38" s="72"/>
      <c r="B38" s="72"/>
      <c r="C38" s="72"/>
      <c r="D38" s="72"/>
      <c r="E38" s="72"/>
      <c r="F38" s="72"/>
      <c r="G38" s="72"/>
      <c r="H38" s="72"/>
      <c r="I38" s="72"/>
      <c r="J38" s="72"/>
      <c r="K38" s="72"/>
      <c r="L38" s="72" t="s">
        <v>54</v>
      </c>
      <c r="M38" s="76">
        <f>'Tabel 1.1'!B38</f>
        <v>8603889.4309999999</v>
      </c>
      <c r="N38" s="76">
        <f>'Tabel 1.1'!C38</f>
        <v>9504232</v>
      </c>
    </row>
    <row r="39" spans="1:15" x14ac:dyDescent="0.3">
      <c r="A39" s="72"/>
      <c r="B39" s="72"/>
      <c r="C39" s="72"/>
      <c r="D39" s="72"/>
      <c r="E39" s="72"/>
      <c r="F39" s="72"/>
      <c r="G39" s="72"/>
      <c r="H39" s="72"/>
      <c r="I39" s="72"/>
      <c r="J39" s="72"/>
      <c r="K39" s="72"/>
      <c r="L39" s="72" t="s">
        <v>56</v>
      </c>
      <c r="M39" s="76">
        <f>'Tabel 1.1'!B39</f>
        <v>0</v>
      </c>
      <c r="N39" s="76">
        <f>'Tabel 1.1'!C39</f>
        <v>0</v>
      </c>
    </row>
    <row r="40" spans="1:15" x14ac:dyDescent="0.3">
      <c r="A40" s="72"/>
      <c r="B40" s="72"/>
      <c r="C40" s="72"/>
      <c r="D40" s="72"/>
      <c r="E40" s="72"/>
      <c r="F40" s="72"/>
      <c r="G40" s="72"/>
      <c r="H40" s="72"/>
      <c r="I40" s="72"/>
      <c r="J40" s="72"/>
      <c r="K40" s="72"/>
      <c r="L40" s="77" t="s">
        <v>59</v>
      </c>
      <c r="M40" s="76">
        <f>'Tabel 1.1'!B40</f>
        <v>2707157.7600000002</v>
      </c>
      <c r="N40" s="76">
        <f>'Tabel 1.1'!C40</f>
        <v>3199959</v>
      </c>
    </row>
    <row r="41" spans="1:15" x14ac:dyDescent="0.3">
      <c r="A41" s="72"/>
      <c r="B41" s="72"/>
      <c r="C41" s="72"/>
      <c r="D41" s="72"/>
      <c r="E41" s="72"/>
      <c r="F41" s="72"/>
      <c r="G41" s="72"/>
      <c r="H41" s="72"/>
      <c r="I41" s="72"/>
      <c r="J41" s="72"/>
      <c r="K41" s="72"/>
      <c r="L41" s="72" t="s">
        <v>62</v>
      </c>
      <c r="M41" s="76">
        <f>'Tabel 1.1'!B41</f>
        <v>116273.039</v>
      </c>
      <c r="N41" s="76">
        <f>'Tabel 1.1'!C41</f>
        <v>131709.47200000001</v>
      </c>
      <c r="O41" s="72"/>
    </row>
    <row r="42" spans="1:15" x14ac:dyDescent="0.3">
      <c r="A42" s="72"/>
      <c r="B42" s="72"/>
      <c r="C42" s="72"/>
      <c r="D42" s="72"/>
      <c r="E42" s="72"/>
      <c r="F42" s="72"/>
      <c r="G42" s="72"/>
      <c r="H42" s="72"/>
      <c r="I42" s="72"/>
      <c r="J42" s="72"/>
      <c r="K42" s="72"/>
      <c r="L42" s="77" t="s">
        <v>64</v>
      </c>
      <c r="M42" s="76">
        <f>'Tabel 1.1'!B42</f>
        <v>13080796.69379</v>
      </c>
      <c r="N42" s="76">
        <f>'Tabel 1.1'!C42</f>
        <v>10389567.608209999</v>
      </c>
      <c r="O42" s="72"/>
    </row>
    <row r="43" spans="1:15" x14ac:dyDescent="0.3">
      <c r="A43" s="72"/>
      <c r="B43" s="72"/>
      <c r="C43" s="72"/>
      <c r="D43" s="72"/>
      <c r="E43" s="72"/>
      <c r="F43" s="72"/>
      <c r="G43" s="72"/>
      <c r="H43" s="72"/>
      <c r="I43" s="72"/>
      <c r="J43" s="72"/>
      <c r="K43" s="72"/>
      <c r="L43" s="77" t="s">
        <v>70</v>
      </c>
      <c r="M43" s="76">
        <f>'Tabel 1.1'!B43</f>
        <v>118580.72222</v>
      </c>
      <c r="N43" s="76">
        <f>'Tabel 1.1'!C43</f>
        <v>82933.019990000015</v>
      </c>
      <c r="O43" s="72"/>
    </row>
    <row r="44" spans="1:15" x14ac:dyDescent="0.3">
      <c r="A44" s="72"/>
      <c r="B44" s="72"/>
      <c r="C44" s="72"/>
      <c r="D44" s="72"/>
      <c r="E44" s="72"/>
      <c r="F44" s="72"/>
      <c r="G44" s="72"/>
      <c r="H44" s="72"/>
      <c r="I44" s="72"/>
      <c r="J44" s="72"/>
      <c r="K44" s="72"/>
      <c r="L44" s="72" t="s">
        <v>435</v>
      </c>
      <c r="M44" s="76">
        <f>'Tabel 1.1'!B44</f>
        <v>4053690.9884699997</v>
      </c>
      <c r="N44" s="76">
        <f>'Tabel 1.1'!C44</f>
        <v>4592774.7892099991</v>
      </c>
      <c r="O44" s="72"/>
    </row>
    <row r="45" spans="1:15" x14ac:dyDescent="0.3">
      <c r="A45" s="72"/>
      <c r="B45" s="72"/>
      <c r="C45" s="72"/>
      <c r="D45" s="72"/>
      <c r="E45" s="72"/>
      <c r="F45" s="72"/>
      <c r="G45" s="72"/>
      <c r="H45" s="72"/>
      <c r="I45" s="72"/>
      <c r="J45" s="72"/>
      <c r="K45" s="72"/>
      <c r="L45" s="77" t="s">
        <v>71</v>
      </c>
      <c r="M45" s="76">
        <f>'Tabel 1.1'!B45</f>
        <v>9785506.8489999995</v>
      </c>
      <c r="N45" s="76">
        <f>'Tabel 1.1'!C45</f>
        <v>9839028.0860000011</v>
      </c>
      <c r="O45" s="72"/>
    </row>
    <row r="46" spans="1:15" x14ac:dyDescent="0.3">
      <c r="A46" s="72"/>
      <c r="B46" s="72"/>
      <c r="C46" s="72"/>
      <c r="D46" s="72"/>
      <c r="E46" s="72"/>
      <c r="F46" s="72"/>
      <c r="G46" s="72"/>
      <c r="H46" s="72"/>
      <c r="I46" s="72"/>
      <c r="J46" s="72"/>
      <c r="K46" s="72"/>
      <c r="L46" s="77"/>
      <c r="M46" s="76"/>
      <c r="N46" s="76"/>
      <c r="O46" s="72"/>
    </row>
    <row r="47" spans="1:15" x14ac:dyDescent="0.3">
      <c r="A47" s="72"/>
      <c r="B47" s="72"/>
      <c r="C47" s="72"/>
      <c r="D47" s="72"/>
      <c r="E47" s="72"/>
      <c r="F47" s="72"/>
      <c r="G47" s="72"/>
      <c r="H47" s="72"/>
      <c r="I47" s="72"/>
      <c r="J47" s="72"/>
      <c r="K47" s="72"/>
      <c r="M47" s="75"/>
      <c r="N47" s="75"/>
      <c r="O47" s="72"/>
    </row>
    <row r="48" spans="1:15" x14ac:dyDescent="0.3">
      <c r="A48" s="72"/>
      <c r="B48" s="72"/>
      <c r="C48" s="72"/>
      <c r="D48" s="72"/>
      <c r="E48" s="72"/>
      <c r="F48" s="72"/>
      <c r="G48" s="72"/>
      <c r="H48" s="72"/>
      <c r="I48" s="72"/>
      <c r="J48" s="72"/>
      <c r="K48" s="72"/>
      <c r="M48" s="75"/>
      <c r="N48" s="75"/>
      <c r="O48" s="72"/>
    </row>
    <row r="49" spans="1:15" x14ac:dyDescent="0.3">
      <c r="A49" s="72"/>
      <c r="B49" s="72"/>
      <c r="C49" s="72"/>
      <c r="D49" s="72"/>
      <c r="E49" s="72"/>
      <c r="F49" s="72"/>
      <c r="G49" s="72"/>
      <c r="H49" s="72"/>
      <c r="I49" s="72"/>
      <c r="J49" s="72"/>
      <c r="K49" s="72"/>
      <c r="M49" s="75"/>
      <c r="N49" s="75"/>
      <c r="O49" s="72"/>
    </row>
    <row r="50" spans="1:15" x14ac:dyDescent="0.3">
      <c r="A50" s="72"/>
      <c r="B50" s="72"/>
      <c r="C50" s="72"/>
      <c r="D50" s="72"/>
      <c r="E50" s="72"/>
      <c r="F50" s="72"/>
      <c r="G50" s="72"/>
      <c r="H50" s="72"/>
      <c r="I50" s="72"/>
      <c r="J50" s="72"/>
      <c r="K50" s="72"/>
      <c r="M50" s="75"/>
      <c r="N50" s="75"/>
      <c r="O50" s="72"/>
    </row>
    <row r="51" spans="1:15" x14ac:dyDescent="0.3">
      <c r="A51" s="72"/>
      <c r="B51" s="72"/>
      <c r="C51" s="72"/>
      <c r="D51" s="72"/>
      <c r="E51" s="72"/>
      <c r="F51" s="72"/>
      <c r="G51" s="72"/>
      <c r="H51" s="72"/>
      <c r="I51" s="72"/>
      <c r="J51" s="72"/>
      <c r="K51" s="72"/>
      <c r="O51" s="72"/>
    </row>
    <row r="52" spans="1:15" x14ac:dyDescent="0.3">
      <c r="A52" s="72"/>
      <c r="B52" s="72"/>
      <c r="C52" s="72"/>
      <c r="D52" s="72"/>
      <c r="E52" s="72"/>
      <c r="F52" s="72"/>
      <c r="G52" s="72"/>
      <c r="H52" s="72"/>
      <c r="I52" s="72"/>
      <c r="J52" s="72"/>
      <c r="K52" s="72"/>
      <c r="O52" s="72"/>
    </row>
    <row r="53" spans="1:15" x14ac:dyDescent="0.3">
      <c r="A53" s="72"/>
      <c r="B53" s="72"/>
      <c r="C53" s="72"/>
      <c r="D53" s="72"/>
      <c r="E53" s="72"/>
      <c r="F53" s="72"/>
      <c r="G53" s="72"/>
      <c r="H53" s="72"/>
      <c r="I53" s="72"/>
      <c r="J53" s="72"/>
      <c r="K53" s="72"/>
      <c r="O53" s="72"/>
    </row>
    <row r="54" spans="1:15" x14ac:dyDescent="0.3">
      <c r="A54" s="72"/>
      <c r="B54" s="72"/>
      <c r="C54" s="72"/>
      <c r="D54" s="72"/>
      <c r="E54" s="72"/>
      <c r="F54" s="72"/>
      <c r="G54" s="72"/>
      <c r="H54" s="72"/>
      <c r="I54" s="72"/>
      <c r="J54" s="72"/>
      <c r="K54" s="72"/>
      <c r="L54" s="72" t="s">
        <v>72</v>
      </c>
      <c r="O54" s="72"/>
    </row>
    <row r="55" spans="1:15" x14ac:dyDescent="0.3">
      <c r="A55" s="72"/>
      <c r="B55" s="72"/>
      <c r="C55" s="72"/>
      <c r="D55" s="72"/>
      <c r="E55" s="72"/>
      <c r="F55" s="72"/>
      <c r="G55" s="72"/>
      <c r="H55" s="72"/>
      <c r="I55" s="72"/>
      <c r="J55" s="72"/>
      <c r="K55" s="72"/>
      <c r="L55" s="72" t="s">
        <v>0</v>
      </c>
      <c r="O55" s="72"/>
    </row>
    <row r="56" spans="1:15" x14ac:dyDescent="0.3">
      <c r="A56" s="73" t="s">
        <v>431</v>
      </c>
      <c r="B56" s="72"/>
      <c r="C56" s="72"/>
      <c r="D56" s="72"/>
      <c r="E56" s="72"/>
      <c r="F56" s="72"/>
      <c r="G56" s="72"/>
      <c r="H56" s="72"/>
      <c r="I56" s="77"/>
      <c r="J56" s="72"/>
      <c r="K56" s="72"/>
      <c r="M56" s="72">
        <f>M7</f>
        <v>2021</v>
      </c>
      <c r="N56" s="72">
        <f>N7</f>
        <v>2022</v>
      </c>
      <c r="O56" s="72"/>
    </row>
    <row r="57" spans="1:15" x14ac:dyDescent="0.3">
      <c r="A57" s="72"/>
      <c r="B57" s="72"/>
      <c r="C57" s="72"/>
      <c r="D57" s="72"/>
      <c r="E57" s="72"/>
      <c r="F57" s="72"/>
      <c r="G57" s="72"/>
      <c r="H57" s="72"/>
      <c r="I57" s="72"/>
      <c r="J57" s="72"/>
      <c r="K57" s="72"/>
      <c r="L57" s="72" t="s">
        <v>398</v>
      </c>
      <c r="M57" s="75">
        <f>'Tabel 1.1'!G9</f>
        <v>0</v>
      </c>
      <c r="N57" s="75">
        <f>'Tabel 1.1'!H9</f>
        <v>0</v>
      </c>
      <c r="O57" s="72"/>
    </row>
    <row r="58" spans="1:15" x14ac:dyDescent="0.3">
      <c r="A58" s="72"/>
      <c r="B58" s="72"/>
      <c r="C58" s="72"/>
      <c r="D58" s="72"/>
      <c r="E58" s="72"/>
      <c r="F58" s="72"/>
      <c r="G58" s="72"/>
      <c r="H58" s="72"/>
      <c r="I58" s="72"/>
      <c r="J58" s="72"/>
      <c r="K58" s="72"/>
      <c r="L58" s="72" t="s">
        <v>436</v>
      </c>
      <c r="M58" s="75">
        <f>'Tabel 1.1'!G10</f>
        <v>1370247.2149999999</v>
      </c>
      <c r="N58" s="75">
        <f>'Tabel 1.1'!H10</f>
        <v>1511060.2339999999</v>
      </c>
      <c r="O58" s="72"/>
    </row>
    <row r="59" spans="1:15" x14ac:dyDescent="0.3">
      <c r="A59" s="72"/>
      <c r="B59" s="72"/>
      <c r="C59" s="72"/>
      <c r="D59" s="72"/>
      <c r="E59" s="72"/>
      <c r="F59" s="72"/>
      <c r="G59" s="72"/>
      <c r="H59" s="72"/>
      <c r="I59" s="72"/>
      <c r="J59" s="72"/>
      <c r="K59" s="72"/>
      <c r="L59" s="72" t="s">
        <v>54</v>
      </c>
      <c r="M59" s="75">
        <f>'Tabel 1.1'!G11</f>
        <v>194803582.38699999</v>
      </c>
      <c r="N59" s="75">
        <f>'Tabel 1.1'!H11</f>
        <v>189898877.81169999</v>
      </c>
      <c r="O59" s="72"/>
    </row>
    <row r="60" spans="1:15" x14ac:dyDescent="0.3">
      <c r="A60" s="72"/>
      <c r="B60" s="72"/>
      <c r="C60" s="72"/>
      <c r="D60" s="72"/>
      <c r="E60" s="72"/>
      <c r="F60" s="72"/>
      <c r="G60" s="72"/>
      <c r="H60" s="72"/>
      <c r="I60" s="72"/>
      <c r="J60" s="72"/>
      <c r="K60" s="72"/>
      <c r="L60" s="72" t="s">
        <v>55</v>
      </c>
      <c r="M60" s="75">
        <f>'Tabel 1.1'!G12</f>
        <v>0</v>
      </c>
      <c r="N60" s="75">
        <f>'Tabel 1.1'!H12</f>
        <v>0</v>
      </c>
      <c r="O60" s="72"/>
    </row>
    <row r="61" spans="1:15" x14ac:dyDescent="0.3">
      <c r="A61" s="72"/>
      <c r="B61" s="72"/>
      <c r="C61" s="72"/>
      <c r="D61" s="72"/>
      <c r="E61" s="72"/>
      <c r="F61" s="72"/>
      <c r="G61" s="72"/>
      <c r="H61" s="72"/>
      <c r="I61" s="72"/>
      <c r="J61" s="72"/>
      <c r="K61" s="72"/>
      <c r="L61" s="72" t="s">
        <v>399</v>
      </c>
      <c r="M61" s="75">
        <f>'Tabel 1.1'!G13</f>
        <v>0</v>
      </c>
      <c r="N61" s="75">
        <f>'Tabel 1.1'!H13</f>
        <v>0</v>
      </c>
      <c r="O61" s="72"/>
    </row>
    <row r="62" spans="1:15" x14ac:dyDescent="0.3">
      <c r="A62" s="72"/>
      <c r="B62" s="72"/>
      <c r="C62" s="72"/>
      <c r="D62" s="72"/>
      <c r="E62" s="72"/>
      <c r="F62" s="72"/>
      <c r="G62" s="72"/>
      <c r="H62" s="72"/>
      <c r="I62" s="72"/>
      <c r="J62" s="72"/>
      <c r="K62" s="72"/>
      <c r="L62" s="72" t="s">
        <v>385</v>
      </c>
      <c r="M62" s="75">
        <f>'Tabel 1.1'!G14</f>
        <v>4152805.49841</v>
      </c>
      <c r="N62" s="75">
        <f>'Tabel 1.1'!H14</f>
        <v>4663711.9526500003</v>
      </c>
      <c r="O62" s="72"/>
    </row>
    <row r="63" spans="1:15" x14ac:dyDescent="0.3">
      <c r="A63" s="72"/>
      <c r="B63" s="72"/>
      <c r="C63" s="72"/>
      <c r="D63" s="72"/>
      <c r="E63" s="72"/>
      <c r="F63" s="72"/>
      <c r="G63" s="72"/>
      <c r="H63" s="72"/>
      <c r="I63" s="72"/>
      <c r="J63" s="72"/>
      <c r="K63" s="72"/>
      <c r="L63" s="72" t="s">
        <v>56</v>
      </c>
      <c r="M63" s="75">
        <f>'Tabel 1.1'!G15</f>
        <v>1050664</v>
      </c>
      <c r="N63" s="75">
        <f>'Tabel 1.1'!H15</f>
        <v>1264435</v>
      </c>
      <c r="O63" s="72"/>
    </row>
    <row r="64" spans="1:15" x14ac:dyDescent="0.3">
      <c r="A64" s="72"/>
      <c r="B64" s="72"/>
      <c r="C64" s="72"/>
      <c r="D64" s="72"/>
      <c r="E64" s="72"/>
      <c r="F64" s="72"/>
      <c r="G64" s="72"/>
      <c r="H64" s="72"/>
      <c r="I64" s="72"/>
      <c r="J64" s="72"/>
      <c r="K64" s="72"/>
      <c r="L64" s="72" t="s">
        <v>58</v>
      </c>
      <c r="M64" s="75">
        <f>'Tabel 1.1'!G16</f>
        <v>0</v>
      </c>
      <c r="N64" s="75">
        <f>'Tabel 1.1'!H16</f>
        <v>0</v>
      </c>
      <c r="O64" s="72"/>
    </row>
    <row r="65" spans="1:15" x14ac:dyDescent="0.3">
      <c r="A65" s="72"/>
      <c r="B65" s="72"/>
      <c r="C65" s="72"/>
      <c r="D65" s="72"/>
      <c r="E65" s="72"/>
      <c r="F65" s="72"/>
      <c r="G65" s="72"/>
      <c r="H65" s="72"/>
      <c r="I65" s="72"/>
      <c r="J65" s="72"/>
      <c r="K65" s="72"/>
      <c r="L65" s="72" t="s">
        <v>59</v>
      </c>
      <c r="M65" s="75">
        <f>'Tabel 1.1'!G18</f>
        <v>8107520.2000000002</v>
      </c>
      <c r="N65" s="75">
        <f>'Tabel 1.1'!H18</f>
        <v>8716977</v>
      </c>
      <c r="O65" s="72"/>
    </row>
    <row r="66" spans="1:15" x14ac:dyDescent="0.3">
      <c r="A66" s="72"/>
      <c r="B66" s="72"/>
      <c r="C66" s="72"/>
      <c r="D66" s="72"/>
      <c r="E66" s="72"/>
      <c r="F66" s="72"/>
      <c r="G66" s="72"/>
      <c r="H66" s="72"/>
      <c r="I66" s="72"/>
      <c r="J66" s="72"/>
      <c r="K66" s="72"/>
      <c r="L66" s="72" t="s">
        <v>60</v>
      </c>
      <c r="M66" s="75">
        <f>'Tabel 1.1'!G19</f>
        <v>21229.507515466838</v>
      </c>
      <c r="N66" s="75">
        <f>'Tabel 1.1'!H19</f>
        <v>1519.5954100000001</v>
      </c>
      <c r="O66" s="72"/>
    </row>
    <row r="67" spans="1:15" x14ac:dyDescent="0.3">
      <c r="A67" s="72"/>
      <c r="B67" s="72"/>
      <c r="C67" s="72"/>
      <c r="D67" s="72"/>
      <c r="E67" s="72"/>
      <c r="F67" s="72"/>
      <c r="G67" s="72"/>
      <c r="H67" s="72"/>
      <c r="I67" s="72"/>
      <c r="J67" s="72"/>
      <c r="K67" s="72"/>
      <c r="L67" s="72" t="s">
        <v>61</v>
      </c>
      <c r="M67" s="75">
        <f>'Tabel 1.1'!G20</f>
        <v>0</v>
      </c>
      <c r="N67" s="75">
        <f>'Tabel 1.1'!H20</f>
        <v>0</v>
      </c>
      <c r="O67" s="72"/>
    </row>
    <row r="68" spans="1:15" x14ac:dyDescent="0.3">
      <c r="A68" s="72"/>
      <c r="B68" s="72"/>
      <c r="C68" s="72"/>
      <c r="D68" s="72"/>
      <c r="E68" s="72"/>
      <c r="F68" s="72"/>
      <c r="G68" s="72"/>
      <c r="H68" s="72"/>
      <c r="I68" s="72"/>
      <c r="J68" s="72"/>
      <c r="K68" s="72"/>
      <c r="L68" s="72" t="s">
        <v>62</v>
      </c>
      <c r="M68" s="75">
        <f>'Tabel 1.1'!G21</f>
        <v>563319210.35183001</v>
      </c>
      <c r="N68" s="75">
        <f>'Tabel 1.1'!H21</f>
        <v>639219292.35275996</v>
      </c>
      <c r="O68" s="72"/>
    </row>
    <row r="69" spans="1:15" x14ac:dyDescent="0.3">
      <c r="A69" s="72"/>
      <c r="B69" s="72"/>
      <c r="C69" s="72"/>
      <c r="D69" s="72"/>
      <c r="E69" s="72"/>
      <c r="F69" s="72"/>
      <c r="G69" s="72"/>
      <c r="H69" s="72"/>
      <c r="I69" s="72"/>
      <c r="J69" s="72"/>
      <c r="K69" s="72"/>
      <c r="L69" s="72" t="s">
        <v>63</v>
      </c>
      <c r="M69" s="75">
        <f>'Tabel 1.1'!G22</f>
        <v>69834.292576000007</v>
      </c>
      <c r="N69" s="75">
        <f>'Tabel 1.1'!H22</f>
        <v>99044.30799999999</v>
      </c>
      <c r="O69" s="72"/>
    </row>
    <row r="70" spans="1:15" x14ac:dyDescent="0.3">
      <c r="A70" s="72"/>
      <c r="B70" s="72"/>
      <c r="C70" s="72"/>
      <c r="D70" s="72"/>
      <c r="E70" s="72"/>
      <c r="F70" s="72"/>
      <c r="G70" s="72"/>
      <c r="H70" s="72"/>
      <c r="I70" s="72"/>
      <c r="J70" s="72"/>
      <c r="K70" s="72"/>
      <c r="L70" s="72" t="s">
        <v>397</v>
      </c>
      <c r="M70" s="75">
        <f>'Tabel 1.1'!G23</f>
        <v>0</v>
      </c>
      <c r="N70" s="75">
        <f>'Tabel 1.1'!H23</f>
        <v>0</v>
      </c>
      <c r="O70" s="72"/>
    </row>
    <row r="71" spans="1:15" x14ac:dyDescent="0.3">
      <c r="A71" s="72"/>
      <c r="B71" s="72"/>
      <c r="C71" s="72"/>
      <c r="D71" s="72"/>
      <c r="E71" s="72"/>
      <c r="F71" s="72"/>
      <c r="G71" s="72"/>
      <c r="H71" s="72"/>
      <c r="I71" s="72"/>
      <c r="J71" s="72"/>
      <c r="K71" s="72"/>
      <c r="L71" s="72" t="s">
        <v>403</v>
      </c>
      <c r="M71" s="75">
        <f>'Tabel 1.1'!G24</f>
        <v>0</v>
      </c>
      <c r="N71" s="75">
        <f>'Tabel 1.1'!H24</f>
        <v>0</v>
      </c>
      <c r="O71" s="72"/>
    </row>
    <row r="72" spans="1:15" x14ac:dyDescent="0.3">
      <c r="A72" s="72"/>
      <c r="B72" s="72"/>
      <c r="C72" s="72"/>
      <c r="D72" s="72"/>
      <c r="E72" s="72"/>
      <c r="F72" s="72"/>
      <c r="G72" s="72"/>
      <c r="H72" s="72"/>
      <c r="I72" s="72"/>
      <c r="J72" s="72"/>
      <c r="K72" s="72"/>
      <c r="L72" s="72" t="s">
        <v>64</v>
      </c>
      <c r="M72" s="75">
        <f>'Tabel 1.1'!G25</f>
        <v>55059961.000022039</v>
      </c>
      <c r="N72" s="75">
        <f>'Tabel 1.1'!H25</f>
        <v>54880190.000008784</v>
      </c>
      <c r="O72" s="72"/>
    </row>
    <row r="73" spans="1:15" x14ac:dyDescent="0.3">
      <c r="A73" s="72"/>
      <c r="B73" s="72"/>
      <c r="C73" s="72"/>
      <c r="D73" s="72"/>
      <c r="E73" s="72"/>
      <c r="F73" s="72"/>
      <c r="G73" s="72"/>
      <c r="H73" s="72"/>
      <c r="I73" s="72"/>
      <c r="J73" s="72"/>
      <c r="K73" s="72"/>
      <c r="L73" s="72" t="s">
        <v>65</v>
      </c>
      <c r="M73" s="75">
        <f>'Tabel 1.1'!G26</f>
        <v>90681751</v>
      </c>
      <c r="N73" s="75">
        <f>'Tabel 1.1'!H26</f>
        <v>85289000</v>
      </c>
      <c r="O73" s="72"/>
    </row>
    <row r="74" spans="1:15" x14ac:dyDescent="0.3">
      <c r="A74" s="72"/>
      <c r="B74" s="72"/>
      <c r="C74" s="72"/>
      <c r="D74" s="72"/>
      <c r="E74" s="72"/>
      <c r="F74" s="72"/>
      <c r="G74" s="72"/>
      <c r="H74" s="72"/>
      <c r="I74" s="72"/>
      <c r="J74" s="72"/>
      <c r="K74" s="72"/>
      <c r="L74" s="72" t="s">
        <v>435</v>
      </c>
      <c r="M74" s="75">
        <f>'Tabel 1.1'!G28</f>
        <v>19914575.502730001</v>
      </c>
      <c r="N74" s="75">
        <f>'Tabel 1.1'!H28</f>
        <v>20801168.00575</v>
      </c>
      <c r="O74" s="72"/>
    </row>
    <row r="75" spans="1:15" x14ac:dyDescent="0.3">
      <c r="A75" s="72"/>
      <c r="B75" s="72"/>
      <c r="C75" s="72"/>
      <c r="D75" s="72"/>
      <c r="E75" s="72"/>
      <c r="F75" s="72"/>
      <c r="G75" s="72"/>
      <c r="H75" s="72"/>
      <c r="I75" s="72"/>
      <c r="J75" s="72"/>
      <c r="K75" s="72"/>
      <c r="L75" s="72" t="s">
        <v>67</v>
      </c>
      <c r="M75" s="75">
        <f>'Tabel 1.1'!G29</f>
        <v>193217678.72999999</v>
      </c>
      <c r="N75" s="75">
        <f>'Tabel 1.1'!H29</f>
        <v>200165633.33700004</v>
      </c>
      <c r="O75" s="72"/>
    </row>
    <row r="76" spans="1:15" x14ac:dyDescent="0.3">
      <c r="A76" s="72"/>
      <c r="B76" s="72"/>
      <c r="C76" s="72"/>
      <c r="D76" s="72"/>
      <c r="E76" s="72"/>
      <c r="F76" s="72"/>
      <c r="G76" s="72"/>
      <c r="H76" s="72"/>
      <c r="I76" s="72"/>
      <c r="J76" s="72"/>
      <c r="K76" s="72"/>
      <c r="L76" s="72" t="s">
        <v>94</v>
      </c>
      <c r="M76" s="75">
        <f>'Tabel 1.1'!G30</f>
        <v>0</v>
      </c>
      <c r="N76" s="75">
        <f>'Tabel 1.1'!H30</f>
        <v>0</v>
      </c>
      <c r="O76" s="72"/>
    </row>
    <row r="77" spans="1:15" x14ac:dyDescent="0.3">
      <c r="A77" s="72"/>
      <c r="B77" s="72"/>
      <c r="C77" s="72"/>
      <c r="D77" s="72"/>
      <c r="E77" s="72"/>
      <c r="F77" s="72"/>
      <c r="G77" s="72"/>
      <c r="H77" s="72"/>
      <c r="I77" s="72"/>
      <c r="J77" s="72"/>
      <c r="K77" s="72"/>
      <c r="L77" s="72" t="s">
        <v>95</v>
      </c>
      <c r="M77" s="75">
        <f>'Tabel 1.1'!G31</f>
        <v>0</v>
      </c>
      <c r="N77" s="75">
        <f>'Tabel 1.1'!H31</f>
        <v>0</v>
      </c>
      <c r="O77" s="72"/>
    </row>
    <row r="78" spans="1:15" x14ac:dyDescent="0.3">
      <c r="A78" s="72"/>
      <c r="B78" s="72"/>
      <c r="C78" s="72"/>
      <c r="D78" s="72"/>
      <c r="E78" s="72"/>
      <c r="F78" s="72"/>
      <c r="G78" s="72"/>
      <c r="H78" s="72"/>
      <c r="I78" s="72"/>
      <c r="J78" s="72"/>
      <c r="K78" s="72"/>
      <c r="L78" s="72" t="s">
        <v>395</v>
      </c>
      <c r="M78" s="75">
        <f>'Tabel 1.1'!G32</f>
        <v>0</v>
      </c>
      <c r="N78" s="75">
        <f>'Tabel 1.1'!H32</f>
        <v>0</v>
      </c>
      <c r="O78" s="72"/>
    </row>
    <row r="79" spans="1:15" x14ac:dyDescent="0.3">
      <c r="A79" s="72"/>
      <c r="B79" s="72"/>
      <c r="C79" s="72"/>
      <c r="D79" s="72"/>
      <c r="E79" s="72"/>
      <c r="F79" s="72"/>
      <c r="G79" s="72"/>
      <c r="H79" s="72"/>
      <c r="I79" s="72"/>
      <c r="J79" s="72"/>
      <c r="K79" s="72"/>
      <c r="L79" s="72" t="s">
        <v>406</v>
      </c>
      <c r="M79" s="75">
        <f>'Tabel 1.1'!G33</f>
        <v>0</v>
      </c>
      <c r="N79" s="75">
        <f>'Tabel 1.1'!H33</f>
        <v>3017</v>
      </c>
      <c r="O79" s="72"/>
    </row>
    <row r="80" spans="1:15" x14ac:dyDescent="0.3">
      <c r="A80" s="73" t="s">
        <v>432</v>
      </c>
      <c r="B80" s="72"/>
      <c r="C80" s="72"/>
      <c r="D80" s="72"/>
      <c r="E80" s="72"/>
      <c r="F80" s="72"/>
      <c r="G80" s="72"/>
      <c r="H80" s="72"/>
      <c r="I80" s="77"/>
      <c r="J80" s="72"/>
      <c r="K80" s="72"/>
      <c r="O80" s="72"/>
    </row>
    <row r="81" spans="1:15" x14ac:dyDescent="0.3">
      <c r="B81" s="72"/>
      <c r="C81" s="72"/>
      <c r="D81" s="72"/>
      <c r="E81" s="72"/>
      <c r="F81" s="72"/>
      <c r="G81" s="72"/>
      <c r="H81" s="72"/>
      <c r="I81" s="72"/>
      <c r="J81" s="72"/>
      <c r="K81" s="72"/>
      <c r="L81" s="72" t="s">
        <v>72</v>
      </c>
      <c r="O81" s="72"/>
    </row>
    <row r="82" spans="1:15" x14ac:dyDescent="0.3">
      <c r="A82" s="72"/>
      <c r="B82" s="72"/>
      <c r="C82" s="72"/>
      <c r="D82" s="72"/>
      <c r="E82" s="72"/>
      <c r="F82" s="72"/>
      <c r="G82" s="72"/>
      <c r="H82" s="72"/>
      <c r="I82" s="72"/>
      <c r="J82" s="72"/>
      <c r="K82" s="72"/>
      <c r="L82" s="72" t="s">
        <v>1</v>
      </c>
      <c r="O82" s="72"/>
    </row>
    <row r="83" spans="1:15" x14ac:dyDescent="0.3">
      <c r="A83" s="72"/>
      <c r="B83" s="72"/>
      <c r="C83" s="72"/>
      <c r="D83" s="72"/>
      <c r="E83" s="72"/>
      <c r="F83" s="72"/>
      <c r="G83" s="72"/>
      <c r="H83" s="72"/>
      <c r="I83" s="72"/>
      <c r="J83" s="72"/>
      <c r="K83" s="72"/>
      <c r="M83" s="72">
        <f>M7</f>
        <v>2021</v>
      </c>
      <c r="N83" s="72">
        <f>N7</f>
        <v>2022</v>
      </c>
      <c r="O83" s="72"/>
    </row>
    <row r="84" spans="1:15" x14ac:dyDescent="0.3">
      <c r="A84" s="72"/>
      <c r="B84" s="72"/>
      <c r="C84" s="72"/>
      <c r="D84" s="72"/>
      <c r="E84" s="72"/>
      <c r="F84" s="72"/>
      <c r="G84" s="72"/>
      <c r="H84" s="72"/>
      <c r="I84" s="72"/>
      <c r="J84" s="72"/>
      <c r="K84" s="72"/>
      <c r="L84" s="72" t="s">
        <v>436</v>
      </c>
      <c r="M84" s="75">
        <f>'Tabel 1.1'!G37</f>
        <v>27529054.677000001</v>
      </c>
      <c r="N84" s="75">
        <f>'Tabel 1.1'!H37</f>
        <v>26046630.689800002</v>
      </c>
      <c r="O84" s="72"/>
    </row>
    <row r="85" spans="1:15" x14ac:dyDescent="0.3">
      <c r="B85" s="72"/>
      <c r="C85" s="72"/>
      <c r="D85" s="72"/>
      <c r="E85" s="72"/>
      <c r="F85" s="72"/>
      <c r="G85" s="72"/>
      <c r="H85" s="72"/>
      <c r="I85" s="72"/>
      <c r="J85" s="72"/>
      <c r="K85" s="72"/>
      <c r="L85" s="72" t="s">
        <v>54</v>
      </c>
      <c r="M85" s="75">
        <f>'Tabel 1.1'!G38</f>
        <v>131616569.77000001</v>
      </c>
      <c r="N85" s="75">
        <f>'Tabel 1.1'!H38</f>
        <v>128365139</v>
      </c>
      <c r="O85" s="72"/>
    </row>
    <row r="86" spans="1:15" x14ac:dyDescent="0.3">
      <c r="B86" s="72"/>
      <c r="C86" s="72"/>
      <c r="D86" s="72"/>
      <c r="E86" s="72"/>
      <c r="F86" s="72"/>
      <c r="G86" s="72"/>
      <c r="H86" s="72"/>
      <c r="I86" s="72"/>
      <c r="J86" s="72"/>
      <c r="K86" s="72"/>
      <c r="L86" s="72" t="s">
        <v>56</v>
      </c>
      <c r="M86" s="75">
        <f>'Tabel 1.1'!G39</f>
        <v>0</v>
      </c>
      <c r="N86" s="75">
        <f>'Tabel 1.1'!H39</f>
        <v>0</v>
      </c>
      <c r="O86" s="72"/>
    </row>
    <row r="87" spans="1:15" x14ac:dyDescent="0.3">
      <c r="B87" s="72"/>
      <c r="C87" s="72"/>
      <c r="D87" s="72"/>
      <c r="E87" s="72"/>
      <c r="F87" s="72"/>
      <c r="G87" s="72"/>
      <c r="H87" s="72"/>
      <c r="I87" s="72"/>
      <c r="J87" s="72"/>
      <c r="K87" s="72"/>
      <c r="L87" s="77" t="s">
        <v>59</v>
      </c>
      <c r="M87" s="75">
        <f>'Tabel 1.1'!G40</f>
        <v>40002105.299999997</v>
      </c>
      <c r="N87" s="75">
        <f>'Tabel 1.1'!H40</f>
        <v>40928356</v>
      </c>
      <c r="O87" s="72"/>
    </row>
    <row r="88" spans="1:15" x14ac:dyDescent="0.3">
      <c r="B88" s="72"/>
      <c r="C88" s="72"/>
      <c r="D88" s="72"/>
      <c r="E88" s="72"/>
      <c r="F88" s="72"/>
      <c r="G88" s="72"/>
      <c r="H88" s="72"/>
      <c r="I88" s="72"/>
      <c r="J88" s="72"/>
      <c r="K88" s="72"/>
      <c r="L88" s="72" t="s">
        <v>62</v>
      </c>
      <c r="M88" s="75">
        <f>'Tabel 1.1'!G41</f>
        <v>2172918.8607600001</v>
      </c>
      <c r="N88" s="75">
        <f>'Tabel 1.1'!H41</f>
        <v>2548669.2979299999</v>
      </c>
      <c r="O88" s="72"/>
    </row>
    <row r="89" spans="1:15" x14ac:dyDescent="0.3">
      <c r="B89" s="72"/>
      <c r="C89" s="72"/>
      <c r="D89" s="72"/>
      <c r="E89" s="72"/>
      <c r="F89" s="72"/>
      <c r="G89" s="72"/>
      <c r="H89" s="72"/>
      <c r="I89" s="72"/>
      <c r="J89" s="72"/>
      <c r="K89" s="72"/>
      <c r="L89" s="72" t="s">
        <v>64</v>
      </c>
      <c r="M89" s="75">
        <f>'Tabel 1.1'!G42</f>
        <v>117827820</v>
      </c>
      <c r="N89" s="75">
        <f>'Tabel 1.1'!H42</f>
        <v>112327400</v>
      </c>
      <c r="O89" s="72"/>
    </row>
    <row r="90" spans="1:15" x14ac:dyDescent="0.3">
      <c r="B90" s="72"/>
      <c r="C90" s="72"/>
      <c r="D90" s="72"/>
      <c r="E90" s="72"/>
      <c r="F90" s="72"/>
      <c r="G90" s="72"/>
      <c r="H90" s="72"/>
      <c r="I90" s="72"/>
      <c r="J90" s="72"/>
      <c r="K90" s="72"/>
      <c r="L90" s="72" t="s">
        <v>70</v>
      </c>
      <c r="M90" s="75">
        <f>'Tabel 1.1'!G43</f>
        <v>3184098.7069999999</v>
      </c>
      <c r="N90" s="75">
        <f>'Tabel 1.1'!H43</f>
        <v>2698313.8461000002</v>
      </c>
      <c r="O90" s="72"/>
    </row>
    <row r="91" spans="1:15" x14ac:dyDescent="0.3">
      <c r="A91" s="72"/>
      <c r="B91" s="72"/>
      <c r="C91" s="72"/>
      <c r="D91" s="72"/>
      <c r="E91" s="72"/>
      <c r="F91" s="72"/>
      <c r="G91" s="72"/>
      <c r="H91" s="72"/>
      <c r="I91" s="72"/>
      <c r="J91" s="72"/>
      <c r="K91" s="72"/>
      <c r="L91" s="72" t="s">
        <v>435</v>
      </c>
      <c r="M91" s="75">
        <f>'Tabel 1.1'!G44</f>
        <v>52494337.715269998</v>
      </c>
      <c r="N91" s="75">
        <f>'Tabel 1.1'!H44</f>
        <v>51982267.810209997</v>
      </c>
      <c r="O91" s="72"/>
    </row>
    <row r="92" spans="1:15" ht="18.75" customHeight="1" x14ac:dyDescent="0.3">
      <c r="A92" s="72"/>
      <c r="B92" s="72"/>
      <c r="C92" s="72"/>
      <c r="D92" s="72"/>
      <c r="E92" s="72"/>
      <c r="F92" s="72"/>
      <c r="G92" s="72"/>
      <c r="H92" s="72"/>
      <c r="I92" s="72"/>
      <c r="J92" s="72"/>
      <c r="K92" s="72"/>
      <c r="L92" s="72" t="s">
        <v>71</v>
      </c>
      <c r="M92" s="75">
        <f>'Tabel 1.1'!G45</f>
        <v>151409583.368</v>
      </c>
      <c r="N92" s="75">
        <f>'Tabel 1.1'!H45</f>
        <v>143649383.581</v>
      </c>
      <c r="O92" s="72"/>
    </row>
    <row r="93" spans="1:15" ht="18.75" customHeight="1" x14ac:dyDescent="0.3">
      <c r="A93" s="72"/>
      <c r="B93" s="72"/>
      <c r="C93" s="72"/>
      <c r="D93" s="72"/>
      <c r="E93" s="72"/>
      <c r="F93" s="72"/>
      <c r="G93" s="72"/>
      <c r="H93" s="72"/>
      <c r="I93" s="72"/>
      <c r="J93" s="72"/>
      <c r="K93" s="72"/>
      <c r="M93" s="75"/>
      <c r="O93" s="72"/>
    </row>
    <row r="94" spans="1:15" ht="18.75" customHeight="1" x14ac:dyDescent="0.3">
      <c r="A94" s="72"/>
      <c r="B94" s="72"/>
      <c r="C94" s="72"/>
      <c r="D94" s="72"/>
      <c r="E94" s="72"/>
      <c r="F94" s="72"/>
      <c r="G94" s="72"/>
      <c r="H94" s="72"/>
      <c r="I94" s="72"/>
      <c r="J94" s="72"/>
      <c r="K94" s="72"/>
      <c r="O94" s="72"/>
    </row>
    <row r="95" spans="1:15" ht="18.75" customHeight="1" x14ac:dyDescent="0.3">
      <c r="A95" s="72"/>
      <c r="B95" s="72"/>
      <c r="C95" s="72"/>
      <c r="D95" s="72"/>
      <c r="E95" s="72"/>
      <c r="F95" s="72"/>
      <c r="G95" s="72"/>
      <c r="H95" s="72"/>
      <c r="I95" s="72"/>
      <c r="J95" s="72"/>
      <c r="K95" s="72"/>
      <c r="O95" s="72"/>
    </row>
    <row r="96" spans="1:15" ht="18.75" customHeight="1" x14ac:dyDescent="0.3">
      <c r="A96" s="72"/>
      <c r="B96" s="72"/>
      <c r="C96" s="72"/>
      <c r="D96" s="72"/>
      <c r="E96" s="72"/>
      <c r="F96" s="72"/>
      <c r="G96" s="72"/>
      <c r="H96" s="72"/>
      <c r="I96" s="72"/>
      <c r="J96" s="72"/>
      <c r="K96" s="72"/>
      <c r="O96" s="72"/>
    </row>
    <row r="97" spans="1:17" ht="18.75" customHeight="1" x14ac:dyDescent="0.3">
      <c r="A97" s="72"/>
      <c r="B97" s="72"/>
      <c r="C97" s="72"/>
      <c r="D97" s="72"/>
      <c r="E97" s="72"/>
      <c r="F97" s="72"/>
      <c r="G97" s="72"/>
      <c r="H97" s="72"/>
      <c r="I97" s="72"/>
      <c r="J97" s="72"/>
      <c r="K97" s="72"/>
      <c r="O97" s="72"/>
      <c r="Q97" s="72"/>
    </row>
    <row r="98" spans="1:17" ht="18.75" customHeight="1" x14ac:dyDescent="0.3">
      <c r="A98" s="72"/>
      <c r="B98" s="72"/>
      <c r="C98" s="72"/>
      <c r="D98" s="72"/>
      <c r="E98" s="72"/>
      <c r="F98" s="72"/>
      <c r="G98" s="72"/>
      <c r="H98" s="72"/>
      <c r="I98" s="72"/>
      <c r="J98" s="72"/>
      <c r="K98" s="72"/>
      <c r="O98" s="72"/>
      <c r="Q98" s="72"/>
    </row>
    <row r="99" spans="1:17" ht="18.75" customHeight="1" x14ac:dyDescent="0.3">
      <c r="A99" s="72"/>
      <c r="B99" s="72"/>
      <c r="C99" s="72"/>
      <c r="D99" s="72"/>
      <c r="E99" s="72"/>
      <c r="F99" s="72"/>
      <c r="G99" s="72"/>
      <c r="H99" s="72"/>
      <c r="I99" s="72"/>
      <c r="J99" s="72"/>
      <c r="K99" s="72"/>
      <c r="O99" s="72"/>
      <c r="Q99" s="72"/>
    </row>
    <row r="100" spans="1:17" ht="18.75" customHeight="1" x14ac:dyDescent="0.3">
      <c r="A100" s="72"/>
      <c r="B100" s="72"/>
      <c r="C100" s="72"/>
      <c r="D100" s="72"/>
      <c r="E100" s="72"/>
      <c r="F100" s="72"/>
      <c r="G100" s="72"/>
      <c r="H100" s="72"/>
      <c r="I100" s="72"/>
      <c r="J100" s="72"/>
      <c r="K100" s="72"/>
      <c r="O100" s="72"/>
      <c r="Q100" s="72"/>
    </row>
    <row r="101" spans="1:17" ht="18.75" customHeight="1" x14ac:dyDescent="0.3">
      <c r="A101" s="72"/>
      <c r="B101" s="72"/>
      <c r="C101" s="72"/>
      <c r="D101" s="72"/>
      <c r="E101" s="72"/>
      <c r="F101" s="72"/>
      <c r="G101" s="72"/>
      <c r="H101" s="72"/>
      <c r="I101" s="72"/>
      <c r="J101" s="72"/>
      <c r="K101" s="72"/>
      <c r="O101" s="72"/>
      <c r="Q101" s="72"/>
    </row>
    <row r="102" spans="1:17" ht="18.75" customHeight="1" x14ac:dyDescent="0.3">
      <c r="A102" s="72"/>
      <c r="B102" s="72"/>
      <c r="C102" s="72"/>
      <c r="D102" s="72"/>
      <c r="E102" s="72"/>
      <c r="F102" s="72"/>
      <c r="G102" s="72"/>
      <c r="H102" s="72"/>
      <c r="I102" s="72"/>
      <c r="J102" s="72"/>
      <c r="K102" s="72"/>
      <c r="O102" s="72"/>
      <c r="Q102" s="72"/>
    </row>
    <row r="103" spans="1:17" ht="18.75" customHeight="1" x14ac:dyDescent="0.3">
      <c r="A103" s="72"/>
      <c r="B103" s="72"/>
      <c r="C103" s="72"/>
      <c r="D103" s="72"/>
      <c r="E103" s="72"/>
      <c r="F103" s="72"/>
      <c r="G103" s="72"/>
      <c r="H103" s="72"/>
      <c r="I103" s="72"/>
      <c r="J103" s="72"/>
      <c r="K103" s="72"/>
      <c r="O103" s="72"/>
      <c r="Q103" s="72"/>
    </row>
    <row r="104" spans="1:17" ht="18.75" customHeight="1" x14ac:dyDescent="0.3">
      <c r="A104" s="72"/>
      <c r="B104" s="72"/>
      <c r="C104" s="72"/>
      <c r="D104" s="72"/>
      <c r="E104" s="72"/>
      <c r="F104" s="72"/>
      <c r="G104" s="72"/>
      <c r="H104" s="72"/>
      <c r="I104" s="72"/>
      <c r="J104" s="72"/>
      <c r="K104" s="72"/>
      <c r="O104" s="72"/>
      <c r="Q104" s="72"/>
    </row>
    <row r="105" spans="1:17" ht="18.75" customHeight="1" x14ac:dyDescent="0.3">
      <c r="A105" s="72"/>
      <c r="B105" s="72"/>
      <c r="C105" s="72"/>
      <c r="D105" s="72"/>
      <c r="E105" s="72"/>
      <c r="F105" s="72"/>
      <c r="G105" s="72"/>
      <c r="H105" s="72"/>
      <c r="I105" s="72"/>
      <c r="J105" s="72"/>
      <c r="K105" s="72"/>
      <c r="O105" s="72"/>
      <c r="Q105" s="72"/>
    </row>
    <row r="106" spans="1:17" ht="18.75" customHeight="1" x14ac:dyDescent="0.3">
      <c r="A106" s="73" t="s">
        <v>433</v>
      </c>
      <c r="B106" s="72"/>
      <c r="C106" s="72"/>
      <c r="D106" s="72"/>
      <c r="E106" s="72"/>
      <c r="F106" s="72"/>
      <c r="G106" s="72"/>
      <c r="H106" s="77"/>
      <c r="I106" s="72"/>
      <c r="J106" s="72"/>
      <c r="K106" s="72"/>
      <c r="L106" s="77" t="s">
        <v>73</v>
      </c>
      <c r="O106" s="72"/>
      <c r="Q106" s="72"/>
    </row>
    <row r="107" spans="1:17" ht="18.75" customHeight="1" x14ac:dyDescent="0.3">
      <c r="A107" s="72"/>
      <c r="B107" s="72"/>
      <c r="C107" s="72"/>
      <c r="D107" s="72"/>
      <c r="E107" s="72"/>
      <c r="F107" s="72"/>
      <c r="G107" s="72"/>
      <c r="H107" s="72"/>
      <c r="I107" s="72"/>
      <c r="J107" s="72"/>
      <c r="K107" s="72"/>
      <c r="L107" s="72" t="s">
        <v>0</v>
      </c>
      <c r="O107" s="72"/>
      <c r="Q107" s="72"/>
    </row>
    <row r="108" spans="1:17" ht="18.75" customHeight="1" x14ac:dyDescent="0.3">
      <c r="A108" s="72"/>
      <c r="B108" s="72"/>
      <c r="C108" s="72"/>
      <c r="D108" s="72"/>
      <c r="E108" s="72"/>
      <c r="F108" s="72"/>
      <c r="G108" s="72"/>
      <c r="H108" s="72"/>
      <c r="I108" s="72"/>
      <c r="J108" s="72"/>
      <c r="K108" s="72"/>
      <c r="M108" s="72">
        <f>M7</f>
        <v>2021</v>
      </c>
      <c r="N108" s="72">
        <f>N7</f>
        <v>2022</v>
      </c>
      <c r="O108" s="72"/>
      <c r="Q108" s="72"/>
    </row>
    <row r="109" spans="1:17" ht="18.75" customHeight="1" x14ac:dyDescent="0.3">
      <c r="A109" s="72"/>
      <c r="B109" s="72"/>
      <c r="C109" s="72"/>
      <c r="D109" s="72"/>
      <c r="E109" s="72"/>
      <c r="F109" s="72"/>
      <c r="G109" s="72"/>
      <c r="H109" s="72"/>
      <c r="I109" s="72"/>
      <c r="J109" s="72"/>
      <c r="K109" s="72"/>
      <c r="L109" s="72" t="s">
        <v>436</v>
      </c>
      <c r="M109" s="75">
        <f>'Storebrand Danica P'!B11-'Storebrand Danica P'!B12+'Storebrand Danica P'!B34-'Storebrand Danica P'!B35+'Storebrand Danica P'!B38-'Storebrand Danica P'!B39+'Storebrand Danica P'!B111-'Storebrand Danica P'!B119+'Storebrand Danica P'!B136-'Storebrand Danica P'!B137</f>
        <v>829.95200000000114</v>
      </c>
      <c r="N109" s="75">
        <f>'Storebrand Danica P'!C11-'Storebrand Danica P'!C12+'Storebrand Danica P'!C34-'Storebrand Danica P'!C35+'Storebrand Danica P'!C38-'Storebrand Danica P'!C39+'Storebrand Danica P'!C111-'Storebrand Danica P'!C119+'Storebrand Danica P'!C136-'Storebrand Danica P'!C137</f>
        <v>4710.6449899999971</v>
      </c>
      <c r="O109" s="72"/>
      <c r="Q109" s="72"/>
    </row>
    <row r="110" spans="1:17" ht="18.75" customHeight="1" x14ac:dyDescent="0.3">
      <c r="A110" s="72"/>
      <c r="B110" s="72"/>
      <c r="C110" s="72"/>
      <c r="D110" s="72"/>
      <c r="E110" s="72"/>
      <c r="F110" s="72"/>
      <c r="G110" s="72"/>
      <c r="H110" s="72"/>
      <c r="I110" s="72"/>
      <c r="J110" s="72"/>
      <c r="K110" s="72"/>
      <c r="L110" s="72" t="s">
        <v>54</v>
      </c>
      <c r="M110" s="75">
        <f>'DNB Livsforsikring'!B11-'DNB Livsforsikring'!B12+'DNB Livsforsikring'!B34-'DNB Livsforsikring'!B35+'DNB Livsforsikring'!B38-'DNB Livsforsikring'!B39+'DNB Livsforsikring'!B111-'DNB Livsforsikring'!B119+'DNB Livsforsikring'!B136-'DNB Livsforsikring'!B137</f>
        <v>288795.45643999998</v>
      </c>
      <c r="N110" s="75">
        <f>'DNB Livsforsikring'!C11-'DNB Livsforsikring'!C12+'DNB Livsforsikring'!C34-'DNB Livsforsikring'!C35+'DNB Livsforsikring'!C38-'DNB Livsforsikring'!C39+'DNB Livsforsikring'!C111-'DNB Livsforsikring'!C119+'DNB Livsforsikring'!C136-'DNB Livsforsikring'!C137</f>
        <v>130297</v>
      </c>
      <c r="O110" s="72"/>
      <c r="Q110" s="72"/>
    </row>
    <row r="111" spans="1:17" ht="18.75" customHeight="1" x14ac:dyDescent="0.3">
      <c r="A111" s="72"/>
      <c r="B111" s="72"/>
      <c r="C111" s="72"/>
      <c r="D111" s="72"/>
      <c r="E111" s="72"/>
      <c r="F111" s="72"/>
      <c r="G111" s="72"/>
      <c r="H111" s="72"/>
      <c r="I111" s="72"/>
      <c r="J111" s="72"/>
      <c r="K111" s="72"/>
      <c r="L111" s="77" t="s">
        <v>59</v>
      </c>
      <c r="M111" s="75">
        <f>'Gjensidige Pensjon'!B11-'Gjensidige Pensjon'!B12+'Gjensidige Pensjon'!B34-'Gjensidige Pensjon'!B35+'Gjensidige Pensjon'!B38-'Gjensidige Pensjon'!B39+'Gjensidige Pensjon'!B111-'Gjensidige Pensjon'!B119+'Gjensidige Pensjon'!B136-'Gjensidige Pensjon'!B137</f>
        <v>-2938.4000000000015</v>
      </c>
      <c r="N111" s="75">
        <f>'Gjensidige Pensjon'!C11-'Gjensidige Pensjon'!C12+'Gjensidige Pensjon'!C34-'Gjensidige Pensjon'!C35+'Gjensidige Pensjon'!C38-'Gjensidige Pensjon'!C39+'Gjensidige Pensjon'!C111-'Gjensidige Pensjon'!C119+'Gjensidige Pensjon'!C136-'Gjensidige Pensjon'!C137</f>
        <v>64683</v>
      </c>
      <c r="O111" s="72"/>
      <c r="Q111" s="72"/>
    </row>
    <row r="112" spans="1:17" ht="18.75" customHeight="1" x14ac:dyDescent="0.3">
      <c r="A112" s="72"/>
      <c r="B112" s="72"/>
      <c r="C112" s="72"/>
      <c r="D112" s="72"/>
      <c r="E112" s="72"/>
      <c r="F112" s="72"/>
      <c r="G112" s="72"/>
      <c r="H112" s="72"/>
      <c r="I112" s="72"/>
      <c r="J112" s="72"/>
      <c r="K112" s="72"/>
      <c r="L112" s="77" t="s">
        <v>62</v>
      </c>
      <c r="M112" s="75">
        <f>KLP!B11-KLP!B12+KLP!B34-KLP!B35+KLP!B38-KLP!B39+KLP!B111-KLP!B119+KLP!B136-KLP!B137</f>
        <v>-8346122.3590000002</v>
      </c>
      <c r="N112" s="75">
        <f>KLP!C11-KLP!C12+KLP!C34-KLP!C35+KLP!C38-KLP!C39+KLP!C111-KLP!C119+KLP!C136-KLP!C137</f>
        <v>-4649242.2290000003</v>
      </c>
      <c r="O112" s="72"/>
      <c r="Q112" s="72"/>
    </row>
    <row r="113" spans="1:17" ht="18.75" customHeight="1" x14ac:dyDescent="0.3">
      <c r="A113" s="72"/>
      <c r="B113" s="72"/>
      <c r="C113" s="72"/>
      <c r="D113" s="72"/>
      <c r="E113" s="72"/>
      <c r="F113" s="72"/>
      <c r="G113" s="72"/>
      <c r="H113" s="72"/>
      <c r="I113" s="72"/>
      <c r="J113" s="72"/>
      <c r="K113" s="72"/>
      <c r="L113" s="72" t="s">
        <v>64</v>
      </c>
      <c r="M113" s="75">
        <f>'Nordea Liv '!B11-'Nordea Liv '!B12+'Nordea Liv '!B34-'Nordea Liv '!B35+'Nordea Liv '!B38-'Nordea Liv '!B39+'Nordea Liv '!B111-'Nordea Liv '!B119+'Nordea Liv '!B136-'Nordea Liv '!B137</f>
        <v>688.20004000002973</v>
      </c>
      <c r="N113" s="75">
        <f>'Nordea Liv '!C11-'Nordea Liv '!C12+'Nordea Liv '!C34-'Nordea Liv '!C35+'Nordea Liv '!C38-'Nordea Liv '!C39+'Nordea Liv '!C111-'Nordea Liv '!C119+'Nordea Liv '!C136-'Nordea Liv '!C137</f>
        <v>-2551.8921399998098</v>
      </c>
      <c r="O113" s="72"/>
      <c r="Q113" s="72"/>
    </row>
    <row r="114" spans="1:17" ht="18.75" customHeight="1" x14ac:dyDescent="0.3">
      <c r="A114" s="72"/>
      <c r="B114" s="72"/>
      <c r="C114" s="72"/>
      <c r="D114" s="72"/>
      <c r="E114" s="72"/>
      <c r="F114" s="72"/>
      <c r="G114" s="72"/>
      <c r="H114" s="72"/>
      <c r="I114" s="72"/>
      <c r="J114" s="72"/>
      <c r="K114" s="72"/>
      <c r="L114" s="72" t="s">
        <v>66</v>
      </c>
      <c r="M114" s="75">
        <f>'Sparebank 1'!B11-'Sparebank 1'!B12+'Sparebank 1'!B34-'Sparebank 1'!B35+'Sparebank 1'!B38-'Sparebank 1'!B39+'Sparebank 1'!B111-'Sparebank 1'!B119+'Sparebank 1'!B136-'Sparebank 1'!B137</f>
        <v>-9015.0013899999976</v>
      </c>
      <c r="N114" s="75">
        <f>'Sparebank 1'!C11-'Sparebank 1'!C12+'Sparebank 1'!C34-'Sparebank 1'!C35+'Sparebank 1'!C38-'Sparebank 1'!C39+'Sparebank 1'!C111-'Sparebank 1'!C119+'Sparebank 1'!C136-'Sparebank 1'!C137</f>
        <v>-194276.14304</v>
      </c>
      <c r="O114" s="72"/>
      <c r="Q114" s="72"/>
    </row>
    <row r="115" spans="1:17" ht="18.75" customHeight="1" x14ac:dyDescent="0.3">
      <c r="A115" s="72"/>
      <c r="B115" s="72"/>
      <c r="C115" s="72"/>
      <c r="D115" s="72"/>
      <c r="E115" s="72"/>
      <c r="F115" s="72"/>
      <c r="G115" s="72"/>
      <c r="H115" s="72"/>
      <c r="I115" s="72"/>
      <c r="J115" s="72"/>
      <c r="K115" s="72"/>
      <c r="L115" s="72" t="s">
        <v>67</v>
      </c>
      <c r="M115" s="75">
        <f>'Storebrand Livsforsikring'!B11-'Storebrand Livsforsikring'!B12+'Storebrand Livsforsikring'!B34-'Storebrand Livsforsikring'!B35+'Storebrand Livsforsikring'!B38-'Storebrand Livsforsikring'!B39+'Storebrand Livsforsikring'!B111-'Storebrand Livsforsikring'!B119+'Storebrand Livsforsikring'!B136-'Storebrand Livsforsikring'!B137</f>
        <v>6247965.1359999999</v>
      </c>
      <c r="N115" s="75">
        <f>'Storebrand Livsforsikring'!C11-'Storebrand Livsforsikring'!C12+'Storebrand Livsforsikring'!C34-'Storebrand Livsforsikring'!C35+'Storebrand Livsforsikring'!C38-'Storebrand Livsforsikring'!C39+'Storebrand Livsforsikring'!C111-'Storebrand Livsforsikring'!C119+'Storebrand Livsforsikring'!C136-'Storebrand Livsforsikring'!C137</f>
        <v>3516428.9570000004</v>
      </c>
      <c r="O115" s="72"/>
      <c r="Q115" s="72"/>
    </row>
    <row r="116" spans="1:17" ht="18.75" customHeight="1" x14ac:dyDescent="0.3">
      <c r="A116" s="72"/>
      <c r="B116" s="72"/>
      <c r="C116" s="72"/>
      <c r="D116" s="72"/>
      <c r="E116" s="72"/>
      <c r="F116" s="72"/>
      <c r="G116" s="72"/>
      <c r="H116" s="72"/>
      <c r="I116" s="72"/>
      <c r="J116" s="72"/>
      <c r="K116" s="72"/>
      <c r="M116" s="75"/>
      <c r="N116" s="75"/>
      <c r="O116" s="72"/>
      <c r="Q116" s="72"/>
    </row>
    <row r="117" spans="1:17" ht="18.75" customHeight="1" x14ac:dyDescent="0.3">
      <c r="A117" s="72"/>
      <c r="B117" s="72"/>
      <c r="C117" s="72"/>
      <c r="D117" s="72"/>
      <c r="E117" s="72"/>
      <c r="F117" s="72"/>
      <c r="G117" s="72"/>
      <c r="H117" s="72"/>
      <c r="I117" s="72"/>
      <c r="J117" s="72"/>
      <c r="K117" s="72"/>
      <c r="M117" s="75"/>
      <c r="N117" s="75"/>
      <c r="O117" s="72"/>
    </row>
    <row r="118" spans="1:17" ht="18.75" customHeight="1" x14ac:dyDescent="0.3">
      <c r="A118" s="72"/>
      <c r="B118" s="72"/>
      <c r="C118" s="72"/>
      <c r="D118" s="72"/>
      <c r="E118" s="72"/>
      <c r="F118" s="72"/>
      <c r="G118" s="72"/>
      <c r="H118" s="72"/>
      <c r="I118" s="72"/>
      <c r="J118" s="72"/>
      <c r="K118" s="72"/>
      <c r="M118" s="75"/>
      <c r="N118" s="75"/>
      <c r="O118" s="72"/>
    </row>
    <row r="119" spans="1:17" ht="18.75" customHeight="1" x14ac:dyDescent="0.3">
      <c r="A119" s="72"/>
      <c r="B119" s="72"/>
      <c r="C119" s="72"/>
      <c r="D119" s="72"/>
      <c r="E119" s="72"/>
      <c r="F119" s="72"/>
      <c r="G119" s="72"/>
      <c r="H119" s="72"/>
      <c r="I119" s="72"/>
      <c r="J119" s="72"/>
      <c r="K119" s="72"/>
      <c r="M119" s="75"/>
      <c r="N119" s="75"/>
      <c r="O119" s="72"/>
    </row>
    <row r="120" spans="1:17" ht="18.75" customHeight="1" x14ac:dyDescent="0.3">
      <c r="A120" s="72"/>
      <c r="B120" s="72"/>
      <c r="C120" s="72"/>
      <c r="D120" s="72"/>
      <c r="E120" s="72"/>
      <c r="F120" s="72"/>
      <c r="G120" s="72"/>
      <c r="H120" s="72"/>
      <c r="I120" s="72"/>
      <c r="J120" s="72"/>
      <c r="K120" s="72"/>
      <c r="M120" s="75"/>
      <c r="N120" s="75"/>
      <c r="O120" s="72"/>
    </row>
    <row r="121" spans="1:17" ht="18.75" customHeight="1" x14ac:dyDescent="0.3">
      <c r="A121" s="72"/>
      <c r="B121" s="72"/>
      <c r="C121" s="72"/>
      <c r="D121" s="72"/>
      <c r="E121" s="72"/>
      <c r="F121" s="72"/>
      <c r="G121" s="72"/>
      <c r="H121" s="72"/>
      <c r="I121" s="72"/>
      <c r="J121" s="72"/>
      <c r="K121" s="72"/>
      <c r="M121" s="75"/>
      <c r="N121" s="75"/>
      <c r="O121" s="72"/>
    </row>
    <row r="122" spans="1:17" ht="18.75" customHeight="1" x14ac:dyDescent="0.3">
      <c r="A122" s="72"/>
      <c r="B122" s="72"/>
      <c r="C122" s="72"/>
      <c r="D122" s="72"/>
      <c r="E122" s="72"/>
      <c r="F122" s="72"/>
      <c r="G122" s="72"/>
      <c r="H122" s="72"/>
      <c r="I122" s="72"/>
      <c r="J122" s="72"/>
      <c r="K122" s="72"/>
      <c r="M122" s="75"/>
      <c r="N122" s="75"/>
      <c r="O122" s="72"/>
    </row>
    <row r="123" spans="1:17" x14ac:dyDescent="0.3">
      <c r="A123" s="72"/>
      <c r="B123" s="72"/>
      <c r="C123" s="72"/>
      <c r="D123" s="72"/>
      <c r="E123" s="72"/>
      <c r="F123" s="72"/>
      <c r="G123" s="72"/>
      <c r="H123" s="72"/>
      <c r="I123" s="72"/>
      <c r="J123" s="72"/>
      <c r="K123" s="72"/>
      <c r="O123" s="72"/>
    </row>
    <row r="124" spans="1:17" x14ac:dyDescent="0.3">
      <c r="A124" s="72"/>
      <c r="B124" s="72"/>
      <c r="C124" s="72"/>
      <c r="D124" s="72"/>
      <c r="E124" s="72"/>
      <c r="F124" s="72"/>
      <c r="G124" s="72"/>
      <c r="H124" s="72"/>
      <c r="I124" s="72"/>
      <c r="J124" s="72"/>
      <c r="K124" s="72"/>
      <c r="O124" s="72"/>
    </row>
    <row r="125" spans="1:17" x14ac:dyDescent="0.3">
      <c r="A125" s="72"/>
      <c r="B125" s="72"/>
      <c r="C125" s="72"/>
      <c r="D125" s="72"/>
      <c r="E125" s="72"/>
      <c r="F125" s="72"/>
      <c r="G125" s="72"/>
      <c r="H125" s="72"/>
      <c r="I125" s="72"/>
      <c r="J125" s="72"/>
      <c r="K125" s="72"/>
      <c r="O125" s="72"/>
    </row>
    <row r="126" spans="1:17" x14ac:dyDescent="0.3">
      <c r="A126" s="72"/>
      <c r="B126" s="72"/>
      <c r="C126" s="72"/>
      <c r="D126" s="72"/>
      <c r="E126" s="72"/>
      <c r="F126" s="72"/>
      <c r="G126" s="72"/>
      <c r="H126" s="72"/>
      <c r="I126" s="72"/>
      <c r="J126" s="72"/>
      <c r="K126" s="72"/>
      <c r="O126" s="72"/>
    </row>
    <row r="127" spans="1:17" x14ac:dyDescent="0.3">
      <c r="A127" s="72"/>
      <c r="B127" s="72"/>
      <c r="C127" s="72"/>
      <c r="D127" s="72"/>
      <c r="E127" s="72"/>
      <c r="F127" s="72"/>
      <c r="G127" s="72"/>
      <c r="H127" s="72"/>
      <c r="I127" s="72"/>
      <c r="J127" s="72"/>
      <c r="K127" s="72"/>
      <c r="O127" s="72"/>
    </row>
    <row r="128" spans="1:17" x14ac:dyDescent="0.3">
      <c r="A128" s="72"/>
      <c r="B128" s="72"/>
      <c r="C128" s="72"/>
      <c r="D128" s="72"/>
      <c r="E128" s="72"/>
      <c r="F128" s="72"/>
      <c r="G128" s="72"/>
      <c r="H128" s="72"/>
      <c r="I128" s="72"/>
      <c r="J128" s="72"/>
      <c r="K128" s="72"/>
      <c r="O128" s="72"/>
    </row>
    <row r="129" spans="1:15" x14ac:dyDescent="0.3">
      <c r="A129" s="72"/>
      <c r="B129" s="72"/>
      <c r="C129" s="72"/>
      <c r="D129" s="72"/>
      <c r="E129" s="72"/>
      <c r="F129" s="72"/>
      <c r="G129" s="72"/>
      <c r="H129" s="72"/>
      <c r="I129" s="72"/>
      <c r="J129" s="72"/>
      <c r="K129" s="72"/>
      <c r="L129" s="77" t="s">
        <v>74</v>
      </c>
      <c r="O129" s="72"/>
    </row>
    <row r="130" spans="1:15" x14ac:dyDescent="0.3">
      <c r="A130" s="73" t="s">
        <v>434</v>
      </c>
      <c r="B130" s="72"/>
      <c r="C130" s="72"/>
      <c r="D130" s="72"/>
      <c r="E130" s="72"/>
      <c r="F130" s="72"/>
      <c r="G130" s="72"/>
      <c r="H130" s="77"/>
      <c r="I130" s="72"/>
      <c r="J130" s="72"/>
      <c r="K130" s="72"/>
      <c r="L130" s="72" t="s">
        <v>1</v>
      </c>
      <c r="O130" s="72"/>
    </row>
    <row r="131" spans="1:15" x14ac:dyDescent="0.3">
      <c r="B131" s="72"/>
      <c r="C131" s="72"/>
      <c r="D131" s="72"/>
      <c r="E131" s="72"/>
      <c r="F131" s="72"/>
      <c r="G131" s="72"/>
      <c r="H131" s="72"/>
      <c r="I131" s="72"/>
      <c r="J131" s="72"/>
      <c r="K131" s="72"/>
      <c r="M131" s="72">
        <f>M7</f>
        <v>2021</v>
      </c>
      <c r="N131" s="72">
        <f>N7</f>
        <v>2022</v>
      </c>
      <c r="O131" s="72"/>
    </row>
    <row r="132" spans="1:15" x14ac:dyDescent="0.3">
      <c r="A132" s="72"/>
      <c r="B132" s="72"/>
      <c r="C132" s="72"/>
      <c r="D132" s="72"/>
      <c r="E132" s="72"/>
      <c r="F132" s="72"/>
      <c r="G132" s="72"/>
      <c r="H132" s="72"/>
      <c r="I132" s="72"/>
      <c r="J132" s="72"/>
      <c r="K132" s="72"/>
      <c r="L132" s="72" t="s">
        <v>436</v>
      </c>
      <c r="M132" s="75">
        <f>'Storebrand Danica P'!F11-'Storebrand Danica P'!F12+'Storebrand Danica P'!F34-'Storebrand Danica P'!F35+'Storebrand Danica P'!F38-'Storebrand Danica P'!F39+'Storebrand Danica P'!F111-'Storebrand Danica P'!F119+'Storebrand Danica P'!F136-'Storebrand Danica P'!F137</f>
        <v>255950.18200000003</v>
      </c>
      <c r="N132" s="75">
        <f>'Storebrand Danica P'!G11-'Storebrand Danica P'!G12+'Storebrand Danica P'!G34-'Storebrand Danica P'!G35+'Storebrand Danica P'!G38-'Storebrand Danica P'!G39+'Storebrand Danica P'!G111-'Storebrand Danica P'!G119+'Storebrand Danica P'!G136-'Storebrand Danica P'!G137</f>
        <v>-414494.57355999993</v>
      </c>
      <c r="O132" s="72"/>
    </row>
    <row r="133" spans="1:15" x14ac:dyDescent="0.3">
      <c r="A133" s="72"/>
      <c r="B133" s="72"/>
      <c r="C133" s="72"/>
      <c r="D133" s="72"/>
      <c r="E133" s="72"/>
      <c r="F133" s="72"/>
      <c r="G133" s="72"/>
      <c r="H133" s="72"/>
      <c r="I133" s="72"/>
      <c r="J133" s="72"/>
      <c r="K133" s="72"/>
      <c r="L133" s="72" t="s">
        <v>54</v>
      </c>
      <c r="M133" s="75">
        <f>'DNB Livsforsikring'!F11-'DNB Livsforsikring'!F12+'DNB Livsforsikring'!F34-'DNB Livsforsikring'!F35+'DNB Livsforsikring'!F38-'DNB Livsforsikring'!F39+'DNB Livsforsikring'!F111-'DNB Livsforsikring'!F119+'DNB Livsforsikring'!F136-'DNB Livsforsikring'!F137</f>
        <v>-2100392</v>
      </c>
      <c r="N133" s="75">
        <f>'DNB Livsforsikring'!G11-'DNB Livsforsikring'!G12+'DNB Livsforsikring'!G34-'DNB Livsforsikring'!G35+'DNB Livsforsikring'!G38-'DNB Livsforsikring'!G39+'DNB Livsforsikring'!G111-'DNB Livsforsikring'!G119+'DNB Livsforsikring'!G136-'DNB Livsforsikring'!G137</f>
        <v>-440667.45500000007</v>
      </c>
      <c r="O133" s="72"/>
    </row>
    <row r="134" spans="1:15" x14ac:dyDescent="0.3">
      <c r="A134" s="72"/>
      <c r="B134" s="72"/>
      <c r="C134" s="72"/>
      <c r="D134" s="72"/>
      <c r="E134" s="72"/>
      <c r="F134" s="72"/>
      <c r="G134" s="72"/>
      <c r="H134" s="72"/>
      <c r="I134" s="72"/>
      <c r="J134" s="72"/>
      <c r="K134" s="72"/>
      <c r="L134" s="72" t="s">
        <v>56</v>
      </c>
      <c r="M134" s="75">
        <f>'Frende Livsforsikring'!F11-'Frende Livsforsikring'!F12+'Frende Livsforsikring'!F34-'Frende Livsforsikring'!F35+'Frende Livsforsikring'!F38-'Frende Livsforsikring'!F39+'Frende Livsforsikring'!F111-'Frende Livsforsikring'!F119+'Frende Livsforsikring'!F136-'Frende Livsforsikring'!F137</f>
        <v>0</v>
      </c>
      <c r="N134" s="75">
        <f>'Frende Livsforsikring'!G11-'Frende Livsforsikring'!G12+'Frende Livsforsikring'!G34-'Frende Livsforsikring'!G35+'Frende Livsforsikring'!G38-'Frende Livsforsikring'!G39+'Frende Livsforsikring'!G111-'Frende Livsforsikring'!G119+'Frende Livsforsikring'!G136-'Frende Livsforsikring'!G137</f>
        <v>0</v>
      </c>
      <c r="O134" s="72"/>
    </row>
    <row r="135" spans="1:15" x14ac:dyDescent="0.3">
      <c r="A135" s="72"/>
      <c r="B135" s="72"/>
      <c r="C135" s="72"/>
      <c r="D135" s="72"/>
      <c r="E135" s="72"/>
      <c r="F135" s="72"/>
      <c r="G135" s="72"/>
      <c r="H135" s="72"/>
      <c r="I135" s="72"/>
      <c r="J135" s="72"/>
      <c r="K135" s="72"/>
      <c r="L135" s="77" t="s">
        <v>59</v>
      </c>
      <c r="M135" s="75">
        <f>'Gjensidige Pensjon'!F11-'Gjensidige Pensjon'!F12+'Gjensidige Pensjon'!F34-'Gjensidige Pensjon'!F35+'Gjensidige Pensjon'!F38-'Gjensidige Pensjon'!F39+'Gjensidige Pensjon'!F111-'Gjensidige Pensjon'!F119+'Gjensidige Pensjon'!F136-'Gjensidige Pensjon'!F137</f>
        <v>58268.599999999627</v>
      </c>
      <c r="N135" s="75">
        <f>'Gjensidige Pensjon'!G11-'Gjensidige Pensjon'!G12+'Gjensidige Pensjon'!G34-'Gjensidige Pensjon'!G35+'Gjensidige Pensjon'!G38-'Gjensidige Pensjon'!G39+'Gjensidige Pensjon'!G111-'Gjensidige Pensjon'!G119+'Gjensidige Pensjon'!G136-'Gjensidige Pensjon'!G137</f>
        <v>1855585</v>
      </c>
      <c r="O135" s="72"/>
    </row>
    <row r="136" spans="1:15" x14ac:dyDescent="0.3">
      <c r="A136" s="72"/>
      <c r="B136" s="72"/>
      <c r="C136" s="72"/>
      <c r="D136" s="72"/>
      <c r="E136" s="72"/>
      <c r="F136" s="72"/>
      <c r="G136" s="72"/>
      <c r="H136" s="72"/>
      <c r="I136" s="72"/>
      <c r="J136" s="72"/>
      <c r="K136" s="72"/>
      <c r="L136" s="72" t="s">
        <v>62</v>
      </c>
      <c r="M136" s="75">
        <f>KLP!F11-KLP!F12+KLP!F34-KLP!F35+KLP!F38-KLP!F39+KLP!F111-KLP!F119+KLP!F136-KLP!F137</f>
        <v>0</v>
      </c>
      <c r="N136" s="75">
        <f>KLP!G11-KLP!G12+KLP!G34-KLP!G35+KLP!G38-KLP!G39+KLP!G111-KLP!G119+KLP!G136-KLP!G137</f>
        <v>376440.52899999998</v>
      </c>
      <c r="O136" s="72"/>
    </row>
    <row r="137" spans="1:15" x14ac:dyDescent="0.3">
      <c r="A137" s="72"/>
      <c r="B137" s="72"/>
      <c r="C137" s="72"/>
      <c r="D137" s="72"/>
      <c r="E137" s="72"/>
      <c r="F137" s="72"/>
      <c r="G137" s="72"/>
      <c r="H137" s="72"/>
      <c r="I137" s="72"/>
      <c r="J137" s="72"/>
      <c r="K137" s="72"/>
      <c r="L137" s="72" t="s">
        <v>64</v>
      </c>
      <c r="M137" s="75">
        <f>'Nordea Liv '!F11-'Nordea Liv '!F12+'Nordea Liv '!F34-'Nordea Liv '!F35+'Nordea Liv '!F38-'Nordea Liv '!F39+'Nordea Liv '!F111-'Nordea Liv '!F119+'Nordea Liv '!F136-'Nordea Liv '!F137</f>
        <v>-381588.80577000044</v>
      </c>
      <c r="N137" s="75">
        <f>'Nordea Liv '!G11-'Nordea Liv '!G12+'Nordea Liv '!G34-'Nordea Liv '!G35+'Nordea Liv '!G38-'Nordea Liv '!G39+'Nordea Liv '!G111-'Nordea Liv '!G119+'Nordea Liv '!G136-'Nordea Liv '!G137</f>
        <v>616541.34781999979</v>
      </c>
      <c r="O137" s="72"/>
    </row>
    <row r="138" spans="1:15" x14ac:dyDescent="0.3">
      <c r="A138" s="72"/>
      <c r="B138" s="72"/>
      <c r="C138" s="72"/>
      <c r="D138" s="72"/>
      <c r="E138" s="72"/>
      <c r="F138" s="72"/>
      <c r="G138" s="72"/>
      <c r="H138" s="72"/>
      <c r="I138" s="72"/>
      <c r="J138" s="72"/>
      <c r="K138" s="72"/>
      <c r="L138" s="72" t="s">
        <v>70</v>
      </c>
      <c r="M138" s="75">
        <f>'SHB Liv'!F11-'SHB Liv'!F12+'SHB Liv'!F34-'SHB Liv'!F35+'SHB Liv'!F38-'SHB Liv'!F39+'SHB Liv'!F111-'SHB Liv'!F119+'SHB Liv'!F136-'SHB Liv'!F137</f>
        <v>-52194.126499999991</v>
      </c>
      <c r="N138" s="75">
        <f>'SHB Liv'!G11-'SHB Liv'!G12+'SHB Liv'!G34-'SHB Liv'!G35+'SHB Liv'!G38-'SHB Liv'!G39+'SHB Liv'!G111-'SHB Liv'!G119+'SHB Liv'!G136-'SHB Liv'!G137</f>
        <v>-20941.514959999997</v>
      </c>
      <c r="O138" s="72"/>
    </row>
    <row r="139" spans="1:15" x14ac:dyDescent="0.3">
      <c r="A139" s="72"/>
      <c r="B139" s="72"/>
      <c r="C139" s="72"/>
      <c r="D139" s="72"/>
      <c r="E139" s="72"/>
      <c r="F139" s="72"/>
      <c r="G139" s="72"/>
      <c r="H139" s="72"/>
      <c r="I139" s="72"/>
      <c r="J139" s="72"/>
      <c r="K139" s="72"/>
      <c r="L139" s="72" t="s">
        <v>66</v>
      </c>
      <c r="M139" s="75">
        <f>'Sparebank 1'!F11-'Sparebank 1'!F12+'Sparebank 1'!F34-'Sparebank 1'!F35+'Sparebank 1'!F38-'Sparebank 1'!F39+'Sparebank 1'!F111-'Sparebank 1'!F119+'Sparebank 1'!F136-'Sparebank 1'!F137</f>
        <v>1368033.23649</v>
      </c>
      <c r="N139" s="75">
        <f>'Sparebank 1'!G11-'Sparebank 1'!G12+'Sparebank 1'!G34-'Sparebank 1'!G35+'Sparebank 1'!G38-'Sparebank 1'!G39+'Sparebank 1'!G111-'Sparebank 1'!G119+'Sparebank 1'!G136-'Sparebank 1'!G137</f>
        <v>-87746.892959999852</v>
      </c>
      <c r="O139" s="72"/>
    </row>
    <row r="140" spans="1:15" x14ac:dyDescent="0.3">
      <c r="A140" s="72"/>
      <c r="B140" s="72"/>
      <c r="C140" s="72"/>
      <c r="D140" s="72"/>
      <c r="E140" s="72"/>
      <c r="F140" s="72"/>
      <c r="G140" s="72"/>
      <c r="H140" s="72"/>
      <c r="I140" s="72"/>
      <c r="J140" s="72"/>
      <c r="K140" s="72"/>
      <c r="L140" s="72" t="s">
        <v>71</v>
      </c>
      <c r="M140" s="75">
        <f>'Storebrand Livsforsikring'!F11-'Storebrand Livsforsikring'!F12+'Storebrand Livsforsikring'!F34-'Storebrand Livsforsikring'!F35+'Storebrand Livsforsikring'!F38-'Storebrand Livsforsikring'!F39+'Storebrand Livsforsikring'!F111-'Storebrand Livsforsikring'!F119+'Storebrand Livsforsikring'!F136-'Storebrand Livsforsikring'!F137</f>
        <v>-6819879.7849999992</v>
      </c>
      <c r="N140" s="75">
        <f>'Storebrand Livsforsikring'!G11-'Storebrand Livsforsikring'!G12+'Storebrand Livsforsikring'!G34-'Storebrand Livsforsikring'!G35+'Storebrand Livsforsikring'!G38-'Storebrand Livsforsikring'!G39+'Storebrand Livsforsikring'!G111-'Storebrand Livsforsikring'!G119+'Storebrand Livsforsikring'!G136-'Storebrand Livsforsikring'!G137</f>
        <v>-3951398.4240000001</v>
      </c>
      <c r="O140" s="72"/>
    </row>
    <row r="141" spans="1:15" x14ac:dyDescent="0.3">
      <c r="A141" s="72"/>
      <c r="B141" s="72"/>
      <c r="C141" s="72"/>
      <c r="D141" s="72"/>
      <c r="E141" s="72"/>
      <c r="F141" s="72"/>
      <c r="G141" s="72"/>
      <c r="H141" s="72"/>
      <c r="I141" s="72"/>
      <c r="J141" s="72"/>
      <c r="K141" s="72"/>
      <c r="O141" s="72"/>
    </row>
    <row r="142" spans="1:15" x14ac:dyDescent="0.3">
      <c r="A142" s="72"/>
      <c r="B142" s="72"/>
      <c r="C142" s="72"/>
      <c r="D142" s="72"/>
      <c r="E142" s="72"/>
      <c r="F142" s="72"/>
      <c r="G142" s="72"/>
      <c r="H142" s="72"/>
      <c r="I142" s="72"/>
      <c r="J142" s="72"/>
      <c r="K142" s="72"/>
      <c r="O142" s="72"/>
    </row>
    <row r="143" spans="1:15" x14ac:dyDescent="0.3">
      <c r="A143" s="72"/>
      <c r="B143" s="72"/>
      <c r="C143" s="72"/>
      <c r="D143" s="72"/>
      <c r="E143" s="72"/>
      <c r="F143" s="72"/>
      <c r="G143" s="72"/>
      <c r="H143" s="72"/>
      <c r="I143" s="72"/>
      <c r="J143" s="72"/>
      <c r="K143" s="72"/>
      <c r="O143" s="72"/>
    </row>
    <row r="144" spans="1:15" x14ac:dyDescent="0.3">
      <c r="A144" s="72"/>
      <c r="B144" s="72"/>
      <c r="C144" s="72"/>
      <c r="D144" s="72"/>
      <c r="E144" s="72"/>
      <c r="F144" s="72"/>
      <c r="G144" s="72"/>
      <c r="H144" s="72"/>
      <c r="I144" s="72"/>
      <c r="J144" s="72"/>
      <c r="K144" s="72"/>
      <c r="O144" s="72"/>
    </row>
    <row r="145" spans="1:15" x14ac:dyDescent="0.3">
      <c r="A145" s="72"/>
      <c r="B145" s="72"/>
      <c r="C145" s="72"/>
      <c r="D145" s="72"/>
      <c r="E145" s="72"/>
      <c r="F145" s="72"/>
      <c r="G145" s="72"/>
      <c r="H145" s="72"/>
      <c r="I145" s="72"/>
      <c r="J145" s="72"/>
      <c r="K145" s="72"/>
      <c r="O145" s="72"/>
    </row>
    <row r="146" spans="1:15" x14ac:dyDescent="0.3">
      <c r="A146" s="72"/>
      <c r="B146" s="72"/>
      <c r="C146" s="72"/>
      <c r="D146" s="72"/>
      <c r="E146" s="72"/>
      <c r="F146" s="72"/>
      <c r="G146" s="72"/>
      <c r="H146" s="72"/>
      <c r="I146" s="72"/>
      <c r="J146" s="72"/>
      <c r="K146" s="72"/>
      <c r="O146" s="72"/>
    </row>
    <row r="147" spans="1:15" x14ac:dyDescent="0.3">
      <c r="A147" s="72"/>
      <c r="B147" s="72"/>
      <c r="C147" s="72"/>
      <c r="D147" s="72"/>
      <c r="E147" s="72"/>
      <c r="F147" s="72"/>
      <c r="G147" s="72"/>
      <c r="H147" s="72"/>
      <c r="I147" s="72"/>
      <c r="J147" s="72"/>
      <c r="K147" s="72"/>
      <c r="O147" s="72"/>
    </row>
    <row r="148" spans="1:15" x14ac:dyDescent="0.3">
      <c r="A148" s="72"/>
      <c r="B148" s="72"/>
      <c r="C148" s="72"/>
      <c r="D148" s="72"/>
      <c r="E148" s="72"/>
      <c r="F148" s="72"/>
      <c r="G148" s="72"/>
      <c r="H148" s="72"/>
      <c r="I148" s="72"/>
      <c r="J148" s="72"/>
      <c r="K148" s="72"/>
      <c r="O148" s="72"/>
    </row>
    <row r="149" spans="1:15" x14ac:dyDescent="0.3">
      <c r="A149" s="72"/>
      <c r="B149" s="72"/>
      <c r="C149" s="72"/>
      <c r="D149" s="72"/>
      <c r="E149" s="72"/>
      <c r="F149" s="72"/>
      <c r="G149" s="72"/>
      <c r="H149" s="72"/>
      <c r="I149" s="72"/>
      <c r="J149" s="72"/>
      <c r="K149" s="72"/>
      <c r="O149" s="72"/>
    </row>
    <row r="150" spans="1:15" x14ac:dyDescent="0.3">
      <c r="A150" s="72"/>
      <c r="B150" s="72"/>
      <c r="C150" s="72"/>
      <c r="D150" s="72"/>
      <c r="E150" s="72"/>
      <c r="F150" s="72"/>
      <c r="G150" s="72"/>
      <c r="H150" s="72"/>
      <c r="I150" s="72"/>
      <c r="J150" s="72"/>
      <c r="K150" s="72"/>
      <c r="O150" s="72"/>
    </row>
    <row r="151" spans="1:15" x14ac:dyDescent="0.3">
      <c r="A151" s="72"/>
      <c r="B151" s="72"/>
      <c r="C151" s="72"/>
      <c r="D151" s="72"/>
      <c r="E151" s="72"/>
      <c r="F151" s="72"/>
      <c r="G151" s="72"/>
      <c r="H151" s="72"/>
      <c r="I151" s="72"/>
      <c r="J151" s="72"/>
      <c r="K151" s="72"/>
      <c r="O151" s="72"/>
    </row>
    <row r="152" spans="1:15" x14ac:dyDescent="0.3">
      <c r="A152" s="72"/>
      <c r="B152" s="72"/>
      <c r="C152" s="72"/>
      <c r="D152" s="72"/>
      <c r="E152" s="72"/>
      <c r="F152" s="72"/>
      <c r="G152" s="72"/>
      <c r="H152" s="72"/>
      <c r="I152" s="72"/>
      <c r="J152" s="72"/>
      <c r="K152" s="72"/>
      <c r="O152" s="72"/>
    </row>
    <row r="153" spans="1:15" x14ac:dyDescent="0.3">
      <c r="A153" s="72"/>
      <c r="B153" s="72"/>
      <c r="C153" s="72"/>
      <c r="D153" s="72"/>
      <c r="E153" s="72"/>
      <c r="F153" s="72"/>
      <c r="G153" s="72"/>
      <c r="H153" s="72"/>
      <c r="I153" s="72"/>
      <c r="J153" s="72"/>
      <c r="K153" s="72"/>
      <c r="O153" s="72"/>
    </row>
    <row r="154" spans="1:15" x14ac:dyDescent="0.3">
      <c r="O154" s="72"/>
    </row>
    <row r="155" spans="1:15" x14ac:dyDescent="0.3">
      <c r="O155" s="72"/>
    </row>
    <row r="156" spans="1:15" x14ac:dyDescent="0.3">
      <c r="O156" s="72"/>
    </row>
    <row r="157" spans="1:15" x14ac:dyDescent="0.3">
      <c r="O157" s="72"/>
    </row>
    <row r="158" spans="1:15" x14ac:dyDescent="0.3">
      <c r="O158" s="72"/>
    </row>
    <row r="159" spans="1:15" x14ac:dyDescent="0.3">
      <c r="O159" s="72"/>
    </row>
    <row r="160" spans="1:15" x14ac:dyDescent="0.3">
      <c r="O160" s="72"/>
    </row>
    <row r="161" spans="1:15" x14ac:dyDescent="0.3">
      <c r="O161" s="72"/>
    </row>
    <row r="162" spans="1:15" x14ac:dyDescent="0.3">
      <c r="O162" s="72"/>
    </row>
    <row r="163" spans="1:15" x14ac:dyDescent="0.3">
      <c r="O163" s="72"/>
    </row>
    <row r="164" spans="1:15" x14ac:dyDescent="0.3">
      <c r="O164" s="72"/>
    </row>
    <row r="165" spans="1:15" x14ac:dyDescent="0.3">
      <c r="O165" s="72"/>
    </row>
    <row r="166" spans="1:15" x14ac:dyDescent="0.3">
      <c r="O166" s="72"/>
    </row>
    <row r="167" spans="1:15" x14ac:dyDescent="0.3">
      <c r="O167" s="72"/>
    </row>
    <row r="168" spans="1:15" x14ac:dyDescent="0.3">
      <c r="O168" s="72"/>
    </row>
    <row r="169" spans="1:15" x14ac:dyDescent="0.3">
      <c r="O169" s="72"/>
    </row>
    <row r="170" spans="1:15" x14ac:dyDescent="0.3">
      <c r="A170" s="72"/>
      <c r="B170" s="72"/>
      <c r="C170" s="72"/>
      <c r="D170" s="72"/>
      <c r="E170" s="72"/>
      <c r="F170" s="72"/>
      <c r="G170" s="72"/>
      <c r="H170" s="72"/>
      <c r="I170" s="72"/>
      <c r="J170" s="72"/>
      <c r="K170" s="72"/>
      <c r="O170" s="72"/>
    </row>
    <row r="171" spans="1:15" x14ac:dyDescent="0.3">
      <c r="A171" s="72"/>
      <c r="B171" s="72"/>
      <c r="C171" s="72"/>
      <c r="D171" s="72"/>
      <c r="E171" s="72"/>
      <c r="F171" s="72"/>
      <c r="G171" s="72"/>
      <c r="H171" s="72"/>
      <c r="I171" s="72"/>
      <c r="J171" s="72"/>
      <c r="K171" s="72"/>
      <c r="O171" s="72"/>
    </row>
    <row r="172" spans="1:15" x14ac:dyDescent="0.3">
      <c r="A172" s="72"/>
      <c r="B172" s="72"/>
      <c r="C172" s="72"/>
      <c r="D172" s="72"/>
      <c r="E172" s="72"/>
      <c r="F172" s="72"/>
      <c r="G172" s="72"/>
      <c r="H172" s="72"/>
      <c r="I172" s="72"/>
      <c r="J172" s="72"/>
      <c r="K172" s="72"/>
      <c r="O172" s="72"/>
    </row>
    <row r="173" spans="1:15" x14ac:dyDescent="0.3">
      <c r="A173" s="72"/>
      <c r="B173" s="72"/>
      <c r="C173" s="72"/>
      <c r="D173" s="72"/>
      <c r="E173" s="72"/>
      <c r="F173" s="72"/>
      <c r="G173" s="72"/>
      <c r="H173" s="72"/>
      <c r="I173" s="72"/>
      <c r="J173" s="72"/>
      <c r="K173" s="72"/>
      <c r="O173" s="72"/>
    </row>
    <row r="174" spans="1:15" x14ac:dyDescent="0.3">
      <c r="A174" s="72"/>
      <c r="B174" s="72"/>
      <c r="C174" s="72"/>
      <c r="D174" s="72"/>
      <c r="E174" s="72"/>
      <c r="F174" s="72"/>
      <c r="G174" s="72"/>
      <c r="H174" s="72"/>
      <c r="I174" s="72"/>
      <c r="J174" s="72"/>
      <c r="K174" s="72"/>
      <c r="O174" s="72"/>
    </row>
    <row r="175" spans="1:15" x14ac:dyDescent="0.3">
      <c r="A175" s="72"/>
      <c r="B175" s="72"/>
      <c r="C175" s="72"/>
      <c r="D175" s="72"/>
      <c r="E175" s="72"/>
      <c r="F175" s="72"/>
      <c r="G175" s="72"/>
      <c r="H175" s="72"/>
      <c r="I175" s="72"/>
      <c r="J175" s="72"/>
      <c r="K175" s="72"/>
      <c r="O175" s="72"/>
    </row>
    <row r="176" spans="1:15" x14ac:dyDescent="0.3">
      <c r="A176" s="72"/>
      <c r="B176" s="72"/>
      <c r="C176" s="72"/>
      <c r="D176" s="72"/>
      <c r="E176" s="72"/>
      <c r="F176" s="72"/>
      <c r="G176" s="72"/>
      <c r="H176" s="72"/>
      <c r="I176" s="72"/>
      <c r="J176" s="72"/>
      <c r="K176" s="72"/>
      <c r="O176" s="72"/>
    </row>
  </sheetData>
  <hyperlinks>
    <hyperlink ref="A1" location="Innhold!A1" display="Tilbake" xr:uid="{00000000-0004-0000-0200-000000000000}"/>
  </hyperlinks>
  <pageMargins left="0.7" right="0.7" top="0.78740157499999996" bottom="0.78740157499999996"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31"/>
  <dimension ref="A1:N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244" t="s">
        <v>129</v>
      </c>
      <c r="D1" s="24"/>
      <c r="E1" s="24"/>
      <c r="F1" s="24"/>
      <c r="G1" s="24"/>
      <c r="H1" s="24"/>
      <c r="I1" s="24"/>
      <c r="J1" s="24"/>
      <c r="K1" s="24"/>
      <c r="L1" s="24"/>
      <c r="M1" s="24"/>
    </row>
    <row r="2" spans="1:14" ht="15.75" x14ac:dyDescent="0.25">
      <c r="A2" s="163" t="s">
        <v>28</v>
      </c>
      <c r="B2" s="704"/>
      <c r="C2" s="704"/>
      <c r="D2" s="704"/>
      <c r="E2" s="291"/>
      <c r="F2" s="704"/>
      <c r="G2" s="704"/>
      <c r="H2" s="704"/>
      <c r="I2" s="291"/>
      <c r="J2" s="704"/>
      <c r="K2" s="704"/>
      <c r="L2" s="704"/>
      <c r="M2" s="291"/>
    </row>
    <row r="3" spans="1:14" ht="15.75" x14ac:dyDescent="0.25">
      <c r="A3" s="161"/>
      <c r="B3" s="291"/>
      <c r="C3" s="291"/>
      <c r="D3" s="291"/>
      <c r="E3" s="291"/>
      <c r="F3" s="291"/>
      <c r="G3" s="291"/>
      <c r="H3" s="291"/>
      <c r="I3" s="291"/>
      <c r="J3" s="291"/>
      <c r="K3" s="291"/>
      <c r="L3" s="291"/>
      <c r="M3" s="291"/>
    </row>
    <row r="4" spans="1:14" x14ac:dyDescent="0.2">
      <c r="A4" s="142"/>
      <c r="B4" s="705" t="s">
        <v>0</v>
      </c>
      <c r="C4" s="706"/>
      <c r="D4" s="706"/>
      <c r="E4" s="293"/>
      <c r="F4" s="705" t="s">
        <v>1</v>
      </c>
      <c r="G4" s="706"/>
      <c r="H4" s="706"/>
      <c r="I4" s="296"/>
      <c r="J4" s="705" t="s">
        <v>2</v>
      </c>
      <c r="K4" s="706"/>
      <c r="L4" s="706"/>
      <c r="M4" s="296"/>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c r="C7" s="299"/>
      <c r="D7" s="341"/>
      <c r="E7" s="11"/>
      <c r="F7" s="298"/>
      <c r="G7" s="299"/>
      <c r="H7" s="341"/>
      <c r="I7" s="158"/>
      <c r="J7" s="300"/>
      <c r="K7" s="301"/>
      <c r="L7" s="413"/>
      <c r="M7" s="11"/>
    </row>
    <row r="8" spans="1:14" ht="15.75" x14ac:dyDescent="0.2">
      <c r="A8" s="19" t="s">
        <v>25</v>
      </c>
      <c r="B8" s="276"/>
      <c r="C8" s="277"/>
      <c r="D8" s="164"/>
      <c r="E8" s="25"/>
      <c r="F8" s="280"/>
      <c r="G8" s="281"/>
      <c r="H8" s="164"/>
      <c r="I8" s="172"/>
      <c r="J8" s="230"/>
      <c r="K8" s="282"/>
      <c r="L8" s="414"/>
      <c r="M8" s="25"/>
    </row>
    <row r="9" spans="1:14" ht="15.75" x14ac:dyDescent="0.2">
      <c r="A9" s="19" t="s">
        <v>24</v>
      </c>
      <c r="B9" s="276"/>
      <c r="C9" s="277"/>
      <c r="D9" s="164"/>
      <c r="E9" s="25"/>
      <c r="F9" s="280"/>
      <c r="G9" s="281"/>
      <c r="H9" s="164"/>
      <c r="I9" s="172"/>
      <c r="J9" s="230"/>
      <c r="K9" s="282"/>
      <c r="L9" s="414"/>
      <c r="M9" s="25"/>
    </row>
    <row r="10" spans="1:14" ht="15.75" x14ac:dyDescent="0.2">
      <c r="A10" s="13" t="s">
        <v>350</v>
      </c>
      <c r="B10" s="302"/>
      <c r="C10" s="303"/>
      <c r="D10" s="169"/>
      <c r="E10" s="11"/>
      <c r="F10" s="302"/>
      <c r="G10" s="303"/>
      <c r="H10" s="169"/>
      <c r="I10" s="158"/>
      <c r="J10" s="300"/>
      <c r="K10" s="301"/>
      <c r="L10" s="414"/>
      <c r="M10" s="11"/>
    </row>
    <row r="11" spans="1:14" s="41" customFormat="1" ht="15.75" x14ac:dyDescent="0.2">
      <c r="A11" s="13" t="s">
        <v>351</v>
      </c>
      <c r="B11" s="302"/>
      <c r="C11" s="303"/>
      <c r="D11" s="169"/>
      <c r="E11" s="11"/>
      <c r="F11" s="302"/>
      <c r="G11" s="303"/>
      <c r="H11" s="169"/>
      <c r="I11" s="158"/>
      <c r="J11" s="300"/>
      <c r="K11" s="301"/>
      <c r="L11" s="414"/>
      <c r="M11" s="11"/>
      <c r="N11" s="141"/>
    </row>
    <row r="12" spans="1:14" s="41" customFormat="1" ht="15.75" x14ac:dyDescent="0.2">
      <c r="A12" s="39" t="s">
        <v>352</v>
      </c>
      <c r="B12" s="304"/>
      <c r="C12" s="305"/>
      <c r="D12" s="167"/>
      <c r="E12" s="34"/>
      <c r="F12" s="304"/>
      <c r="G12" s="305"/>
      <c r="H12" s="167"/>
      <c r="I12" s="167"/>
      <c r="J12" s="306"/>
      <c r="K12" s="307"/>
      <c r="L12" s="415"/>
      <c r="M12" s="34"/>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291"/>
      <c r="F18" s="707"/>
      <c r="G18" s="707"/>
      <c r="H18" s="707"/>
      <c r="I18" s="291"/>
      <c r="J18" s="707"/>
      <c r="K18" s="707"/>
      <c r="L18" s="707"/>
      <c r="M18" s="291"/>
    </row>
    <row r="19" spans="1:14" x14ac:dyDescent="0.2">
      <c r="A19" s="142"/>
      <c r="B19" s="705" t="s">
        <v>0</v>
      </c>
      <c r="C19" s="706"/>
      <c r="D19" s="706"/>
      <c r="E19" s="293"/>
      <c r="F19" s="705" t="s">
        <v>1</v>
      </c>
      <c r="G19" s="706"/>
      <c r="H19" s="706"/>
      <c r="I19" s="296"/>
      <c r="J19" s="705" t="s">
        <v>2</v>
      </c>
      <c r="K19" s="706"/>
      <c r="L19" s="706"/>
      <c r="M19" s="296"/>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302"/>
      <c r="C22" s="302"/>
      <c r="D22" s="341"/>
      <c r="E22" s="11"/>
      <c r="F22" s="310"/>
      <c r="G22" s="310"/>
      <c r="H22" s="341"/>
      <c r="I22" s="11"/>
      <c r="J22" s="308"/>
      <c r="K22" s="308"/>
      <c r="L22" s="413"/>
      <c r="M22" s="22"/>
    </row>
    <row r="23" spans="1:14" ht="15.75" x14ac:dyDescent="0.2">
      <c r="A23" s="496" t="s">
        <v>353</v>
      </c>
      <c r="B23" s="276"/>
      <c r="C23" s="276"/>
      <c r="D23" s="164"/>
      <c r="E23" s="11"/>
      <c r="F23" s="285"/>
      <c r="G23" s="285"/>
      <c r="H23" s="164"/>
      <c r="I23" s="403"/>
      <c r="J23" s="285"/>
      <c r="K23" s="285"/>
      <c r="L23" s="164"/>
      <c r="M23" s="21"/>
    </row>
    <row r="24" spans="1:14" ht="15.75" x14ac:dyDescent="0.2">
      <c r="A24" s="496" t="s">
        <v>354</v>
      </c>
      <c r="B24" s="276"/>
      <c r="C24" s="276"/>
      <c r="D24" s="164"/>
      <c r="E24" s="11"/>
      <c r="F24" s="285"/>
      <c r="G24" s="285"/>
      <c r="H24" s="164"/>
      <c r="I24" s="403"/>
      <c r="J24" s="285"/>
      <c r="K24" s="285"/>
      <c r="L24" s="164"/>
      <c r="M24" s="21"/>
    </row>
    <row r="25" spans="1:14" ht="15.75" x14ac:dyDescent="0.2">
      <c r="A25" s="496" t="s">
        <v>355</v>
      </c>
      <c r="B25" s="276"/>
      <c r="C25" s="276"/>
      <c r="D25" s="164"/>
      <c r="E25" s="11"/>
      <c r="F25" s="285"/>
      <c r="G25" s="285"/>
      <c r="H25" s="164"/>
      <c r="I25" s="403"/>
      <c r="J25" s="285"/>
      <c r="K25" s="285"/>
      <c r="L25" s="164"/>
      <c r="M25" s="21"/>
    </row>
    <row r="26" spans="1:14" ht="15.75" x14ac:dyDescent="0.2">
      <c r="A26" s="496" t="s">
        <v>356</v>
      </c>
      <c r="B26" s="276"/>
      <c r="C26" s="276"/>
      <c r="D26" s="164"/>
      <c r="E26" s="11"/>
      <c r="F26" s="285"/>
      <c r="G26" s="285"/>
      <c r="H26" s="164"/>
      <c r="I26" s="403"/>
      <c r="J26" s="285"/>
      <c r="K26" s="285"/>
      <c r="L26" s="164"/>
      <c r="M26" s="21"/>
    </row>
    <row r="27" spans="1:14" x14ac:dyDescent="0.2">
      <c r="A27" s="496" t="s">
        <v>11</v>
      </c>
      <c r="B27" s="276"/>
      <c r="C27" s="276"/>
      <c r="D27" s="164"/>
      <c r="E27" s="11"/>
      <c r="F27" s="285"/>
      <c r="G27" s="285"/>
      <c r="H27" s="164"/>
      <c r="I27" s="403"/>
      <c r="J27" s="285"/>
      <c r="K27" s="285"/>
      <c r="L27" s="164"/>
      <c r="M27" s="21"/>
    </row>
    <row r="28" spans="1:14" ht="15.75" x14ac:dyDescent="0.2">
      <c r="A28" s="47" t="s">
        <v>271</v>
      </c>
      <c r="B28" s="42"/>
      <c r="C28" s="282"/>
      <c r="D28" s="164"/>
      <c r="E28" s="11"/>
      <c r="F28" s="230"/>
      <c r="G28" s="282"/>
      <c r="H28" s="164"/>
      <c r="I28" s="25"/>
      <c r="J28" s="42"/>
      <c r="K28" s="42"/>
      <c r="L28" s="249"/>
      <c r="M28" s="21"/>
    </row>
    <row r="29" spans="1:14" s="3" customFormat="1" ht="15.75" x14ac:dyDescent="0.2">
      <c r="A29" s="13" t="s">
        <v>350</v>
      </c>
      <c r="B29" s="232"/>
      <c r="C29" s="232"/>
      <c r="D29" s="169"/>
      <c r="E29" s="11"/>
      <c r="F29" s="300"/>
      <c r="G29" s="300"/>
      <c r="H29" s="169"/>
      <c r="I29" s="11"/>
      <c r="J29" s="232"/>
      <c r="K29" s="232"/>
      <c r="L29" s="414"/>
      <c r="M29" s="22"/>
      <c r="N29" s="146"/>
    </row>
    <row r="30" spans="1:14" s="3" customFormat="1" ht="15.75" x14ac:dyDescent="0.2">
      <c r="A30" s="496" t="s">
        <v>353</v>
      </c>
      <c r="B30" s="276"/>
      <c r="C30" s="276"/>
      <c r="D30" s="164"/>
      <c r="E30" s="11"/>
      <c r="F30" s="285"/>
      <c r="G30" s="285"/>
      <c r="H30" s="164"/>
      <c r="I30" s="403"/>
      <c r="J30" s="285"/>
      <c r="K30" s="285"/>
      <c r="L30" s="164"/>
      <c r="M30" s="21"/>
      <c r="N30" s="146"/>
    </row>
    <row r="31" spans="1:14" s="3" customFormat="1" ht="15.75" x14ac:dyDescent="0.2">
      <c r="A31" s="496" t="s">
        <v>354</v>
      </c>
      <c r="B31" s="276"/>
      <c r="C31" s="276"/>
      <c r="D31" s="164"/>
      <c r="E31" s="11"/>
      <c r="F31" s="285"/>
      <c r="G31" s="285"/>
      <c r="H31" s="164"/>
      <c r="I31" s="403"/>
      <c r="J31" s="285"/>
      <c r="K31" s="285"/>
      <c r="L31" s="164"/>
      <c r="M31" s="21"/>
      <c r="N31" s="146"/>
    </row>
    <row r="32" spans="1:14" ht="15.75" x14ac:dyDescent="0.2">
      <c r="A32" s="496" t="s">
        <v>355</v>
      </c>
      <c r="B32" s="276"/>
      <c r="C32" s="276"/>
      <c r="D32" s="164"/>
      <c r="E32" s="11"/>
      <c r="F32" s="285"/>
      <c r="G32" s="285"/>
      <c r="H32" s="164"/>
      <c r="I32" s="403"/>
      <c r="J32" s="285"/>
      <c r="K32" s="285"/>
      <c r="L32" s="164"/>
      <c r="M32" s="21"/>
    </row>
    <row r="33" spans="1:14" ht="15.75" x14ac:dyDescent="0.2">
      <c r="A33" s="496" t="s">
        <v>356</v>
      </c>
      <c r="B33" s="276"/>
      <c r="C33" s="276"/>
      <c r="D33" s="164"/>
      <c r="E33" s="11"/>
      <c r="F33" s="285"/>
      <c r="G33" s="285"/>
      <c r="H33" s="164"/>
      <c r="I33" s="403"/>
      <c r="J33" s="285"/>
      <c r="K33" s="285"/>
      <c r="L33" s="164"/>
      <c r="M33" s="21"/>
    </row>
    <row r="34" spans="1:14" ht="15.75" x14ac:dyDescent="0.2">
      <c r="A34" s="13" t="s">
        <v>351</v>
      </c>
      <c r="B34" s="232"/>
      <c r="C34" s="301"/>
      <c r="D34" s="169"/>
      <c r="E34" s="11"/>
      <c r="F34" s="300"/>
      <c r="G34" s="301"/>
      <c r="H34" s="169"/>
      <c r="I34" s="11"/>
      <c r="J34" s="232"/>
      <c r="K34" s="232"/>
      <c r="L34" s="414"/>
      <c r="M34" s="22"/>
    </row>
    <row r="35" spans="1:14" ht="15.75" x14ac:dyDescent="0.2">
      <c r="A35" s="13" t="s">
        <v>352</v>
      </c>
      <c r="B35" s="232"/>
      <c r="C35" s="301"/>
      <c r="D35" s="169"/>
      <c r="E35" s="11"/>
      <c r="F35" s="300"/>
      <c r="G35" s="301"/>
      <c r="H35" s="169"/>
      <c r="I35" s="11"/>
      <c r="J35" s="232"/>
      <c r="K35" s="232"/>
      <c r="L35" s="414"/>
      <c r="M35" s="22"/>
    </row>
    <row r="36" spans="1:14" ht="15.75" x14ac:dyDescent="0.2">
      <c r="A36" s="12" t="s">
        <v>279</v>
      </c>
      <c r="B36" s="232"/>
      <c r="C36" s="301"/>
      <c r="D36" s="169"/>
      <c r="E36" s="11"/>
      <c r="F36" s="311"/>
      <c r="G36" s="312"/>
      <c r="H36" s="169"/>
      <c r="I36" s="420"/>
      <c r="J36" s="232"/>
      <c r="K36" s="232"/>
      <c r="L36" s="414"/>
      <c r="M36" s="22"/>
    </row>
    <row r="37" spans="1:14" ht="15.75" x14ac:dyDescent="0.2">
      <c r="A37" s="12" t="s">
        <v>358</v>
      </c>
      <c r="B37" s="232"/>
      <c r="C37" s="301"/>
      <c r="D37" s="169"/>
      <c r="E37" s="11"/>
      <c r="F37" s="311"/>
      <c r="G37" s="313"/>
      <c r="H37" s="169"/>
      <c r="I37" s="420"/>
      <c r="J37" s="232"/>
      <c r="K37" s="232"/>
      <c r="L37" s="414"/>
      <c r="M37" s="22"/>
    </row>
    <row r="38" spans="1:14" ht="15.75" x14ac:dyDescent="0.2">
      <c r="A38" s="12" t="s">
        <v>359</v>
      </c>
      <c r="B38" s="232"/>
      <c r="C38" s="301"/>
      <c r="D38" s="169"/>
      <c r="E38" s="22"/>
      <c r="F38" s="311"/>
      <c r="G38" s="312"/>
      <c r="H38" s="169"/>
      <c r="I38" s="420"/>
      <c r="J38" s="232"/>
      <c r="K38" s="232"/>
      <c r="L38" s="414"/>
      <c r="M38" s="22"/>
    </row>
    <row r="39" spans="1:14" ht="15.75" x14ac:dyDescent="0.2">
      <c r="A39" s="18" t="s">
        <v>360</v>
      </c>
      <c r="B39" s="271"/>
      <c r="C39" s="307"/>
      <c r="D39" s="167"/>
      <c r="E39" s="34"/>
      <c r="F39" s="314"/>
      <c r="G39" s="315"/>
      <c r="H39" s="167"/>
      <c r="I39" s="34"/>
      <c r="J39" s="232"/>
      <c r="K39" s="232"/>
      <c r="L39" s="415"/>
      <c r="M39" s="34"/>
    </row>
    <row r="40" spans="1:14" ht="15.75" x14ac:dyDescent="0.25">
      <c r="A40" s="45"/>
      <c r="B40" s="248"/>
      <c r="C40" s="248"/>
      <c r="D40" s="708"/>
      <c r="E40" s="708"/>
      <c r="F40" s="708"/>
      <c r="G40" s="708"/>
      <c r="H40" s="708"/>
      <c r="I40" s="708"/>
      <c r="J40" s="708"/>
      <c r="K40" s="708"/>
      <c r="L40" s="708"/>
      <c r="M40" s="294"/>
    </row>
    <row r="41" spans="1:14" x14ac:dyDescent="0.2">
      <c r="A41" s="153"/>
    </row>
    <row r="42" spans="1:14" ht="15.75" x14ac:dyDescent="0.25">
      <c r="A42" s="145" t="s">
        <v>268</v>
      </c>
      <c r="B42" s="704"/>
      <c r="C42" s="704"/>
      <c r="D42" s="704"/>
      <c r="E42" s="291"/>
      <c r="F42" s="709"/>
      <c r="G42" s="709"/>
      <c r="H42" s="709"/>
      <c r="I42" s="294"/>
      <c r="J42" s="709"/>
      <c r="K42" s="709"/>
      <c r="L42" s="709"/>
      <c r="M42" s="294"/>
    </row>
    <row r="43" spans="1:14" ht="15.75" x14ac:dyDescent="0.25">
      <c r="A43" s="161"/>
      <c r="B43" s="295"/>
      <c r="C43" s="295"/>
      <c r="D43" s="295"/>
      <c r="E43" s="295"/>
      <c r="F43" s="294"/>
      <c r="G43" s="294"/>
      <c r="H43" s="294"/>
      <c r="I43" s="294"/>
      <c r="J43" s="294"/>
      <c r="K43" s="294"/>
      <c r="L43" s="294"/>
      <c r="M43" s="294"/>
    </row>
    <row r="44" spans="1:14" ht="15.75" x14ac:dyDescent="0.25">
      <c r="A44" s="243"/>
      <c r="B44" s="705" t="s">
        <v>0</v>
      </c>
      <c r="C44" s="706"/>
      <c r="D44" s="706"/>
      <c r="E44" s="239"/>
      <c r="F44" s="294"/>
      <c r="G44" s="294"/>
      <c r="H44" s="294"/>
      <c r="I44" s="294"/>
      <c r="J44" s="294"/>
      <c r="K44" s="294"/>
      <c r="L44" s="294"/>
      <c r="M44" s="294"/>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v>1014</v>
      </c>
      <c r="C47" s="303">
        <v>0</v>
      </c>
      <c r="D47" s="413">
        <f t="shared" ref="D47:D48" si="0">IF(B47=0, "    ---- ", IF(ABS(ROUND(100/B47*C47-100,1))&lt;999,ROUND(100/B47*C47-100,1),IF(ROUND(100/B47*C47-100,1)&gt;999,999,-999)))</f>
        <v>-100</v>
      </c>
      <c r="E47" s="11">
        <f>IFERROR(100/'Skjema total MA'!C47*C47,0)</f>
        <v>0</v>
      </c>
      <c r="F47" s="143"/>
      <c r="G47" s="31"/>
      <c r="H47" s="157"/>
      <c r="I47" s="157"/>
      <c r="J47" s="35"/>
      <c r="K47" s="35"/>
      <c r="L47" s="157"/>
      <c r="M47" s="157"/>
      <c r="N47" s="146"/>
    </row>
    <row r="48" spans="1:14" s="3" customFormat="1" ht="15.75" x14ac:dyDescent="0.2">
      <c r="A48" s="36" t="s">
        <v>361</v>
      </c>
      <c r="B48" s="276">
        <v>1014</v>
      </c>
      <c r="C48" s="277">
        <v>0</v>
      </c>
      <c r="D48" s="249">
        <f t="shared" si="0"/>
        <v>-100</v>
      </c>
      <c r="E48" s="25">
        <f>IFERROR(100/'Skjema total MA'!C48*C48,0)</f>
        <v>0</v>
      </c>
      <c r="F48" s="143"/>
      <c r="G48" s="31"/>
      <c r="H48" s="143"/>
      <c r="I48" s="143"/>
      <c r="J48" s="31"/>
      <c r="K48" s="31"/>
      <c r="L48" s="157"/>
      <c r="M48" s="157"/>
      <c r="N48" s="146"/>
    </row>
    <row r="49" spans="1:14" s="3" customFormat="1" ht="15.75" x14ac:dyDescent="0.2">
      <c r="A49" s="36" t="s">
        <v>362</v>
      </c>
      <c r="B49" s="42"/>
      <c r="C49" s="282"/>
      <c r="D49" s="249"/>
      <c r="E49" s="25"/>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c r="C53" s="303"/>
      <c r="D53" s="414"/>
      <c r="E53" s="11"/>
      <c r="F53" s="143"/>
      <c r="G53" s="31"/>
      <c r="H53" s="143"/>
      <c r="I53" s="143"/>
      <c r="J53" s="31"/>
      <c r="K53" s="31"/>
      <c r="L53" s="157"/>
      <c r="M53" s="157"/>
      <c r="N53" s="146"/>
    </row>
    <row r="54" spans="1:14" s="3" customFormat="1" ht="15.75" x14ac:dyDescent="0.2">
      <c r="A54" s="36" t="s">
        <v>361</v>
      </c>
      <c r="B54" s="276"/>
      <c r="C54" s="277"/>
      <c r="D54" s="249"/>
      <c r="E54" s="25"/>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c r="C56" s="303"/>
      <c r="D56" s="414"/>
      <c r="E56" s="11"/>
      <c r="F56" s="143"/>
      <c r="G56" s="31"/>
      <c r="H56" s="143"/>
      <c r="I56" s="143"/>
      <c r="J56" s="31"/>
      <c r="K56" s="31"/>
      <c r="L56" s="157"/>
      <c r="M56" s="157"/>
      <c r="N56" s="146"/>
    </row>
    <row r="57" spans="1:14" s="3" customFormat="1" ht="15.75" x14ac:dyDescent="0.2">
      <c r="A57" s="36" t="s">
        <v>361</v>
      </c>
      <c r="B57" s="276"/>
      <c r="C57" s="277"/>
      <c r="D57" s="249"/>
      <c r="E57" s="25"/>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291"/>
      <c r="F62" s="707"/>
      <c r="G62" s="707"/>
      <c r="H62" s="707"/>
      <c r="I62" s="291"/>
      <c r="J62" s="707"/>
      <c r="K62" s="707"/>
      <c r="L62" s="707"/>
      <c r="M62" s="291"/>
    </row>
    <row r="63" spans="1:14" x14ac:dyDescent="0.2">
      <c r="A63" s="142"/>
      <c r="B63" s="705" t="s">
        <v>0</v>
      </c>
      <c r="C63" s="706"/>
      <c r="D63" s="710"/>
      <c r="E63" s="292"/>
      <c r="F63" s="706" t="s">
        <v>1</v>
      </c>
      <c r="G63" s="706"/>
      <c r="H63" s="706"/>
      <c r="I63" s="296"/>
      <c r="J63" s="705" t="s">
        <v>2</v>
      </c>
      <c r="K63" s="706"/>
      <c r="L63" s="706"/>
      <c r="M63" s="296"/>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c r="C66" s="344"/>
      <c r="D66" s="341"/>
      <c r="E66" s="11"/>
      <c r="F66" s="343"/>
      <c r="G66" s="343"/>
      <c r="H66" s="341"/>
      <c r="I66" s="11"/>
      <c r="J66" s="301"/>
      <c r="K66" s="308"/>
      <c r="L66" s="414"/>
      <c r="M66" s="11"/>
    </row>
    <row r="67" spans="1:14" x14ac:dyDescent="0.2">
      <c r="A67" s="405" t="s">
        <v>9</v>
      </c>
      <c r="B67" s="42"/>
      <c r="C67" s="143"/>
      <c r="D67" s="164"/>
      <c r="E67" s="25"/>
      <c r="F67" s="230"/>
      <c r="G67" s="143"/>
      <c r="H67" s="164"/>
      <c r="I67" s="25"/>
      <c r="J67" s="282"/>
      <c r="K67" s="42"/>
      <c r="L67" s="249"/>
      <c r="M67" s="25"/>
    </row>
    <row r="68" spans="1:14" x14ac:dyDescent="0.2">
      <c r="A68" s="19" t="s">
        <v>10</v>
      </c>
      <c r="B68" s="286"/>
      <c r="C68" s="287"/>
      <c r="D68" s="164"/>
      <c r="E68" s="25"/>
      <c r="F68" s="286"/>
      <c r="G68" s="287"/>
      <c r="H68" s="164"/>
      <c r="I68" s="25"/>
      <c r="J68" s="282"/>
      <c r="K68" s="42"/>
      <c r="L68" s="249"/>
      <c r="M68" s="25"/>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c r="C75" s="143"/>
      <c r="D75" s="164"/>
      <c r="E75" s="25"/>
      <c r="F75" s="230"/>
      <c r="G75" s="143"/>
      <c r="H75" s="164"/>
      <c r="I75" s="25"/>
      <c r="J75" s="282"/>
      <c r="K75" s="42"/>
      <c r="L75" s="249"/>
      <c r="M75" s="25"/>
      <c r="N75" s="146"/>
    </row>
    <row r="76" spans="1:14" s="3" customFormat="1" x14ac:dyDescent="0.2">
      <c r="A76" s="19" t="s">
        <v>336</v>
      </c>
      <c r="B76" s="230"/>
      <c r="C76" s="143"/>
      <c r="D76" s="164"/>
      <c r="E76" s="25"/>
      <c r="F76" s="230"/>
      <c r="G76" s="143"/>
      <c r="H76" s="164"/>
      <c r="I76" s="25"/>
      <c r="J76" s="282"/>
      <c r="K76" s="42"/>
      <c r="L76" s="249"/>
      <c r="M76" s="25"/>
      <c r="N76" s="146"/>
    </row>
    <row r="77" spans="1:14" ht="15.75" x14ac:dyDescent="0.2">
      <c r="A77" s="19" t="s">
        <v>367</v>
      </c>
      <c r="B77" s="230"/>
      <c r="C77" s="230"/>
      <c r="D77" s="164"/>
      <c r="E77" s="25"/>
      <c r="F77" s="230"/>
      <c r="G77" s="143"/>
      <c r="H77" s="164"/>
      <c r="I77" s="25"/>
      <c r="J77" s="282"/>
      <c r="K77" s="42"/>
      <c r="L77" s="249"/>
      <c r="M77" s="25"/>
    </row>
    <row r="78" spans="1:14" x14ac:dyDescent="0.2">
      <c r="A78" s="19" t="s">
        <v>9</v>
      </c>
      <c r="B78" s="230"/>
      <c r="C78" s="143"/>
      <c r="D78" s="164"/>
      <c r="E78" s="25"/>
      <c r="F78" s="230"/>
      <c r="G78" s="143"/>
      <c r="H78" s="164"/>
      <c r="I78" s="25"/>
      <c r="J78" s="282"/>
      <c r="K78" s="42"/>
      <c r="L78" s="249"/>
      <c r="M78" s="25"/>
    </row>
    <row r="79" spans="1:14" x14ac:dyDescent="0.2">
      <c r="A79" s="36" t="s">
        <v>400</v>
      </c>
      <c r="B79" s="286"/>
      <c r="C79" s="287"/>
      <c r="D79" s="164"/>
      <c r="E79" s="25"/>
      <c r="F79" s="286"/>
      <c r="G79" s="287"/>
      <c r="H79" s="164"/>
      <c r="I79" s="25"/>
      <c r="J79" s="282"/>
      <c r="K79" s="42"/>
      <c r="L79" s="249"/>
      <c r="M79" s="25"/>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c r="C86" s="143"/>
      <c r="D86" s="164"/>
      <c r="E86" s="25"/>
      <c r="F86" s="230"/>
      <c r="G86" s="143"/>
      <c r="H86" s="164"/>
      <c r="I86" s="25"/>
      <c r="J86" s="282"/>
      <c r="K86" s="42"/>
      <c r="L86" s="249"/>
      <c r="M86" s="25"/>
    </row>
    <row r="87" spans="1:13" ht="15.75" x14ac:dyDescent="0.2">
      <c r="A87" s="13" t="s">
        <v>350</v>
      </c>
      <c r="B87" s="344"/>
      <c r="C87" s="344"/>
      <c r="D87" s="169"/>
      <c r="E87" s="11"/>
      <c r="F87" s="343"/>
      <c r="G87" s="343"/>
      <c r="H87" s="169"/>
      <c r="I87" s="11"/>
      <c r="J87" s="301"/>
      <c r="K87" s="232"/>
      <c r="L87" s="414"/>
      <c r="M87" s="11"/>
    </row>
    <row r="88" spans="1:13" x14ac:dyDescent="0.2">
      <c r="A88" s="19" t="s">
        <v>9</v>
      </c>
      <c r="B88" s="230"/>
      <c r="C88" s="143"/>
      <c r="D88" s="164"/>
      <c r="E88" s="25"/>
      <c r="F88" s="230"/>
      <c r="G88" s="143"/>
      <c r="H88" s="164"/>
      <c r="I88" s="25"/>
      <c r="J88" s="282"/>
      <c r="K88" s="42"/>
      <c r="L88" s="249"/>
      <c r="M88" s="25"/>
    </row>
    <row r="89" spans="1:13" x14ac:dyDescent="0.2">
      <c r="A89" s="19" t="s">
        <v>10</v>
      </c>
      <c r="B89" s="230"/>
      <c r="C89" s="143"/>
      <c r="D89" s="164"/>
      <c r="E89" s="25"/>
      <c r="F89" s="230"/>
      <c r="G89" s="143"/>
      <c r="H89" s="164"/>
      <c r="I89" s="25"/>
      <c r="J89" s="282"/>
      <c r="K89" s="42"/>
      <c r="L89" s="249"/>
      <c r="M89" s="25"/>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c r="C96" s="143"/>
      <c r="D96" s="164"/>
      <c r="E96" s="25"/>
      <c r="F96" s="230"/>
      <c r="G96" s="143"/>
      <c r="H96" s="164"/>
      <c r="I96" s="25"/>
      <c r="J96" s="282"/>
      <c r="K96" s="42"/>
      <c r="L96" s="249"/>
      <c r="M96" s="25"/>
    </row>
    <row r="97" spans="1:13" x14ac:dyDescent="0.2">
      <c r="A97" s="19" t="s">
        <v>334</v>
      </c>
      <c r="B97" s="230"/>
      <c r="C97" s="143"/>
      <c r="D97" s="164"/>
      <c r="E97" s="25"/>
      <c r="F97" s="230"/>
      <c r="G97" s="143"/>
      <c r="H97" s="164"/>
      <c r="I97" s="25"/>
      <c r="J97" s="282"/>
      <c r="K97" s="42"/>
      <c r="L97" s="249"/>
      <c r="M97" s="25"/>
    </row>
    <row r="98" spans="1:13" ht="15.75" x14ac:dyDescent="0.2">
      <c r="A98" s="19" t="s">
        <v>367</v>
      </c>
      <c r="B98" s="230"/>
      <c r="C98" s="230"/>
      <c r="D98" s="164"/>
      <c r="E98" s="25"/>
      <c r="F98" s="286"/>
      <c r="G98" s="286"/>
      <c r="H98" s="164"/>
      <c r="I98" s="25"/>
      <c r="J98" s="282"/>
      <c r="K98" s="42"/>
      <c r="L98" s="249"/>
      <c r="M98" s="25"/>
    </row>
    <row r="99" spans="1:13" x14ac:dyDescent="0.2">
      <c r="A99" s="19" t="s">
        <v>9</v>
      </c>
      <c r="B99" s="286"/>
      <c r="C99" s="287"/>
      <c r="D99" s="164"/>
      <c r="E99" s="25"/>
      <c r="F99" s="230"/>
      <c r="G99" s="143"/>
      <c r="H99" s="164"/>
      <c r="I99" s="25"/>
      <c r="J99" s="282"/>
      <c r="K99" s="42"/>
      <c r="L99" s="249"/>
      <c r="M99" s="25"/>
    </row>
    <row r="100" spans="1:13" x14ac:dyDescent="0.2">
      <c r="A100" s="36" t="s">
        <v>400</v>
      </c>
      <c r="B100" s="286"/>
      <c r="C100" s="287"/>
      <c r="D100" s="164"/>
      <c r="E100" s="25"/>
      <c r="F100" s="230"/>
      <c r="G100" s="230"/>
      <c r="H100" s="164"/>
      <c r="I100" s="25"/>
      <c r="J100" s="282"/>
      <c r="K100" s="42"/>
      <c r="L100" s="249"/>
      <c r="M100" s="25"/>
    </row>
    <row r="101" spans="1:13" ht="15.75" x14ac:dyDescent="0.2">
      <c r="A101" s="288" t="s">
        <v>365</v>
      </c>
      <c r="B101" s="311"/>
      <c r="C101" s="311"/>
      <c r="D101" s="164"/>
      <c r="E101" s="21"/>
      <c r="F101" s="311"/>
      <c r="G101" s="311"/>
      <c r="H101" s="164"/>
      <c r="I101" s="21"/>
      <c r="J101" s="311"/>
      <c r="K101" s="311"/>
      <c r="L101" s="164"/>
      <c r="M101" s="21"/>
    </row>
    <row r="102" spans="1:13" x14ac:dyDescent="0.2">
      <c r="A102" s="288" t="s">
        <v>12</v>
      </c>
      <c r="B102" s="311"/>
      <c r="C102" s="311"/>
      <c r="D102" s="164"/>
      <c r="E102" s="21"/>
      <c r="F102" s="311"/>
      <c r="G102" s="311"/>
      <c r="H102" s="164"/>
      <c r="I102" s="21"/>
      <c r="J102" s="311"/>
      <c r="K102" s="311"/>
      <c r="L102" s="164"/>
      <c r="M102" s="21"/>
    </row>
    <row r="103" spans="1:13" x14ac:dyDescent="0.2">
      <c r="A103" s="288" t="s">
        <v>13</v>
      </c>
      <c r="B103" s="311"/>
      <c r="C103" s="311"/>
      <c r="D103" s="164"/>
      <c r="E103" s="21"/>
      <c r="F103" s="311"/>
      <c r="G103" s="311"/>
      <c r="H103" s="164"/>
      <c r="I103" s="21"/>
      <c r="J103" s="311"/>
      <c r="K103" s="311"/>
      <c r="L103" s="164"/>
      <c r="M103" s="21"/>
    </row>
    <row r="104" spans="1:13" ht="15.75" x14ac:dyDescent="0.2">
      <c r="A104" s="288" t="s">
        <v>366</v>
      </c>
      <c r="B104" s="311"/>
      <c r="C104" s="311"/>
      <c r="D104" s="164"/>
      <c r="E104" s="21"/>
      <c r="F104" s="311"/>
      <c r="G104" s="311"/>
      <c r="H104" s="164"/>
      <c r="I104" s="21"/>
      <c r="J104" s="311"/>
      <c r="K104" s="311"/>
      <c r="L104" s="164"/>
      <c r="M104" s="21"/>
    </row>
    <row r="105" spans="1:13" x14ac:dyDescent="0.2">
      <c r="A105" s="288" t="s">
        <v>12</v>
      </c>
      <c r="B105" s="231"/>
      <c r="C105" s="284"/>
      <c r="D105" s="164"/>
      <c r="E105" s="21"/>
      <c r="F105" s="311"/>
      <c r="G105" s="311"/>
      <c r="H105" s="164"/>
      <c r="I105" s="21"/>
      <c r="J105" s="311"/>
      <c r="K105" s="311"/>
      <c r="L105" s="164"/>
      <c r="M105" s="21"/>
    </row>
    <row r="106" spans="1:13" x14ac:dyDescent="0.2">
      <c r="A106" s="288" t="s">
        <v>13</v>
      </c>
      <c r="B106" s="231"/>
      <c r="C106" s="284"/>
      <c r="D106" s="164"/>
      <c r="E106" s="21"/>
      <c r="F106" s="311"/>
      <c r="G106" s="311"/>
      <c r="H106" s="164"/>
      <c r="I106" s="21"/>
      <c r="J106" s="311"/>
      <c r="K106" s="311"/>
      <c r="L106" s="164"/>
      <c r="M106" s="21"/>
    </row>
    <row r="107" spans="1:13" ht="15.75" x14ac:dyDescent="0.2">
      <c r="A107" s="19" t="s">
        <v>368</v>
      </c>
      <c r="B107" s="230"/>
      <c r="C107" s="143"/>
      <c r="D107" s="164"/>
      <c r="E107" s="25"/>
      <c r="F107" s="230"/>
      <c r="G107" s="143"/>
      <c r="H107" s="164"/>
      <c r="I107" s="25"/>
      <c r="J107" s="282"/>
      <c r="K107" s="42"/>
      <c r="L107" s="249"/>
      <c r="M107" s="25"/>
    </row>
    <row r="108" spans="1:13" ht="15.75" x14ac:dyDescent="0.2">
      <c r="A108" s="19" t="s">
        <v>369</v>
      </c>
      <c r="B108" s="230"/>
      <c r="C108" s="230"/>
      <c r="D108" s="164"/>
      <c r="E108" s="25"/>
      <c r="F108" s="230"/>
      <c r="G108" s="230"/>
      <c r="H108" s="164"/>
      <c r="I108" s="25"/>
      <c r="J108" s="282"/>
      <c r="K108" s="42"/>
      <c r="L108" s="249"/>
      <c r="M108" s="25"/>
    </row>
    <row r="109" spans="1:13" ht="15.75" x14ac:dyDescent="0.2">
      <c r="A109" s="36" t="s">
        <v>408</v>
      </c>
      <c r="B109" s="230"/>
      <c r="C109" s="230"/>
      <c r="D109" s="164"/>
      <c r="E109" s="25"/>
      <c r="F109" s="230"/>
      <c r="G109" s="230"/>
      <c r="H109" s="164"/>
      <c r="I109" s="25"/>
      <c r="J109" s="282"/>
      <c r="K109" s="42"/>
      <c r="L109" s="249"/>
      <c r="M109" s="25"/>
    </row>
    <row r="110" spans="1:13" ht="15.75" x14ac:dyDescent="0.2">
      <c r="A110" s="19" t="s">
        <v>370</v>
      </c>
      <c r="B110" s="230"/>
      <c r="C110" s="230"/>
      <c r="D110" s="164"/>
      <c r="E110" s="25"/>
      <c r="F110" s="230"/>
      <c r="G110" s="230"/>
      <c r="H110" s="164"/>
      <c r="I110" s="25"/>
      <c r="J110" s="282"/>
      <c r="K110" s="42"/>
      <c r="L110" s="249"/>
      <c r="M110" s="25"/>
    </row>
    <row r="111" spans="1:13" ht="15.75" x14ac:dyDescent="0.2">
      <c r="A111" s="13" t="s">
        <v>351</v>
      </c>
      <c r="B111" s="300"/>
      <c r="C111" s="157"/>
      <c r="D111" s="169"/>
      <c r="E111" s="11"/>
      <c r="F111" s="300"/>
      <c r="G111" s="157"/>
      <c r="H111" s="169"/>
      <c r="I111" s="11"/>
      <c r="J111" s="301"/>
      <c r="K111" s="232"/>
      <c r="L111" s="414"/>
      <c r="M111" s="11"/>
    </row>
    <row r="112" spans="1:13" x14ac:dyDescent="0.2">
      <c r="A112" s="19" t="s">
        <v>9</v>
      </c>
      <c r="B112" s="230"/>
      <c r="C112" s="143"/>
      <c r="D112" s="164"/>
      <c r="E112" s="25"/>
      <c r="F112" s="230"/>
      <c r="G112" s="143"/>
      <c r="H112" s="164"/>
      <c r="I112" s="25"/>
      <c r="J112" s="282"/>
      <c r="K112" s="42"/>
      <c r="L112" s="249"/>
      <c r="M112" s="25"/>
    </row>
    <row r="113" spans="1:14" x14ac:dyDescent="0.2">
      <c r="A113" s="19" t="s">
        <v>10</v>
      </c>
      <c r="B113" s="230"/>
      <c r="C113" s="143"/>
      <c r="D113" s="164"/>
      <c r="E113" s="25"/>
      <c r="F113" s="230"/>
      <c r="G113" s="143"/>
      <c r="H113" s="164"/>
      <c r="I113" s="25"/>
      <c r="J113" s="282"/>
      <c r="K113" s="42"/>
      <c r="L113" s="249"/>
      <c r="M113" s="25"/>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c r="C116" s="230"/>
      <c r="D116" s="164"/>
      <c r="E116" s="25"/>
      <c r="F116" s="230"/>
      <c r="G116" s="230"/>
      <c r="H116" s="164"/>
      <c r="I116" s="25"/>
      <c r="J116" s="282"/>
      <c r="K116" s="42"/>
      <c r="L116" s="249"/>
      <c r="M116" s="25"/>
    </row>
    <row r="117" spans="1:14" ht="15.75" x14ac:dyDescent="0.2">
      <c r="A117" s="36" t="s">
        <v>408</v>
      </c>
      <c r="B117" s="230"/>
      <c r="C117" s="230"/>
      <c r="D117" s="164"/>
      <c r="E117" s="25"/>
      <c r="F117" s="230"/>
      <c r="G117" s="230"/>
      <c r="H117" s="164"/>
      <c r="I117" s="25"/>
      <c r="J117" s="282"/>
      <c r="K117" s="42"/>
      <c r="L117" s="249"/>
      <c r="M117" s="25"/>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c r="C119" s="157"/>
      <c r="D119" s="169"/>
      <c r="E119" s="11"/>
      <c r="F119" s="300"/>
      <c r="G119" s="157"/>
      <c r="H119" s="169"/>
      <c r="I119" s="11"/>
      <c r="J119" s="301"/>
      <c r="K119" s="232"/>
      <c r="L119" s="414"/>
      <c r="M119" s="11"/>
    </row>
    <row r="120" spans="1:14" x14ac:dyDescent="0.2">
      <c r="A120" s="19" t="s">
        <v>9</v>
      </c>
      <c r="B120" s="230"/>
      <c r="C120" s="143"/>
      <c r="D120" s="164"/>
      <c r="E120" s="25"/>
      <c r="F120" s="230"/>
      <c r="G120" s="143"/>
      <c r="H120" s="164"/>
      <c r="I120" s="25"/>
      <c r="J120" s="282"/>
      <c r="K120" s="42"/>
      <c r="L120" s="249"/>
      <c r="M120" s="25"/>
    </row>
    <row r="121" spans="1:14" x14ac:dyDescent="0.2">
      <c r="A121" s="19" t="s">
        <v>10</v>
      </c>
      <c r="B121" s="230"/>
      <c r="C121" s="143"/>
      <c r="D121" s="164"/>
      <c r="E121" s="25"/>
      <c r="F121" s="230"/>
      <c r="G121" s="143"/>
      <c r="H121" s="164"/>
      <c r="I121" s="25"/>
      <c r="J121" s="282"/>
      <c r="K121" s="42"/>
      <c r="L121" s="249"/>
      <c r="M121" s="25"/>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c r="C125" s="230"/>
      <c r="D125" s="164"/>
      <c r="E125" s="25"/>
      <c r="F125" s="230"/>
      <c r="G125" s="230"/>
      <c r="H125" s="164"/>
      <c r="I125" s="25"/>
      <c r="J125" s="282"/>
      <c r="K125" s="42"/>
      <c r="L125" s="249"/>
      <c r="M125" s="25"/>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291"/>
      <c r="F130" s="707"/>
      <c r="G130" s="707"/>
      <c r="H130" s="707"/>
      <c r="I130" s="291"/>
      <c r="J130" s="707"/>
      <c r="K130" s="707"/>
      <c r="L130" s="707"/>
      <c r="M130" s="291"/>
    </row>
    <row r="131" spans="1:14" s="3" customFormat="1" x14ac:dyDescent="0.2">
      <c r="A131" s="142"/>
      <c r="B131" s="705" t="s">
        <v>0</v>
      </c>
      <c r="C131" s="706"/>
      <c r="D131" s="706"/>
      <c r="E131" s="293"/>
      <c r="F131" s="705" t="s">
        <v>1</v>
      </c>
      <c r="G131" s="706"/>
      <c r="H131" s="706"/>
      <c r="I131" s="296"/>
      <c r="J131" s="705" t="s">
        <v>2</v>
      </c>
      <c r="K131" s="706"/>
      <c r="L131" s="706"/>
      <c r="M131" s="296"/>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c r="C134" s="301"/>
      <c r="D134" s="341"/>
      <c r="E134" s="11"/>
      <c r="F134" s="308"/>
      <c r="G134" s="309"/>
      <c r="H134" s="417"/>
      <c r="I134" s="22"/>
      <c r="J134" s="310"/>
      <c r="K134" s="310"/>
      <c r="L134" s="413"/>
      <c r="M134" s="11"/>
      <c r="N134" s="146"/>
    </row>
    <row r="135" spans="1:14" s="3" customFormat="1" ht="15.75" x14ac:dyDescent="0.2">
      <c r="A135" s="13" t="s">
        <v>377</v>
      </c>
      <c r="B135" s="232"/>
      <c r="C135" s="301"/>
      <c r="D135" s="169"/>
      <c r="E135" s="11"/>
      <c r="F135" s="232"/>
      <c r="G135" s="301"/>
      <c r="H135" s="418"/>
      <c r="I135" s="22"/>
      <c r="J135" s="300"/>
      <c r="K135" s="300"/>
      <c r="L135" s="414"/>
      <c r="M135" s="11"/>
      <c r="N135" s="146"/>
    </row>
    <row r="136" spans="1:14" s="3" customFormat="1" ht="15.75" x14ac:dyDescent="0.2">
      <c r="A136" s="13" t="s">
        <v>374</v>
      </c>
      <c r="B136" s="232"/>
      <c r="C136" s="301"/>
      <c r="D136" s="169"/>
      <c r="E136" s="11"/>
      <c r="F136" s="232"/>
      <c r="G136" s="301"/>
      <c r="H136" s="418"/>
      <c r="I136" s="22"/>
      <c r="J136" s="300"/>
      <c r="K136" s="300"/>
      <c r="L136" s="414"/>
      <c r="M136" s="11"/>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263" priority="12">
      <formula>kvartal &lt; 4</formula>
    </cfRule>
  </conditionalFormatting>
  <conditionalFormatting sqref="A69:A74">
    <cfRule type="expression" dxfId="262" priority="10">
      <formula>kvartal &lt; 4</formula>
    </cfRule>
  </conditionalFormatting>
  <conditionalFormatting sqref="A80:A85">
    <cfRule type="expression" dxfId="261" priority="9">
      <formula>kvartal &lt; 4</formula>
    </cfRule>
  </conditionalFormatting>
  <conditionalFormatting sqref="A90:A95">
    <cfRule type="expression" dxfId="260" priority="6">
      <formula>kvartal &lt; 4</formula>
    </cfRule>
  </conditionalFormatting>
  <conditionalFormatting sqref="A101:A106">
    <cfRule type="expression" dxfId="259" priority="5">
      <formula>kvartal &lt; 4</formula>
    </cfRule>
  </conditionalFormatting>
  <conditionalFormatting sqref="A115">
    <cfRule type="expression" dxfId="258" priority="4">
      <formula>kvartal &lt; 4</formula>
    </cfRule>
  </conditionalFormatting>
  <conditionalFormatting sqref="A123">
    <cfRule type="expression" dxfId="257" priority="3">
      <formula>kvartal &lt; 4</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32"/>
  <dimension ref="A1:N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244" t="s">
        <v>95</v>
      </c>
      <c r="D1" s="24"/>
      <c r="E1" s="24"/>
      <c r="F1" s="24"/>
      <c r="G1" s="24"/>
      <c r="H1" s="24"/>
      <c r="I1" s="24"/>
      <c r="J1" s="24"/>
      <c r="K1" s="24"/>
      <c r="L1" s="24"/>
      <c r="M1" s="24"/>
    </row>
    <row r="2" spans="1:14" ht="15.75" x14ac:dyDescent="0.25">
      <c r="A2" s="163" t="s">
        <v>28</v>
      </c>
      <c r="B2" s="704"/>
      <c r="C2" s="704"/>
      <c r="D2" s="704"/>
      <c r="E2" s="291"/>
      <c r="F2" s="704"/>
      <c r="G2" s="704"/>
      <c r="H2" s="704"/>
      <c r="I2" s="291"/>
      <c r="J2" s="704"/>
      <c r="K2" s="704"/>
      <c r="L2" s="704"/>
      <c r="M2" s="291"/>
    </row>
    <row r="3" spans="1:14" ht="15.75" x14ac:dyDescent="0.25">
      <c r="A3" s="161"/>
      <c r="B3" s="291"/>
      <c r="C3" s="291"/>
      <c r="D3" s="291"/>
      <c r="E3" s="291"/>
      <c r="F3" s="291"/>
      <c r="G3" s="291"/>
      <c r="H3" s="291"/>
      <c r="I3" s="291"/>
      <c r="J3" s="291"/>
      <c r="K3" s="291"/>
      <c r="L3" s="291"/>
      <c r="M3" s="291"/>
    </row>
    <row r="4" spans="1:14" x14ac:dyDescent="0.2">
      <c r="A4" s="142"/>
      <c r="B4" s="705" t="s">
        <v>0</v>
      </c>
      <c r="C4" s="706"/>
      <c r="D4" s="706"/>
      <c r="E4" s="293"/>
      <c r="F4" s="705" t="s">
        <v>1</v>
      </c>
      <c r="G4" s="706"/>
      <c r="H4" s="706"/>
      <c r="I4" s="296"/>
      <c r="J4" s="705" t="s">
        <v>2</v>
      </c>
      <c r="K4" s="706"/>
      <c r="L4" s="706"/>
      <c r="M4" s="296"/>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c r="C7" s="299"/>
      <c r="D7" s="341"/>
      <c r="E7" s="11"/>
      <c r="F7" s="298"/>
      <c r="G7" s="299"/>
      <c r="H7" s="341"/>
      <c r="I7" s="158"/>
      <c r="J7" s="300"/>
      <c r="K7" s="301"/>
      <c r="L7" s="413"/>
      <c r="M7" s="11"/>
    </row>
    <row r="8" spans="1:14" ht="15.75" x14ac:dyDescent="0.2">
      <c r="A8" s="19" t="s">
        <v>25</v>
      </c>
      <c r="B8" s="276"/>
      <c r="C8" s="277"/>
      <c r="D8" s="164"/>
      <c r="E8" s="25"/>
      <c r="F8" s="280"/>
      <c r="G8" s="281"/>
      <c r="H8" s="164"/>
      <c r="I8" s="172"/>
      <c r="J8" s="230"/>
      <c r="K8" s="282"/>
      <c r="L8" s="249"/>
      <c r="M8" s="25"/>
    </row>
    <row r="9" spans="1:14" ht="15.75" x14ac:dyDescent="0.2">
      <c r="A9" s="19" t="s">
        <v>24</v>
      </c>
      <c r="B9" s="276"/>
      <c r="C9" s="277"/>
      <c r="D9" s="164"/>
      <c r="E9" s="25"/>
      <c r="F9" s="280"/>
      <c r="G9" s="281"/>
      <c r="H9" s="164"/>
      <c r="I9" s="172"/>
      <c r="J9" s="230"/>
      <c r="K9" s="282"/>
      <c r="L9" s="249"/>
      <c r="M9" s="25"/>
    </row>
    <row r="10" spans="1:14" ht="15.75" x14ac:dyDescent="0.2">
      <c r="A10" s="13" t="s">
        <v>350</v>
      </c>
      <c r="B10" s="302"/>
      <c r="C10" s="303"/>
      <c r="D10" s="169"/>
      <c r="E10" s="11"/>
      <c r="F10" s="302"/>
      <c r="G10" s="303"/>
      <c r="H10" s="169"/>
      <c r="I10" s="158"/>
      <c r="J10" s="300"/>
      <c r="K10" s="301"/>
      <c r="L10" s="414"/>
      <c r="M10" s="11"/>
    </row>
    <row r="11" spans="1:14" s="41" customFormat="1" ht="15.75" x14ac:dyDescent="0.2">
      <c r="A11" s="13" t="s">
        <v>351</v>
      </c>
      <c r="B11" s="302"/>
      <c r="C11" s="303"/>
      <c r="D11" s="169"/>
      <c r="E11" s="11"/>
      <c r="F11" s="302"/>
      <c r="G11" s="303"/>
      <c r="H11" s="169"/>
      <c r="I11" s="158"/>
      <c r="J11" s="300"/>
      <c r="K11" s="301"/>
      <c r="L11" s="414"/>
      <c r="M11" s="11"/>
      <c r="N11" s="141"/>
    </row>
    <row r="12" spans="1:14" s="41" customFormat="1" ht="15.75" x14ac:dyDescent="0.2">
      <c r="A12" s="39" t="s">
        <v>352</v>
      </c>
      <c r="B12" s="304"/>
      <c r="C12" s="305"/>
      <c r="D12" s="167"/>
      <c r="E12" s="34"/>
      <c r="F12" s="304"/>
      <c r="G12" s="305"/>
      <c r="H12" s="167"/>
      <c r="I12" s="167"/>
      <c r="J12" s="306"/>
      <c r="K12" s="307"/>
      <c r="L12" s="415"/>
      <c r="M12" s="34"/>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291"/>
      <c r="F18" s="707"/>
      <c r="G18" s="707"/>
      <c r="H18" s="707"/>
      <c r="I18" s="291"/>
      <c r="J18" s="707"/>
      <c r="K18" s="707"/>
      <c r="L18" s="707"/>
      <c r="M18" s="291"/>
    </row>
    <row r="19" spans="1:14" x14ac:dyDescent="0.2">
      <c r="A19" s="142"/>
      <c r="B19" s="705" t="s">
        <v>0</v>
      </c>
      <c r="C19" s="706"/>
      <c r="D19" s="706"/>
      <c r="E19" s="293"/>
      <c r="F19" s="705" t="s">
        <v>1</v>
      </c>
      <c r="G19" s="706"/>
      <c r="H19" s="706"/>
      <c r="I19" s="296"/>
      <c r="J19" s="705" t="s">
        <v>2</v>
      </c>
      <c r="K19" s="706"/>
      <c r="L19" s="706"/>
      <c r="M19" s="296"/>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302"/>
      <c r="C22" s="302"/>
      <c r="D22" s="341"/>
      <c r="E22" s="11"/>
      <c r="F22" s="310"/>
      <c r="G22" s="310"/>
      <c r="H22" s="341"/>
      <c r="I22" s="11"/>
      <c r="J22" s="308"/>
      <c r="K22" s="308"/>
      <c r="L22" s="413"/>
      <c r="M22" s="22"/>
    </row>
    <row r="23" spans="1:14" ht="15.75" x14ac:dyDescent="0.2">
      <c r="A23" s="496" t="s">
        <v>353</v>
      </c>
      <c r="B23" s="276"/>
      <c r="C23" s="276"/>
      <c r="D23" s="164"/>
      <c r="E23" s="11"/>
      <c r="F23" s="285"/>
      <c r="G23" s="285"/>
      <c r="H23" s="164"/>
      <c r="I23" s="403"/>
      <c r="J23" s="285"/>
      <c r="K23" s="285"/>
      <c r="L23" s="164"/>
      <c r="M23" s="21"/>
    </row>
    <row r="24" spans="1:14" ht="15.75" x14ac:dyDescent="0.2">
      <c r="A24" s="496" t="s">
        <v>354</v>
      </c>
      <c r="B24" s="276"/>
      <c r="C24" s="276"/>
      <c r="D24" s="164"/>
      <c r="E24" s="11"/>
      <c r="F24" s="285"/>
      <c r="G24" s="285"/>
      <c r="H24" s="164"/>
      <c r="I24" s="403"/>
      <c r="J24" s="285"/>
      <c r="K24" s="285"/>
      <c r="L24" s="164"/>
      <c r="M24" s="21"/>
    </row>
    <row r="25" spans="1:14" ht="15.75" x14ac:dyDescent="0.2">
      <c r="A25" s="496" t="s">
        <v>355</v>
      </c>
      <c r="B25" s="276"/>
      <c r="C25" s="276"/>
      <c r="D25" s="164"/>
      <c r="E25" s="11"/>
      <c r="F25" s="285"/>
      <c r="G25" s="285"/>
      <c r="H25" s="164"/>
      <c r="I25" s="403"/>
      <c r="J25" s="285"/>
      <c r="K25" s="285"/>
      <c r="L25" s="164"/>
      <c r="M25" s="21"/>
    </row>
    <row r="26" spans="1:14" ht="15.75" x14ac:dyDescent="0.2">
      <c r="A26" s="496" t="s">
        <v>356</v>
      </c>
      <c r="B26" s="276"/>
      <c r="C26" s="276"/>
      <c r="D26" s="164"/>
      <c r="E26" s="11"/>
      <c r="F26" s="285"/>
      <c r="G26" s="285"/>
      <c r="H26" s="164"/>
      <c r="I26" s="403"/>
      <c r="J26" s="285"/>
      <c r="K26" s="285"/>
      <c r="L26" s="164"/>
      <c r="M26" s="21"/>
    </row>
    <row r="27" spans="1:14" x14ac:dyDescent="0.2">
      <c r="A27" s="496" t="s">
        <v>11</v>
      </c>
      <c r="B27" s="276"/>
      <c r="C27" s="276"/>
      <c r="D27" s="164"/>
      <c r="E27" s="11"/>
      <c r="F27" s="285"/>
      <c r="G27" s="285"/>
      <c r="H27" s="164"/>
      <c r="I27" s="403"/>
      <c r="J27" s="285"/>
      <c r="K27" s="285"/>
      <c r="L27" s="164"/>
      <c r="M27" s="21"/>
    </row>
    <row r="28" spans="1:14" ht="15.75" x14ac:dyDescent="0.2">
      <c r="A28" s="47" t="s">
        <v>271</v>
      </c>
      <c r="B28" s="42"/>
      <c r="C28" s="282"/>
      <c r="D28" s="164"/>
      <c r="E28" s="11"/>
      <c r="F28" s="230"/>
      <c r="G28" s="282"/>
      <c r="H28" s="164"/>
      <c r="I28" s="25"/>
      <c r="J28" s="42"/>
      <c r="K28" s="42"/>
      <c r="L28" s="249"/>
      <c r="M28" s="21"/>
    </row>
    <row r="29" spans="1:14" s="3" customFormat="1" ht="15.75" x14ac:dyDescent="0.2">
      <c r="A29" s="13" t="s">
        <v>350</v>
      </c>
      <c r="B29" s="232"/>
      <c r="C29" s="232"/>
      <c r="D29" s="169"/>
      <c r="E29" s="11"/>
      <c r="F29" s="300"/>
      <c r="G29" s="300"/>
      <c r="H29" s="169"/>
      <c r="I29" s="11"/>
      <c r="J29" s="232"/>
      <c r="K29" s="232"/>
      <c r="L29" s="414"/>
      <c r="M29" s="22"/>
      <c r="N29" s="146"/>
    </row>
    <row r="30" spans="1:14" s="3" customFormat="1" ht="15.75" x14ac:dyDescent="0.2">
      <c r="A30" s="496" t="s">
        <v>353</v>
      </c>
      <c r="B30" s="276"/>
      <c r="C30" s="276"/>
      <c r="D30" s="164"/>
      <c r="E30" s="11"/>
      <c r="F30" s="285"/>
      <c r="G30" s="285"/>
      <c r="H30" s="164"/>
      <c r="I30" s="403"/>
      <c r="J30" s="285"/>
      <c r="K30" s="285"/>
      <c r="L30" s="164"/>
      <c r="M30" s="21"/>
      <c r="N30" s="146"/>
    </row>
    <row r="31" spans="1:14" s="3" customFormat="1" ht="15.75" x14ac:dyDescent="0.2">
      <c r="A31" s="496" t="s">
        <v>354</v>
      </c>
      <c r="B31" s="276"/>
      <c r="C31" s="276"/>
      <c r="D31" s="164"/>
      <c r="E31" s="11"/>
      <c r="F31" s="285"/>
      <c r="G31" s="285"/>
      <c r="H31" s="164"/>
      <c r="I31" s="403"/>
      <c r="J31" s="285"/>
      <c r="K31" s="285"/>
      <c r="L31" s="164"/>
      <c r="M31" s="21"/>
      <c r="N31" s="146"/>
    </row>
    <row r="32" spans="1:14" ht="15.75" x14ac:dyDescent="0.2">
      <c r="A32" s="496" t="s">
        <v>355</v>
      </c>
      <c r="B32" s="276"/>
      <c r="C32" s="276"/>
      <c r="D32" s="164"/>
      <c r="E32" s="11"/>
      <c r="F32" s="285"/>
      <c r="G32" s="285"/>
      <c r="H32" s="164"/>
      <c r="I32" s="403"/>
      <c r="J32" s="285"/>
      <c r="K32" s="285"/>
      <c r="L32" s="164"/>
      <c r="M32" s="21"/>
    </row>
    <row r="33" spans="1:14" ht="15.75" x14ac:dyDescent="0.2">
      <c r="A33" s="496" t="s">
        <v>356</v>
      </c>
      <c r="B33" s="276"/>
      <c r="C33" s="276"/>
      <c r="D33" s="164"/>
      <c r="E33" s="11"/>
      <c r="F33" s="285"/>
      <c r="G33" s="285"/>
      <c r="H33" s="164"/>
      <c r="I33" s="403"/>
      <c r="J33" s="285"/>
      <c r="K33" s="285"/>
      <c r="L33" s="164"/>
      <c r="M33" s="21"/>
    </row>
    <row r="34" spans="1:14" ht="15.75" x14ac:dyDescent="0.2">
      <c r="A34" s="13" t="s">
        <v>351</v>
      </c>
      <c r="B34" s="232"/>
      <c r="C34" s="301"/>
      <c r="D34" s="169"/>
      <c r="E34" s="11"/>
      <c r="F34" s="300"/>
      <c r="G34" s="301"/>
      <c r="H34" s="169"/>
      <c r="I34" s="11"/>
      <c r="J34" s="232"/>
      <c r="K34" s="232"/>
      <c r="L34" s="414"/>
      <c r="M34" s="22"/>
    </row>
    <row r="35" spans="1:14" ht="15.75" x14ac:dyDescent="0.2">
      <c r="A35" s="13" t="s">
        <v>352</v>
      </c>
      <c r="B35" s="232"/>
      <c r="C35" s="301"/>
      <c r="D35" s="169"/>
      <c r="E35" s="11"/>
      <c r="F35" s="300"/>
      <c r="G35" s="301"/>
      <c r="H35" s="169"/>
      <c r="I35" s="11"/>
      <c r="J35" s="232"/>
      <c r="K35" s="232"/>
      <c r="L35" s="414"/>
      <c r="M35" s="22"/>
    </row>
    <row r="36" spans="1:14" ht="15.75" x14ac:dyDescent="0.2">
      <c r="A36" s="12" t="s">
        <v>279</v>
      </c>
      <c r="B36" s="232"/>
      <c r="C36" s="301"/>
      <c r="D36" s="169"/>
      <c r="E36" s="11"/>
      <c r="F36" s="311"/>
      <c r="G36" s="312"/>
      <c r="H36" s="169"/>
      <c r="I36" s="420"/>
      <c r="J36" s="232"/>
      <c r="K36" s="232"/>
      <c r="L36" s="414"/>
      <c r="M36" s="22"/>
    </row>
    <row r="37" spans="1:14" ht="15.75" x14ac:dyDescent="0.2">
      <c r="A37" s="12" t="s">
        <v>358</v>
      </c>
      <c r="B37" s="232"/>
      <c r="C37" s="301"/>
      <c r="D37" s="169"/>
      <c r="E37" s="11"/>
      <c r="F37" s="311"/>
      <c r="G37" s="313"/>
      <c r="H37" s="169"/>
      <c r="I37" s="420"/>
      <c r="J37" s="232"/>
      <c r="K37" s="232"/>
      <c r="L37" s="414"/>
      <c r="M37" s="22"/>
    </row>
    <row r="38" spans="1:14" ht="15.75" x14ac:dyDescent="0.2">
      <c r="A38" s="12" t="s">
        <v>359</v>
      </c>
      <c r="B38" s="232"/>
      <c r="C38" s="301"/>
      <c r="D38" s="418"/>
      <c r="E38" s="22"/>
      <c r="F38" s="311"/>
      <c r="G38" s="312"/>
      <c r="H38" s="169"/>
      <c r="I38" s="420"/>
      <c r="J38" s="232"/>
      <c r="K38" s="232"/>
      <c r="L38" s="414"/>
      <c r="M38" s="22"/>
    </row>
    <row r="39" spans="1:14" ht="15.75" x14ac:dyDescent="0.2">
      <c r="A39" s="18" t="s">
        <v>360</v>
      </c>
      <c r="B39" s="271"/>
      <c r="C39" s="307"/>
      <c r="D39" s="419"/>
      <c r="E39" s="34"/>
      <c r="F39" s="314"/>
      <c r="G39" s="315"/>
      <c r="H39" s="167"/>
      <c r="I39" s="34"/>
      <c r="J39" s="232"/>
      <c r="K39" s="232"/>
      <c r="L39" s="415"/>
      <c r="M39" s="34"/>
    </row>
    <row r="40" spans="1:14" ht="15.75" x14ac:dyDescent="0.25">
      <c r="A40" s="45"/>
      <c r="B40" s="248"/>
      <c r="C40" s="248"/>
      <c r="D40" s="708"/>
      <c r="E40" s="709"/>
      <c r="F40" s="708"/>
      <c r="G40" s="708"/>
      <c r="H40" s="708"/>
      <c r="I40" s="708"/>
      <c r="J40" s="708"/>
      <c r="K40" s="708"/>
      <c r="L40" s="708"/>
      <c r="M40" s="294"/>
    </row>
    <row r="41" spans="1:14" x14ac:dyDescent="0.2">
      <c r="A41" s="153"/>
    </row>
    <row r="42" spans="1:14" ht="15.75" x14ac:dyDescent="0.25">
      <c r="A42" s="145" t="s">
        <v>268</v>
      </c>
      <c r="B42" s="704"/>
      <c r="C42" s="704"/>
      <c r="D42" s="704"/>
      <c r="E42" s="291"/>
      <c r="F42" s="709"/>
      <c r="G42" s="709"/>
      <c r="H42" s="709"/>
      <c r="I42" s="294"/>
      <c r="J42" s="709"/>
      <c r="K42" s="709"/>
      <c r="L42" s="709"/>
      <c r="M42" s="294"/>
    </row>
    <row r="43" spans="1:14" ht="15.75" x14ac:dyDescent="0.25">
      <c r="A43" s="161"/>
      <c r="B43" s="295"/>
      <c r="C43" s="295"/>
      <c r="D43" s="295"/>
      <c r="E43" s="295"/>
      <c r="F43" s="294"/>
      <c r="G43" s="294"/>
      <c r="H43" s="294"/>
      <c r="I43" s="294"/>
      <c r="J43" s="294"/>
      <c r="K43" s="294"/>
      <c r="L43" s="294"/>
      <c r="M43" s="294"/>
    </row>
    <row r="44" spans="1:14" ht="15.75" x14ac:dyDescent="0.25">
      <c r="A44" s="243"/>
      <c r="B44" s="705" t="s">
        <v>0</v>
      </c>
      <c r="C44" s="706"/>
      <c r="D44" s="706"/>
      <c r="E44" s="239"/>
      <c r="F44" s="294"/>
      <c r="G44" s="294"/>
      <c r="H44" s="294"/>
      <c r="I44" s="294"/>
      <c r="J44" s="294"/>
      <c r="K44" s="294"/>
      <c r="L44" s="294"/>
      <c r="M44" s="294"/>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v>566035.48</v>
      </c>
      <c r="C47" s="303">
        <v>636479</v>
      </c>
      <c r="D47" s="413">
        <f t="shared" ref="D47:D57" si="0">IF(B47=0, "    ---- ", IF(ABS(ROUND(100/B47*C47-100,1))&lt;999,ROUND(100/B47*C47-100,1),IF(ROUND(100/B47*C47-100,1)&gt;999,999,-999)))</f>
        <v>12.4</v>
      </c>
      <c r="E47" s="11">
        <f>IFERROR(100/'Skjema total MA'!C47*C47,0)</f>
        <v>13.089755157886374</v>
      </c>
      <c r="F47" s="143"/>
      <c r="G47" s="31"/>
      <c r="H47" s="157"/>
      <c r="I47" s="157"/>
      <c r="J47" s="35"/>
      <c r="K47" s="35"/>
      <c r="L47" s="157"/>
      <c r="M47" s="157"/>
      <c r="N47" s="146"/>
    </row>
    <row r="48" spans="1:14" s="3" customFormat="1" ht="15.75" x14ac:dyDescent="0.2">
      <c r="A48" s="36" t="s">
        <v>361</v>
      </c>
      <c r="B48" s="276">
        <v>144545.821</v>
      </c>
      <c r="C48" s="277">
        <v>174253</v>
      </c>
      <c r="D48" s="249">
        <f t="shared" si="0"/>
        <v>20.6</v>
      </c>
      <c r="E48" s="25">
        <f>IFERROR(100/'Skjema total MA'!C48*C48,0)</f>
        <v>6.4252390200159066</v>
      </c>
      <c r="F48" s="143"/>
      <c r="G48" s="31"/>
      <c r="H48" s="143"/>
      <c r="I48" s="143"/>
      <c r="J48" s="31"/>
      <c r="K48" s="31"/>
      <c r="L48" s="157"/>
      <c r="M48" s="157"/>
      <c r="N48" s="146"/>
    </row>
    <row r="49" spans="1:14" s="3" customFormat="1" ht="15.75" x14ac:dyDescent="0.2">
      <c r="A49" s="36" t="s">
        <v>362</v>
      </c>
      <c r="B49" s="42">
        <v>421489.65899999999</v>
      </c>
      <c r="C49" s="282">
        <v>462226</v>
      </c>
      <c r="D49" s="249">
        <f>IF(B49=0, "    ---- ", IF(ABS(ROUND(100/B49*C49-100,1))&lt;999,ROUND(100/B49*C49-100,1),IF(ROUND(100/B49*C49-100,1)&gt;999,999,-999)))</f>
        <v>9.6999999999999993</v>
      </c>
      <c r="E49" s="25">
        <f>IFERROR(100/'Skjema total MA'!C49*C49,0)</f>
        <v>21.494755591533902</v>
      </c>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v>2703.1109999999999</v>
      </c>
      <c r="C53" s="303">
        <v>3351.91</v>
      </c>
      <c r="D53" s="414">
        <f t="shared" si="0"/>
        <v>24</v>
      </c>
      <c r="E53" s="11">
        <f>IFERROR(100/'Skjema total MA'!C53*C53,0)</f>
        <v>2.9104849039722582</v>
      </c>
      <c r="F53" s="143"/>
      <c r="G53" s="31"/>
      <c r="H53" s="143"/>
      <c r="I53" s="143"/>
      <c r="J53" s="31"/>
      <c r="K53" s="31"/>
      <c r="L53" s="157"/>
      <c r="M53" s="157"/>
      <c r="N53" s="146"/>
    </row>
    <row r="54" spans="1:14" s="3" customFormat="1" ht="15.75" x14ac:dyDescent="0.2">
      <c r="A54" s="36" t="s">
        <v>361</v>
      </c>
      <c r="B54" s="276">
        <v>2703.1109999999999</v>
      </c>
      <c r="C54" s="277">
        <v>3351.91</v>
      </c>
      <c r="D54" s="249">
        <f t="shared" si="0"/>
        <v>24</v>
      </c>
      <c r="E54" s="25">
        <f>IFERROR(100/'Skjema total MA'!C54*C54,0)</f>
        <v>2.9346672302686483</v>
      </c>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v>26003.919000000002</v>
      </c>
      <c r="C56" s="303">
        <v>18089.57</v>
      </c>
      <c r="D56" s="414">
        <f t="shared" si="0"/>
        <v>-30.4</v>
      </c>
      <c r="E56" s="11">
        <f>IFERROR(100/'Skjema total MA'!C56*C56,0)</f>
        <v>19.318705646283842</v>
      </c>
      <c r="F56" s="143"/>
      <c r="G56" s="31"/>
      <c r="H56" s="143"/>
      <c r="I56" s="143"/>
      <c r="J56" s="31"/>
      <c r="K56" s="31"/>
      <c r="L56" s="157"/>
      <c r="M56" s="157"/>
      <c r="N56" s="146"/>
    </row>
    <row r="57" spans="1:14" s="3" customFormat="1" ht="15.75" x14ac:dyDescent="0.2">
      <c r="A57" s="36" t="s">
        <v>361</v>
      </c>
      <c r="B57" s="276">
        <v>26003.919000000002</v>
      </c>
      <c r="C57" s="277">
        <v>18089.57</v>
      </c>
      <c r="D57" s="249">
        <f t="shared" si="0"/>
        <v>-30.4</v>
      </c>
      <c r="E57" s="25">
        <f>IFERROR(100/'Skjema total MA'!C57*C57,0)</f>
        <v>19.318705646283842</v>
      </c>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291"/>
      <c r="F62" s="707"/>
      <c r="G62" s="707"/>
      <c r="H62" s="707"/>
      <c r="I62" s="291"/>
      <c r="J62" s="707"/>
      <c r="K62" s="707"/>
      <c r="L62" s="707"/>
      <c r="M62" s="291"/>
    </row>
    <row r="63" spans="1:14" x14ac:dyDescent="0.2">
      <c r="A63" s="142"/>
      <c r="B63" s="705" t="s">
        <v>0</v>
      </c>
      <c r="C63" s="706"/>
      <c r="D63" s="710"/>
      <c r="E63" s="292"/>
      <c r="F63" s="706" t="s">
        <v>1</v>
      </c>
      <c r="G63" s="706"/>
      <c r="H63" s="706"/>
      <c r="I63" s="296"/>
      <c r="J63" s="705" t="s">
        <v>2</v>
      </c>
      <c r="K63" s="706"/>
      <c r="L63" s="706"/>
      <c r="M63" s="296"/>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c r="C66" s="344"/>
      <c r="D66" s="341"/>
      <c r="E66" s="11"/>
      <c r="F66" s="343"/>
      <c r="G66" s="343"/>
      <c r="H66" s="341"/>
      <c r="I66" s="11"/>
      <c r="J66" s="301"/>
      <c r="K66" s="308"/>
      <c r="L66" s="414"/>
      <c r="M66" s="11"/>
    </row>
    <row r="67" spans="1:14" x14ac:dyDescent="0.2">
      <c r="A67" s="405" t="s">
        <v>9</v>
      </c>
      <c r="B67" s="42"/>
      <c r="C67" s="143"/>
      <c r="D67" s="164"/>
      <c r="E67" s="25"/>
      <c r="F67" s="230"/>
      <c r="G67" s="143"/>
      <c r="H67" s="164"/>
      <c r="I67" s="25"/>
      <c r="J67" s="282"/>
      <c r="K67" s="42"/>
      <c r="L67" s="249"/>
      <c r="M67" s="25"/>
    </row>
    <row r="68" spans="1:14" x14ac:dyDescent="0.2">
      <c r="A68" s="19" t="s">
        <v>10</v>
      </c>
      <c r="B68" s="286"/>
      <c r="C68" s="287"/>
      <c r="D68" s="164"/>
      <c r="E68" s="25"/>
      <c r="F68" s="286"/>
      <c r="G68" s="287"/>
      <c r="H68" s="164"/>
      <c r="I68" s="25"/>
      <c r="J68" s="282"/>
      <c r="K68" s="42"/>
      <c r="L68" s="249"/>
      <c r="M68" s="25"/>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c r="C75" s="143"/>
      <c r="D75" s="164"/>
      <c r="E75" s="25"/>
      <c r="F75" s="230"/>
      <c r="G75" s="143"/>
      <c r="H75" s="164"/>
      <c r="I75" s="25"/>
      <c r="J75" s="282"/>
      <c r="K75" s="42"/>
      <c r="L75" s="249"/>
      <c r="M75" s="25"/>
      <c r="N75" s="146"/>
    </row>
    <row r="76" spans="1:14" s="3" customFormat="1" x14ac:dyDescent="0.2">
      <c r="A76" s="19" t="s">
        <v>336</v>
      </c>
      <c r="B76" s="230"/>
      <c r="C76" s="143"/>
      <c r="D76" s="164"/>
      <c r="E76" s="25"/>
      <c r="F76" s="230"/>
      <c r="G76" s="143"/>
      <c r="H76" s="164"/>
      <c r="I76" s="25"/>
      <c r="J76" s="282"/>
      <c r="K76" s="42"/>
      <c r="L76" s="249"/>
      <c r="M76" s="25"/>
      <c r="N76" s="146"/>
    </row>
    <row r="77" spans="1:14" ht="15.75" x14ac:dyDescent="0.2">
      <c r="A77" s="19" t="s">
        <v>367</v>
      </c>
      <c r="B77" s="230"/>
      <c r="C77" s="230"/>
      <c r="D77" s="164"/>
      <c r="E77" s="25"/>
      <c r="F77" s="230"/>
      <c r="G77" s="143"/>
      <c r="H77" s="164"/>
      <c r="I77" s="25"/>
      <c r="J77" s="282"/>
      <c r="K77" s="42"/>
      <c r="L77" s="249"/>
      <c r="M77" s="25"/>
    </row>
    <row r="78" spans="1:14" x14ac:dyDescent="0.2">
      <c r="A78" s="19" t="s">
        <v>9</v>
      </c>
      <c r="B78" s="230"/>
      <c r="C78" s="143"/>
      <c r="D78" s="164"/>
      <c r="E78" s="25"/>
      <c r="F78" s="230"/>
      <c r="G78" s="143"/>
      <c r="H78" s="164"/>
      <c r="I78" s="25"/>
      <c r="J78" s="282"/>
      <c r="K78" s="42"/>
      <c r="L78" s="249"/>
      <c r="M78" s="25"/>
    </row>
    <row r="79" spans="1:14" x14ac:dyDescent="0.2">
      <c r="A79" s="36" t="s">
        <v>400</v>
      </c>
      <c r="B79" s="286"/>
      <c r="C79" s="287"/>
      <c r="D79" s="164"/>
      <c r="E79" s="25"/>
      <c r="F79" s="286"/>
      <c r="G79" s="287"/>
      <c r="H79" s="164"/>
      <c r="I79" s="25"/>
      <c r="J79" s="282"/>
      <c r="K79" s="42"/>
      <c r="L79" s="249"/>
      <c r="M79" s="25"/>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c r="C86" s="143"/>
      <c r="D86" s="164"/>
      <c r="E86" s="25"/>
      <c r="F86" s="230"/>
      <c r="G86" s="143"/>
      <c r="H86" s="164"/>
      <c r="I86" s="25"/>
      <c r="J86" s="282"/>
      <c r="K86" s="42"/>
      <c r="L86" s="249"/>
      <c r="M86" s="25"/>
    </row>
    <row r="87" spans="1:13" ht="15.75" x14ac:dyDescent="0.2">
      <c r="A87" s="13" t="s">
        <v>350</v>
      </c>
      <c r="B87" s="344"/>
      <c r="C87" s="344"/>
      <c r="D87" s="169"/>
      <c r="E87" s="11"/>
      <c r="F87" s="343"/>
      <c r="G87" s="343"/>
      <c r="H87" s="169"/>
      <c r="I87" s="11"/>
      <c r="J87" s="301"/>
      <c r="K87" s="232"/>
      <c r="L87" s="414"/>
      <c r="M87" s="11"/>
    </row>
    <row r="88" spans="1:13" x14ac:dyDescent="0.2">
      <c r="A88" s="19" t="s">
        <v>9</v>
      </c>
      <c r="B88" s="230"/>
      <c r="C88" s="143"/>
      <c r="D88" s="164"/>
      <c r="E88" s="25"/>
      <c r="F88" s="230"/>
      <c r="G88" s="143"/>
      <c r="H88" s="164"/>
      <c r="I88" s="25"/>
      <c r="J88" s="282"/>
      <c r="K88" s="42"/>
      <c r="L88" s="249"/>
      <c r="M88" s="25"/>
    </row>
    <row r="89" spans="1:13" x14ac:dyDescent="0.2">
      <c r="A89" s="19" t="s">
        <v>10</v>
      </c>
      <c r="B89" s="230"/>
      <c r="C89" s="143"/>
      <c r="D89" s="164"/>
      <c r="E89" s="25"/>
      <c r="F89" s="230"/>
      <c r="G89" s="143"/>
      <c r="H89" s="164"/>
      <c r="I89" s="25"/>
      <c r="J89" s="282"/>
      <c r="K89" s="42"/>
      <c r="L89" s="249"/>
      <c r="M89" s="25"/>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c r="C96" s="143"/>
      <c r="D96" s="164"/>
      <c r="E96" s="25"/>
      <c r="F96" s="230"/>
      <c r="G96" s="143"/>
      <c r="H96" s="164"/>
      <c r="I96" s="25"/>
      <c r="J96" s="282"/>
      <c r="K96" s="42"/>
      <c r="L96" s="249"/>
      <c r="M96" s="25"/>
    </row>
    <row r="97" spans="1:13" x14ac:dyDescent="0.2">
      <c r="A97" s="19" t="s">
        <v>334</v>
      </c>
      <c r="B97" s="230"/>
      <c r="C97" s="143"/>
      <c r="D97" s="164"/>
      <c r="E97" s="25"/>
      <c r="F97" s="230"/>
      <c r="G97" s="143"/>
      <c r="H97" s="164"/>
      <c r="I97" s="25"/>
      <c r="J97" s="282"/>
      <c r="K97" s="42"/>
      <c r="L97" s="249"/>
      <c r="M97" s="25"/>
    </row>
    <row r="98" spans="1:13" ht="15.75" x14ac:dyDescent="0.2">
      <c r="A98" s="19" t="s">
        <v>367</v>
      </c>
      <c r="B98" s="230"/>
      <c r="C98" s="230"/>
      <c r="D98" s="164"/>
      <c r="E98" s="25"/>
      <c r="F98" s="286"/>
      <c r="G98" s="286"/>
      <c r="H98" s="164"/>
      <c r="I98" s="25"/>
      <c r="J98" s="282"/>
      <c r="K98" s="42"/>
      <c r="L98" s="249"/>
      <c r="M98" s="25"/>
    </row>
    <row r="99" spans="1:13" x14ac:dyDescent="0.2">
      <c r="A99" s="19" t="s">
        <v>9</v>
      </c>
      <c r="B99" s="286"/>
      <c r="C99" s="287"/>
      <c r="D99" s="164"/>
      <c r="E99" s="25"/>
      <c r="F99" s="230"/>
      <c r="G99" s="143"/>
      <c r="H99" s="164"/>
      <c r="I99" s="25"/>
      <c r="J99" s="282"/>
      <c r="K99" s="42"/>
      <c r="L99" s="249"/>
      <c r="M99" s="25"/>
    </row>
    <row r="100" spans="1:13" x14ac:dyDescent="0.2">
      <c r="A100" s="36" t="s">
        <v>400</v>
      </c>
      <c r="B100" s="286"/>
      <c r="C100" s="287"/>
      <c r="D100" s="164"/>
      <c r="E100" s="25"/>
      <c r="F100" s="230"/>
      <c r="G100" s="230"/>
      <c r="H100" s="164"/>
      <c r="I100" s="25"/>
      <c r="J100" s="282"/>
      <c r="K100" s="42"/>
      <c r="L100" s="249"/>
      <c r="M100" s="25"/>
    </row>
    <row r="101" spans="1:13" ht="15.75" x14ac:dyDescent="0.2">
      <c r="A101" s="288" t="s">
        <v>365</v>
      </c>
      <c r="B101" s="311"/>
      <c r="C101" s="311"/>
      <c r="D101" s="164"/>
      <c r="E101" s="21"/>
      <c r="F101" s="311"/>
      <c r="G101" s="311"/>
      <c r="H101" s="164"/>
      <c r="I101" s="21"/>
      <c r="J101" s="311"/>
      <c r="K101" s="311"/>
      <c r="L101" s="164"/>
      <c r="M101" s="21"/>
    </row>
    <row r="102" spans="1:13" x14ac:dyDescent="0.2">
      <c r="A102" s="288" t="s">
        <v>12</v>
      </c>
      <c r="B102" s="311"/>
      <c r="C102" s="311"/>
      <c r="D102" s="164"/>
      <c r="E102" s="21"/>
      <c r="F102" s="311"/>
      <c r="G102" s="311"/>
      <c r="H102" s="164"/>
      <c r="I102" s="21"/>
      <c r="J102" s="311"/>
      <c r="K102" s="311"/>
      <c r="L102" s="164"/>
      <c r="M102" s="21"/>
    </row>
    <row r="103" spans="1:13" x14ac:dyDescent="0.2">
      <c r="A103" s="288" t="s">
        <v>13</v>
      </c>
      <c r="B103" s="311"/>
      <c r="C103" s="311"/>
      <c r="D103" s="164"/>
      <c r="E103" s="21"/>
      <c r="F103" s="311"/>
      <c r="G103" s="311"/>
      <c r="H103" s="164"/>
      <c r="I103" s="21"/>
      <c r="J103" s="311"/>
      <c r="K103" s="311"/>
      <c r="L103" s="164"/>
      <c r="M103" s="21"/>
    </row>
    <row r="104" spans="1:13" ht="15.75" x14ac:dyDescent="0.2">
      <c r="A104" s="288" t="s">
        <v>366</v>
      </c>
      <c r="B104" s="311"/>
      <c r="C104" s="311"/>
      <c r="D104" s="164"/>
      <c r="E104" s="21"/>
      <c r="F104" s="311"/>
      <c r="G104" s="311"/>
      <c r="H104" s="164"/>
      <c r="I104" s="21"/>
      <c r="J104" s="311"/>
      <c r="K104" s="311"/>
      <c r="L104" s="164"/>
      <c r="M104" s="21"/>
    </row>
    <row r="105" spans="1:13" x14ac:dyDescent="0.2">
      <c r="A105" s="288" t="s">
        <v>12</v>
      </c>
      <c r="B105" s="231"/>
      <c r="C105" s="284"/>
      <c r="D105" s="164"/>
      <c r="E105" s="21"/>
      <c r="F105" s="311"/>
      <c r="G105" s="311"/>
      <c r="H105" s="164"/>
      <c r="I105" s="21"/>
      <c r="J105" s="311"/>
      <c r="K105" s="311"/>
      <c r="L105" s="164"/>
      <c r="M105" s="21"/>
    </row>
    <row r="106" spans="1:13" x14ac:dyDescent="0.2">
      <c r="A106" s="288" t="s">
        <v>13</v>
      </c>
      <c r="B106" s="231"/>
      <c r="C106" s="284"/>
      <c r="D106" s="164"/>
      <c r="E106" s="21"/>
      <c r="F106" s="311"/>
      <c r="G106" s="311"/>
      <c r="H106" s="164"/>
      <c r="I106" s="21"/>
      <c r="J106" s="311"/>
      <c r="K106" s="311"/>
      <c r="L106" s="164"/>
      <c r="M106" s="21"/>
    </row>
    <row r="107" spans="1:13" ht="15.75" x14ac:dyDescent="0.2">
      <c r="A107" s="19" t="s">
        <v>368</v>
      </c>
      <c r="B107" s="230"/>
      <c r="C107" s="143"/>
      <c r="D107" s="164"/>
      <c r="E107" s="25"/>
      <c r="F107" s="230"/>
      <c r="G107" s="143"/>
      <c r="H107" s="164"/>
      <c r="I107" s="25"/>
      <c r="J107" s="282"/>
      <c r="K107" s="42"/>
      <c r="L107" s="249"/>
      <c r="M107" s="25"/>
    </row>
    <row r="108" spans="1:13" ht="15.75" x14ac:dyDescent="0.2">
      <c r="A108" s="19" t="s">
        <v>369</v>
      </c>
      <c r="B108" s="230"/>
      <c r="C108" s="230"/>
      <c r="D108" s="164"/>
      <c r="E108" s="25"/>
      <c r="F108" s="230"/>
      <c r="G108" s="230"/>
      <c r="H108" s="164"/>
      <c r="I108" s="25"/>
      <c r="J108" s="282"/>
      <c r="K108" s="42"/>
      <c r="L108" s="249"/>
      <c r="M108" s="25"/>
    </row>
    <row r="109" spans="1:13" ht="15.75" x14ac:dyDescent="0.2">
      <c r="A109" s="36" t="s">
        <v>408</v>
      </c>
      <c r="B109" s="230"/>
      <c r="C109" s="230"/>
      <c r="D109" s="164"/>
      <c r="E109" s="25"/>
      <c r="F109" s="230"/>
      <c r="G109" s="230"/>
      <c r="H109" s="164"/>
      <c r="I109" s="25"/>
      <c r="J109" s="282"/>
      <c r="K109" s="42"/>
      <c r="L109" s="249"/>
      <c r="M109" s="25"/>
    </row>
    <row r="110" spans="1:13" ht="15.75" x14ac:dyDescent="0.2">
      <c r="A110" s="19" t="s">
        <v>370</v>
      </c>
      <c r="B110" s="230"/>
      <c r="C110" s="230"/>
      <c r="D110" s="164"/>
      <c r="E110" s="25"/>
      <c r="F110" s="230"/>
      <c r="G110" s="230"/>
      <c r="H110" s="164"/>
      <c r="I110" s="25"/>
      <c r="J110" s="282"/>
      <c r="K110" s="42"/>
      <c r="L110" s="249"/>
      <c r="M110" s="25"/>
    </row>
    <row r="111" spans="1:13" ht="15.75" x14ac:dyDescent="0.2">
      <c r="A111" s="13" t="s">
        <v>351</v>
      </c>
      <c r="B111" s="300"/>
      <c r="C111" s="157"/>
      <c r="D111" s="169"/>
      <c r="E111" s="11"/>
      <c r="F111" s="300"/>
      <c r="G111" s="157"/>
      <c r="H111" s="169"/>
      <c r="I111" s="11"/>
      <c r="J111" s="301"/>
      <c r="K111" s="232"/>
      <c r="L111" s="414"/>
      <c r="M111" s="11"/>
    </row>
    <row r="112" spans="1:13" x14ac:dyDescent="0.2">
      <c r="A112" s="19" t="s">
        <v>9</v>
      </c>
      <c r="B112" s="230"/>
      <c r="C112" s="143"/>
      <c r="D112" s="164"/>
      <c r="E112" s="25"/>
      <c r="F112" s="230"/>
      <c r="G112" s="143"/>
      <c r="H112" s="164"/>
      <c r="I112" s="25"/>
      <c r="J112" s="282"/>
      <c r="K112" s="42"/>
      <c r="L112" s="249"/>
      <c r="M112" s="25"/>
    </row>
    <row r="113" spans="1:14" x14ac:dyDescent="0.2">
      <c r="A113" s="19" t="s">
        <v>10</v>
      </c>
      <c r="B113" s="230"/>
      <c r="C113" s="143"/>
      <c r="D113" s="164"/>
      <c r="E113" s="25"/>
      <c r="F113" s="230"/>
      <c r="G113" s="143"/>
      <c r="H113" s="164"/>
      <c r="I113" s="25"/>
      <c r="J113" s="282"/>
      <c r="K113" s="42"/>
      <c r="L113" s="249"/>
      <c r="M113" s="25"/>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c r="C116" s="230"/>
      <c r="D116" s="164"/>
      <c r="E116" s="25"/>
      <c r="F116" s="230"/>
      <c r="G116" s="230"/>
      <c r="H116" s="164"/>
      <c r="I116" s="25"/>
      <c r="J116" s="282"/>
      <c r="K116" s="42"/>
      <c r="L116" s="249"/>
      <c r="M116" s="25"/>
    </row>
    <row r="117" spans="1:14" ht="15.75" x14ac:dyDescent="0.2">
      <c r="A117" s="36" t="s">
        <v>408</v>
      </c>
      <c r="B117" s="230"/>
      <c r="C117" s="230"/>
      <c r="D117" s="164"/>
      <c r="E117" s="25"/>
      <c r="F117" s="230"/>
      <c r="G117" s="230"/>
      <c r="H117" s="164"/>
      <c r="I117" s="25"/>
      <c r="J117" s="282"/>
      <c r="K117" s="42"/>
      <c r="L117" s="249"/>
      <c r="M117" s="25"/>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c r="C119" s="157"/>
      <c r="D119" s="169"/>
      <c r="E119" s="11"/>
      <c r="F119" s="300"/>
      <c r="G119" s="157"/>
      <c r="H119" s="169"/>
      <c r="I119" s="11"/>
      <c r="J119" s="301"/>
      <c r="K119" s="232"/>
      <c r="L119" s="414"/>
      <c r="M119" s="11"/>
    </row>
    <row r="120" spans="1:14" x14ac:dyDescent="0.2">
      <c r="A120" s="19" t="s">
        <v>9</v>
      </c>
      <c r="B120" s="230"/>
      <c r="C120" s="143"/>
      <c r="D120" s="164"/>
      <c r="E120" s="25"/>
      <c r="F120" s="230"/>
      <c r="G120" s="143"/>
      <c r="H120" s="164"/>
      <c r="I120" s="25"/>
      <c r="J120" s="282"/>
      <c r="K120" s="42"/>
      <c r="L120" s="249"/>
      <c r="M120" s="25"/>
    </row>
    <row r="121" spans="1:14" x14ac:dyDescent="0.2">
      <c r="A121" s="19" t="s">
        <v>10</v>
      </c>
      <c r="B121" s="230"/>
      <c r="C121" s="143"/>
      <c r="D121" s="164"/>
      <c r="E121" s="25"/>
      <c r="F121" s="230"/>
      <c r="G121" s="143"/>
      <c r="H121" s="164"/>
      <c r="I121" s="25"/>
      <c r="J121" s="282"/>
      <c r="K121" s="42"/>
      <c r="L121" s="249"/>
      <c r="M121" s="25"/>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c r="C125" s="230"/>
      <c r="D125" s="164"/>
      <c r="E125" s="25"/>
      <c r="F125" s="230"/>
      <c r="G125" s="230"/>
      <c r="H125" s="164"/>
      <c r="I125" s="25"/>
      <c r="J125" s="282"/>
      <c r="K125" s="42"/>
      <c r="L125" s="249"/>
      <c r="M125" s="25"/>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291"/>
      <c r="F130" s="707"/>
      <c r="G130" s="707"/>
      <c r="H130" s="707"/>
      <c r="I130" s="291"/>
      <c r="J130" s="707"/>
      <c r="K130" s="707"/>
      <c r="L130" s="707"/>
      <c r="M130" s="291"/>
    </row>
    <row r="131" spans="1:14" s="3" customFormat="1" x14ac:dyDescent="0.2">
      <c r="A131" s="142"/>
      <c r="B131" s="705" t="s">
        <v>0</v>
      </c>
      <c r="C131" s="706"/>
      <c r="D131" s="706"/>
      <c r="E131" s="293"/>
      <c r="F131" s="705" t="s">
        <v>1</v>
      </c>
      <c r="G131" s="706"/>
      <c r="H131" s="706"/>
      <c r="I131" s="296"/>
      <c r="J131" s="705" t="s">
        <v>2</v>
      </c>
      <c r="K131" s="706"/>
      <c r="L131" s="706"/>
      <c r="M131" s="296"/>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c r="C134" s="301"/>
      <c r="D134" s="341"/>
      <c r="E134" s="11"/>
      <c r="F134" s="308"/>
      <c r="G134" s="309"/>
      <c r="H134" s="417"/>
      <c r="I134" s="22"/>
      <c r="J134" s="310"/>
      <c r="K134" s="310"/>
      <c r="L134" s="413"/>
      <c r="M134" s="11"/>
      <c r="N134" s="146"/>
    </row>
    <row r="135" spans="1:14" s="3" customFormat="1" ht="15.75" x14ac:dyDescent="0.2">
      <c r="A135" s="13" t="s">
        <v>377</v>
      </c>
      <c r="B135" s="232"/>
      <c r="C135" s="301"/>
      <c r="D135" s="169"/>
      <c r="E135" s="11"/>
      <c r="F135" s="232"/>
      <c r="G135" s="301"/>
      <c r="H135" s="418"/>
      <c r="I135" s="22"/>
      <c r="J135" s="300"/>
      <c r="K135" s="300"/>
      <c r="L135" s="414"/>
      <c r="M135" s="11"/>
      <c r="N135" s="146"/>
    </row>
    <row r="136" spans="1:14" s="3" customFormat="1" ht="15.75" x14ac:dyDescent="0.2">
      <c r="A136" s="13" t="s">
        <v>374</v>
      </c>
      <c r="B136" s="232"/>
      <c r="C136" s="301"/>
      <c r="D136" s="169"/>
      <c r="E136" s="11"/>
      <c r="F136" s="232"/>
      <c r="G136" s="301"/>
      <c r="H136" s="418"/>
      <c r="I136" s="22"/>
      <c r="J136" s="300"/>
      <c r="K136" s="300"/>
      <c r="L136" s="414"/>
      <c r="M136" s="11"/>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256" priority="12">
      <formula>kvartal &lt; 4</formula>
    </cfRule>
  </conditionalFormatting>
  <conditionalFormatting sqref="A69:A74">
    <cfRule type="expression" dxfId="255" priority="10">
      <formula>kvartal &lt; 4</formula>
    </cfRule>
  </conditionalFormatting>
  <conditionalFormatting sqref="A80:A85">
    <cfRule type="expression" dxfId="254" priority="9">
      <formula>kvartal &lt; 4</formula>
    </cfRule>
  </conditionalFormatting>
  <conditionalFormatting sqref="A90:A95">
    <cfRule type="expression" dxfId="253" priority="6">
      <formula>kvartal &lt; 4</formula>
    </cfRule>
  </conditionalFormatting>
  <conditionalFormatting sqref="A101:A106">
    <cfRule type="expression" dxfId="252" priority="5">
      <formula>kvartal &lt; 4</formula>
    </cfRule>
  </conditionalFormatting>
  <conditionalFormatting sqref="A115">
    <cfRule type="expression" dxfId="251" priority="4">
      <formula>kvartal &lt; 4</formula>
    </cfRule>
  </conditionalFormatting>
  <conditionalFormatting sqref="A123">
    <cfRule type="expression" dxfId="250" priority="3">
      <formula>kvartal &lt; 4</formula>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DCFD3-E4B4-485B-89B7-DA0A477AA596}">
  <dimension ref="A1:O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244" t="s">
        <v>396</v>
      </c>
      <c r="D1" s="24"/>
      <c r="E1" s="24"/>
      <c r="F1" s="24"/>
      <c r="G1" s="24"/>
      <c r="H1" s="24"/>
      <c r="I1" s="24"/>
      <c r="J1" s="24"/>
      <c r="K1" s="24"/>
      <c r="L1" s="24"/>
      <c r="M1" s="24"/>
    </row>
    <row r="2" spans="1:14" ht="15.75" x14ac:dyDescent="0.25">
      <c r="A2" s="163" t="s">
        <v>28</v>
      </c>
      <c r="B2" s="704"/>
      <c r="C2" s="704"/>
      <c r="D2" s="704"/>
      <c r="E2" s="516"/>
      <c r="F2" s="704"/>
      <c r="G2" s="704"/>
      <c r="H2" s="704"/>
      <c r="I2" s="516"/>
      <c r="J2" s="704"/>
      <c r="K2" s="704"/>
      <c r="L2" s="704"/>
      <c r="M2" s="516"/>
    </row>
    <row r="3" spans="1:14" ht="15.75" x14ac:dyDescent="0.25">
      <c r="A3" s="161"/>
      <c r="B3" s="516"/>
      <c r="C3" s="516"/>
      <c r="D3" s="516"/>
      <c r="E3" s="516"/>
      <c r="F3" s="516"/>
      <c r="G3" s="516"/>
      <c r="H3" s="516"/>
      <c r="I3" s="516"/>
      <c r="J3" s="516"/>
      <c r="K3" s="516"/>
      <c r="L3" s="516"/>
      <c r="M3" s="516"/>
    </row>
    <row r="4" spans="1:14" x14ac:dyDescent="0.2">
      <c r="A4" s="142"/>
      <c r="B4" s="705" t="s">
        <v>0</v>
      </c>
      <c r="C4" s="706"/>
      <c r="D4" s="706"/>
      <c r="E4" s="513"/>
      <c r="F4" s="705" t="s">
        <v>1</v>
      </c>
      <c r="G4" s="706"/>
      <c r="H4" s="706"/>
      <c r="I4" s="514"/>
      <c r="J4" s="705" t="s">
        <v>2</v>
      </c>
      <c r="K4" s="706"/>
      <c r="L4" s="706"/>
      <c r="M4" s="514"/>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v>1304</v>
      </c>
      <c r="C7" s="299">
        <v>1521</v>
      </c>
      <c r="D7" s="341">
        <f>IF(B7=0, "    ---- ", IF(ABS(ROUND(100/B7*C7-100,1))&lt;999,ROUND(100/B7*C7-100,1),IF(ROUND(100/B7*C7-100,1)&gt;999,999,-999)))</f>
        <v>16.600000000000001</v>
      </c>
      <c r="E7" s="11">
        <f>IFERROR(100/'Skjema total MA'!C7*C7,0)</f>
        <v>3.816056777527236E-2</v>
      </c>
      <c r="F7" s="298"/>
      <c r="G7" s="299"/>
      <c r="H7" s="341"/>
      <c r="I7" s="158"/>
      <c r="J7" s="300">
        <f t="shared" ref="J7:K8" si="0">SUM(B7,F7)</f>
        <v>1304</v>
      </c>
      <c r="K7" s="301">
        <f t="shared" si="0"/>
        <v>1521</v>
      </c>
      <c r="L7" s="413">
        <f>IF(J7=0, "    ---- ", IF(ABS(ROUND(100/J7*K7-100,1))&lt;999,ROUND(100/J7*K7-100,1),IF(ROUND(100/J7*K7-100,1)&gt;999,999,-999)))</f>
        <v>16.600000000000001</v>
      </c>
      <c r="M7" s="11">
        <f>IFERROR(100/'Skjema total MA'!I7*K7,0)</f>
        <v>1.3582811904521418E-2</v>
      </c>
    </row>
    <row r="8" spans="1:14" ht="15.75" x14ac:dyDescent="0.2">
      <c r="A8" s="19" t="s">
        <v>25</v>
      </c>
      <c r="B8" s="276">
        <v>1304</v>
      </c>
      <c r="C8" s="277">
        <v>1521</v>
      </c>
      <c r="D8" s="164">
        <f t="shared" ref="D8" si="1">IF(B8=0, "    ---- ", IF(ABS(ROUND(100/B8*C8-100,1))&lt;999,ROUND(100/B8*C8-100,1),IF(ROUND(100/B8*C8-100,1)&gt;999,999,-999)))</f>
        <v>16.600000000000001</v>
      </c>
      <c r="E8" s="25">
        <f>IFERROR(100/'Skjema total MA'!C8*C8,0)</f>
        <v>5.8342748944869988E-2</v>
      </c>
      <c r="F8" s="280"/>
      <c r="G8" s="281"/>
      <c r="H8" s="164"/>
      <c r="I8" s="172"/>
      <c r="J8" s="230">
        <f t="shared" si="0"/>
        <v>1304</v>
      </c>
      <c r="K8" s="282">
        <f t="shared" si="0"/>
        <v>1521</v>
      </c>
      <c r="L8" s="164">
        <f t="shared" ref="L8" si="2">IF(J8=0, "    ---- ", IF(ABS(ROUND(100/J8*K8-100,1))&lt;999,ROUND(100/J8*K8-100,1),IF(ROUND(100/J8*K8-100,1)&gt;999,999,-999)))</f>
        <v>16.600000000000001</v>
      </c>
      <c r="M8" s="25">
        <f>IFERROR(100/'Skjema total MA'!I8*K8,0)</f>
        <v>5.8342748944869988E-2</v>
      </c>
    </row>
    <row r="9" spans="1:14" ht="15.75" x14ac:dyDescent="0.2">
      <c r="A9" s="19" t="s">
        <v>24</v>
      </c>
      <c r="B9" s="276"/>
      <c r="C9" s="277"/>
      <c r="D9" s="164"/>
      <c r="E9" s="25"/>
      <c r="F9" s="280"/>
      <c r="G9" s="281"/>
      <c r="H9" s="164"/>
      <c r="I9" s="172"/>
      <c r="J9" s="230"/>
      <c r="K9" s="282"/>
      <c r="L9" s="164"/>
      <c r="M9" s="25"/>
    </row>
    <row r="10" spans="1:14" ht="15.75" x14ac:dyDescent="0.2">
      <c r="A10" s="13" t="s">
        <v>350</v>
      </c>
      <c r="B10" s="302"/>
      <c r="C10" s="303"/>
      <c r="D10" s="169"/>
      <c r="E10" s="11"/>
      <c r="F10" s="302"/>
      <c r="G10" s="303"/>
      <c r="H10" s="169"/>
      <c r="I10" s="158"/>
      <c r="J10" s="300"/>
      <c r="K10" s="301"/>
      <c r="L10" s="414"/>
      <c r="M10" s="11"/>
    </row>
    <row r="11" spans="1:14" s="41" customFormat="1" ht="15.75" x14ac:dyDescent="0.2">
      <c r="A11" s="13" t="s">
        <v>351</v>
      </c>
      <c r="B11" s="302"/>
      <c r="C11" s="303"/>
      <c r="D11" s="169"/>
      <c r="E11" s="11"/>
      <c r="F11" s="302"/>
      <c r="G11" s="303"/>
      <c r="H11" s="169"/>
      <c r="I11" s="158"/>
      <c r="J11" s="300"/>
      <c r="K11" s="301"/>
      <c r="L11" s="414"/>
      <c r="M11" s="11"/>
      <c r="N11" s="141"/>
    </row>
    <row r="12" spans="1:14" s="41" customFormat="1" ht="15.75" x14ac:dyDescent="0.2">
      <c r="A12" s="39" t="s">
        <v>352</v>
      </c>
      <c r="B12" s="304"/>
      <c r="C12" s="305"/>
      <c r="D12" s="167"/>
      <c r="E12" s="34"/>
      <c r="F12" s="304"/>
      <c r="G12" s="305"/>
      <c r="H12" s="167"/>
      <c r="I12" s="167"/>
      <c r="J12" s="306"/>
      <c r="K12" s="307"/>
      <c r="L12" s="415"/>
      <c r="M12" s="34"/>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516"/>
      <c r="F18" s="707"/>
      <c r="G18" s="707"/>
      <c r="H18" s="707"/>
      <c r="I18" s="516"/>
      <c r="J18" s="707"/>
      <c r="K18" s="707"/>
      <c r="L18" s="707"/>
      <c r="M18" s="516"/>
    </row>
    <row r="19" spans="1:14" x14ac:dyDescent="0.2">
      <c r="A19" s="142"/>
      <c r="B19" s="705" t="s">
        <v>0</v>
      </c>
      <c r="C19" s="706"/>
      <c r="D19" s="706"/>
      <c r="E19" s="513"/>
      <c r="F19" s="705" t="s">
        <v>1</v>
      </c>
      <c r="G19" s="706"/>
      <c r="H19" s="706"/>
      <c r="I19" s="514"/>
      <c r="J19" s="705" t="s">
        <v>2</v>
      </c>
      <c r="K19" s="706"/>
      <c r="L19" s="706"/>
      <c r="M19" s="514"/>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302"/>
      <c r="C22" s="302"/>
      <c r="D22" s="341"/>
      <c r="E22" s="11"/>
      <c r="F22" s="310"/>
      <c r="G22" s="310"/>
      <c r="H22" s="341"/>
      <c r="I22" s="11"/>
      <c r="J22" s="308"/>
      <c r="K22" s="308"/>
      <c r="L22" s="413"/>
      <c r="M22" s="22"/>
    </row>
    <row r="23" spans="1:14" ht="15.75" x14ac:dyDescent="0.2">
      <c r="A23" s="496" t="s">
        <v>353</v>
      </c>
      <c r="B23" s="276"/>
      <c r="C23" s="276"/>
      <c r="D23" s="164"/>
      <c r="E23" s="11"/>
      <c r="F23" s="285"/>
      <c r="G23" s="285"/>
      <c r="H23" s="164"/>
      <c r="I23" s="403"/>
      <c r="J23" s="285"/>
      <c r="K23" s="285"/>
      <c r="L23" s="164"/>
      <c r="M23" s="21"/>
    </row>
    <row r="24" spans="1:14" ht="15.75" x14ac:dyDescent="0.2">
      <c r="A24" s="496" t="s">
        <v>354</v>
      </c>
      <c r="B24" s="276"/>
      <c r="C24" s="276"/>
      <c r="D24" s="164"/>
      <c r="E24" s="11"/>
      <c r="F24" s="285"/>
      <c r="G24" s="285"/>
      <c r="H24" s="164"/>
      <c r="I24" s="403"/>
      <c r="J24" s="285"/>
      <c r="K24" s="285"/>
      <c r="L24" s="164"/>
      <c r="M24" s="21"/>
    </row>
    <row r="25" spans="1:14" ht="15.75" x14ac:dyDescent="0.2">
      <c r="A25" s="496" t="s">
        <v>355</v>
      </c>
      <c r="B25" s="276"/>
      <c r="C25" s="276"/>
      <c r="D25" s="164"/>
      <c r="E25" s="11"/>
      <c r="F25" s="285"/>
      <c r="G25" s="285"/>
      <c r="H25" s="164"/>
      <c r="I25" s="403"/>
      <c r="J25" s="285"/>
      <c r="K25" s="285"/>
      <c r="L25" s="164"/>
      <c r="M25" s="21"/>
    </row>
    <row r="26" spans="1:14" ht="15.75" x14ac:dyDescent="0.2">
      <c r="A26" s="496" t="s">
        <v>356</v>
      </c>
      <c r="B26" s="276"/>
      <c r="C26" s="276"/>
      <c r="D26" s="164"/>
      <c r="E26" s="11"/>
      <c r="F26" s="285"/>
      <c r="G26" s="285"/>
      <c r="H26" s="164"/>
      <c r="I26" s="403"/>
      <c r="J26" s="285"/>
      <c r="K26" s="285"/>
      <c r="L26" s="164"/>
      <c r="M26" s="21"/>
    </row>
    <row r="27" spans="1:14" x14ac:dyDescent="0.2">
      <c r="A27" s="496" t="s">
        <v>11</v>
      </c>
      <c r="B27" s="276"/>
      <c r="C27" s="276"/>
      <c r="D27" s="164"/>
      <c r="E27" s="11"/>
      <c r="F27" s="285"/>
      <c r="G27" s="285"/>
      <c r="H27" s="164"/>
      <c r="I27" s="403"/>
      <c r="J27" s="285"/>
      <c r="K27" s="285"/>
      <c r="L27" s="164"/>
      <c r="M27" s="21"/>
    </row>
    <row r="28" spans="1:14" ht="15.75" x14ac:dyDescent="0.2">
      <c r="A28" s="47" t="s">
        <v>271</v>
      </c>
      <c r="B28" s="42"/>
      <c r="C28" s="282"/>
      <c r="D28" s="164"/>
      <c r="E28" s="11"/>
      <c r="F28" s="230"/>
      <c r="G28" s="282"/>
      <c r="H28" s="164"/>
      <c r="I28" s="25"/>
      <c r="J28" s="42"/>
      <c r="K28" s="42"/>
      <c r="L28" s="249"/>
      <c r="M28" s="21"/>
    </row>
    <row r="29" spans="1:14" s="3" customFormat="1" ht="15.75" x14ac:dyDescent="0.2">
      <c r="A29" s="13" t="s">
        <v>350</v>
      </c>
      <c r="B29" s="232"/>
      <c r="C29" s="232"/>
      <c r="D29" s="169"/>
      <c r="E29" s="11"/>
      <c r="F29" s="300"/>
      <c r="G29" s="300"/>
      <c r="H29" s="169"/>
      <c r="I29" s="11"/>
      <c r="J29" s="232"/>
      <c r="K29" s="232"/>
      <c r="L29" s="414"/>
      <c r="M29" s="22"/>
      <c r="N29" s="146"/>
    </row>
    <row r="30" spans="1:14" s="3" customFormat="1" ht="15.75" x14ac:dyDescent="0.2">
      <c r="A30" s="496" t="s">
        <v>353</v>
      </c>
      <c r="B30" s="276"/>
      <c r="C30" s="276"/>
      <c r="D30" s="164"/>
      <c r="E30" s="11"/>
      <c r="F30" s="285"/>
      <c r="G30" s="285"/>
      <c r="H30" s="164"/>
      <c r="I30" s="403"/>
      <c r="J30" s="285"/>
      <c r="K30" s="285"/>
      <c r="L30" s="164"/>
      <c r="M30" s="21"/>
      <c r="N30" s="146"/>
    </row>
    <row r="31" spans="1:14" s="3" customFormat="1" ht="15.75" x14ac:dyDescent="0.2">
      <c r="A31" s="496" t="s">
        <v>354</v>
      </c>
      <c r="B31" s="276"/>
      <c r="C31" s="276"/>
      <c r="D31" s="164"/>
      <c r="E31" s="11"/>
      <c r="F31" s="285"/>
      <c r="G31" s="285"/>
      <c r="H31" s="164"/>
      <c r="I31" s="403"/>
      <c r="J31" s="285"/>
      <c r="K31" s="285"/>
      <c r="L31" s="164"/>
      <c r="M31" s="21"/>
      <c r="N31" s="146"/>
    </row>
    <row r="32" spans="1:14" ht="15.75" x14ac:dyDescent="0.2">
      <c r="A32" s="496" t="s">
        <v>355</v>
      </c>
      <c r="B32" s="276"/>
      <c r="C32" s="276"/>
      <c r="D32" s="164"/>
      <c r="E32" s="11"/>
      <c r="F32" s="285"/>
      <c r="G32" s="285"/>
      <c r="H32" s="164"/>
      <c r="I32" s="403"/>
      <c r="J32" s="285"/>
      <c r="K32" s="285"/>
      <c r="L32" s="164"/>
      <c r="M32" s="21"/>
    </row>
    <row r="33" spans="1:14" ht="15.75" x14ac:dyDescent="0.2">
      <c r="A33" s="496" t="s">
        <v>356</v>
      </c>
      <c r="B33" s="276"/>
      <c r="C33" s="276"/>
      <c r="D33" s="164"/>
      <c r="E33" s="11"/>
      <c r="F33" s="285"/>
      <c r="G33" s="285"/>
      <c r="H33" s="164"/>
      <c r="I33" s="403"/>
      <c r="J33" s="285"/>
      <c r="K33" s="285"/>
      <c r="L33" s="164"/>
      <c r="M33" s="21"/>
    </row>
    <row r="34" spans="1:14" ht="15.75" x14ac:dyDescent="0.2">
      <c r="A34" s="13" t="s">
        <v>351</v>
      </c>
      <c r="B34" s="232"/>
      <c r="C34" s="301"/>
      <c r="D34" s="169"/>
      <c r="E34" s="11"/>
      <c r="F34" s="300"/>
      <c r="G34" s="301"/>
      <c r="H34" s="169"/>
      <c r="I34" s="11"/>
      <c r="J34" s="232"/>
      <c r="K34" s="232"/>
      <c r="L34" s="414"/>
      <c r="M34" s="22"/>
    </row>
    <row r="35" spans="1:14" ht="15.75" x14ac:dyDescent="0.2">
      <c r="A35" s="13" t="s">
        <v>352</v>
      </c>
      <c r="B35" s="232"/>
      <c r="C35" s="301"/>
      <c r="D35" s="169"/>
      <c r="E35" s="11"/>
      <c r="F35" s="300"/>
      <c r="G35" s="301"/>
      <c r="H35" s="169"/>
      <c r="I35" s="11"/>
      <c r="J35" s="232"/>
      <c r="K35" s="232"/>
      <c r="L35" s="414"/>
      <c r="M35" s="22"/>
    </row>
    <row r="36" spans="1:14" ht="15.75" x14ac:dyDescent="0.2">
      <c r="A36" s="12" t="s">
        <v>279</v>
      </c>
      <c r="B36" s="232"/>
      <c r="C36" s="301"/>
      <c r="D36" s="169"/>
      <c r="E36" s="11"/>
      <c r="F36" s="311"/>
      <c r="G36" s="312"/>
      <c r="H36" s="169"/>
      <c r="I36" s="420"/>
      <c r="J36" s="232"/>
      <c r="K36" s="232"/>
      <c r="L36" s="414"/>
      <c r="M36" s="22"/>
    </row>
    <row r="37" spans="1:14" ht="15.75" x14ac:dyDescent="0.2">
      <c r="A37" s="12" t="s">
        <v>358</v>
      </c>
      <c r="B37" s="232"/>
      <c r="C37" s="301"/>
      <c r="D37" s="169"/>
      <c r="E37" s="11"/>
      <c r="F37" s="311"/>
      <c r="G37" s="313"/>
      <c r="H37" s="169"/>
      <c r="I37" s="420"/>
      <c r="J37" s="232"/>
      <c r="K37" s="232"/>
      <c r="L37" s="414"/>
      <c r="M37" s="22"/>
    </row>
    <row r="38" spans="1:14" ht="15.75" x14ac:dyDescent="0.2">
      <c r="A38" s="12" t="s">
        <v>359</v>
      </c>
      <c r="B38" s="232"/>
      <c r="C38" s="301"/>
      <c r="D38" s="418"/>
      <c r="E38" s="22"/>
      <c r="F38" s="311"/>
      <c r="G38" s="312"/>
      <c r="H38" s="169"/>
      <c r="I38" s="420"/>
      <c r="J38" s="232"/>
      <c r="K38" s="232"/>
      <c r="L38" s="414"/>
      <c r="M38" s="22"/>
    </row>
    <row r="39" spans="1:14" ht="15.75" x14ac:dyDescent="0.2">
      <c r="A39" s="18" t="s">
        <v>360</v>
      </c>
      <c r="B39" s="271"/>
      <c r="C39" s="307"/>
      <c r="D39" s="419"/>
      <c r="E39" s="34"/>
      <c r="F39" s="314"/>
      <c r="G39" s="315"/>
      <c r="H39" s="167"/>
      <c r="I39" s="34"/>
      <c r="J39" s="232"/>
      <c r="K39" s="232"/>
      <c r="L39" s="415"/>
      <c r="M39" s="34"/>
    </row>
    <row r="40" spans="1:14" ht="15.75" x14ac:dyDescent="0.25">
      <c r="A40" s="45"/>
      <c r="B40" s="248"/>
      <c r="C40" s="248"/>
      <c r="D40" s="708"/>
      <c r="E40" s="709"/>
      <c r="F40" s="708"/>
      <c r="G40" s="708"/>
      <c r="H40" s="708"/>
      <c r="I40" s="708"/>
      <c r="J40" s="708"/>
      <c r="K40" s="708"/>
      <c r="L40" s="708"/>
      <c r="M40" s="517"/>
    </row>
    <row r="41" spans="1:14" x14ac:dyDescent="0.2">
      <c r="A41" s="153"/>
    </row>
    <row r="42" spans="1:14" ht="15.75" x14ac:dyDescent="0.25">
      <c r="A42" s="145" t="s">
        <v>268</v>
      </c>
      <c r="B42" s="704"/>
      <c r="C42" s="704"/>
      <c r="D42" s="704"/>
      <c r="E42" s="516"/>
      <c r="F42" s="709"/>
      <c r="G42" s="709"/>
      <c r="H42" s="709"/>
      <c r="I42" s="517"/>
      <c r="J42" s="709"/>
      <c r="K42" s="709"/>
      <c r="L42" s="709"/>
      <c r="M42" s="517"/>
    </row>
    <row r="43" spans="1:14" ht="15.75" x14ac:dyDescent="0.25">
      <c r="A43" s="161"/>
      <c r="B43" s="515"/>
      <c r="C43" s="515"/>
      <c r="D43" s="515"/>
      <c r="E43" s="515"/>
      <c r="F43" s="517"/>
      <c r="G43" s="517"/>
      <c r="H43" s="517"/>
      <c r="I43" s="517"/>
      <c r="J43" s="517"/>
      <c r="K43" s="517"/>
      <c r="L43" s="517"/>
      <c r="M43" s="517"/>
    </row>
    <row r="44" spans="1:14" ht="15.75" x14ac:dyDescent="0.25">
      <c r="A44" s="243"/>
      <c r="B44" s="705" t="s">
        <v>0</v>
      </c>
      <c r="C44" s="706"/>
      <c r="D44" s="706"/>
      <c r="E44" s="239"/>
      <c r="F44" s="517"/>
      <c r="G44" s="517"/>
      <c r="H44" s="517"/>
      <c r="I44" s="517"/>
      <c r="J44" s="517"/>
      <c r="K44" s="517"/>
      <c r="L44" s="517"/>
      <c r="M44" s="517"/>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v>502</v>
      </c>
      <c r="C47" s="303">
        <v>602</v>
      </c>
      <c r="D47" s="413">
        <f t="shared" ref="D47:D48" si="3">IF(B47=0, "    ---- ", IF(ABS(ROUND(100/B47*C47-100,1))&lt;999,ROUND(100/B47*C47-100,1),IF(ROUND(100/B47*C47-100,1)&gt;999,999,-999)))</f>
        <v>19.899999999999999</v>
      </c>
      <c r="E47" s="11">
        <f>IFERROR(100/'Skjema total MA'!C47*C47,0)</f>
        <v>1.238066394185448E-2</v>
      </c>
      <c r="F47" s="143"/>
      <c r="G47" s="31"/>
      <c r="H47" s="157"/>
      <c r="I47" s="157"/>
      <c r="J47" s="35"/>
      <c r="K47" s="35"/>
      <c r="L47" s="157"/>
      <c r="M47" s="157"/>
      <c r="N47" s="146"/>
    </row>
    <row r="48" spans="1:14" s="3" customFormat="1" ht="15.75" x14ac:dyDescent="0.2">
      <c r="A48" s="36" t="s">
        <v>361</v>
      </c>
      <c r="B48" s="276">
        <v>502</v>
      </c>
      <c r="C48" s="277">
        <v>602</v>
      </c>
      <c r="D48" s="249">
        <f t="shared" si="3"/>
        <v>19.899999999999999</v>
      </c>
      <c r="E48" s="25">
        <f>IFERROR(100/'Skjema total MA'!C48*C48,0)</f>
        <v>2.2197574159696393E-2</v>
      </c>
      <c r="F48" s="143"/>
      <c r="G48" s="31"/>
      <c r="H48" s="143"/>
      <c r="I48" s="143"/>
      <c r="J48" s="31"/>
      <c r="K48" s="31"/>
      <c r="L48" s="157"/>
      <c r="M48" s="157"/>
      <c r="N48" s="146"/>
    </row>
    <row r="49" spans="1:14" s="3" customFormat="1" ht="15.75" x14ac:dyDescent="0.2">
      <c r="A49" s="36" t="s">
        <v>362</v>
      </c>
      <c r="B49" s="42"/>
      <c r="C49" s="282"/>
      <c r="D49" s="249"/>
      <c r="E49" s="25"/>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c r="C53" s="303"/>
      <c r="D53" s="414"/>
      <c r="E53" s="11"/>
      <c r="F53" s="143"/>
      <c r="G53" s="31"/>
      <c r="H53" s="143"/>
      <c r="I53" s="143"/>
      <c r="J53" s="31"/>
      <c r="K53" s="31"/>
      <c r="L53" s="157"/>
      <c r="M53" s="157"/>
      <c r="N53" s="146"/>
    </row>
    <row r="54" spans="1:14" s="3" customFormat="1" ht="15.75" x14ac:dyDescent="0.2">
      <c r="A54" s="36" t="s">
        <v>361</v>
      </c>
      <c r="B54" s="276"/>
      <c r="C54" s="277"/>
      <c r="D54" s="249"/>
      <c r="E54" s="25"/>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c r="C56" s="303"/>
      <c r="D56" s="414"/>
      <c r="E56" s="11"/>
      <c r="F56" s="143"/>
      <c r="G56" s="31"/>
      <c r="H56" s="143"/>
      <c r="I56" s="143"/>
      <c r="J56" s="31"/>
      <c r="K56" s="31"/>
      <c r="L56" s="157"/>
      <c r="M56" s="157"/>
      <c r="N56" s="146"/>
    </row>
    <row r="57" spans="1:14" s="3" customFormat="1" ht="15.75" x14ac:dyDescent="0.2">
      <c r="A57" s="36" t="s">
        <v>361</v>
      </c>
      <c r="B57" s="276"/>
      <c r="C57" s="277"/>
      <c r="D57" s="249"/>
      <c r="E57" s="25"/>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516"/>
      <c r="F62" s="707"/>
      <c r="G62" s="707"/>
      <c r="H62" s="707"/>
      <c r="I62" s="516"/>
      <c r="J62" s="707"/>
      <c r="K62" s="707"/>
      <c r="L62" s="707"/>
      <c r="M62" s="516"/>
    </row>
    <row r="63" spans="1:14" x14ac:dyDescent="0.2">
      <c r="A63" s="142"/>
      <c r="B63" s="705" t="s">
        <v>0</v>
      </c>
      <c r="C63" s="706"/>
      <c r="D63" s="710"/>
      <c r="E63" s="512"/>
      <c r="F63" s="706" t="s">
        <v>1</v>
      </c>
      <c r="G63" s="706"/>
      <c r="H63" s="706"/>
      <c r="I63" s="514"/>
      <c r="J63" s="705" t="s">
        <v>2</v>
      </c>
      <c r="K63" s="706"/>
      <c r="L63" s="706"/>
      <c r="M63" s="514"/>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c r="C66" s="344"/>
      <c r="D66" s="341"/>
      <c r="E66" s="11"/>
      <c r="F66" s="343"/>
      <c r="G66" s="343"/>
      <c r="H66" s="341"/>
      <c r="I66" s="11"/>
      <c r="J66" s="301"/>
      <c r="K66" s="308"/>
      <c r="L66" s="414"/>
      <c r="M66" s="11"/>
    </row>
    <row r="67" spans="1:14" x14ac:dyDescent="0.2">
      <c r="A67" s="405" t="s">
        <v>9</v>
      </c>
      <c r="B67" s="42"/>
      <c r="C67" s="143"/>
      <c r="D67" s="164"/>
      <c r="E67" s="25"/>
      <c r="F67" s="230"/>
      <c r="G67" s="143"/>
      <c r="H67" s="164"/>
      <c r="I67" s="25"/>
      <c r="J67" s="282"/>
      <c r="K67" s="42"/>
      <c r="L67" s="249"/>
      <c r="M67" s="25"/>
    </row>
    <row r="68" spans="1:14" x14ac:dyDescent="0.2">
      <c r="A68" s="19" t="s">
        <v>10</v>
      </c>
      <c r="B68" s="286"/>
      <c r="C68" s="287"/>
      <c r="D68" s="164"/>
      <c r="E68" s="25"/>
      <c r="F68" s="286"/>
      <c r="G68" s="287"/>
      <c r="H68" s="164"/>
      <c r="I68" s="25"/>
      <c r="J68" s="282"/>
      <c r="K68" s="42"/>
      <c r="L68" s="249"/>
      <c r="M68" s="25"/>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c r="C75" s="143"/>
      <c r="D75" s="164"/>
      <c r="E75" s="25"/>
      <c r="F75" s="230"/>
      <c r="G75" s="143"/>
      <c r="H75" s="164"/>
      <c r="I75" s="25"/>
      <c r="J75" s="282"/>
      <c r="K75" s="42"/>
      <c r="L75" s="249"/>
      <c r="M75" s="25"/>
      <c r="N75" s="146"/>
    </row>
    <row r="76" spans="1:14" s="3" customFormat="1" x14ac:dyDescent="0.2">
      <c r="A76" s="19" t="s">
        <v>336</v>
      </c>
      <c r="B76" s="230"/>
      <c r="C76" s="143"/>
      <c r="D76" s="164"/>
      <c r="E76" s="25"/>
      <c r="F76" s="230"/>
      <c r="G76" s="143"/>
      <c r="H76" s="164"/>
      <c r="I76" s="25"/>
      <c r="J76" s="282"/>
      <c r="K76" s="42"/>
      <c r="L76" s="249"/>
      <c r="M76" s="25"/>
      <c r="N76" s="146"/>
    </row>
    <row r="77" spans="1:14" ht="15.75" x14ac:dyDescent="0.2">
      <c r="A77" s="19" t="s">
        <v>367</v>
      </c>
      <c r="B77" s="230"/>
      <c r="C77" s="230"/>
      <c r="D77" s="164"/>
      <c r="E77" s="25"/>
      <c r="F77" s="230"/>
      <c r="G77" s="143"/>
      <c r="H77" s="164"/>
      <c r="I77" s="25"/>
      <c r="J77" s="282"/>
      <c r="K77" s="42"/>
      <c r="L77" s="249"/>
      <c r="M77" s="25"/>
    </row>
    <row r="78" spans="1:14" x14ac:dyDescent="0.2">
      <c r="A78" s="19" t="s">
        <v>9</v>
      </c>
      <c r="B78" s="230"/>
      <c r="C78" s="143"/>
      <c r="D78" s="164"/>
      <c r="E78" s="25"/>
      <c r="F78" s="230"/>
      <c r="G78" s="143"/>
      <c r="H78" s="164"/>
      <c r="I78" s="25"/>
      <c r="J78" s="282"/>
      <c r="K78" s="42"/>
      <c r="L78" s="249"/>
      <c r="M78" s="25"/>
    </row>
    <row r="79" spans="1:14" x14ac:dyDescent="0.2">
      <c r="A79" s="36" t="s">
        <v>400</v>
      </c>
      <c r="B79" s="286"/>
      <c r="C79" s="287"/>
      <c r="D79" s="164"/>
      <c r="E79" s="25"/>
      <c r="F79" s="286"/>
      <c r="G79" s="287"/>
      <c r="H79" s="164"/>
      <c r="I79" s="25"/>
      <c r="J79" s="282"/>
      <c r="K79" s="42"/>
      <c r="L79" s="249"/>
      <c r="M79" s="25"/>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c r="C86" s="143"/>
      <c r="D86" s="164"/>
      <c r="E86" s="25"/>
      <c r="F86" s="230"/>
      <c r="G86" s="143"/>
      <c r="H86" s="164"/>
      <c r="I86" s="25"/>
      <c r="J86" s="282"/>
      <c r="K86" s="42"/>
      <c r="L86" s="249"/>
      <c r="M86" s="25"/>
    </row>
    <row r="87" spans="1:13" ht="15.75" x14ac:dyDescent="0.2">
      <c r="A87" s="13" t="s">
        <v>350</v>
      </c>
      <c r="B87" s="344"/>
      <c r="C87" s="344"/>
      <c r="D87" s="169"/>
      <c r="E87" s="11"/>
      <c r="F87" s="343"/>
      <c r="G87" s="343"/>
      <c r="H87" s="169"/>
      <c r="I87" s="11"/>
      <c r="J87" s="301"/>
      <c r="K87" s="232"/>
      <c r="L87" s="414"/>
      <c r="M87" s="11"/>
    </row>
    <row r="88" spans="1:13" x14ac:dyDescent="0.2">
      <c r="A88" s="19" t="s">
        <v>9</v>
      </c>
      <c r="B88" s="230"/>
      <c r="C88" s="143"/>
      <c r="D88" s="164"/>
      <c r="E88" s="25"/>
      <c r="F88" s="230"/>
      <c r="G88" s="143"/>
      <c r="H88" s="164"/>
      <c r="I88" s="25"/>
      <c r="J88" s="282"/>
      <c r="K88" s="42"/>
      <c r="L88" s="249"/>
      <c r="M88" s="25"/>
    </row>
    <row r="89" spans="1:13" x14ac:dyDescent="0.2">
      <c r="A89" s="19" t="s">
        <v>10</v>
      </c>
      <c r="B89" s="230"/>
      <c r="C89" s="143"/>
      <c r="D89" s="164"/>
      <c r="E89" s="25"/>
      <c r="F89" s="230"/>
      <c r="G89" s="143"/>
      <c r="H89" s="164"/>
      <c r="I89" s="25"/>
      <c r="J89" s="282"/>
      <c r="K89" s="42"/>
      <c r="L89" s="249"/>
      <c r="M89" s="25"/>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c r="C96" s="143"/>
      <c r="D96" s="164"/>
      <c r="E96" s="25"/>
      <c r="F96" s="230"/>
      <c r="G96" s="143"/>
      <c r="H96" s="164"/>
      <c r="I96" s="25"/>
      <c r="J96" s="282"/>
      <c r="K96" s="42"/>
      <c r="L96" s="249"/>
      <c r="M96" s="25"/>
    </row>
    <row r="97" spans="1:15" x14ac:dyDescent="0.2">
      <c r="A97" s="19" t="s">
        <v>334</v>
      </c>
      <c r="B97" s="230"/>
      <c r="C97" s="143"/>
      <c r="D97" s="164"/>
      <c r="E97" s="25"/>
      <c r="F97" s="230"/>
      <c r="G97" s="143"/>
      <c r="H97" s="164"/>
      <c r="I97" s="25"/>
      <c r="J97" s="282"/>
      <c r="K97" s="42"/>
      <c r="L97" s="249"/>
      <c r="M97" s="25"/>
    </row>
    <row r="98" spans="1:15" ht="15.75" x14ac:dyDescent="0.2">
      <c r="A98" s="19" t="s">
        <v>367</v>
      </c>
      <c r="B98" s="230"/>
      <c r="C98" s="230"/>
      <c r="D98" s="164"/>
      <c r="E98" s="25"/>
      <c r="F98" s="286"/>
      <c r="G98" s="286"/>
      <c r="H98" s="164"/>
      <c r="I98" s="25"/>
      <c r="J98" s="282"/>
      <c r="K98" s="42"/>
      <c r="L98" s="249"/>
      <c r="M98" s="25"/>
    </row>
    <row r="99" spans="1:15" x14ac:dyDescent="0.2">
      <c r="A99" s="19" t="s">
        <v>9</v>
      </c>
      <c r="B99" s="286"/>
      <c r="C99" s="287"/>
      <c r="D99" s="164"/>
      <c r="E99" s="25"/>
      <c r="F99" s="230"/>
      <c r="G99" s="143"/>
      <c r="H99" s="164"/>
      <c r="I99" s="25"/>
      <c r="J99" s="282"/>
      <c r="K99" s="42"/>
      <c r="L99" s="249"/>
      <c r="M99" s="25"/>
    </row>
    <row r="100" spans="1:15" x14ac:dyDescent="0.2">
      <c r="A100" s="36" t="s">
        <v>400</v>
      </c>
      <c r="B100" s="286"/>
      <c r="C100" s="287"/>
      <c r="D100" s="164"/>
      <c r="E100" s="25"/>
      <c r="F100" s="230"/>
      <c r="G100" s="230"/>
      <c r="H100" s="164"/>
      <c r="I100" s="25"/>
      <c r="J100" s="282"/>
      <c r="K100" s="42"/>
      <c r="L100" s="249"/>
      <c r="M100" s="25"/>
    </row>
    <row r="101" spans="1:15" ht="15.75" x14ac:dyDescent="0.2">
      <c r="A101" s="288" t="s">
        <v>365</v>
      </c>
      <c r="B101" s="311"/>
      <c r="C101" s="311"/>
      <c r="D101" s="164"/>
      <c r="E101" s="21"/>
      <c r="F101" s="311"/>
      <c r="G101" s="311"/>
      <c r="H101" s="164"/>
      <c r="I101" s="21"/>
      <c r="J101" s="311"/>
      <c r="K101" s="311"/>
      <c r="L101" s="164"/>
      <c r="M101" s="21"/>
    </row>
    <row r="102" spans="1:15" x14ac:dyDescent="0.2">
      <c r="A102" s="288" t="s">
        <v>12</v>
      </c>
      <c r="B102" s="311"/>
      <c r="C102" s="311"/>
      <c r="D102" s="164"/>
      <c r="E102" s="21"/>
      <c r="F102" s="311"/>
      <c r="G102" s="311"/>
      <c r="H102" s="164"/>
      <c r="I102" s="21"/>
      <c r="J102" s="311"/>
      <c r="K102" s="311"/>
      <c r="L102" s="164"/>
      <c r="M102" s="21"/>
    </row>
    <row r="103" spans="1:15" x14ac:dyDescent="0.2">
      <c r="A103" s="288" t="s">
        <v>13</v>
      </c>
      <c r="B103" s="311"/>
      <c r="C103" s="311"/>
      <c r="D103" s="164"/>
      <c r="E103" s="21"/>
      <c r="F103" s="311"/>
      <c r="G103" s="311"/>
      <c r="H103" s="164"/>
      <c r="I103" s="21"/>
      <c r="J103" s="311"/>
      <c r="K103" s="311"/>
      <c r="L103" s="164"/>
      <c r="M103" s="21"/>
    </row>
    <row r="104" spans="1:15" ht="15.75" x14ac:dyDescent="0.2">
      <c r="A104" s="288" t="s">
        <v>366</v>
      </c>
      <c r="B104" s="311"/>
      <c r="C104" s="311"/>
      <c r="D104" s="164"/>
      <c r="E104" s="21"/>
      <c r="F104" s="311"/>
      <c r="G104" s="311"/>
      <c r="H104" s="164"/>
      <c r="I104" s="21"/>
      <c r="J104" s="311"/>
      <c r="K104" s="311"/>
      <c r="L104" s="164"/>
      <c r="M104" s="21"/>
    </row>
    <row r="105" spans="1:15" x14ac:dyDescent="0.2">
      <c r="A105" s="288" t="s">
        <v>12</v>
      </c>
      <c r="B105" s="231"/>
      <c r="C105" s="284"/>
      <c r="D105" s="164"/>
      <c r="E105" s="21"/>
      <c r="F105" s="311"/>
      <c r="G105" s="311"/>
      <c r="H105" s="164"/>
      <c r="I105" s="21"/>
      <c r="J105" s="311"/>
      <c r="K105" s="311"/>
      <c r="L105" s="164"/>
      <c r="M105" s="21"/>
    </row>
    <row r="106" spans="1:15" x14ac:dyDescent="0.2">
      <c r="A106" s="288" t="s">
        <v>13</v>
      </c>
      <c r="B106" s="231"/>
      <c r="C106" s="284"/>
      <c r="D106" s="164"/>
      <c r="E106" s="21"/>
      <c r="F106" s="311"/>
      <c r="G106" s="311"/>
      <c r="H106" s="164"/>
      <c r="I106" s="21"/>
      <c r="J106" s="311"/>
      <c r="K106" s="311"/>
      <c r="L106" s="164"/>
      <c r="M106" s="21"/>
    </row>
    <row r="107" spans="1:15" ht="15.75" x14ac:dyDescent="0.2">
      <c r="A107" s="19" t="s">
        <v>368</v>
      </c>
      <c r="B107" s="230"/>
      <c r="C107" s="143"/>
      <c r="D107" s="164"/>
      <c r="E107" s="25"/>
      <c r="F107" s="230"/>
      <c r="G107" s="143"/>
      <c r="H107" s="164"/>
      <c r="I107" s="25"/>
      <c r="J107" s="282"/>
      <c r="K107" s="42"/>
      <c r="L107" s="249"/>
      <c r="M107" s="25"/>
    </row>
    <row r="108" spans="1:15" ht="15.75" x14ac:dyDescent="0.2">
      <c r="A108" s="19" t="s">
        <v>369</v>
      </c>
      <c r="B108" s="230"/>
      <c r="C108" s="230"/>
      <c r="D108" s="164"/>
      <c r="E108" s="25"/>
      <c r="F108" s="230"/>
      <c r="G108" s="230"/>
      <c r="H108" s="164"/>
      <c r="I108" s="25"/>
      <c r="J108" s="282"/>
      <c r="K108" s="42"/>
      <c r="L108" s="249"/>
      <c r="M108" s="25"/>
    </row>
    <row r="109" spans="1:15" ht="15.75" x14ac:dyDescent="0.2">
      <c r="A109" s="36" t="s">
        <v>408</v>
      </c>
      <c r="B109" s="230"/>
      <c r="C109" s="230"/>
      <c r="D109" s="164"/>
      <c r="E109" s="25"/>
      <c r="F109" s="230"/>
      <c r="G109" s="230"/>
      <c r="H109" s="164"/>
      <c r="I109" s="25"/>
      <c r="J109" s="282"/>
      <c r="K109" s="42"/>
      <c r="L109" s="249"/>
      <c r="M109" s="25"/>
      <c r="O109" s="3"/>
    </row>
    <row r="110" spans="1:15" ht="15.75" x14ac:dyDescent="0.2">
      <c r="A110" s="19" t="s">
        <v>370</v>
      </c>
      <c r="B110" s="230"/>
      <c r="C110" s="230"/>
      <c r="D110" s="164"/>
      <c r="E110" s="25"/>
      <c r="F110" s="230"/>
      <c r="G110" s="230"/>
      <c r="H110" s="164"/>
      <c r="I110" s="25"/>
      <c r="J110" s="282"/>
      <c r="K110" s="42"/>
      <c r="L110" s="249"/>
      <c r="M110" s="25"/>
    </row>
    <row r="111" spans="1:15" ht="15.75" x14ac:dyDescent="0.2">
      <c r="A111" s="13" t="s">
        <v>351</v>
      </c>
      <c r="B111" s="300"/>
      <c r="C111" s="157"/>
      <c r="D111" s="169"/>
      <c r="E111" s="11"/>
      <c r="F111" s="300"/>
      <c r="G111" s="157"/>
      <c r="H111" s="169"/>
      <c r="I111" s="11"/>
      <c r="J111" s="301"/>
      <c r="K111" s="232"/>
      <c r="L111" s="414"/>
      <c r="M111" s="11"/>
    </row>
    <row r="112" spans="1:15" x14ac:dyDescent="0.2">
      <c r="A112" s="19" t="s">
        <v>9</v>
      </c>
      <c r="B112" s="230"/>
      <c r="C112" s="143"/>
      <c r="D112" s="164"/>
      <c r="E112" s="25"/>
      <c r="F112" s="230"/>
      <c r="G112" s="143"/>
      <c r="H112" s="164"/>
      <c r="I112" s="25"/>
      <c r="J112" s="282"/>
      <c r="K112" s="42"/>
      <c r="L112" s="249"/>
      <c r="M112" s="25"/>
    </row>
    <row r="113" spans="1:14" x14ac:dyDescent="0.2">
      <c r="A113" s="19" t="s">
        <v>10</v>
      </c>
      <c r="B113" s="230"/>
      <c r="C113" s="143"/>
      <c r="D113" s="164"/>
      <c r="E113" s="25"/>
      <c r="F113" s="230"/>
      <c r="G113" s="143"/>
      <c r="H113" s="164"/>
      <c r="I113" s="25"/>
      <c r="J113" s="282"/>
      <c r="K113" s="42"/>
      <c r="L113" s="249"/>
      <c r="M113" s="25"/>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c r="C116" s="230"/>
      <c r="D116" s="164"/>
      <c r="E116" s="25"/>
      <c r="F116" s="230"/>
      <c r="G116" s="230"/>
      <c r="H116" s="164"/>
      <c r="I116" s="25"/>
      <c r="J116" s="282"/>
      <c r="K116" s="42"/>
      <c r="L116" s="249"/>
      <c r="M116" s="25"/>
    </row>
    <row r="117" spans="1:14" ht="15.75" x14ac:dyDescent="0.2">
      <c r="A117" s="36" t="s">
        <v>408</v>
      </c>
      <c r="B117" s="230"/>
      <c r="C117" s="230"/>
      <c r="D117" s="164"/>
      <c r="E117" s="25"/>
      <c r="F117" s="230"/>
      <c r="G117" s="230"/>
      <c r="H117" s="164"/>
      <c r="I117" s="25"/>
      <c r="J117" s="282"/>
      <c r="K117" s="42"/>
      <c r="L117" s="249"/>
      <c r="M117" s="25"/>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c r="C119" s="157"/>
      <c r="D119" s="169"/>
      <c r="E119" s="11"/>
      <c r="F119" s="300"/>
      <c r="G119" s="157"/>
      <c r="H119" s="169"/>
      <c r="I119" s="11"/>
      <c r="J119" s="301"/>
      <c r="K119" s="232"/>
      <c r="L119" s="414"/>
      <c r="M119" s="11"/>
    </row>
    <row r="120" spans="1:14" x14ac:dyDescent="0.2">
      <c r="A120" s="19" t="s">
        <v>9</v>
      </c>
      <c r="B120" s="230"/>
      <c r="C120" s="143"/>
      <c r="D120" s="164"/>
      <c r="E120" s="25"/>
      <c r="F120" s="230"/>
      <c r="G120" s="143"/>
      <c r="H120" s="164"/>
      <c r="I120" s="25"/>
      <c r="J120" s="282"/>
      <c r="K120" s="42"/>
      <c r="L120" s="249"/>
      <c r="M120" s="25"/>
    </row>
    <row r="121" spans="1:14" x14ac:dyDescent="0.2">
      <c r="A121" s="19" t="s">
        <v>10</v>
      </c>
      <c r="B121" s="230"/>
      <c r="C121" s="143"/>
      <c r="D121" s="164"/>
      <c r="E121" s="25"/>
      <c r="F121" s="230"/>
      <c r="G121" s="143"/>
      <c r="H121" s="164"/>
      <c r="I121" s="25"/>
      <c r="J121" s="282"/>
      <c r="K121" s="42"/>
      <c r="L121" s="249"/>
      <c r="M121" s="25"/>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c r="C125" s="230"/>
      <c r="D125" s="164"/>
      <c r="E125" s="25"/>
      <c r="F125" s="230"/>
      <c r="G125" s="230"/>
      <c r="H125" s="164"/>
      <c r="I125" s="25"/>
      <c r="J125" s="282"/>
      <c r="K125" s="42"/>
      <c r="L125" s="249"/>
      <c r="M125" s="25"/>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516"/>
      <c r="F130" s="707"/>
      <c r="G130" s="707"/>
      <c r="H130" s="707"/>
      <c r="I130" s="516"/>
      <c r="J130" s="707"/>
      <c r="K130" s="707"/>
      <c r="L130" s="707"/>
      <c r="M130" s="516"/>
    </row>
    <row r="131" spans="1:14" s="3" customFormat="1" x14ac:dyDescent="0.2">
      <c r="A131" s="142"/>
      <c r="B131" s="705" t="s">
        <v>0</v>
      </c>
      <c r="C131" s="706"/>
      <c r="D131" s="706"/>
      <c r="E131" s="513"/>
      <c r="F131" s="705" t="s">
        <v>1</v>
      </c>
      <c r="G131" s="706"/>
      <c r="H131" s="706"/>
      <c r="I131" s="514"/>
      <c r="J131" s="705" t="s">
        <v>2</v>
      </c>
      <c r="K131" s="706"/>
      <c r="L131" s="706"/>
      <c r="M131" s="514"/>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c r="C134" s="301"/>
      <c r="D134" s="341"/>
      <c r="E134" s="11"/>
      <c r="F134" s="308"/>
      <c r="G134" s="309"/>
      <c r="H134" s="417"/>
      <c r="I134" s="22"/>
      <c r="J134" s="310"/>
      <c r="K134" s="310"/>
      <c r="L134" s="413"/>
      <c r="M134" s="11"/>
      <c r="N134" s="146"/>
    </row>
    <row r="135" spans="1:14" s="3" customFormat="1" ht="15.75" x14ac:dyDescent="0.2">
      <c r="A135" s="13" t="s">
        <v>377</v>
      </c>
      <c r="B135" s="232"/>
      <c r="C135" s="301"/>
      <c r="D135" s="169"/>
      <c r="E135" s="11"/>
      <c r="F135" s="232"/>
      <c r="G135" s="301"/>
      <c r="H135" s="418"/>
      <c r="I135" s="22"/>
      <c r="J135" s="300"/>
      <c r="K135" s="300"/>
      <c r="L135" s="414"/>
      <c r="M135" s="11"/>
      <c r="N135" s="146"/>
    </row>
    <row r="136" spans="1:14" s="3" customFormat="1" ht="15.75" x14ac:dyDescent="0.2">
      <c r="A136" s="13" t="s">
        <v>374</v>
      </c>
      <c r="B136" s="232"/>
      <c r="C136" s="301"/>
      <c r="D136" s="169"/>
      <c r="E136" s="11"/>
      <c r="F136" s="232"/>
      <c r="G136" s="301"/>
      <c r="H136" s="418"/>
      <c r="I136" s="22"/>
      <c r="J136" s="300"/>
      <c r="K136" s="300"/>
      <c r="L136" s="414"/>
      <c r="M136" s="11"/>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30:D130"/>
    <mergeCell ref="F130:H130"/>
    <mergeCell ref="J130:L130"/>
    <mergeCell ref="B131:D131"/>
    <mergeCell ref="F131:H131"/>
    <mergeCell ref="J131:L131"/>
    <mergeCell ref="B44:D44"/>
    <mergeCell ref="B62:D62"/>
    <mergeCell ref="F62:H62"/>
    <mergeCell ref="J62:L62"/>
    <mergeCell ref="B63:D63"/>
    <mergeCell ref="F63:H63"/>
    <mergeCell ref="J63:L63"/>
    <mergeCell ref="D40:F40"/>
    <mergeCell ref="G40:I40"/>
    <mergeCell ref="J40:L40"/>
    <mergeCell ref="B42:D42"/>
    <mergeCell ref="F42:H42"/>
    <mergeCell ref="J42:L42"/>
    <mergeCell ref="B18:D18"/>
    <mergeCell ref="F18:H18"/>
    <mergeCell ref="J18:L18"/>
    <mergeCell ref="B19:D19"/>
    <mergeCell ref="F19:H19"/>
    <mergeCell ref="J19:L19"/>
    <mergeCell ref="B2:D2"/>
    <mergeCell ref="F2:H2"/>
    <mergeCell ref="J2:L2"/>
    <mergeCell ref="B4:D4"/>
    <mergeCell ref="F4:H4"/>
    <mergeCell ref="J4:L4"/>
  </mergeCells>
  <conditionalFormatting sqref="A50:A52">
    <cfRule type="expression" dxfId="249" priority="7">
      <formula>kvartal &lt; 4</formula>
    </cfRule>
  </conditionalFormatting>
  <conditionalFormatting sqref="A69:A74">
    <cfRule type="expression" dxfId="248" priority="6">
      <formula>kvartal &lt; 4</formula>
    </cfRule>
  </conditionalFormatting>
  <conditionalFormatting sqref="A80:A85">
    <cfRule type="expression" dxfId="247" priority="5">
      <formula>kvartal &lt; 4</formula>
    </cfRule>
  </conditionalFormatting>
  <conditionalFormatting sqref="A90:A95">
    <cfRule type="expression" dxfId="246" priority="4">
      <formula>kvartal &lt; 4</formula>
    </cfRule>
  </conditionalFormatting>
  <conditionalFormatting sqref="A101:A106">
    <cfRule type="expression" dxfId="245" priority="3">
      <formula>kvartal &lt; 4</formula>
    </cfRule>
  </conditionalFormatting>
  <conditionalFormatting sqref="A115">
    <cfRule type="expression" dxfId="244" priority="2">
      <formula>kvartal &lt; 4</formula>
    </cfRule>
  </conditionalFormatting>
  <conditionalFormatting sqref="A123">
    <cfRule type="expression" dxfId="243" priority="1">
      <formula>kvartal &lt; 4</formula>
    </cfRule>
  </conditionalFormatting>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737C7-9E35-491E-AA5D-FD2A7954B218}">
  <dimension ref="A1:O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244" t="s">
        <v>404</v>
      </c>
      <c r="D1" s="24"/>
      <c r="E1" s="24"/>
      <c r="F1" s="24"/>
      <c r="G1" s="24"/>
      <c r="H1" s="24"/>
      <c r="I1" s="24"/>
      <c r="J1" s="24"/>
      <c r="K1" s="24"/>
      <c r="L1" s="24"/>
      <c r="M1" s="24"/>
    </row>
    <row r="2" spans="1:14" ht="15.75" x14ac:dyDescent="0.25">
      <c r="A2" s="163" t="s">
        <v>28</v>
      </c>
      <c r="B2" s="704"/>
      <c r="C2" s="704"/>
      <c r="D2" s="704"/>
      <c r="E2" s="570"/>
      <c r="F2" s="704"/>
      <c r="G2" s="704"/>
      <c r="H2" s="704"/>
      <c r="I2" s="570"/>
      <c r="J2" s="704"/>
      <c r="K2" s="704"/>
      <c r="L2" s="704"/>
      <c r="M2" s="570"/>
    </row>
    <row r="3" spans="1:14" ht="15.75" x14ac:dyDescent="0.25">
      <c r="A3" s="161"/>
      <c r="B3" s="570"/>
      <c r="C3" s="570"/>
      <c r="D3" s="570"/>
      <c r="E3" s="570"/>
      <c r="F3" s="570"/>
      <c r="G3" s="570"/>
      <c r="H3" s="570"/>
      <c r="I3" s="570"/>
      <c r="J3" s="570"/>
      <c r="K3" s="570"/>
      <c r="L3" s="570"/>
      <c r="M3" s="570"/>
    </row>
    <row r="4" spans="1:14" x14ac:dyDescent="0.2">
      <c r="A4" s="142"/>
      <c r="B4" s="705" t="s">
        <v>0</v>
      </c>
      <c r="C4" s="706"/>
      <c r="D4" s="706"/>
      <c r="E4" s="568"/>
      <c r="F4" s="705" t="s">
        <v>1</v>
      </c>
      <c r="G4" s="706"/>
      <c r="H4" s="706"/>
      <c r="I4" s="569"/>
      <c r="J4" s="705" t="s">
        <v>2</v>
      </c>
      <c r="K4" s="706"/>
      <c r="L4" s="706"/>
      <c r="M4" s="569"/>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c r="C7" s="299">
        <v>3468</v>
      </c>
      <c r="D7" s="341" t="str">
        <f>IF(B7=0, "    ---- ", IF(ABS(ROUND(100/B7*C7-100,1))&lt;999,ROUND(100/B7*C7-100,1),IF(ROUND(100/B7*C7-100,1)&gt;999,999,-999)))</f>
        <v xml:space="preserve">    ---- </v>
      </c>
      <c r="E7" s="11">
        <f>IFERROR(100/'Skjema total MA'!C7*C7,0)</f>
        <v>8.7009105223303448E-2</v>
      </c>
      <c r="F7" s="298"/>
      <c r="G7" s="299"/>
      <c r="H7" s="341"/>
      <c r="I7" s="158"/>
      <c r="J7" s="300"/>
      <c r="K7" s="301">
        <f t="shared" ref="K7:K10" si="0">SUM(C7,G7)</f>
        <v>3468</v>
      </c>
      <c r="L7" s="413" t="str">
        <f>IF(J7=0, "    ---- ", IF(ABS(ROUND(100/J7*K7-100,1))&lt;999,ROUND(100/J7*K7-100,1),IF(ROUND(100/J7*K7-100,1)&gt;999,999,-999)))</f>
        <v xml:space="preserve">    ---- </v>
      </c>
      <c r="M7" s="11">
        <f>IFERROR(100/'Skjema total MA'!I7*K7,0)</f>
        <v>3.096988276454982E-2</v>
      </c>
    </row>
    <row r="8" spans="1:14" ht="15.75" x14ac:dyDescent="0.2">
      <c r="A8" s="19" t="s">
        <v>25</v>
      </c>
      <c r="B8" s="276"/>
      <c r="C8" s="277">
        <v>738</v>
      </c>
      <c r="D8" s="164" t="str">
        <f t="shared" ref="D8:D10" si="1">IF(B8=0, "    ---- ", IF(ABS(ROUND(100/B8*C8-100,1))&lt;999,ROUND(100/B8*C8-100,1),IF(ROUND(100/B8*C8-100,1)&gt;999,999,-999)))</f>
        <v xml:space="preserve">    ---- </v>
      </c>
      <c r="E8" s="25">
        <f>IFERROR(100/'Skjema total MA'!C8*C8,0)</f>
        <v>2.8308316056090761E-2</v>
      </c>
      <c r="F8" s="280"/>
      <c r="G8" s="281"/>
      <c r="H8" s="164"/>
      <c r="I8" s="172"/>
      <c r="J8" s="230"/>
      <c r="K8" s="282">
        <f t="shared" si="0"/>
        <v>738</v>
      </c>
      <c r="L8" s="164" t="str">
        <f t="shared" ref="L8:L10" si="2">IF(J8=0, "    ---- ", IF(ABS(ROUND(100/J8*K8-100,1))&lt;999,ROUND(100/J8*K8-100,1),IF(ROUND(100/J8*K8-100,1)&gt;999,999,-999)))</f>
        <v xml:space="preserve">    ---- </v>
      </c>
      <c r="M8" s="25">
        <f>IFERROR(100/'Skjema total MA'!I8*K8,0)</f>
        <v>2.8308316056090761E-2</v>
      </c>
    </row>
    <row r="9" spans="1:14" ht="15.75" x14ac:dyDescent="0.2">
      <c r="A9" s="19" t="s">
        <v>24</v>
      </c>
      <c r="B9" s="276"/>
      <c r="C9" s="277">
        <v>406</v>
      </c>
      <c r="D9" s="164" t="str">
        <f t="shared" si="1"/>
        <v xml:space="preserve">    ---- </v>
      </c>
      <c r="E9" s="25">
        <f>IFERROR(100/'Skjema total MA'!C9*C9,0)</f>
        <v>5.0054976811632644E-2</v>
      </c>
      <c r="F9" s="280"/>
      <c r="G9" s="281"/>
      <c r="H9" s="164"/>
      <c r="I9" s="172"/>
      <c r="J9" s="230"/>
      <c r="K9" s="282">
        <f t="shared" si="0"/>
        <v>406</v>
      </c>
      <c r="L9" s="164" t="str">
        <f t="shared" si="2"/>
        <v xml:space="preserve">    ---- </v>
      </c>
      <c r="M9" s="25">
        <f>IFERROR(100/'Skjema total MA'!I9*K9,0)</f>
        <v>5.0054976811632644E-2</v>
      </c>
    </row>
    <row r="10" spans="1:14" ht="15.75" x14ac:dyDescent="0.2">
      <c r="A10" s="13" t="s">
        <v>350</v>
      </c>
      <c r="B10" s="302"/>
      <c r="C10" s="303">
        <v>2911</v>
      </c>
      <c r="D10" s="169" t="str">
        <f t="shared" si="1"/>
        <v xml:space="preserve">    ---- </v>
      </c>
      <c r="E10" s="11">
        <f>IFERROR(100/'Skjema total MA'!C10*C10,0)</f>
        <v>1.8504082841387236E-2</v>
      </c>
      <c r="F10" s="302"/>
      <c r="G10" s="303"/>
      <c r="H10" s="169"/>
      <c r="I10" s="158"/>
      <c r="J10" s="300"/>
      <c r="K10" s="301">
        <f t="shared" si="0"/>
        <v>2911</v>
      </c>
      <c r="L10" s="414" t="str">
        <f t="shared" si="2"/>
        <v xml:space="preserve">    ---- </v>
      </c>
      <c r="M10" s="11">
        <f>IFERROR(100/'Skjema total MA'!I10*K10,0)</f>
        <v>3.4363823220004298E-3</v>
      </c>
    </row>
    <row r="11" spans="1:14" s="41" customFormat="1" ht="15.75" x14ac:dyDescent="0.2">
      <c r="A11" s="13" t="s">
        <v>351</v>
      </c>
      <c r="B11" s="302"/>
      <c r="C11" s="303"/>
      <c r="D11" s="169"/>
      <c r="E11" s="11"/>
      <c r="F11" s="302"/>
      <c r="G11" s="303"/>
      <c r="H11" s="169"/>
      <c r="I11" s="158"/>
      <c r="J11" s="300"/>
      <c r="K11" s="301"/>
      <c r="L11" s="414"/>
      <c r="M11" s="11"/>
      <c r="N11" s="141"/>
    </row>
    <row r="12" spans="1:14" s="41" customFormat="1" ht="15.75" x14ac:dyDescent="0.2">
      <c r="A12" s="39" t="s">
        <v>352</v>
      </c>
      <c r="B12" s="304"/>
      <c r="C12" s="305"/>
      <c r="D12" s="167"/>
      <c r="E12" s="34"/>
      <c r="F12" s="304"/>
      <c r="G12" s="305"/>
      <c r="H12" s="167"/>
      <c r="I12" s="167"/>
      <c r="J12" s="306"/>
      <c r="K12" s="307"/>
      <c r="L12" s="415"/>
      <c r="M12" s="34"/>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570"/>
      <c r="F18" s="707"/>
      <c r="G18" s="707"/>
      <c r="H18" s="707"/>
      <c r="I18" s="570"/>
      <c r="J18" s="707"/>
      <c r="K18" s="707"/>
      <c r="L18" s="707"/>
      <c r="M18" s="570"/>
    </row>
    <row r="19" spans="1:14" x14ac:dyDescent="0.2">
      <c r="A19" s="142"/>
      <c r="B19" s="705" t="s">
        <v>0</v>
      </c>
      <c r="C19" s="706"/>
      <c r="D19" s="706"/>
      <c r="E19" s="568"/>
      <c r="F19" s="705" t="s">
        <v>1</v>
      </c>
      <c r="G19" s="706"/>
      <c r="H19" s="706"/>
      <c r="I19" s="569"/>
      <c r="J19" s="705" t="s">
        <v>2</v>
      </c>
      <c r="K19" s="706"/>
      <c r="L19" s="706"/>
      <c r="M19" s="569"/>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154" t="s">
        <v>30</v>
      </c>
      <c r="F21" s="159"/>
      <c r="G21" s="159"/>
      <c r="H21" s="241" t="s">
        <v>4</v>
      </c>
      <c r="I21" s="154" t="s">
        <v>30</v>
      </c>
      <c r="J21" s="159"/>
      <c r="K21" s="159"/>
      <c r="L21" s="154" t="s">
        <v>4</v>
      </c>
      <c r="M21" s="154" t="s">
        <v>30</v>
      </c>
    </row>
    <row r="22" spans="1:14" ht="15.75" x14ac:dyDescent="0.2">
      <c r="A22" s="14" t="s">
        <v>23</v>
      </c>
      <c r="B22" s="302"/>
      <c r="C22" s="302">
        <v>111</v>
      </c>
      <c r="D22" s="341" t="str">
        <f t="shared" ref="D22:D29" si="3">IF(B22=0, "    ---- ", IF(ABS(ROUND(100/B22*C22-100,1))&lt;999,ROUND(100/B22*C22-100,1),IF(ROUND(100/B22*C22-100,1)&gt;999,999,-999)))</f>
        <v xml:space="preserve">    ---- </v>
      </c>
      <c r="E22" s="11">
        <f>IFERROR(100/'Skjema total MA'!C22*C22,0)</f>
        <v>6.6187455532341179E-3</v>
      </c>
      <c r="F22" s="310"/>
      <c r="G22" s="310"/>
      <c r="H22" s="341"/>
      <c r="I22" s="11"/>
      <c r="J22" s="308"/>
      <c r="K22" s="308">
        <f t="shared" ref="K22:K29" si="4">SUM(C22,G22)</f>
        <v>111</v>
      </c>
      <c r="L22" s="413" t="str">
        <f t="shared" ref="L22:L29" si="5">IF(J22=0, "    ---- ", IF(ABS(ROUND(100/J22*K22-100,1))&lt;999,ROUND(100/J22*K22-100,1),IF(ROUND(100/J22*K22-100,1)&gt;999,999,-999)))</f>
        <v xml:space="preserve">    ---- </v>
      </c>
      <c r="M22" s="22">
        <f>IFERROR(100/'Skjema total MA'!I22*K22,0)</f>
        <v>4.6621920630896914E-3</v>
      </c>
    </row>
    <row r="23" spans="1:14" ht="15.75" x14ac:dyDescent="0.2">
      <c r="A23" s="496" t="s">
        <v>353</v>
      </c>
      <c r="B23" s="276"/>
      <c r="C23" s="276"/>
      <c r="D23" s="164"/>
      <c r="E23" s="11"/>
      <c r="F23" s="285"/>
      <c r="G23" s="285"/>
      <c r="H23" s="164"/>
      <c r="I23" s="403"/>
      <c r="J23" s="285"/>
      <c r="K23" s="285"/>
      <c r="L23" s="164"/>
      <c r="M23" s="21"/>
    </row>
    <row r="24" spans="1:14" ht="15.75" x14ac:dyDescent="0.2">
      <c r="A24" s="496" t="s">
        <v>354</v>
      </c>
      <c r="B24" s="276"/>
      <c r="C24" s="276"/>
      <c r="D24" s="164"/>
      <c r="E24" s="11"/>
      <c r="F24" s="285"/>
      <c r="G24" s="285"/>
      <c r="H24" s="164"/>
      <c r="I24" s="403"/>
      <c r="J24" s="285"/>
      <c r="K24" s="285"/>
      <c r="L24" s="164"/>
      <c r="M24" s="21"/>
    </row>
    <row r="25" spans="1:14" ht="15.75" x14ac:dyDescent="0.2">
      <c r="A25" s="496" t="s">
        <v>355</v>
      </c>
      <c r="B25" s="276"/>
      <c r="C25" s="276"/>
      <c r="D25" s="164"/>
      <c r="E25" s="11"/>
      <c r="F25" s="285"/>
      <c r="G25" s="285"/>
      <c r="H25" s="164"/>
      <c r="I25" s="403"/>
      <c r="J25" s="285"/>
      <c r="K25" s="285"/>
      <c r="L25" s="164"/>
      <c r="M25" s="21"/>
    </row>
    <row r="26" spans="1:14" ht="15.75" x14ac:dyDescent="0.2">
      <c r="A26" s="496" t="s">
        <v>356</v>
      </c>
      <c r="B26" s="276"/>
      <c r="C26" s="276"/>
      <c r="D26" s="164"/>
      <c r="E26" s="11"/>
      <c r="F26" s="285"/>
      <c r="G26" s="285"/>
      <c r="H26" s="164"/>
      <c r="I26" s="403"/>
      <c r="J26" s="285"/>
      <c r="K26" s="285"/>
      <c r="L26" s="164"/>
      <c r="M26" s="21"/>
    </row>
    <row r="27" spans="1:14" x14ac:dyDescent="0.2">
      <c r="A27" s="496" t="s">
        <v>11</v>
      </c>
      <c r="B27" s="276"/>
      <c r="C27" s="276"/>
      <c r="D27" s="164"/>
      <c r="E27" s="11"/>
      <c r="F27" s="285"/>
      <c r="G27" s="285"/>
      <c r="H27" s="164"/>
      <c r="I27" s="403"/>
      <c r="J27" s="285"/>
      <c r="K27" s="285"/>
      <c r="L27" s="164"/>
      <c r="M27" s="21"/>
    </row>
    <row r="28" spans="1:14" ht="15.75" x14ac:dyDescent="0.2">
      <c r="A28" s="47" t="s">
        <v>271</v>
      </c>
      <c r="B28" s="42"/>
      <c r="C28" s="282">
        <v>83</v>
      </c>
      <c r="D28" s="164" t="str">
        <f t="shared" si="3"/>
        <v xml:space="preserve">    ---- </v>
      </c>
      <c r="E28" s="11">
        <f>IFERROR(100/'Skjema total MA'!C28*C28,0)</f>
        <v>4.4088074751497293E-3</v>
      </c>
      <c r="F28" s="230"/>
      <c r="G28" s="282"/>
      <c r="H28" s="164"/>
      <c r="I28" s="25"/>
      <c r="J28" s="42"/>
      <c r="K28" s="42">
        <f t="shared" si="4"/>
        <v>83</v>
      </c>
      <c r="L28" s="249" t="str">
        <f t="shared" si="5"/>
        <v xml:space="preserve">    ---- </v>
      </c>
      <c r="M28" s="21">
        <f>IFERROR(100/'Skjema total MA'!I28*K28,0)</f>
        <v>4.4088074751497293E-3</v>
      </c>
    </row>
    <row r="29" spans="1:14" s="3" customFormat="1" ht="15.75" x14ac:dyDescent="0.2">
      <c r="A29" s="13" t="s">
        <v>350</v>
      </c>
      <c r="B29" s="232"/>
      <c r="C29" s="232">
        <v>106</v>
      </c>
      <c r="D29" s="169" t="str">
        <f t="shared" si="3"/>
        <v xml:space="preserve">    ---- </v>
      </c>
      <c r="E29" s="11">
        <f>IFERROR(100/'Skjema total MA'!C29*C29,0)</f>
        <v>2.3782017401310579E-4</v>
      </c>
      <c r="F29" s="300"/>
      <c r="G29" s="300"/>
      <c r="H29" s="169"/>
      <c r="I29" s="11"/>
      <c r="J29" s="232"/>
      <c r="K29" s="232">
        <f t="shared" si="4"/>
        <v>106</v>
      </c>
      <c r="L29" s="414" t="str">
        <f t="shared" si="5"/>
        <v xml:space="preserve">    ---- </v>
      </c>
      <c r="M29" s="22">
        <f>IFERROR(100/'Skjema total MA'!I29*K29,0)</f>
        <v>1.5663484025821598E-4</v>
      </c>
      <c r="N29" s="146"/>
    </row>
    <row r="30" spans="1:14" s="3" customFormat="1" ht="15.75" x14ac:dyDescent="0.2">
      <c r="A30" s="496" t="s">
        <v>353</v>
      </c>
      <c r="B30" s="276"/>
      <c r="C30" s="276"/>
      <c r="D30" s="164"/>
      <c r="E30" s="11"/>
      <c r="F30" s="285"/>
      <c r="G30" s="285"/>
      <c r="H30" s="164"/>
      <c r="I30" s="403"/>
      <c r="J30" s="285"/>
      <c r="K30" s="285"/>
      <c r="L30" s="164"/>
      <c r="M30" s="21"/>
      <c r="N30" s="146"/>
    </row>
    <row r="31" spans="1:14" s="3" customFormat="1" ht="15.75" x14ac:dyDescent="0.2">
      <c r="A31" s="496" t="s">
        <v>354</v>
      </c>
      <c r="B31" s="276"/>
      <c r="C31" s="276"/>
      <c r="D31" s="164"/>
      <c r="E31" s="11"/>
      <c r="F31" s="285"/>
      <c r="G31" s="285"/>
      <c r="H31" s="164"/>
      <c r="I31" s="403"/>
      <c r="J31" s="285"/>
      <c r="K31" s="285"/>
      <c r="L31" s="164"/>
      <c r="M31" s="21"/>
      <c r="N31" s="146"/>
    </row>
    <row r="32" spans="1:14" ht="15.75" x14ac:dyDescent="0.2">
      <c r="A32" s="496" t="s">
        <v>355</v>
      </c>
      <c r="B32" s="276"/>
      <c r="C32" s="276"/>
      <c r="D32" s="164"/>
      <c r="E32" s="11"/>
      <c r="F32" s="285"/>
      <c r="G32" s="285"/>
      <c r="H32" s="164"/>
      <c r="I32" s="403"/>
      <c r="J32" s="285"/>
      <c r="K32" s="285"/>
      <c r="L32" s="164"/>
      <c r="M32" s="21"/>
    </row>
    <row r="33" spans="1:14" ht="15.75" x14ac:dyDescent="0.2">
      <c r="A33" s="496" t="s">
        <v>356</v>
      </c>
      <c r="B33" s="276"/>
      <c r="C33" s="276"/>
      <c r="D33" s="164"/>
      <c r="E33" s="11"/>
      <c r="F33" s="285"/>
      <c r="G33" s="285"/>
      <c r="H33" s="164"/>
      <c r="I33" s="403"/>
      <c r="J33" s="285"/>
      <c r="K33" s="285"/>
      <c r="L33" s="164"/>
      <c r="M33" s="21"/>
    </row>
    <row r="34" spans="1:14" ht="15.75" x14ac:dyDescent="0.2">
      <c r="A34" s="13" t="s">
        <v>351</v>
      </c>
      <c r="B34" s="232"/>
      <c r="C34" s="301"/>
      <c r="D34" s="169"/>
      <c r="E34" s="11"/>
      <c r="F34" s="300"/>
      <c r="G34" s="301"/>
      <c r="H34" s="169"/>
      <c r="I34" s="11"/>
      <c r="J34" s="232"/>
      <c r="K34" s="232"/>
      <c r="L34" s="414"/>
      <c r="M34" s="22"/>
    </row>
    <row r="35" spans="1:14" ht="15.75" x14ac:dyDescent="0.2">
      <c r="A35" s="13" t="s">
        <v>352</v>
      </c>
      <c r="B35" s="232"/>
      <c r="C35" s="301"/>
      <c r="D35" s="169"/>
      <c r="E35" s="11"/>
      <c r="F35" s="300"/>
      <c r="G35" s="301"/>
      <c r="H35" s="169"/>
      <c r="I35" s="11"/>
      <c r="J35" s="232"/>
      <c r="K35" s="232"/>
      <c r="L35" s="414"/>
      <c r="M35" s="22"/>
    </row>
    <row r="36" spans="1:14" ht="15.75" x14ac:dyDescent="0.2">
      <c r="A36" s="12" t="s">
        <v>279</v>
      </c>
      <c r="B36" s="232"/>
      <c r="C36" s="301"/>
      <c r="D36" s="169"/>
      <c r="E36" s="11"/>
      <c r="F36" s="311"/>
      <c r="G36" s="312"/>
      <c r="H36" s="169"/>
      <c r="I36" s="420"/>
      <c r="J36" s="232"/>
      <c r="K36" s="232"/>
      <c r="L36" s="414"/>
      <c r="M36" s="22"/>
    </row>
    <row r="37" spans="1:14" ht="15.75" x14ac:dyDescent="0.2">
      <c r="A37" s="12" t="s">
        <v>358</v>
      </c>
      <c r="B37" s="232"/>
      <c r="C37" s="301"/>
      <c r="D37" s="169"/>
      <c r="E37" s="11"/>
      <c r="F37" s="311"/>
      <c r="G37" s="313"/>
      <c r="H37" s="169"/>
      <c r="I37" s="420"/>
      <c r="J37" s="232"/>
      <c r="K37" s="232"/>
      <c r="L37" s="414"/>
      <c r="M37" s="22"/>
    </row>
    <row r="38" spans="1:14" ht="15.75" x14ac:dyDescent="0.2">
      <c r="A38" s="12" t="s">
        <v>359</v>
      </c>
      <c r="B38" s="232"/>
      <c r="C38" s="301"/>
      <c r="D38" s="418"/>
      <c r="E38" s="22"/>
      <c r="F38" s="311"/>
      <c r="G38" s="312"/>
      <c r="H38" s="169"/>
      <c r="I38" s="420"/>
      <c r="J38" s="232"/>
      <c r="K38" s="232"/>
      <c r="L38" s="414"/>
      <c r="M38" s="22"/>
    </row>
    <row r="39" spans="1:14" ht="15.75" x14ac:dyDescent="0.2">
      <c r="A39" s="18" t="s">
        <v>360</v>
      </c>
      <c r="B39" s="271"/>
      <c r="C39" s="307"/>
      <c r="D39" s="419"/>
      <c r="E39" s="34"/>
      <c r="F39" s="314"/>
      <c r="G39" s="315"/>
      <c r="H39" s="167"/>
      <c r="I39" s="34"/>
      <c r="J39" s="232"/>
      <c r="K39" s="232"/>
      <c r="L39" s="415"/>
      <c r="M39" s="34"/>
    </row>
    <row r="40" spans="1:14" ht="15.75" x14ac:dyDescent="0.25">
      <c r="A40" s="45"/>
      <c r="B40" s="248"/>
      <c r="C40" s="248"/>
      <c r="D40" s="708"/>
      <c r="E40" s="709"/>
      <c r="F40" s="708"/>
      <c r="G40" s="708"/>
      <c r="H40" s="708"/>
      <c r="I40" s="708"/>
      <c r="J40" s="708"/>
      <c r="K40" s="708"/>
      <c r="L40" s="708"/>
      <c r="M40" s="571"/>
    </row>
    <row r="41" spans="1:14" x14ac:dyDescent="0.2">
      <c r="A41" s="153"/>
    </row>
    <row r="42" spans="1:14" ht="15.75" x14ac:dyDescent="0.25">
      <c r="A42" s="145" t="s">
        <v>268</v>
      </c>
      <c r="B42" s="704"/>
      <c r="C42" s="704"/>
      <c r="D42" s="704"/>
      <c r="E42" s="570"/>
      <c r="F42" s="709"/>
      <c r="G42" s="709"/>
      <c r="H42" s="709"/>
      <c r="I42" s="571"/>
      <c r="J42" s="709"/>
      <c r="K42" s="709"/>
      <c r="L42" s="709"/>
      <c r="M42" s="571"/>
    </row>
    <row r="43" spans="1:14" ht="15.75" x14ac:dyDescent="0.25">
      <c r="A43" s="161"/>
      <c r="B43" s="566"/>
      <c r="C43" s="566"/>
      <c r="D43" s="566"/>
      <c r="E43" s="566"/>
      <c r="F43" s="571"/>
      <c r="G43" s="571"/>
      <c r="H43" s="571"/>
      <c r="I43" s="571"/>
      <c r="J43" s="571"/>
      <c r="K43" s="571"/>
      <c r="L43" s="571"/>
      <c r="M43" s="571"/>
    </row>
    <row r="44" spans="1:14" ht="15.75" x14ac:dyDescent="0.25">
      <c r="A44" s="243"/>
      <c r="B44" s="705" t="s">
        <v>0</v>
      </c>
      <c r="C44" s="706"/>
      <c r="D44" s="706"/>
      <c r="E44" s="239"/>
      <c r="F44" s="571"/>
      <c r="G44" s="571"/>
      <c r="H44" s="571"/>
      <c r="I44" s="571"/>
      <c r="J44" s="571"/>
      <c r="K44" s="571"/>
      <c r="L44" s="571"/>
      <c r="M44" s="571"/>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c r="C47" s="303"/>
      <c r="D47" s="413"/>
      <c r="E47" s="11"/>
      <c r="F47" s="143"/>
      <c r="G47" s="31"/>
      <c r="H47" s="157"/>
      <c r="I47" s="157"/>
      <c r="J47" s="35"/>
      <c r="K47" s="35"/>
      <c r="L47" s="157"/>
      <c r="M47" s="157"/>
      <c r="N47" s="146"/>
    </row>
    <row r="48" spans="1:14" s="3" customFormat="1" ht="15.75" x14ac:dyDescent="0.2">
      <c r="A48" s="36" t="s">
        <v>361</v>
      </c>
      <c r="B48" s="276"/>
      <c r="C48" s="277"/>
      <c r="D48" s="249"/>
      <c r="E48" s="25"/>
      <c r="F48" s="143"/>
      <c r="G48" s="31"/>
      <c r="H48" s="143"/>
      <c r="I48" s="143"/>
      <c r="J48" s="31"/>
      <c r="K48" s="31"/>
      <c r="L48" s="157"/>
      <c r="M48" s="157"/>
      <c r="N48" s="146"/>
    </row>
    <row r="49" spans="1:14" s="3" customFormat="1" ht="15.75" x14ac:dyDescent="0.2">
      <c r="A49" s="36" t="s">
        <v>362</v>
      </c>
      <c r="B49" s="42"/>
      <c r="C49" s="282"/>
      <c r="D49" s="249"/>
      <c r="E49" s="25"/>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c r="C53" s="303"/>
      <c r="D53" s="414"/>
      <c r="E53" s="11"/>
      <c r="F53" s="143"/>
      <c r="G53" s="31"/>
      <c r="H53" s="143"/>
      <c r="I53" s="143"/>
      <c r="J53" s="31"/>
      <c r="K53" s="31"/>
      <c r="L53" s="157"/>
      <c r="M53" s="157"/>
      <c r="N53" s="146"/>
    </row>
    <row r="54" spans="1:14" s="3" customFormat="1" ht="15.75" x14ac:dyDescent="0.2">
      <c r="A54" s="36" t="s">
        <v>361</v>
      </c>
      <c r="B54" s="276"/>
      <c r="C54" s="277"/>
      <c r="D54" s="249"/>
      <c r="E54" s="25"/>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c r="C56" s="303"/>
      <c r="D56" s="414"/>
      <c r="E56" s="11"/>
      <c r="F56" s="143"/>
      <c r="G56" s="31"/>
      <c r="H56" s="143"/>
      <c r="I56" s="143"/>
      <c r="J56" s="31"/>
      <c r="K56" s="31"/>
      <c r="L56" s="157"/>
      <c r="M56" s="157"/>
      <c r="N56" s="146"/>
    </row>
    <row r="57" spans="1:14" s="3" customFormat="1" ht="15.75" x14ac:dyDescent="0.2">
      <c r="A57" s="36" t="s">
        <v>361</v>
      </c>
      <c r="B57" s="276"/>
      <c r="C57" s="277"/>
      <c r="D57" s="249"/>
      <c r="E57" s="25"/>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570"/>
      <c r="F62" s="707"/>
      <c r="G62" s="707"/>
      <c r="H62" s="707"/>
      <c r="I62" s="570"/>
      <c r="J62" s="707"/>
      <c r="K62" s="707"/>
      <c r="L62" s="707"/>
      <c r="M62" s="570"/>
    </row>
    <row r="63" spans="1:14" x14ac:dyDescent="0.2">
      <c r="A63" s="142"/>
      <c r="B63" s="705" t="s">
        <v>0</v>
      </c>
      <c r="C63" s="706"/>
      <c r="D63" s="710"/>
      <c r="E63" s="567"/>
      <c r="F63" s="706" t="s">
        <v>1</v>
      </c>
      <c r="G63" s="706"/>
      <c r="H63" s="706"/>
      <c r="I63" s="569"/>
      <c r="J63" s="705" t="s">
        <v>2</v>
      </c>
      <c r="K63" s="706"/>
      <c r="L63" s="706"/>
      <c r="M63" s="569"/>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c r="C66" s="344"/>
      <c r="D66" s="341"/>
      <c r="E66" s="11"/>
      <c r="F66" s="343"/>
      <c r="G66" s="343"/>
      <c r="H66" s="341"/>
      <c r="I66" s="11"/>
      <c r="J66" s="301"/>
      <c r="K66" s="308"/>
      <c r="L66" s="414"/>
      <c r="M66" s="11"/>
    </row>
    <row r="67" spans="1:14" x14ac:dyDescent="0.2">
      <c r="A67" s="405" t="s">
        <v>9</v>
      </c>
      <c r="B67" s="42"/>
      <c r="C67" s="143"/>
      <c r="D67" s="164"/>
      <c r="E67" s="25"/>
      <c r="F67" s="230"/>
      <c r="G67" s="143"/>
      <c r="H67" s="164"/>
      <c r="I67" s="25"/>
      <c r="J67" s="282"/>
      <c r="K67" s="42"/>
      <c r="L67" s="249"/>
      <c r="M67" s="25"/>
    </row>
    <row r="68" spans="1:14" x14ac:dyDescent="0.2">
      <c r="A68" s="19" t="s">
        <v>10</v>
      </c>
      <c r="B68" s="286"/>
      <c r="C68" s="287"/>
      <c r="D68" s="164"/>
      <c r="E68" s="25"/>
      <c r="F68" s="286"/>
      <c r="G68" s="287"/>
      <c r="H68" s="164"/>
      <c r="I68" s="25"/>
      <c r="J68" s="282"/>
      <c r="K68" s="42"/>
      <c r="L68" s="249"/>
      <c r="M68" s="25"/>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c r="C75" s="143"/>
      <c r="D75" s="164"/>
      <c r="E75" s="25"/>
      <c r="F75" s="230"/>
      <c r="G75" s="143"/>
      <c r="H75" s="164"/>
      <c r="I75" s="25"/>
      <c r="J75" s="282"/>
      <c r="K75" s="42"/>
      <c r="L75" s="249"/>
      <c r="M75" s="25"/>
      <c r="N75" s="146"/>
    </row>
    <row r="76" spans="1:14" s="3" customFormat="1" x14ac:dyDescent="0.2">
      <c r="A76" s="19" t="s">
        <v>336</v>
      </c>
      <c r="B76" s="230"/>
      <c r="C76" s="143"/>
      <c r="D76" s="164"/>
      <c r="E76" s="25"/>
      <c r="F76" s="230"/>
      <c r="G76" s="143"/>
      <c r="H76" s="164"/>
      <c r="I76" s="25"/>
      <c r="J76" s="282"/>
      <c r="K76" s="42"/>
      <c r="L76" s="249"/>
      <c r="M76" s="25"/>
      <c r="N76" s="146"/>
    </row>
    <row r="77" spans="1:14" ht="15.75" x14ac:dyDescent="0.2">
      <c r="A77" s="19" t="s">
        <v>367</v>
      </c>
      <c r="B77" s="230"/>
      <c r="C77" s="230"/>
      <c r="D77" s="164"/>
      <c r="E77" s="25"/>
      <c r="F77" s="230"/>
      <c r="G77" s="143"/>
      <c r="H77" s="164"/>
      <c r="I77" s="25"/>
      <c r="J77" s="282"/>
      <c r="K77" s="42"/>
      <c r="L77" s="249"/>
      <c r="M77" s="25"/>
    </row>
    <row r="78" spans="1:14" x14ac:dyDescent="0.2">
      <c r="A78" s="19" t="s">
        <v>9</v>
      </c>
      <c r="B78" s="230"/>
      <c r="C78" s="143"/>
      <c r="D78" s="164"/>
      <c r="E78" s="25"/>
      <c r="F78" s="230"/>
      <c r="G78" s="143"/>
      <c r="H78" s="164"/>
      <c r="I78" s="25"/>
      <c r="J78" s="282"/>
      <c r="K78" s="42"/>
      <c r="L78" s="249"/>
      <c r="M78" s="25"/>
    </row>
    <row r="79" spans="1:14" x14ac:dyDescent="0.2">
      <c r="A79" s="36" t="s">
        <v>400</v>
      </c>
      <c r="B79" s="286"/>
      <c r="C79" s="287"/>
      <c r="D79" s="164"/>
      <c r="E79" s="25"/>
      <c r="F79" s="286"/>
      <c r="G79" s="287"/>
      <c r="H79" s="164"/>
      <c r="I79" s="25"/>
      <c r="J79" s="282"/>
      <c r="K79" s="42"/>
      <c r="L79" s="249"/>
      <c r="M79" s="25"/>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c r="C86" s="143"/>
      <c r="D86" s="164"/>
      <c r="E86" s="25"/>
      <c r="F86" s="230"/>
      <c r="G86" s="143"/>
      <c r="H86" s="164"/>
      <c r="I86" s="25"/>
      <c r="J86" s="282"/>
      <c r="K86" s="42"/>
      <c r="L86" s="249"/>
      <c r="M86" s="25"/>
    </row>
    <row r="87" spans="1:13" ht="15.75" x14ac:dyDescent="0.2">
      <c r="A87" s="13" t="s">
        <v>350</v>
      </c>
      <c r="B87" s="344"/>
      <c r="C87" s="344"/>
      <c r="D87" s="169"/>
      <c r="E87" s="11"/>
      <c r="F87" s="343"/>
      <c r="G87" s="343"/>
      <c r="H87" s="169"/>
      <c r="I87" s="11"/>
      <c r="J87" s="301"/>
      <c r="K87" s="232"/>
      <c r="L87" s="414"/>
      <c r="M87" s="11"/>
    </row>
    <row r="88" spans="1:13" x14ac:dyDescent="0.2">
      <c r="A88" s="19" t="s">
        <v>9</v>
      </c>
      <c r="B88" s="230"/>
      <c r="C88" s="143"/>
      <c r="D88" s="164"/>
      <c r="E88" s="25"/>
      <c r="F88" s="230"/>
      <c r="G88" s="143"/>
      <c r="H88" s="164"/>
      <c r="I88" s="25"/>
      <c r="J88" s="282"/>
      <c r="K88" s="42"/>
      <c r="L88" s="249"/>
      <c r="M88" s="25"/>
    </row>
    <row r="89" spans="1:13" x14ac:dyDescent="0.2">
      <c r="A89" s="19" t="s">
        <v>10</v>
      </c>
      <c r="B89" s="230"/>
      <c r="C89" s="143"/>
      <c r="D89" s="164"/>
      <c r="E89" s="25"/>
      <c r="F89" s="230"/>
      <c r="G89" s="143"/>
      <c r="H89" s="164"/>
      <c r="I89" s="25"/>
      <c r="J89" s="282"/>
      <c r="K89" s="42"/>
      <c r="L89" s="249"/>
      <c r="M89" s="25"/>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c r="C96" s="143"/>
      <c r="D96" s="164"/>
      <c r="E96" s="25"/>
      <c r="F96" s="230"/>
      <c r="G96" s="143"/>
      <c r="H96" s="164"/>
      <c r="I96" s="25"/>
      <c r="J96" s="282"/>
      <c r="K96" s="42"/>
      <c r="L96" s="249"/>
      <c r="M96" s="25"/>
    </row>
    <row r="97" spans="1:15" x14ac:dyDescent="0.2">
      <c r="A97" s="19" t="s">
        <v>334</v>
      </c>
      <c r="B97" s="230"/>
      <c r="C97" s="143"/>
      <c r="D97" s="164"/>
      <c r="E97" s="25"/>
      <c r="F97" s="230"/>
      <c r="G97" s="143"/>
      <c r="H97" s="164"/>
      <c r="I97" s="25"/>
      <c r="J97" s="282"/>
      <c r="K97" s="42"/>
      <c r="L97" s="249"/>
      <c r="M97" s="25"/>
    </row>
    <row r="98" spans="1:15" ht="15.75" x14ac:dyDescent="0.2">
      <c r="A98" s="19" t="s">
        <v>367</v>
      </c>
      <c r="B98" s="230"/>
      <c r="C98" s="230"/>
      <c r="D98" s="164"/>
      <c r="E98" s="25"/>
      <c r="F98" s="286"/>
      <c r="G98" s="286"/>
      <c r="H98" s="164"/>
      <c r="I98" s="25"/>
      <c r="J98" s="282"/>
      <c r="K98" s="42"/>
      <c r="L98" s="249"/>
      <c r="M98" s="25"/>
    </row>
    <row r="99" spans="1:15" x14ac:dyDescent="0.2">
      <c r="A99" s="19" t="s">
        <v>9</v>
      </c>
      <c r="B99" s="286"/>
      <c r="C99" s="287"/>
      <c r="D99" s="164"/>
      <c r="E99" s="25"/>
      <c r="F99" s="230"/>
      <c r="G99" s="143"/>
      <c r="H99" s="164"/>
      <c r="I99" s="25"/>
      <c r="J99" s="282"/>
      <c r="K99" s="42"/>
      <c r="L99" s="249"/>
      <c r="M99" s="25"/>
    </row>
    <row r="100" spans="1:15" x14ac:dyDescent="0.2">
      <c r="A100" s="36" t="s">
        <v>400</v>
      </c>
      <c r="B100" s="286"/>
      <c r="C100" s="287"/>
      <c r="D100" s="164"/>
      <c r="E100" s="25"/>
      <c r="F100" s="230"/>
      <c r="G100" s="230"/>
      <c r="H100" s="164"/>
      <c r="I100" s="25"/>
      <c r="J100" s="282"/>
      <c r="K100" s="42"/>
      <c r="L100" s="249"/>
      <c r="M100" s="25"/>
    </row>
    <row r="101" spans="1:15" ht="15.75" x14ac:dyDescent="0.2">
      <c r="A101" s="288" t="s">
        <v>365</v>
      </c>
      <c r="B101" s="311"/>
      <c r="C101" s="311"/>
      <c r="D101" s="164"/>
      <c r="E101" s="21"/>
      <c r="F101" s="311"/>
      <c r="G101" s="311"/>
      <c r="H101" s="164"/>
      <c r="I101" s="21"/>
      <c r="J101" s="311"/>
      <c r="K101" s="311"/>
      <c r="L101" s="164"/>
      <c r="M101" s="21"/>
    </row>
    <row r="102" spans="1:15" x14ac:dyDescent="0.2">
      <c r="A102" s="288" t="s">
        <v>12</v>
      </c>
      <c r="B102" s="311"/>
      <c r="C102" s="311"/>
      <c r="D102" s="164"/>
      <c r="E102" s="21"/>
      <c r="F102" s="311"/>
      <c r="G102" s="311"/>
      <c r="H102" s="164"/>
      <c r="I102" s="21"/>
      <c r="J102" s="311"/>
      <c r="K102" s="311"/>
      <c r="L102" s="164"/>
      <c r="M102" s="21"/>
    </row>
    <row r="103" spans="1:15" x14ac:dyDescent="0.2">
      <c r="A103" s="288" t="s">
        <v>13</v>
      </c>
      <c r="B103" s="311"/>
      <c r="C103" s="311"/>
      <c r="D103" s="164"/>
      <c r="E103" s="21"/>
      <c r="F103" s="311"/>
      <c r="G103" s="311"/>
      <c r="H103" s="164"/>
      <c r="I103" s="21"/>
      <c r="J103" s="311"/>
      <c r="K103" s="311"/>
      <c r="L103" s="164"/>
      <c r="M103" s="21"/>
    </row>
    <row r="104" spans="1:15" ht="15.75" x14ac:dyDescent="0.2">
      <c r="A104" s="288" t="s">
        <v>366</v>
      </c>
      <c r="B104" s="311"/>
      <c r="C104" s="311"/>
      <c r="D104" s="164"/>
      <c r="E104" s="21"/>
      <c r="F104" s="311"/>
      <c r="G104" s="311"/>
      <c r="H104" s="164"/>
      <c r="I104" s="21"/>
      <c r="J104" s="311"/>
      <c r="K104" s="311"/>
      <c r="L104" s="164"/>
      <c r="M104" s="21"/>
    </row>
    <row r="105" spans="1:15" x14ac:dyDescent="0.2">
      <c r="A105" s="288" t="s">
        <v>12</v>
      </c>
      <c r="B105" s="231"/>
      <c r="C105" s="284"/>
      <c r="D105" s="164"/>
      <c r="E105" s="21"/>
      <c r="F105" s="311"/>
      <c r="G105" s="311"/>
      <c r="H105" s="164"/>
      <c r="I105" s="21"/>
      <c r="J105" s="311"/>
      <c r="K105" s="311"/>
      <c r="L105" s="164"/>
      <c r="M105" s="21"/>
    </row>
    <row r="106" spans="1:15" x14ac:dyDescent="0.2">
      <c r="A106" s="288" t="s">
        <v>13</v>
      </c>
      <c r="B106" s="231"/>
      <c r="C106" s="284"/>
      <c r="D106" s="164"/>
      <c r="E106" s="21"/>
      <c r="F106" s="311"/>
      <c r="G106" s="311"/>
      <c r="H106" s="164"/>
      <c r="I106" s="21"/>
      <c r="J106" s="311"/>
      <c r="K106" s="311"/>
      <c r="L106" s="164"/>
      <c r="M106" s="21"/>
    </row>
    <row r="107" spans="1:15" ht="15.75" x14ac:dyDescent="0.2">
      <c r="A107" s="19" t="s">
        <v>368</v>
      </c>
      <c r="B107" s="230"/>
      <c r="C107" s="143"/>
      <c r="D107" s="164"/>
      <c r="E107" s="25"/>
      <c r="F107" s="230"/>
      <c r="G107" s="143"/>
      <c r="H107" s="164"/>
      <c r="I107" s="25"/>
      <c r="J107" s="282"/>
      <c r="K107" s="42"/>
      <c r="L107" s="249"/>
      <c r="M107" s="25"/>
    </row>
    <row r="108" spans="1:15" ht="15.75" x14ac:dyDescent="0.2">
      <c r="A108" s="19" t="s">
        <v>369</v>
      </c>
      <c r="B108" s="230"/>
      <c r="C108" s="230"/>
      <c r="D108" s="164"/>
      <c r="E108" s="25"/>
      <c r="F108" s="230"/>
      <c r="G108" s="230"/>
      <c r="H108" s="164"/>
      <c r="I108" s="25"/>
      <c r="J108" s="282"/>
      <c r="K108" s="42"/>
      <c r="L108" s="249"/>
      <c r="M108" s="25"/>
    </row>
    <row r="109" spans="1:15" ht="15.75" x14ac:dyDescent="0.2">
      <c r="A109" s="36" t="s">
        <v>408</v>
      </c>
      <c r="B109" s="230"/>
      <c r="C109" s="230"/>
      <c r="D109" s="164"/>
      <c r="E109" s="25"/>
      <c r="F109" s="230"/>
      <c r="G109" s="230"/>
      <c r="H109" s="164"/>
      <c r="I109" s="25"/>
      <c r="J109" s="282"/>
      <c r="K109" s="42"/>
      <c r="L109" s="249"/>
      <c r="M109" s="25"/>
      <c r="O109" s="3"/>
    </row>
    <row r="110" spans="1:15" ht="15.75" x14ac:dyDescent="0.2">
      <c r="A110" s="19" t="s">
        <v>370</v>
      </c>
      <c r="B110" s="230"/>
      <c r="C110" s="230"/>
      <c r="D110" s="164"/>
      <c r="E110" s="25"/>
      <c r="F110" s="230"/>
      <c r="G110" s="230"/>
      <c r="H110" s="164"/>
      <c r="I110" s="25"/>
      <c r="J110" s="282"/>
      <c r="K110" s="42"/>
      <c r="L110" s="249"/>
      <c r="M110" s="25"/>
    </row>
    <row r="111" spans="1:15" ht="15.75" x14ac:dyDescent="0.2">
      <c r="A111" s="13" t="s">
        <v>351</v>
      </c>
      <c r="B111" s="300"/>
      <c r="C111" s="157"/>
      <c r="D111" s="169"/>
      <c r="E111" s="11"/>
      <c r="F111" s="300"/>
      <c r="G111" s="157"/>
      <c r="H111" s="169"/>
      <c r="I111" s="11"/>
      <c r="J111" s="301"/>
      <c r="K111" s="232"/>
      <c r="L111" s="414"/>
      <c r="M111" s="11"/>
    </row>
    <row r="112" spans="1:15" x14ac:dyDescent="0.2">
      <c r="A112" s="19" t="s">
        <v>9</v>
      </c>
      <c r="B112" s="230"/>
      <c r="C112" s="143"/>
      <c r="D112" s="164"/>
      <c r="E112" s="25"/>
      <c r="F112" s="230"/>
      <c r="G112" s="143"/>
      <c r="H112" s="164"/>
      <c r="I112" s="25"/>
      <c r="J112" s="282"/>
      <c r="K112" s="42"/>
      <c r="L112" s="249"/>
      <c r="M112" s="25"/>
    </row>
    <row r="113" spans="1:14" x14ac:dyDescent="0.2">
      <c r="A113" s="19" t="s">
        <v>10</v>
      </c>
      <c r="B113" s="230"/>
      <c r="C113" s="143"/>
      <c r="D113" s="164"/>
      <c r="E113" s="25"/>
      <c r="F113" s="230"/>
      <c r="G113" s="143"/>
      <c r="H113" s="164"/>
      <c r="I113" s="25"/>
      <c r="J113" s="282"/>
      <c r="K113" s="42"/>
      <c r="L113" s="249"/>
      <c r="M113" s="25"/>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36" t="s">
        <v>371</v>
      </c>
      <c r="B116" s="230"/>
      <c r="C116" s="230"/>
      <c r="D116" s="164"/>
      <c r="E116" s="25"/>
      <c r="F116" s="230"/>
      <c r="G116" s="230"/>
      <c r="H116" s="164"/>
      <c r="I116" s="25"/>
      <c r="J116" s="282"/>
      <c r="K116" s="42"/>
      <c r="L116" s="249"/>
      <c r="M116" s="25"/>
    </row>
    <row r="117" spans="1:14" ht="15.75" x14ac:dyDescent="0.2">
      <c r="A117" s="36" t="s">
        <v>408</v>
      </c>
      <c r="B117" s="230"/>
      <c r="C117" s="230"/>
      <c r="D117" s="164"/>
      <c r="E117" s="25"/>
      <c r="F117" s="230"/>
      <c r="G117" s="230"/>
      <c r="H117" s="164"/>
      <c r="I117" s="25"/>
      <c r="J117" s="282"/>
      <c r="K117" s="42"/>
      <c r="L117" s="249"/>
      <c r="M117" s="25"/>
    </row>
    <row r="118" spans="1:14" ht="15.75" x14ac:dyDescent="0.2">
      <c r="A118" s="36" t="s">
        <v>370</v>
      </c>
      <c r="B118" s="230"/>
      <c r="C118" s="230"/>
      <c r="D118" s="164"/>
      <c r="E118" s="25"/>
      <c r="F118" s="230"/>
      <c r="G118" s="230"/>
      <c r="H118" s="164"/>
      <c r="I118" s="25"/>
      <c r="J118" s="282"/>
      <c r="K118" s="42"/>
      <c r="L118" s="249"/>
      <c r="M118" s="25"/>
    </row>
    <row r="119" spans="1:14" ht="15.75" x14ac:dyDescent="0.2">
      <c r="A119" s="13" t="s">
        <v>352</v>
      </c>
      <c r="B119" s="300"/>
      <c r="C119" s="157"/>
      <c r="D119" s="169"/>
      <c r="E119" s="11"/>
      <c r="F119" s="300"/>
      <c r="G119" s="157"/>
      <c r="H119" s="169"/>
      <c r="I119" s="11"/>
      <c r="J119" s="301"/>
      <c r="K119" s="232"/>
      <c r="L119" s="414"/>
      <c r="M119" s="11"/>
    </row>
    <row r="120" spans="1:14" x14ac:dyDescent="0.2">
      <c r="A120" s="19" t="s">
        <v>9</v>
      </c>
      <c r="B120" s="230"/>
      <c r="C120" s="143"/>
      <c r="D120" s="164"/>
      <c r="E120" s="25"/>
      <c r="F120" s="230"/>
      <c r="G120" s="143"/>
      <c r="H120" s="164"/>
      <c r="I120" s="25"/>
      <c r="J120" s="282"/>
      <c r="K120" s="42"/>
      <c r="L120" s="249"/>
      <c r="M120" s="25"/>
    </row>
    <row r="121" spans="1:14" x14ac:dyDescent="0.2">
      <c r="A121" s="19" t="s">
        <v>10</v>
      </c>
      <c r="B121" s="230"/>
      <c r="C121" s="143"/>
      <c r="D121" s="164"/>
      <c r="E121" s="25"/>
      <c r="F121" s="230"/>
      <c r="G121" s="143"/>
      <c r="H121" s="164"/>
      <c r="I121" s="25"/>
      <c r="J121" s="282"/>
      <c r="K121" s="42"/>
      <c r="L121" s="249"/>
      <c r="M121" s="25"/>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c r="C125" s="230"/>
      <c r="D125" s="164"/>
      <c r="E125" s="25"/>
      <c r="F125" s="230"/>
      <c r="G125" s="230"/>
      <c r="H125" s="164"/>
      <c r="I125" s="25"/>
      <c r="J125" s="282"/>
      <c r="K125" s="42"/>
      <c r="L125" s="249"/>
      <c r="M125" s="25"/>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570"/>
      <c r="F130" s="707"/>
      <c r="G130" s="707"/>
      <c r="H130" s="707"/>
      <c r="I130" s="570"/>
      <c r="J130" s="707"/>
      <c r="K130" s="707"/>
      <c r="L130" s="707"/>
      <c r="M130" s="570"/>
    </row>
    <row r="131" spans="1:14" s="3" customFormat="1" x14ac:dyDescent="0.2">
      <c r="A131" s="142"/>
      <c r="B131" s="705" t="s">
        <v>0</v>
      </c>
      <c r="C131" s="706"/>
      <c r="D131" s="706"/>
      <c r="E131" s="568"/>
      <c r="F131" s="705" t="s">
        <v>1</v>
      </c>
      <c r="G131" s="706"/>
      <c r="H131" s="706"/>
      <c r="I131" s="569"/>
      <c r="J131" s="705" t="s">
        <v>2</v>
      </c>
      <c r="K131" s="706"/>
      <c r="L131" s="706"/>
      <c r="M131" s="569"/>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c r="C134" s="301"/>
      <c r="D134" s="341"/>
      <c r="E134" s="11"/>
      <c r="F134" s="308"/>
      <c r="G134" s="309"/>
      <c r="H134" s="417"/>
      <c r="I134" s="22"/>
      <c r="J134" s="310"/>
      <c r="K134" s="310"/>
      <c r="L134" s="413"/>
      <c r="M134" s="11"/>
      <c r="N134" s="146"/>
    </row>
    <row r="135" spans="1:14" s="3" customFormat="1" ht="15.75" x14ac:dyDescent="0.2">
      <c r="A135" s="13" t="s">
        <v>377</v>
      </c>
      <c r="B135" s="232"/>
      <c r="C135" s="301"/>
      <c r="D135" s="169"/>
      <c r="E135" s="11"/>
      <c r="F135" s="232"/>
      <c r="G135" s="301"/>
      <c r="H135" s="418"/>
      <c r="I135" s="22"/>
      <c r="J135" s="300"/>
      <c r="K135" s="300"/>
      <c r="L135" s="414"/>
      <c r="M135" s="11"/>
      <c r="N135" s="146"/>
    </row>
    <row r="136" spans="1:14" s="3" customFormat="1" ht="15.75" x14ac:dyDescent="0.2">
      <c r="A136" s="13" t="s">
        <v>374</v>
      </c>
      <c r="B136" s="232"/>
      <c r="C136" s="301"/>
      <c r="D136" s="169"/>
      <c r="E136" s="11"/>
      <c r="F136" s="232"/>
      <c r="G136" s="301"/>
      <c r="H136" s="418"/>
      <c r="I136" s="22"/>
      <c r="J136" s="300"/>
      <c r="K136" s="300"/>
      <c r="L136" s="414"/>
      <c r="M136" s="11"/>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30:D130"/>
    <mergeCell ref="F130:H130"/>
    <mergeCell ref="J130:L130"/>
    <mergeCell ref="B131:D131"/>
    <mergeCell ref="F131:H131"/>
    <mergeCell ref="J131:L131"/>
    <mergeCell ref="B44:D44"/>
    <mergeCell ref="B62:D62"/>
    <mergeCell ref="F62:H62"/>
    <mergeCell ref="J62:L62"/>
    <mergeCell ref="B63:D63"/>
    <mergeCell ref="F63:H63"/>
    <mergeCell ref="J63:L63"/>
    <mergeCell ref="D40:F40"/>
    <mergeCell ref="G40:I40"/>
    <mergeCell ref="J40:L40"/>
    <mergeCell ref="B42:D42"/>
    <mergeCell ref="F42:H42"/>
    <mergeCell ref="J42:L42"/>
    <mergeCell ref="B18:D18"/>
    <mergeCell ref="F18:H18"/>
    <mergeCell ref="J18:L18"/>
    <mergeCell ref="B19:D19"/>
    <mergeCell ref="F19:H19"/>
    <mergeCell ref="J19:L19"/>
    <mergeCell ref="B2:D2"/>
    <mergeCell ref="F2:H2"/>
    <mergeCell ref="J2:L2"/>
    <mergeCell ref="B4:D4"/>
    <mergeCell ref="F4:H4"/>
    <mergeCell ref="J4:L4"/>
  </mergeCells>
  <conditionalFormatting sqref="A50:A52">
    <cfRule type="expression" dxfId="242" priority="7">
      <formula>kvartal &lt; 4</formula>
    </cfRule>
  </conditionalFormatting>
  <conditionalFormatting sqref="A69:A74">
    <cfRule type="expression" dxfId="241" priority="6">
      <formula>kvartal &lt; 4</formula>
    </cfRule>
  </conditionalFormatting>
  <conditionalFormatting sqref="A80:A85">
    <cfRule type="expression" dxfId="240" priority="5">
      <formula>kvartal &lt; 4</formula>
    </cfRule>
  </conditionalFormatting>
  <conditionalFormatting sqref="A90:A95">
    <cfRule type="expression" dxfId="239" priority="4">
      <formula>kvartal &lt; 4</formula>
    </cfRule>
  </conditionalFormatting>
  <conditionalFormatting sqref="A101:A106">
    <cfRule type="expression" dxfId="238" priority="3">
      <formula>kvartal &lt; 4</formula>
    </cfRule>
  </conditionalFormatting>
  <conditionalFormatting sqref="A115">
    <cfRule type="expression" dxfId="237" priority="2">
      <formula>kvartal &lt; 4</formula>
    </cfRule>
  </conditionalFormatting>
  <conditionalFormatting sqref="A123">
    <cfRule type="expression" dxfId="236" priority="1">
      <formula>kvartal &lt; 4</formula>
    </cfRule>
  </conditionalFormatting>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T63"/>
  <sheetViews>
    <sheetView showGridLines="0" zoomScale="70" zoomScaleNormal="70" workbookViewId="0">
      <pane xSplit="1" ySplit="8" topLeftCell="B9" activePane="bottomRight" state="frozen"/>
      <selection activeCell="AU39" sqref="AU39"/>
      <selection pane="topRight" activeCell="AU39" sqref="AU39"/>
      <selection pane="bottomLeft" activeCell="AU39" sqref="AU39"/>
      <selection pane="bottomRight" activeCell="A4" sqref="A4"/>
    </sheetView>
  </sheetViews>
  <sheetFormatPr baseColWidth="10" defaultColWidth="11.42578125" defaultRowHeight="12.75" x14ac:dyDescent="0.2"/>
  <cols>
    <col min="1" max="1" width="90" style="466" customWidth="1"/>
    <col min="2" max="46" width="11.7109375" style="466" customWidth="1"/>
    <col min="47" max="16384" width="11.42578125" style="466"/>
  </cols>
  <sheetData>
    <row r="1" spans="1:46" ht="20.25" x14ac:dyDescent="0.3">
      <c r="A1" s="464" t="s">
        <v>280</v>
      </c>
      <c r="B1" s="443" t="s">
        <v>52</v>
      </c>
      <c r="C1" s="465"/>
      <c r="D1" s="465"/>
      <c r="E1" s="465"/>
      <c r="F1" s="465"/>
      <c r="G1" s="465"/>
      <c r="H1" s="465"/>
      <c r="I1" s="465"/>
      <c r="J1" s="465"/>
      <c r="K1" s="465"/>
      <c r="L1" s="465"/>
      <c r="M1" s="465"/>
    </row>
    <row r="2" spans="1:46" ht="20.25" x14ac:dyDescent="0.3">
      <c r="A2" s="464" t="s">
        <v>251</v>
      </c>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467"/>
      <c r="AO2" s="467"/>
      <c r="AP2" s="467"/>
      <c r="AQ2" s="467"/>
      <c r="AR2" s="467"/>
      <c r="AS2" s="467"/>
      <c r="AT2" s="467"/>
    </row>
    <row r="3" spans="1:46" ht="18.75" x14ac:dyDescent="0.3">
      <c r="A3" s="468" t="s">
        <v>281</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row>
    <row r="4" spans="1:46" ht="18.75" customHeight="1" x14ac:dyDescent="0.25">
      <c r="A4" s="447" t="s">
        <v>428</v>
      </c>
      <c r="B4" s="470"/>
      <c r="C4" s="470"/>
      <c r="D4" s="471"/>
      <c r="E4" s="472"/>
      <c r="F4" s="470"/>
      <c r="G4" s="471"/>
      <c r="H4" s="472"/>
      <c r="I4" s="470"/>
      <c r="J4" s="471"/>
      <c r="K4" s="472"/>
      <c r="L4" s="470"/>
      <c r="M4" s="471"/>
      <c r="N4" s="473"/>
      <c r="O4" s="473"/>
      <c r="P4" s="473"/>
      <c r="Q4" s="474"/>
      <c r="R4" s="473"/>
      <c r="S4" s="475"/>
      <c r="T4" s="474"/>
      <c r="U4" s="473"/>
      <c r="V4" s="475"/>
      <c r="W4" s="474"/>
      <c r="X4" s="473"/>
      <c r="Y4" s="475"/>
      <c r="Z4" s="474"/>
      <c r="AA4" s="473"/>
      <c r="AB4" s="475"/>
      <c r="AC4" s="474"/>
      <c r="AD4" s="473"/>
      <c r="AE4" s="475"/>
      <c r="AF4" s="474"/>
      <c r="AG4" s="473"/>
      <c r="AH4" s="475"/>
      <c r="AI4" s="474"/>
      <c r="AJ4" s="473"/>
      <c r="AK4" s="475"/>
      <c r="AL4" s="474"/>
      <c r="AM4" s="473"/>
      <c r="AN4" s="475"/>
      <c r="AO4" s="476"/>
      <c r="AP4" s="477"/>
      <c r="AQ4" s="478"/>
      <c r="AR4" s="474"/>
      <c r="AS4" s="473"/>
      <c r="AT4" s="479"/>
    </row>
    <row r="5" spans="1:46" s="439" customFormat="1" ht="18.75" customHeight="1" x14ac:dyDescent="0.3">
      <c r="A5" s="575" t="s">
        <v>98</v>
      </c>
      <c r="B5" s="717" t="s">
        <v>425</v>
      </c>
      <c r="C5" s="718"/>
      <c r="D5" s="719"/>
      <c r="E5" s="717" t="s">
        <v>172</v>
      </c>
      <c r="F5" s="718"/>
      <c r="G5" s="719"/>
      <c r="H5" s="717"/>
      <c r="I5" s="718"/>
      <c r="J5" s="719"/>
      <c r="K5" s="717" t="s">
        <v>173</v>
      </c>
      <c r="L5" s="718"/>
      <c r="M5" s="719"/>
      <c r="N5" s="717" t="s">
        <v>174</v>
      </c>
      <c r="O5" s="718"/>
      <c r="P5" s="719"/>
      <c r="Q5" s="717" t="s">
        <v>175</v>
      </c>
      <c r="R5" s="718"/>
      <c r="S5" s="719"/>
      <c r="T5" s="717"/>
      <c r="U5" s="718"/>
      <c r="V5" s="719"/>
      <c r="W5" s="627"/>
      <c r="X5" s="628"/>
      <c r="Y5" s="629"/>
      <c r="Z5" s="717" t="s">
        <v>176</v>
      </c>
      <c r="AA5" s="718"/>
      <c r="AB5" s="719"/>
      <c r="AC5" s="637"/>
      <c r="AD5" s="638"/>
      <c r="AE5" s="639"/>
      <c r="AF5" s="717" t="s">
        <v>66</v>
      </c>
      <c r="AG5" s="718"/>
      <c r="AH5" s="719"/>
      <c r="AI5" s="717" t="s">
        <v>71</v>
      </c>
      <c r="AJ5" s="718"/>
      <c r="AK5" s="719"/>
      <c r="AL5" s="717" t="s">
        <v>405</v>
      </c>
      <c r="AM5" s="718"/>
      <c r="AN5" s="719"/>
      <c r="AO5" s="711" t="s">
        <v>2</v>
      </c>
      <c r="AP5" s="712"/>
      <c r="AQ5" s="713"/>
      <c r="AR5" s="711" t="s">
        <v>282</v>
      </c>
      <c r="AS5" s="712"/>
      <c r="AT5" s="713"/>
    </row>
    <row r="6" spans="1:46" s="439" customFormat="1" ht="21" customHeight="1" x14ac:dyDescent="0.3">
      <c r="A6" s="576"/>
      <c r="B6" s="720" t="s">
        <v>179</v>
      </c>
      <c r="C6" s="721"/>
      <c r="D6" s="722"/>
      <c r="E6" s="720" t="s">
        <v>178</v>
      </c>
      <c r="F6" s="721"/>
      <c r="G6" s="722"/>
      <c r="H6" s="720" t="s">
        <v>387</v>
      </c>
      <c r="I6" s="721"/>
      <c r="J6" s="722"/>
      <c r="K6" s="720" t="s">
        <v>178</v>
      </c>
      <c r="L6" s="721"/>
      <c r="M6" s="722"/>
      <c r="N6" s="720" t="s">
        <v>179</v>
      </c>
      <c r="O6" s="721"/>
      <c r="P6" s="722"/>
      <c r="Q6" s="720" t="s">
        <v>88</v>
      </c>
      <c r="R6" s="721"/>
      <c r="S6" s="722"/>
      <c r="T6" s="720" t="s">
        <v>62</v>
      </c>
      <c r="U6" s="721"/>
      <c r="V6" s="722"/>
      <c r="W6" s="720" t="s">
        <v>64</v>
      </c>
      <c r="X6" s="721"/>
      <c r="Y6" s="722"/>
      <c r="Z6" s="720" t="s">
        <v>177</v>
      </c>
      <c r="AA6" s="721"/>
      <c r="AB6" s="722"/>
      <c r="AC6" s="720" t="s">
        <v>70</v>
      </c>
      <c r="AD6" s="721"/>
      <c r="AE6" s="722"/>
      <c r="AF6" s="720" t="s">
        <v>401</v>
      </c>
      <c r="AG6" s="721"/>
      <c r="AH6" s="722"/>
      <c r="AI6" s="720" t="s">
        <v>178</v>
      </c>
      <c r="AJ6" s="721"/>
      <c r="AK6" s="722"/>
      <c r="AL6" s="720" t="s">
        <v>178</v>
      </c>
      <c r="AM6" s="721"/>
      <c r="AN6" s="722"/>
      <c r="AO6" s="714" t="s">
        <v>283</v>
      </c>
      <c r="AP6" s="715"/>
      <c r="AQ6" s="716"/>
      <c r="AR6" s="714" t="s">
        <v>284</v>
      </c>
      <c r="AS6" s="715"/>
      <c r="AT6" s="716"/>
    </row>
    <row r="7" spans="1:46" s="439" customFormat="1" ht="18.75" customHeight="1" x14ac:dyDescent="0.3">
      <c r="A7" s="576"/>
      <c r="B7" s="576"/>
      <c r="C7" s="576"/>
      <c r="D7" s="680" t="s">
        <v>79</v>
      </c>
      <c r="E7" s="576"/>
      <c r="F7" s="576"/>
      <c r="G7" s="577" t="s">
        <v>79</v>
      </c>
      <c r="H7" s="576"/>
      <c r="I7" s="576"/>
      <c r="J7" s="577" t="s">
        <v>79</v>
      </c>
      <c r="K7" s="576"/>
      <c r="L7" s="576"/>
      <c r="M7" s="577" t="s">
        <v>79</v>
      </c>
      <c r="N7" s="576"/>
      <c r="O7" s="576"/>
      <c r="P7" s="577" t="s">
        <v>79</v>
      </c>
      <c r="Q7" s="576"/>
      <c r="R7" s="576"/>
      <c r="S7" s="577" t="s">
        <v>79</v>
      </c>
      <c r="T7" s="576"/>
      <c r="U7" s="576"/>
      <c r="V7" s="577" t="s">
        <v>79</v>
      </c>
      <c r="W7" s="576"/>
      <c r="X7" s="576"/>
      <c r="Y7" s="577" t="s">
        <v>79</v>
      </c>
      <c r="Z7" s="576"/>
      <c r="AA7" s="576"/>
      <c r="AB7" s="577" t="s">
        <v>79</v>
      </c>
      <c r="AC7" s="576"/>
      <c r="AD7" s="576"/>
      <c r="AE7" s="577" t="s">
        <v>79</v>
      </c>
      <c r="AF7" s="576"/>
      <c r="AG7" s="576"/>
      <c r="AH7" s="577" t="s">
        <v>79</v>
      </c>
      <c r="AI7" s="576"/>
      <c r="AJ7" s="576"/>
      <c r="AK7" s="577" t="s">
        <v>79</v>
      </c>
      <c r="AL7" s="576"/>
      <c r="AM7" s="576"/>
      <c r="AN7" s="577" t="s">
        <v>79</v>
      </c>
      <c r="AO7" s="576"/>
      <c r="AP7" s="576"/>
      <c r="AQ7" s="577" t="s">
        <v>79</v>
      </c>
      <c r="AR7" s="576"/>
      <c r="AS7" s="576"/>
      <c r="AT7" s="577" t="s">
        <v>79</v>
      </c>
    </row>
    <row r="8" spans="1:46" s="439" customFormat="1" ht="18.75" customHeight="1" x14ac:dyDescent="0.25">
      <c r="A8" s="578" t="s">
        <v>285</v>
      </c>
      <c r="B8" s="544">
        <v>2021</v>
      </c>
      <c r="C8" s="544">
        <v>2022</v>
      </c>
      <c r="D8" s="579" t="s">
        <v>81</v>
      </c>
      <c r="E8" s="544">
        <v>2021</v>
      </c>
      <c r="F8" s="544">
        <v>2022</v>
      </c>
      <c r="G8" s="579" t="s">
        <v>81</v>
      </c>
      <c r="H8" s="544">
        <v>2021</v>
      </c>
      <c r="I8" s="544">
        <v>2022</v>
      </c>
      <c r="J8" s="579" t="s">
        <v>81</v>
      </c>
      <c r="K8" s="544">
        <v>2021</v>
      </c>
      <c r="L8" s="544">
        <v>2022</v>
      </c>
      <c r="M8" s="579" t="s">
        <v>81</v>
      </c>
      <c r="N8" s="544">
        <v>2021</v>
      </c>
      <c r="O8" s="544">
        <v>2022</v>
      </c>
      <c r="P8" s="579" t="s">
        <v>81</v>
      </c>
      <c r="Q8" s="544">
        <v>2021</v>
      </c>
      <c r="R8" s="544">
        <v>2022</v>
      </c>
      <c r="S8" s="579" t="s">
        <v>81</v>
      </c>
      <c r="T8" s="544">
        <v>2021</v>
      </c>
      <c r="U8" s="544">
        <v>2022</v>
      </c>
      <c r="V8" s="579" t="s">
        <v>81</v>
      </c>
      <c r="W8" s="544">
        <v>2021</v>
      </c>
      <c r="X8" s="544">
        <v>2022</v>
      </c>
      <c r="Y8" s="579" t="s">
        <v>81</v>
      </c>
      <c r="Z8" s="544">
        <v>2021</v>
      </c>
      <c r="AA8" s="544">
        <v>2022</v>
      </c>
      <c r="AB8" s="579" t="s">
        <v>81</v>
      </c>
      <c r="AC8" s="544">
        <v>2021</v>
      </c>
      <c r="AD8" s="544">
        <v>2022</v>
      </c>
      <c r="AE8" s="579" t="s">
        <v>81</v>
      </c>
      <c r="AF8" s="544">
        <v>2021</v>
      </c>
      <c r="AG8" s="544">
        <v>2022</v>
      </c>
      <c r="AH8" s="579" t="s">
        <v>81</v>
      </c>
      <c r="AI8" s="544">
        <v>2021</v>
      </c>
      <c r="AJ8" s="544">
        <v>2022</v>
      </c>
      <c r="AK8" s="579" t="s">
        <v>81</v>
      </c>
      <c r="AL8" s="544">
        <v>2021</v>
      </c>
      <c r="AM8" s="544">
        <v>2022</v>
      </c>
      <c r="AN8" s="579" t="s">
        <v>81</v>
      </c>
      <c r="AO8" s="544">
        <v>2021</v>
      </c>
      <c r="AP8" s="544">
        <v>2022</v>
      </c>
      <c r="AQ8" s="579" t="s">
        <v>81</v>
      </c>
      <c r="AR8" s="544">
        <v>2021</v>
      </c>
      <c r="AS8" s="544">
        <v>2022</v>
      </c>
      <c r="AT8" s="579" t="s">
        <v>81</v>
      </c>
    </row>
    <row r="9" spans="1:46" s="439" customFormat="1" ht="18.75" customHeight="1" x14ac:dyDescent="0.3">
      <c r="A9" s="576" t="s">
        <v>286</v>
      </c>
      <c r="B9" s="580"/>
      <c r="C9" s="503"/>
      <c r="D9" s="505"/>
      <c r="E9" s="580"/>
      <c r="F9" s="503"/>
      <c r="G9" s="505"/>
      <c r="H9" s="503"/>
      <c r="I9" s="503"/>
      <c r="J9" s="505"/>
      <c r="K9" s="503"/>
      <c r="L9" s="503"/>
      <c r="M9" s="505"/>
      <c r="N9" s="503"/>
      <c r="O9" s="503"/>
      <c r="P9" s="503"/>
      <c r="Q9" s="481"/>
      <c r="R9" s="481"/>
      <c r="S9" s="505"/>
      <c r="T9" s="505"/>
      <c r="U9" s="505"/>
      <c r="V9" s="505"/>
      <c r="W9" s="503"/>
      <c r="X9" s="503"/>
      <c r="Y9" s="505"/>
      <c r="Z9" s="505"/>
      <c r="AA9" s="505"/>
      <c r="AB9" s="505"/>
      <c r="AC9" s="503"/>
      <c r="AD9" s="503"/>
      <c r="AE9" s="505"/>
      <c r="AF9" s="503"/>
      <c r="AG9" s="503"/>
      <c r="AH9" s="505"/>
      <c r="AI9" s="503"/>
      <c r="AJ9" s="503"/>
      <c r="AK9" s="505"/>
      <c r="AL9" s="503"/>
      <c r="AM9" s="503"/>
      <c r="AN9" s="505"/>
      <c r="AO9" s="505"/>
      <c r="AP9" s="505"/>
      <c r="AQ9" s="505"/>
      <c r="AR9" s="581"/>
      <c r="AS9" s="581"/>
      <c r="AT9" s="581"/>
    </row>
    <row r="10" spans="1:46" s="440" customFormat="1" ht="18.75" customHeight="1" x14ac:dyDescent="0.3">
      <c r="A10" s="574" t="s">
        <v>424</v>
      </c>
      <c r="B10" s="582"/>
      <c r="C10" s="423"/>
      <c r="D10" s="329"/>
      <c r="E10" s="582"/>
      <c r="F10" s="423"/>
      <c r="G10" s="329"/>
      <c r="H10" s="582"/>
      <c r="I10" s="423"/>
      <c r="J10" s="329"/>
      <c r="K10" s="582"/>
      <c r="L10" s="423"/>
      <c r="M10" s="329"/>
      <c r="N10" s="582"/>
      <c r="O10" s="423"/>
      <c r="P10" s="423"/>
      <c r="Q10" s="583"/>
      <c r="R10" s="482"/>
      <c r="S10" s="329"/>
      <c r="T10" s="584"/>
      <c r="U10" s="329"/>
      <c r="V10" s="329"/>
      <c r="W10" s="582"/>
      <c r="X10" s="423"/>
      <c r="Y10" s="329"/>
      <c r="Z10" s="584"/>
      <c r="AA10" s="329"/>
      <c r="AB10" s="329"/>
      <c r="AC10" s="582"/>
      <c r="AD10" s="423"/>
      <c r="AE10" s="329"/>
      <c r="AF10" s="582"/>
      <c r="AG10" s="423"/>
      <c r="AH10" s="329"/>
      <c r="AI10" s="582"/>
      <c r="AJ10" s="423"/>
      <c r="AK10" s="329"/>
      <c r="AL10" s="582"/>
      <c r="AM10" s="423"/>
      <c r="AN10" s="329"/>
      <c r="AO10" s="329"/>
      <c r="AP10" s="329"/>
      <c r="AQ10" s="329"/>
      <c r="AR10" s="585"/>
      <c r="AS10" s="585"/>
      <c r="AT10" s="585"/>
    </row>
    <row r="11" spans="1:46" s="440" customFormat="1" ht="18.75" customHeight="1" x14ac:dyDescent="0.3">
      <c r="A11" s="574" t="s">
        <v>287</v>
      </c>
      <c r="B11" s="584">
        <v>2053.1459999999997</v>
      </c>
      <c r="C11" s="329">
        <v>2148.2913760900001</v>
      </c>
      <c r="D11" s="329">
        <f t="shared" ref="D11:D16" si="0">IF(B11=0, "    ---- ", IF(ABS(ROUND(100/B11*C11-100,1))&lt;999,ROUND(100/B11*C11-100,1),IF(ROUND(100/B11*C11-100,1)&gt;999,999,-999)))</f>
        <v>4.5999999999999996</v>
      </c>
      <c r="E11" s="584">
        <v>12169.249904130002</v>
      </c>
      <c r="F11" s="329">
        <v>13209.484182050001</v>
      </c>
      <c r="G11" s="329">
        <f t="shared" ref="G11:G17" si="1">IF(E11=0, "    ---- ", IF(ABS(ROUND(100/E11*F11-100,1))&lt;999,ROUND(100/E11*F11-100,1),IF(ROUND(100/E11*F11-100,1)&gt;999,999,-999)))</f>
        <v>8.5</v>
      </c>
      <c r="H11" s="584">
        <v>2674.7453371200004</v>
      </c>
      <c r="I11" s="329">
        <v>2870.2171797000001</v>
      </c>
      <c r="J11" s="329">
        <f t="shared" ref="J11:J17" si="2">IF(H11=0, "    ---- ", IF(ABS(ROUND(100/H11*I11-100,1))&lt;999,ROUND(100/H11*I11-100,1),IF(ROUND(100/H11*I11-100,1)&gt;999,999,-999)))</f>
        <v>7.3</v>
      </c>
      <c r="K11" s="584">
        <v>563.12859400000002</v>
      </c>
      <c r="L11" s="329">
        <v>623.01400000000001</v>
      </c>
      <c r="M11" s="329">
        <f t="shared" ref="M11:M17" si="3">IF(K11=0, "    ---- ", IF(ABS(ROUND(100/K11*L11-100,1))&lt;999,ROUND(100/K11*L11-100,1),IF(ROUND(100/K11*L11-100,1)&gt;999,999,-999)))</f>
        <v>10.6</v>
      </c>
      <c r="N11" s="584">
        <v>3263.7</v>
      </c>
      <c r="O11" s="329">
        <v>3826</v>
      </c>
      <c r="P11" s="329">
        <f t="shared" ref="P11:P17" si="4">IF(N11=0, "    ---- ", IF(ABS(ROUND(100/N11*O11-100,1))&lt;999,ROUND(100/N11*O11-100,1),IF(ROUND(100/N11*O11-100,1)&gt;999,999,-999)))</f>
        <v>17.2</v>
      </c>
      <c r="Q11" s="584">
        <v>25.866788830000001</v>
      </c>
      <c r="R11" s="427">
        <v>34.252362089999998</v>
      </c>
      <c r="S11" s="329">
        <f>IF(Q11=0, "    ---- ", IF(ABS(ROUND(100/Q11*R11-100,1))&lt;999,ROUND(100/Q11*R11-100,1),IF(ROUND(100/Q11*R11-100,1)&gt;999,999,-999)))</f>
        <v>32.4</v>
      </c>
      <c r="T11" s="584">
        <v>41162.85014653</v>
      </c>
      <c r="U11" s="329">
        <v>40247.75207645</v>
      </c>
      <c r="V11" s="329">
        <f t="shared" ref="V11:V17" si="5">IF(T11=0, "    ---- ", IF(ABS(ROUND(100/T11*U11-100,1))&lt;999,ROUND(100/T11*U11-100,1),IF(ROUND(100/T11*U11-100,1)&gt;999,999,-999)))</f>
        <v>-2.2000000000000002</v>
      </c>
      <c r="W11" s="584">
        <v>14487.47</v>
      </c>
      <c r="X11" s="329">
        <v>11823.878799999999</v>
      </c>
      <c r="Y11" s="329">
        <f t="shared" ref="Y11:Y17" si="6">IF(W11=0, "    ---- ", IF(ABS(ROUND(100/W11*X11-100,1))&lt;999,ROUND(100/W11*X11-100,1),IF(ROUND(100/W11*X11-100,1)&gt;999,999,-999)))</f>
        <v>-18.399999999999999</v>
      </c>
      <c r="Z11" s="584">
        <v>6102</v>
      </c>
      <c r="AA11" s="329">
        <v>7095</v>
      </c>
      <c r="AB11" s="329">
        <f t="shared" ref="AB11:AB17" si="7">IF(Z11=0, "    ---- ", IF(ABS(ROUND(100/Z11*AA11-100,1))&lt;999,ROUND(100/Z11*AA11-100,1),IF(ROUND(100/Z11*AA11-100,1)&gt;999,999,-999)))</f>
        <v>16.3</v>
      </c>
      <c r="AC11" s="192">
        <v>118.58072222</v>
      </c>
      <c r="AD11" s="427">
        <v>82.874316989999997</v>
      </c>
      <c r="AE11" s="329">
        <f t="shared" ref="AE11:AE16" si="8">IF(AC11=0, "    ---- ", IF(ABS(ROUND(100/AC11*AD11-100,1))&lt;999,ROUND(100/AC11*AD11-100,1),IF(ROUND(100/AC11*AD11-100,1)&gt;999,999,-999)))</f>
        <v>-30.1</v>
      </c>
      <c r="AF11" s="584">
        <v>4684.7154375499986</v>
      </c>
      <c r="AG11" s="329">
        <v>5214.6557620200019</v>
      </c>
      <c r="AH11" s="329">
        <f t="shared" ref="AH11:AH17" si="9">IF(AF11=0, "    ---- ", IF(ABS(ROUND(100/AF11*AG11-100,1))&lt;999,ROUND(100/AF11*AG11-100,1),IF(ROUND(100/AF11*AG11-100,1)&gt;999,999,-999)))</f>
        <v>11.3</v>
      </c>
      <c r="AI11" s="584">
        <v>14898</v>
      </c>
      <c r="AJ11" s="329">
        <v>15331</v>
      </c>
      <c r="AK11" s="329">
        <f t="shared" ref="AK11:AK17" si="10">IF(AI11=0, "    ---- ", IF(ABS(ROUND(100/AI11*AJ11-100,1))&lt;999,ROUND(100/AI11*AJ11-100,1),IF(ROUND(100/AI11*AJ11-100,1)&gt;999,999,-999)))</f>
        <v>2.9</v>
      </c>
      <c r="AL11" s="584"/>
      <c r="AM11" s="329">
        <v>4</v>
      </c>
      <c r="AN11" s="329" t="str">
        <f t="shared" ref="AN11:AN15" si="11">IF(AL11=0, "    ---- ", IF(ABS(ROUND(100/AL11*AM11-100,1))&lt;999,ROUND(100/AL11*AM11-100,1),IF(ROUND(100/AL11*AM11-100,1)&gt;999,999,-999)))</f>
        <v xml:space="preserve">    ---- </v>
      </c>
      <c r="AO11" s="329">
        <f>B11+E11+H11+K11+N11+T11+W11+Z11+AF11+AI11</f>
        <v>102059.00541933</v>
      </c>
      <c r="AP11" s="329">
        <f>C11+F11+I11+L11+O11+U11+X11+AA11+AG11+AJ11</f>
        <v>102389.29337631</v>
      </c>
      <c r="AQ11" s="329">
        <f t="shared" ref="AQ11:AQ46" si="12">IF(AO11=0, "    ---- ", IF(ABS(ROUND(100/AO11*AP11-100,1))&lt;999,ROUND(100/AO11*AP11-100,1),IF(ROUND(100/AO11*AP11-100,1)&gt;999,999,-999)))</f>
        <v>0.3</v>
      </c>
      <c r="AR11" s="427">
        <f>+B11+E11+H11+K11+N11+Q11+T11+W11+Z11+AC11+AF11+AI11+AL11</f>
        <v>102203.45293037999</v>
      </c>
      <c r="AS11" s="427">
        <f>+C11+F11+I11+L11+O11+R11+U11+X11+AA11+AD11+AG11+AJ11+AM11</f>
        <v>102510.42005539</v>
      </c>
      <c r="AT11" s="329">
        <f t="shared" ref="AT11:AT17" si="13">IF(AR11=0, "    ---- ", IF(ABS(ROUND(100/AR11*AS11-100,1))&lt;999,ROUND(100/AR11*AS11-100,1),IF(ROUND(100/AR11*AS11-100,1)&gt;999,999,-999)))</f>
        <v>0.3</v>
      </c>
    </row>
    <row r="12" spans="1:46" s="440" customFormat="1" ht="18.75" customHeight="1" x14ac:dyDescent="0.3">
      <c r="A12" s="574" t="s">
        <v>288</v>
      </c>
      <c r="B12" s="584">
        <v>-86.486000000000004</v>
      </c>
      <c r="C12" s="329">
        <v>-80.994227989999999</v>
      </c>
      <c r="D12" s="329">
        <f t="shared" si="0"/>
        <v>-6.3</v>
      </c>
      <c r="E12" s="584">
        <v>-212.67733215000001</v>
      </c>
      <c r="F12" s="329">
        <v>-254.91724719999999</v>
      </c>
      <c r="G12" s="329">
        <f t="shared" si="1"/>
        <v>19.899999999999999</v>
      </c>
      <c r="H12" s="584">
        <v>-115.99971381</v>
      </c>
      <c r="I12" s="329">
        <v>-116.40488186</v>
      </c>
      <c r="J12" s="329">
        <f t="shared" si="2"/>
        <v>0.3</v>
      </c>
      <c r="K12" s="584">
        <v>-20.119945000000001</v>
      </c>
      <c r="L12" s="329">
        <v>-23.111000000000001</v>
      </c>
      <c r="M12" s="329">
        <f t="shared" si="3"/>
        <v>14.9</v>
      </c>
      <c r="N12" s="584">
        <v>-60.8</v>
      </c>
      <c r="O12" s="329">
        <v>-68</v>
      </c>
      <c r="P12" s="329">
        <f t="shared" si="4"/>
        <v>11.8</v>
      </c>
      <c r="Q12" s="584"/>
      <c r="R12" s="427"/>
      <c r="S12" s="329"/>
      <c r="T12" s="584"/>
      <c r="U12" s="329"/>
      <c r="V12" s="329"/>
      <c r="W12" s="584">
        <v>-67</v>
      </c>
      <c r="X12" s="329">
        <v>-68.41</v>
      </c>
      <c r="Y12" s="329">
        <f t="shared" si="6"/>
        <v>2.1</v>
      </c>
      <c r="Z12" s="584">
        <v>-1</v>
      </c>
      <c r="AA12" s="329">
        <v>-1</v>
      </c>
      <c r="AB12" s="329">
        <f t="shared" si="7"/>
        <v>0</v>
      </c>
      <c r="AC12" s="192"/>
      <c r="AD12" s="427"/>
      <c r="AE12" s="329"/>
      <c r="AF12" s="584">
        <v>-4.5049999999999999</v>
      </c>
      <c r="AG12" s="329">
        <v>-4.8890000000000002</v>
      </c>
      <c r="AH12" s="329">
        <f t="shared" si="9"/>
        <v>8.5</v>
      </c>
      <c r="AI12" s="584">
        <v>-6</v>
      </c>
      <c r="AJ12" s="329">
        <v>-7</v>
      </c>
      <c r="AK12" s="329">
        <f t="shared" si="10"/>
        <v>16.7</v>
      </c>
      <c r="AL12" s="584"/>
      <c r="AM12" s="329">
        <v>-1</v>
      </c>
      <c r="AN12" s="329" t="str">
        <f t="shared" si="11"/>
        <v xml:space="preserve">    ---- </v>
      </c>
      <c r="AO12" s="329">
        <f t="shared" ref="AO12:AP46" si="14">B12+E12+H12+K12+N12+T12+W12+Z12+AF12+AI12</f>
        <v>-574.58799095999996</v>
      </c>
      <c r="AP12" s="329">
        <f t="shared" si="14"/>
        <v>-624.72635704999993</v>
      </c>
      <c r="AQ12" s="329">
        <f t="shared" si="12"/>
        <v>8.6999999999999993</v>
      </c>
      <c r="AR12" s="427">
        <f t="shared" ref="AR12:AS17" si="15">+B12+E12+H12+K12+N12+Q12+T12+W12+Z12+AC12+AF12+AI12+AL12</f>
        <v>-574.58799095999996</v>
      </c>
      <c r="AS12" s="427">
        <f t="shared" si="15"/>
        <v>-625.72635704999993</v>
      </c>
      <c r="AT12" s="329">
        <f t="shared" si="13"/>
        <v>8.9</v>
      </c>
    </row>
    <row r="13" spans="1:46" s="440" customFormat="1" ht="18.75" customHeight="1" x14ac:dyDescent="0.3">
      <c r="A13" s="574" t="s">
        <v>409</v>
      </c>
      <c r="B13" s="584">
        <v>3785.288</v>
      </c>
      <c r="C13" s="329">
        <v>1956.3120925299997</v>
      </c>
      <c r="D13" s="329">
        <f t="shared" si="0"/>
        <v>-48.3</v>
      </c>
      <c r="E13" s="584">
        <v>19013.55908993</v>
      </c>
      <c r="F13" s="329">
        <v>9811.7769809699985</v>
      </c>
      <c r="G13" s="329">
        <f t="shared" si="1"/>
        <v>-48.4</v>
      </c>
      <c r="H13" s="584"/>
      <c r="I13" s="329"/>
      <c r="J13" s="329"/>
      <c r="K13" s="584"/>
      <c r="L13" s="329"/>
      <c r="M13" s="329"/>
      <c r="N13" s="584">
        <v>7102.4</v>
      </c>
      <c r="O13" s="329">
        <v>5575</v>
      </c>
      <c r="P13" s="329">
        <f t="shared" si="4"/>
        <v>-21.5</v>
      </c>
      <c r="Q13" s="584"/>
      <c r="R13" s="427"/>
      <c r="S13" s="329"/>
      <c r="T13" s="584">
        <v>0</v>
      </c>
      <c r="U13" s="329">
        <v>385.631237</v>
      </c>
      <c r="V13" s="329" t="str">
        <f t="shared" si="5"/>
        <v xml:space="preserve">    ---- </v>
      </c>
      <c r="W13" s="584">
        <v>8951</v>
      </c>
      <c r="X13" s="329">
        <v>5411.57</v>
      </c>
      <c r="Y13" s="329">
        <f t="shared" si="6"/>
        <v>-39.5</v>
      </c>
      <c r="Z13" s="584">
        <v>14</v>
      </c>
      <c r="AA13" s="329">
        <v>0</v>
      </c>
      <c r="AB13" s="329">
        <f t="shared" si="7"/>
        <v>-100</v>
      </c>
      <c r="AC13" s="192">
        <v>78.064413000000002</v>
      </c>
      <c r="AD13" s="427">
        <v>31.653417000000001</v>
      </c>
      <c r="AE13" s="329">
        <f t="shared" si="8"/>
        <v>-59.5</v>
      </c>
      <c r="AF13" s="584">
        <v>7143.6231994599993</v>
      </c>
      <c r="AG13" s="329">
        <v>3677.1436079800005</v>
      </c>
      <c r="AH13" s="329">
        <f t="shared" si="9"/>
        <v>-48.5</v>
      </c>
      <c r="AI13" s="584">
        <v>13610</v>
      </c>
      <c r="AJ13" s="329">
        <v>7612</v>
      </c>
      <c r="AK13" s="329">
        <f t="shared" si="10"/>
        <v>-44.1</v>
      </c>
      <c r="AL13" s="584"/>
      <c r="AM13" s="329"/>
      <c r="AN13" s="329"/>
      <c r="AO13" s="329">
        <f t="shared" si="14"/>
        <v>59619.870289390004</v>
      </c>
      <c r="AP13" s="329">
        <f t="shared" si="14"/>
        <v>34429.433918480005</v>
      </c>
      <c r="AQ13" s="329">
        <f t="shared" si="12"/>
        <v>-42.3</v>
      </c>
      <c r="AR13" s="427">
        <f t="shared" si="15"/>
        <v>59697.934702390005</v>
      </c>
      <c r="AS13" s="427">
        <f t="shared" si="15"/>
        <v>34461.087335479999</v>
      </c>
      <c r="AT13" s="329">
        <f t="shared" si="13"/>
        <v>-42.3</v>
      </c>
    </row>
    <row r="14" spans="1:46" s="440" customFormat="1" ht="18.75" customHeight="1" x14ac:dyDescent="0.3">
      <c r="A14" s="574" t="s">
        <v>289</v>
      </c>
      <c r="B14" s="584">
        <f>SUM(B11:B13)</f>
        <v>5751.9479999999994</v>
      </c>
      <c r="C14" s="545">
        <f>SUM(C11:C13)</f>
        <v>4023.6092406299995</v>
      </c>
      <c r="D14" s="329">
        <f t="shared" si="0"/>
        <v>-30</v>
      </c>
      <c r="E14" s="582">
        <f>SUM(E11:E13)</f>
        <v>30970.131661910003</v>
      </c>
      <c r="F14" s="423">
        <f>SUM(F11:F13)</f>
        <v>22766.343915819998</v>
      </c>
      <c r="G14" s="329">
        <f t="shared" si="1"/>
        <v>-26.5</v>
      </c>
      <c r="H14" s="582">
        <v>2558.7456233100002</v>
      </c>
      <c r="I14" s="423">
        <f>SUM(I11:I13)</f>
        <v>2753.8122978400002</v>
      </c>
      <c r="J14" s="329">
        <f t="shared" si="2"/>
        <v>7.6</v>
      </c>
      <c r="K14" s="582">
        <f>SUM(K11:K13)</f>
        <v>543.00864899999999</v>
      </c>
      <c r="L14" s="423">
        <f>SUM(L11:L13)</f>
        <v>599.90300000000002</v>
      </c>
      <c r="M14" s="329">
        <f t="shared" si="3"/>
        <v>10.5</v>
      </c>
      <c r="N14" s="582">
        <f>SUM(N11:N13)</f>
        <v>10305.299999999999</v>
      </c>
      <c r="O14" s="423">
        <f>SUM(O11:O13)</f>
        <v>9333</v>
      </c>
      <c r="P14" s="329">
        <f t="shared" si="4"/>
        <v>-9.4</v>
      </c>
      <c r="Q14" s="582">
        <f>SUM(Q11:Q13)</f>
        <v>25.866788830000001</v>
      </c>
      <c r="R14" s="518">
        <f>SUM(R11:R13)</f>
        <v>34.252362089999998</v>
      </c>
      <c r="S14" s="329">
        <f>IF(Q14=0, "    ---- ", IF(ABS(ROUND(100/Q14*R14-100,1))&lt;999,ROUND(100/Q14*R14-100,1),IF(ROUND(100/Q14*R14-100,1)&gt;999,999,-999)))</f>
        <v>32.4</v>
      </c>
      <c r="T14" s="582">
        <v>41162.85014653</v>
      </c>
      <c r="U14" s="423">
        <v>40633.383313450002</v>
      </c>
      <c r="V14" s="329">
        <f t="shared" si="5"/>
        <v>-1.3</v>
      </c>
      <c r="W14" s="582">
        <f>SUM(W11:W13)</f>
        <v>23371.47</v>
      </c>
      <c r="X14" s="423">
        <f>SUM(X11:X13)</f>
        <v>17167.038799999998</v>
      </c>
      <c r="Y14" s="329">
        <f t="shared" si="6"/>
        <v>-26.5</v>
      </c>
      <c r="Z14" s="582">
        <f>SUM(Z11:Z13)</f>
        <v>6115</v>
      </c>
      <c r="AA14" s="423">
        <f>SUM(AA11:AA13)</f>
        <v>7094</v>
      </c>
      <c r="AB14" s="329">
        <f t="shared" si="7"/>
        <v>16</v>
      </c>
      <c r="AC14" s="102">
        <f>SUM(AC11:AC13)</f>
        <v>196.64513521999999</v>
      </c>
      <c r="AD14" s="518">
        <f>SUM(AD11:AD13)</f>
        <v>114.52773399</v>
      </c>
      <c r="AE14" s="329">
        <f t="shared" si="8"/>
        <v>-41.8</v>
      </c>
      <c r="AF14" s="582">
        <f>SUM(AF11:AF13)</f>
        <v>11823.833637009997</v>
      </c>
      <c r="AG14" s="423">
        <f>SUM(AG11:AG13)</f>
        <v>8886.9103700000014</v>
      </c>
      <c r="AH14" s="329">
        <f t="shared" si="9"/>
        <v>-24.8</v>
      </c>
      <c r="AI14" s="582">
        <f>SUM(AI11:AI13)</f>
        <v>28502</v>
      </c>
      <c r="AJ14" s="423">
        <f>SUM(AJ11:AJ13)</f>
        <v>22936</v>
      </c>
      <c r="AK14" s="329">
        <f t="shared" si="10"/>
        <v>-19.5</v>
      </c>
      <c r="AL14" s="582"/>
      <c r="AM14" s="423">
        <f>SUM(AM11:AM13)</f>
        <v>3</v>
      </c>
      <c r="AN14" s="329" t="str">
        <f t="shared" si="11"/>
        <v xml:space="preserve">    ---- </v>
      </c>
      <c r="AO14" s="329">
        <f t="shared" si="14"/>
        <v>161104.28771775999</v>
      </c>
      <c r="AP14" s="329">
        <f t="shared" si="14"/>
        <v>136194.00093773997</v>
      </c>
      <c r="AQ14" s="329">
        <f t="shared" si="12"/>
        <v>-15.5</v>
      </c>
      <c r="AR14" s="427">
        <f t="shared" si="15"/>
        <v>161326.79964180998</v>
      </c>
      <c r="AS14" s="427">
        <f t="shared" si="15"/>
        <v>136345.78103382001</v>
      </c>
      <c r="AT14" s="329">
        <f t="shared" si="13"/>
        <v>-15.5</v>
      </c>
    </row>
    <row r="15" spans="1:46" s="440" customFormat="1" ht="18.75" customHeight="1" x14ac:dyDescent="0.3">
      <c r="A15" s="574" t="s">
        <v>290</v>
      </c>
      <c r="B15" s="192">
        <v>7.5170000000000003</v>
      </c>
      <c r="C15" s="545">
        <v>-80.313453915991332</v>
      </c>
      <c r="D15" s="329">
        <f t="shared" si="0"/>
        <v>-999</v>
      </c>
      <c r="E15" s="192">
        <v>6408.4429132300011</v>
      </c>
      <c r="F15" s="427">
        <v>-397.5544376099997</v>
      </c>
      <c r="G15" s="329">
        <f t="shared" si="1"/>
        <v>-106.2</v>
      </c>
      <c r="H15" s="586">
        <v>67.088604500000002</v>
      </c>
      <c r="I15" s="506">
        <v>-196.76593108000003</v>
      </c>
      <c r="J15" s="329">
        <f t="shared" si="2"/>
        <v>-393.3</v>
      </c>
      <c r="K15" s="586">
        <v>49.462055999999997</v>
      </c>
      <c r="L15" s="506">
        <v>-39.170999999999999</v>
      </c>
      <c r="M15" s="329">
        <f t="shared" si="3"/>
        <v>-179.2</v>
      </c>
      <c r="N15" s="192">
        <v>217.1</v>
      </c>
      <c r="O15" s="427">
        <v>136</v>
      </c>
      <c r="P15" s="329">
        <f t="shared" si="4"/>
        <v>-37.4</v>
      </c>
      <c r="Q15" s="587"/>
      <c r="R15" s="504"/>
      <c r="S15" s="329"/>
      <c r="T15" s="192">
        <v>32977.656970770004</v>
      </c>
      <c r="U15" s="427">
        <v>-17580.944603599997</v>
      </c>
      <c r="V15" s="329">
        <f t="shared" si="5"/>
        <v>-153.30000000000001</v>
      </c>
      <c r="W15" s="192">
        <v>3080.83</v>
      </c>
      <c r="X15" s="427">
        <v>162.03190000000001</v>
      </c>
      <c r="Y15" s="329">
        <f t="shared" si="6"/>
        <v>-94.7</v>
      </c>
      <c r="Z15" s="192">
        <v>7808</v>
      </c>
      <c r="AA15" s="427">
        <v>-3840</v>
      </c>
      <c r="AB15" s="329">
        <f t="shared" si="7"/>
        <v>-149.19999999999999</v>
      </c>
      <c r="AC15" s="587"/>
      <c r="AD15" s="504"/>
      <c r="AE15" s="329"/>
      <c r="AF15" s="588">
        <v>1045.2961042799998</v>
      </c>
      <c r="AG15" s="483">
        <v>-870.33901344000049</v>
      </c>
      <c r="AH15" s="329">
        <f t="shared" si="9"/>
        <v>-183.3</v>
      </c>
      <c r="AI15" s="192">
        <v>4665</v>
      </c>
      <c r="AJ15" s="427">
        <v>-4408</v>
      </c>
      <c r="AK15" s="329">
        <f t="shared" si="10"/>
        <v>-194.5</v>
      </c>
      <c r="AL15" s="192"/>
      <c r="AM15" s="427">
        <v>0</v>
      </c>
      <c r="AN15" s="329" t="str">
        <f t="shared" si="11"/>
        <v xml:space="preserve">    ---- </v>
      </c>
      <c r="AO15" s="329">
        <f t="shared" si="14"/>
        <v>56326.393648780009</v>
      </c>
      <c r="AP15" s="329">
        <f t="shared" si="14"/>
        <v>-27115.056539645986</v>
      </c>
      <c r="AQ15" s="329">
        <f t="shared" si="12"/>
        <v>-148.1</v>
      </c>
      <c r="AR15" s="427">
        <f t="shared" si="15"/>
        <v>56326.393648780009</v>
      </c>
      <c r="AS15" s="427">
        <f t="shared" si="15"/>
        <v>-27115.056539645986</v>
      </c>
      <c r="AT15" s="329">
        <f t="shared" si="13"/>
        <v>-148.1</v>
      </c>
    </row>
    <row r="16" spans="1:46" s="440" customFormat="1" ht="18.75" customHeight="1" x14ac:dyDescent="0.3">
      <c r="A16" s="574" t="s">
        <v>291</v>
      </c>
      <c r="B16" s="192">
        <v>2023.32</v>
      </c>
      <c r="C16" s="545">
        <v>-4062.5590824499996</v>
      </c>
      <c r="D16" s="329">
        <f t="shared" si="0"/>
        <v>-300.8</v>
      </c>
      <c r="E16" s="192">
        <v>10420.390005119996</v>
      </c>
      <c r="F16" s="427">
        <v>-18103.482132130001</v>
      </c>
      <c r="G16" s="329">
        <f t="shared" si="1"/>
        <v>-273.7</v>
      </c>
      <c r="H16" s="586"/>
      <c r="I16" s="506"/>
      <c r="J16" s="329"/>
      <c r="K16" s="586"/>
      <c r="L16" s="506"/>
      <c r="M16" s="329"/>
      <c r="N16" s="192">
        <v>3013.8</v>
      </c>
      <c r="O16" s="427">
        <v>-6791</v>
      </c>
      <c r="P16" s="423">
        <f t="shared" si="4"/>
        <v>-325.3</v>
      </c>
      <c r="Q16" s="587"/>
      <c r="R16" s="504"/>
      <c r="S16" s="589"/>
      <c r="T16" s="192">
        <v>118.1739824</v>
      </c>
      <c r="U16" s="427">
        <v>-104.38574818000001</v>
      </c>
      <c r="V16" s="589">
        <f t="shared" si="5"/>
        <v>-188.3</v>
      </c>
      <c r="W16" s="192">
        <v>9661.69</v>
      </c>
      <c r="X16" s="427">
        <v>-17732.279399999999</v>
      </c>
      <c r="Y16" s="329">
        <f t="shared" si="6"/>
        <v>-283.5</v>
      </c>
      <c r="Z16" s="192"/>
      <c r="AA16" s="427"/>
      <c r="AB16" s="329"/>
      <c r="AC16" s="643">
        <v>314.72309575000003</v>
      </c>
      <c r="AD16" s="506">
        <v>-438.47896112000001</v>
      </c>
      <c r="AE16" s="329">
        <f t="shared" si="8"/>
        <v>-239.3</v>
      </c>
      <c r="AF16" s="588">
        <v>4281.0129498899996</v>
      </c>
      <c r="AG16" s="483">
        <v>-7661.5304852300014</v>
      </c>
      <c r="AH16" s="329">
        <f t="shared" si="9"/>
        <v>-279</v>
      </c>
      <c r="AI16" s="192">
        <v>13052</v>
      </c>
      <c r="AJ16" s="427">
        <v>-18167</v>
      </c>
      <c r="AK16" s="329">
        <f t="shared" si="10"/>
        <v>-239.2</v>
      </c>
      <c r="AL16" s="192"/>
      <c r="AM16" s="427"/>
      <c r="AN16" s="329"/>
      <c r="AO16" s="329">
        <f t="shared" si="14"/>
        <v>42570.386937409996</v>
      </c>
      <c r="AP16" s="329">
        <f t="shared" si="14"/>
        <v>-72622.236847990003</v>
      </c>
      <c r="AQ16" s="329">
        <f t="shared" si="12"/>
        <v>-270.60000000000002</v>
      </c>
      <c r="AR16" s="427">
        <f t="shared" si="15"/>
        <v>42885.110033159996</v>
      </c>
      <c r="AS16" s="427">
        <f t="shared" si="15"/>
        <v>-73060.715809109999</v>
      </c>
      <c r="AT16" s="329">
        <f t="shared" si="13"/>
        <v>-270.39999999999998</v>
      </c>
    </row>
    <row r="17" spans="1:46" s="440" customFormat="1" ht="18.75" customHeight="1" x14ac:dyDescent="0.3">
      <c r="A17" s="574" t="s">
        <v>292</v>
      </c>
      <c r="B17" s="192"/>
      <c r="C17" s="427"/>
      <c r="D17" s="329"/>
      <c r="E17" s="192">
        <v>5.0553127699999996</v>
      </c>
      <c r="F17" s="427">
        <v>33.323694920000001</v>
      </c>
      <c r="G17" s="329">
        <f t="shared" si="1"/>
        <v>559.20000000000005</v>
      </c>
      <c r="H17" s="586">
        <v>5.8307104299999697</v>
      </c>
      <c r="I17" s="506">
        <v>6.7200871600000003</v>
      </c>
      <c r="J17" s="329">
        <f t="shared" si="2"/>
        <v>15.3</v>
      </c>
      <c r="K17" s="586">
        <v>5.1228000000000003E-2</v>
      </c>
      <c r="L17" s="506"/>
      <c r="M17" s="329">
        <f t="shared" si="3"/>
        <v>-100</v>
      </c>
      <c r="N17" s="192">
        <v>162.69999999999999</v>
      </c>
      <c r="O17" s="427">
        <v>162</v>
      </c>
      <c r="P17" s="423">
        <f t="shared" si="4"/>
        <v>-0.4</v>
      </c>
      <c r="Q17" s="587"/>
      <c r="R17" s="504"/>
      <c r="S17" s="329"/>
      <c r="T17" s="192">
        <v>942.431149</v>
      </c>
      <c r="U17" s="427">
        <v>1011.93395</v>
      </c>
      <c r="V17" s="329">
        <f t="shared" si="5"/>
        <v>7.4</v>
      </c>
      <c r="W17" s="192">
        <v>254.54</v>
      </c>
      <c r="X17" s="427">
        <v>193.55879999999999</v>
      </c>
      <c r="Y17" s="329">
        <f t="shared" si="6"/>
        <v>-24</v>
      </c>
      <c r="Z17" s="192">
        <v>10</v>
      </c>
      <c r="AA17" s="427">
        <v>22</v>
      </c>
      <c r="AB17" s="329">
        <f t="shared" si="7"/>
        <v>120</v>
      </c>
      <c r="AC17" s="587"/>
      <c r="AD17" s="504"/>
      <c r="AE17" s="329"/>
      <c r="AF17" s="588">
        <v>257.96046215000001</v>
      </c>
      <c r="AG17" s="483">
        <v>233.29798516000014</v>
      </c>
      <c r="AH17" s="329">
        <f t="shared" si="9"/>
        <v>-9.6</v>
      </c>
      <c r="AI17" s="192">
        <v>652</v>
      </c>
      <c r="AJ17" s="427">
        <v>613</v>
      </c>
      <c r="AK17" s="329">
        <f t="shared" si="10"/>
        <v>-6</v>
      </c>
      <c r="AL17" s="192"/>
      <c r="AM17" s="427"/>
      <c r="AN17" s="329"/>
      <c r="AO17" s="329">
        <f t="shared" si="14"/>
        <v>2290.56886235</v>
      </c>
      <c r="AP17" s="329">
        <f t="shared" si="14"/>
        <v>2275.83451724</v>
      </c>
      <c r="AQ17" s="329">
        <f t="shared" si="12"/>
        <v>-0.6</v>
      </c>
      <c r="AR17" s="427">
        <f t="shared" si="15"/>
        <v>2290.56886235</v>
      </c>
      <c r="AS17" s="427">
        <f t="shared" si="15"/>
        <v>2275.83451724</v>
      </c>
      <c r="AT17" s="329">
        <f t="shared" si="13"/>
        <v>-0.6</v>
      </c>
    </row>
    <row r="18" spans="1:46" s="440" customFormat="1" ht="18.75" customHeight="1" x14ac:dyDescent="0.3">
      <c r="A18" s="574" t="s">
        <v>293</v>
      </c>
      <c r="B18" s="192"/>
      <c r="C18" s="427"/>
      <c r="D18" s="329"/>
      <c r="E18" s="192"/>
      <c r="F18" s="427"/>
      <c r="G18" s="329"/>
      <c r="H18" s="586"/>
      <c r="I18" s="506"/>
      <c r="J18" s="329"/>
      <c r="K18" s="586"/>
      <c r="L18" s="506"/>
      <c r="M18" s="329"/>
      <c r="N18" s="192"/>
      <c r="O18" s="427"/>
      <c r="P18" s="423"/>
      <c r="Q18" s="587"/>
      <c r="R18" s="504"/>
      <c r="S18" s="329"/>
      <c r="T18" s="192"/>
      <c r="U18" s="427"/>
      <c r="V18" s="329"/>
      <c r="W18" s="590"/>
      <c r="X18" s="484"/>
      <c r="Y18" s="329"/>
      <c r="Z18" s="192"/>
      <c r="AA18" s="427"/>
      <c r="AB18" s="329"/>
      <c r="AC18" s="587"/>
      <c r="AD18" s="504"/>
      <c r="AE18" s="329"/>
      <c r="AF18" s="588"/>
      <c r="AG18" s="483"/>
      <c r="AH18" s="329"/>
      <c r="AI18" s="192"/>
      <c r="AJ18" s="427"/>
      <c r="AK18" s="329"/>
      <c r="AL18" s="192"/>
      <c r="AM18" s="427"/>
      <c r="AN18" s="329"/>
      <c r="AO18" s="329"/>
      <c r="AP18" s="329"/>
      <c r="AQ18" s="329"/>
      <c r="AR18" s="504"/>
      <c r="AS18" s="504"/>
      <c r="AT18" s="585"/>
    </row>
    <row r="19" spans="1:46" s="440" customFormat="1" ht="18.75" customHeight="1" x14ac:dyDescent="0.3">
      <c r="A19" s="574" t="s">
        <v>294</v>
      </c>
      <c r="B19" s="582">
        <f>-555.304+39.239</f>
        <v>-516.06499999999994</v>
      </c>
      <c r="C19" s="423">
        <v>-588.48616306999998</v>
      </c>
      <c r="D19" s="329">
        <f>IF(B19=0, "    ---- ", IF(ABS(ROUND(100/B19*C19-100,1))&lt;999,ROUND(100/B19*C19-100,1),IF(ROUND(100/B19*C19-100,1)&gt;999,999,-999)))</f>
        <v>14</v>
      </c>
      <c r="E19" s="582">
        <v>-10921.576172400004</v>
      </c>
      <c r="F19" s="423">
        <v>-11156.613144269999</v>
      </c>
      <c r="G19" s="329">
        <f>IF(E19=0, "    ---- ", IF(ABS(ROUND(100/E19*F19-100,1))&lt;999,ROUND(100/E19*F19-100,1),IF(ROUND(100/E19*F19-100,1)&gt;999,999,-999)))</f>
        <v>2.2000000000000002</v>
      </c>
      <c r="H19" s="582">
        <v>-1095.12714351</v>
      </c>
      <c r="I19" s="423">
        <v>-1182.5835278299999</v>
      </c>
      <c r="J19" s="329">
        <f>IF(H19=0, "    ---- ", IF(ABS(ROUND(100/H19*I19-100,1))&lt;999,ROUND(100/H19*I19-100,1),IF(ROUND(100/H19*I19-100,1)&gt;999,999,-999)))</f>
        <v>8</v>
      </c>
      <c r="K19" s="582">
        <v>-84.494</v>
      </c>
      <c r="L19" s="423">
        <v>-110.401</v>
      </c>
      <c r="M19" s="329">
        <f>IF(K19=0, "    ---- ", IF(ABS(ROUND(100/K19*L19-100,1))&lt;999,ROUND(100/K19*L19-100,1),IF(ROUND(100/K19*L19-100,1)&gt;999,999,-999)))</f>
        <v>30.7</v>
      </c>
      <c r="N19" s="582">
        <v>-548</v>
      </c>
      <c r="O19" s="423">
        <v>-624</v>
      </c>
      <c r="P19" s="329">
        <f>IF(N19=0, "    ---- ", IF(ABS(ROUND(100/N19*O19-100,1))&lt;999,ROUND(100/N19*O19-100,1),IF(ROUND(100/N19*O19-100,1)&gt;999,999,-999)))</f>
        <v>13.9</v>
      </c>
      <c r="Q19" s="582">
        <v>-11.365318</v>
      </c>
      <c r="R19" s="518">
        <v>-9.1636930000000003</v>
      </c>
      <c r="S19" s="329">
        <f>IF(Q19=0, "    ---- ", IF(ABS(ROUND(100/Q19*R19-100,1))&lt;999,ROUND(100/Q19*R19-100,1),IF(ROUND(100/Q19*R19-100,1)&gt;999,999,-999)))</f>
        <v>-19.399999999999999</v>
      </c>
      <c r="T19" s="582">
        <v>-16343.858904999999</v>
      </c>
      <c r="U19" s="423">
        <v>-17794.49707541</v>
      </c>
      <c r="V19" s="329">
        <f>IF(T19=0, "    ---- ", IF(ABS(ROUND(100/T19*U19-100,1))&lt;999,ROUND(100/T19*U19-100,1),IF(ROUND(100/T19*U19-100,1)&gt;999,999,-999)))</f>
        <v>8.9</v>
      </c>
      <c r="W19" s="582">
        <v>-4691.75</v>
      </c>
      <c r="X19" s="423">
        <v>-7705.3923000000004</v>
      </c>
      <c r="Y19" s="329">
        <f>IF(W19=0, "    ---- ", IF(ABS(ROUND(100/W19*X19-100,1))&lt;999,ROUND(100/W19*X19-100,1),IF(ROUND(100/W19*X19-100,1)&gt;999,999,-999)))</f>
        <v>64.2</v>
      </c>
      <c r="Z19" s="582">
        <v>-2320</v>
      </c>
      <c r="AA19" s="423">
        <v>-2501</v>
      </c>
      <c r="AB19" s="329">
        <f>IF(Z19=0, "    ---- ", IF(ABS(ROUND(100/Z19*AA19-100,1))&lt;999,ROUND(100/Z19*AA19-100,1),IF(ROUND(100/Z19*AA19-100,1)&gt;999,999,-999)))</f>
        <v>7.8</v>
      </c>
      <c r="AC19" s="102">
        <v>-120.245323</v>
      </c>
      <c r="AD19" s="518">
        <v>-128.90018438000001</v>
      </c>
      <c r="AE19" s="329">
        <f>IF(AC19=0, "    ---- ", IF(ABS(ROUND(100/AC19*AD19-100,1))&lt;999,ROUND(100/AC19*AD19-100,1),IF(ROUND(100/AC19*AD19-100,1)&gt;999,999,-999)))</f>
        <v>7.2</v>
      </c>
      <c r="AF19" s="591">
        <v>-1210.3769788299999</v>
      </c>
      <c r="AG19" s="485">
        <v>-1345.9521617400001</v>
      </c>
      <c r="AH19" s="329">
        <f>IF(AF19=0, "    ---- ", IF(ABS(ROUND(100/AF19*AG19-100,1))&lt;999,ROUND(100/AF19*AG19-100,1),IF(ROUND(100/AF19*AG19-100,1)&gt;999,999,-999)))</f>
        <v>11.2</v>
      </c>
      <c r="AI19" s="582">
        <v>-9493</v>
      </c>
      <c r="AJ19" s="423">
        <f>-10052+30</f>
        <v>-10022</v>
      </c>
      <c r="AK19" s="329">
        <f>IF(AI19=0, "    ---- ", IF(ABS(ROUND(100/AI19*AJ19-100,1))&lt;999,ROUND(100/AI19*AJ19-100,1),IF(ROUND(100/AI19*AJ19-100,1)&gt;999,999,-999)))</f>
        <v>5.6</v>
      </c>
      <c r="AL19" s="582"/>
      <c r="AM19" s="423">
        <v>-2</v>
      </c>
      <c r="AN19" s="329" t="str">
        <f>IF(AL19=0, "    ---- ", IF(ABS(ROUND(100/AL19*AM19-100,1))&lt;999,ROUND(100/AL19*AM19-100,1),IF(ROUND(100/AL19*AM19-100,1)&gt;999,999,-999)))</f>
        <v xml:space="preserve">    ---- </v>
      </c>
      <c r="AO19" s="329">
        <f t="shared" si="14"/>
        <v>-47224.248199740003</v>
      </c>
      <c r="AP19" s="329">
        <f t="shared" si="14"/>
        <v>-53030.925372320002</v>
      </c>
      <c r="AQ19" s="329">
        <f t="shared" si="12"/>
        <v>12.3</v>
      </c>
      <c r="AR19" s="427">
        <f t="shared" ref="AR19:AS21" si="16">+B19+E19+H19+K19+N19+Q19+T19+W19+Z19+AC19+AF19+AI19+AL19</f>
        <v>-47355.858840740002</v>
      </c>
      <c r="AS19" s="427">
        <f t="shared" si="16"/>
        <v>-53170.989249700004</v>
      </c>
      <c r="AT19" s="329">
        <f>IF(AR19=0, "    ---- ", IF(ABS(ROUND(100/AR19*AS19-100,1))&lt;999,ROUND(100/AR19*AS19-100,1),IF(ROUND(100/AR19*AS19-100,1)&gt;999,999,-999)))</f>
        <v>12.3</v>
      </c>
    </row>
    <row r="20" spans="1:46" s="440" customFormat="1" ht="18.75" customHeight="1" x14ac:dyDescent="0.3">
      <c r="A20" s="574" t="s">
        <v>410</v>
      </c>
      <c r="B20" s="584">
        <v>-3528.5079999999998</v>
      </c>
      <c r="C20" s="329">
        <v>-2366.2526671000001</v>
      </c>
      <c r="D20" s="329">
        <f>IF(B20=0, "    ---- ", IF(ABS(ROUND(100/B20*C20-100,1))&lt;999,ROUND(100/B20*C20-100,1),IF(ROUND(100/B20*C20-100,1)&gt;999,999,-999)))</f>
        <v>-32.9</v>
      </c>
      <c r="E20" s="584">
        <v>-20833.348733579998</v>
      </c>
      <c r="F20" s="329">
        <v>-10133.419663169998</v>
      </c>
      <c r="G20" s="329">
        <f>IF(E20=0, "    ---- ", IF(ABS(ROUND(100/E20*F20-100,1))&lt;999,ROUND(100/E20*F20-100,1),IF(ROUND(100/E20*F20-100,1)&gt;999,999,-999)))</f>
        <v>-51.4</v>
      </c>
      <c r="H20" s="584">
        <v>96.846488239999999</v>
      </c>
      <c r="I20" s="329">
        <v>97.875320930000001</v>
      </c>
      <c r="J20" s="329">
        <f>IF(H20=0, "    ---- ", IF(ABS(ROUND(100/H20*I20-100,1))&lt;999,ROUND(100/H20*I20-100,1),IF(ROUND(100/H20*I20-100,1)&gt;999,999,-999)))</f>
        <v>1.1000000000000001</v>
      </c>
      <c r="K20" s="584"/>
      <c r="L20" s="329"/>
      <c r="M20" s="329"/>
      <c r="N20" s="584">
        <v>-7060.7</v>
      </c>
      <c r="O20" s="329">
        <v>-3655</v>
      </c>
      <c r="P20" s="329">
        <f>IF(N20=0, "    ---- ", IF(ABS(ROUND(100/N20*O20-100,1))&lt;999,ROUND(100/N20*O20-100,1),IF(ROUND(100/N20*O20-100,1)&gt;999,999,-999)))</f>
        <v>-48.2</v>
      </c>
      <c r="Q20" s="584"/>
      <c r="R20" s="427"/>
      <c r="S20" s="329"/>
      <c r="T20" s="584">
        <v>-8346.1223590000009</v>
      </c>
      <c r="U20" s="329">
        <v>-4658.4329369999996</v>
      </c>
      <c r="V20" s="329">
        <f>IF(T20=0, "    ---- ", IF(ABS(ROUND(100/T20*U20-100,1))&lt;999,ROUND(100/T20*U20-100,1),IF(ROUND(100/T20*U20-100,1)&gt;999,999,-999)))</f>
        <v>-44.2</v>
      </c>
      <c r="W20" s="592">
        <v>-9332</v>
      </c>
      <c r="X20" s="486">
        <v>-4798</v>
      </c>
      <c r="Y20" s="329">
        <f>IF(W20=0, "    ---- ", IF(ABS(ROUND(100/W20*X20-100,1))&lt;999,ROUND(100/W20*X20-100,1),IF(ROUND(100/W20*X20-100,1)&gt;999,999,-999)))</f>
        <v>-48.6</v>
      </c>
      <c r="Z20" s="592">
        <v>0</v>
      </c>
      <c r="AA20" s="486"/>
      <c r="AB20" s="329"/>
      <c r="AC20" s="192">
        <v>-130.25853950000001</v>
      </c>
      <c r="AD20" s="427">
        <v>-52.594931959999997</v>
      </c>
      <c r="AE20" s="329">
        <f>IF(AC20=0, "    ---- ", IF(ABS(ROUND(100/AC20*AD20-100,1))&lt;999,ROUND(100/AC20*AD20-100,1),IF(ROUND(100/AC20*AD20-100,1)&gt;999,999,-999)))</f>
        <v>-59.6</v>
      </c>
      <c r="AF20" s="592">
        <v>-5785.1600913599996</v>
      </c>
      <c r="AG20" s="486">
        <v>-3961.7574349800002</v>
      </c>
      <c r="AH20" s="329">
        <f>IF(AF20=0, "    ---- ", IF(ABS(ROUND(100/AF20*AG20-100,1))&lt;999,ROUND(100/AF20*AG20-100,1),IF(ROUND(100/AF20*AG20-100,1)&gt;999,999,-999)))</f>
        <v>-31.5</v>
      </c>
      <c r="AI20" s="584">
        <v>-14841</v>
      </c>
      <c r="AJ20" s="329">
        <v>-7756</v>
      </c>
      <c r="AK20" s="329">
        <f>IF(AI20=0, "    ---- ", IF(ABS(ROUND(100/AI20*AJ20-100,1))&lt;999,ROUND(100/AI20*AJ20-100,1),IF(ROUND(100/AI20*AJ20-100,1)&gt;999,999,-999)))</f>
        <v>-47.7</v>
      </c>
      <c r="AL20" s="584"/>
      <c r="AM20" s="329"/>
      <c r="AN20" s="329"/>
      <c r="AO20" s="329">
        <f t="shared" si="14"/>
        <v>-69629.992695699999</v>
      </c>
      <c r="AP20" s="329">
        <f t="shared" si="14"/>
        <v>-37230.987381319996</v>
      </c>
      <c r="AQ20" s="329">
        <f t="shared" si="12"/>
        <v>-46.5</v>
      </c>
      <c r="AR20" s="427">
        <f t="shared" si="16"/>
        <v>-69760.251235200005</v>
      </c>
      <c r="AS20" s="427">
        <f t="shared" si="16"/>
        <v>-37283.58231328</v>
      </c>
      <c r="AT20" s="329">
        <f>IF(AR20=0, "    ---- ", IF(ABS(ROUND(100/AR20*AS20-100,1))&lt;999,ROUND(100/AR20*AS20-100,1),IF(ROUND(100/AR20*AS20-100,1)&gt;999,999,-999)))</f>
        <v>-46.6</v>
      </c>
    </row>
    <row r="21" spans="1:46" s="440" customFormat="1" ht="18.75" customHeight="1" x14ac:dyDescent="0.3">
      <c r="A21" s="574" t="s">
        <v>295</v>
      </c>
      <c r="B21" s="582">
        <f>SUM(B19:B20)</f>
        <v>-4044.5729999999999</v>
      </c>
      <c r="C21" s="423">
        <f>SUM(C19:C20)</f>
        <v>-2954.7388301700003</v>
      </c>
      <c r="D21" s="329">
        <f>IF(B21=0, "    ---- ", IF(ABS(ROUND(100/B21*C21-100,1))&lt;999,ROUND(100/B21*C21-100,1),IF(ROUND(100/B21*C21-100,1)&gt;999,999,-999)))</f>
        <v>-26.9</v>
      </c>
      <c r="E21" s="582">
        <f>SUM(E19:E20)</f>
        <v>-31754.924905980002</v>
      </c>
      <c r="F21" s="423">
        <f>SUM(F19:F20)</f>
        <v>-21290.032807439995</v>
      </c>
      <c r="G21" s="329">
        <f>IF(E21=0, "    ---- ", IF(ABS(ROUND(100/E21*F21-100,1))&lt;999,ROUND(100/E21*F21-100,1),IF(ROUND(100/E21*F21-100,1)&gt;999,999,-999)))</f>
        <v>-33</v>
      </c>
      <c r="H21" s="582">
        <v>-998.28065527000001</v>
      </c>
      <c r="I21" s="423">
        <f>SUM(I19:I20)</f>
        <v>-1084.7082068999998</v>
      </c>
      <c r="J21" s="329">
        <f>IF(H21=0, "    ---- ", IF(ABS(ROUND(100/H21*I21-100,1))&lt;999,ROUND(100/H21*I21-100,1),IF(ROUND(100/H21*I21-100,1)&gt;999,999,-999)))</f>
        <v>8.6999999999999993</v>
      </c>
      <c r="K21" s="582">
        <f>SUM(K19:K20)</f>
        <v>-84.494</v>
      </c>
      <c r="L21" s="423">
        <f>SUM(L19:L20)</f>
        <v>-110.401</v>
      </c>
      <c r="M21" s="329">
        <f>IF(K21=0, "    ---- ", IF(ABS(ROUND(100/K21*L21-100,1))&lt;999,ROUND(100/K21*L21-100,1),IF(ROUND(100/K21*L21-100,1)&gt;999,999,-999)))</f>
        <v>30.7</v>
      </c>
      <c r="N21" s="582">
        <f>SUM(N19:N20)</f>
        <v>-7608.7</v>
      </c>
      <c r="O21" s="423">
        <f>SUM(O19:O20)</f>
        <v>-4279</v>
      </c>
      <c r="P21" s="329">
        <f>IF(N21=0, "    ---- ", IF(ABS(ROUND(100/N21*O21-100,1))&lt;999,ROUND(100/N21*O21-100,1),IF(ROUND(100/N21*O21-100,1)&gt;999,999,-999)))</f>
        <v>-43.8</v>
      </c>
      <c r="Q21" s="582">
        <f>SUM(Q19:Q20)</f>
        <v>-11.365318</v>
      </c>
      <c r="R21" s="518">
        <f>SUM(R19:R20)</f>
        <v>-9.1636930000000003</v>
      </c>
      <c r="S21" s="329">
        <f>IF(Q21=0, "    ---- ", IF(ABS(ROUND(100/Q21*R21-100,1))&lt;999,ROUND(100/Q21*R21-100,1),IF(ROUND(100/Q21*R21-100,1)&gt;999,999,-999)))</f>
        <v>-19.399999999999999</v>
      </c>
      <c r="T21" s="582">
        <v>-24689.981264000002</v>
      </c>
      <c r="U21" s="423">
        <v>-22452.930012409997</v>
      </c>
      <c r="V21" s="329">
        <f>IF(T21=0, "    ---- ", IF(ABS(ROUND(100/T21*U21-100,1))&lt;999,ROUND(100/T21*U21-100,1),IF(ROUND(100/T21*U21-100,1)&gt;999,999,-999)))</f>
        <v>-9.1</v>
      </c>
      <c r="W21" s="582">
        <f>SUM(W19:W20)</f>
        <v>-14023.75</v>
      </c>
      <c r="X21" s="423">
        <f>SUM(X19:X20)</f>
        <v>-12503.3923</v>
      </c>
      <c r="Y21" s="329">
        <f>IF(W21=0, "    ---- ", IF(ABS(ROUND(100/W21*X21-100,1))&lt;999,ROUND(100/W21*X21-100,1),IF(ROUND(100/W21*X21-100,1)&gt;999,999,-999)))</f>
        <v>-10.8</v>
      </c>
      <c r="Z21" s="582">
        <f>SUM(Z19:Z20)</f>
        <v>-2320</v>
      </c>
      <c r="AA21" s="423">
        <f>SUM(AA19:AA20)</f>
        <v>-2501</v>
      </c>
      <c r="AB21" s="329">
        <f>IF(Z21=0, "    ---- ", IF(ABS(ROUND(100/Z21*AA21-100,1))&lt;999,ROUND(100/Z21*AA21-100,1),IF(ROUND(100/Z21*AA21-100,1)&gt;999,999,-999)))</f>
        <v>7.8</v>
      </c>
      <c r="AC21" s="102">
        <f>SUM(AC19:AC20)</f>
        <v>-250.50386250000003</v>
      </c>
      <c r="AD21" s="518">
        <f>SUM(AD19:AD20)</f>
        <v>-181.49511634000001</v>
      </c>
      <c r="AE21" s="329">
        <f>IF(AC21=0, "    ---- ", IF(ABS(ROUND(100/AC21*AD21-100,1))&lt;999,ROUND(100/AC21*AD21-100,1),IF(ROUND(100/AC21*AD21-100,1)&gt;999,999,-999)))</f>
        <v>-27.5</v>
      </c>
      <c r="AF21" s="582">
        <f>SUM(AF19:AF20)</f>
        <v>-6995.5370701899992</v>
      </c>
      <c r="AG21" s="423">
        <f>SUM(AG19:AG20)</f>
        <v>-5307.7095967200003</v>
      </c>
      <c r="AH21" s="329">
        <f>IF(AF21=0, "    ---- ", IF(ABS(ROUND(100/AF21*AG21-100,1))&lt;999,ROUND(100/AF21*AG21-100,1),IF(ROUND(100/AF21*AG21-100,1)&gt;999,999,-999)))</f>
        <v>-24.1</v>
      </c>
      <c r="AI21" s="582">
        <f>SUM(AI19:AI20)</f>
        <v>-24334</v>
      </c>
      <c r="AJ21" s="423">
        <f>SUM(AJ19:AJ20)</f>
        <v>-17778</v>
      </c>
      <c r="AK21" s="329">
        <f>IF(AI21=0, "    ---- ", IF(ABS(ROUND(100/AI21*AJ21-100,1))&lt;999,ROUND(100/AI21*AJ21-100,1),IF(ROUND(100/AI21*AJ21-100,1)&gt;999,999,-999)))</f>
        <v>-26.9</v>
      </c>
      <c r="AL21" s="582"/>
      <c r="AM21" s="423">
        <f>SUM(AM19:AM20)</f>
        <v>-2</v>
      </c>
      <c r="AN21" s="329" t="str">
        <f>IF(AL21=0, "    ---- ", IF(ABS(ROUND(100/AL21*AM21-100,1))&lt;999,ROUND(100/AL21*AM21-100,1),IF(ROUND(100/AL21*AM21-100,1)&gt;999,999,-999)))</f>
        <v xml:space="preserve">    ---- </v>
      </c>
      <c r="AO21" s="329">
        <f t="shared" si="14"/>
        <v>-116854.24089544</v>
      </c>
      <c r="AP21" s="329">
        <f t="shared" si="14"/>
        <v>-90261.912753640005</v>
      </c>
      <c r="AQ21" s="329">
        <f t="shared" si="12"/>
        <v>-22.8</v>
      </c>
      <c r="AR21" s="427">
        <f t="shared" si="16"/>
        <v>-117116.11007594</v>
      </c>
      <c r="AS21" s="427">
        <f t="shared" si="16"/>
        <v>-90454.571562979982</v>
      </c>
      <c r="AT21" s="329">
        <f>IF(AR21=0, "    ---- ", IF(ABS(ROUND(100/AR21*AS21-100,1))&lt;999,ROUND(100/AR21*AS21-100,1),IF(ROUND(100/AR21*AS21-100,1)&gt;999,999,-999)))</f>
        <v>-22.8</v>
      </c>
    </row>
    <row r="22" spans="1:46" s="440" customFormat="1" ht="18.75" customHeight="1" x14ac:dyDescent="0.3">
      <c r="A22" s="574" t="s">
        <v>296</v>
      </c>
      <c r="B22" s="192"/>
      <c r="C22" s="427"/>
      <c r="D22" s="329"/>
      <c r="E22" s="192"/>
      <c r="F22" s="427"/>
      <c r="G22" s="329"/>
      <c r="H22" s="587"/>
      <c r="I22" s="504"/>
      <c r="J22" s="329"/>
      <c r="K22" s="587"/>
      <c r="L22" s="504"/>
      <c r="M22" s="329"/>
      <c r="N22" s="192"/>
      <c r="O22" s="427"/>
      <c r="P22" s="329"/>
      <c r="Q22" s="587"/>
      <c r="R22" s="504"/>
      <c r="S22" s="329"/>
      <c r="T22" s="192"/>
      <c r="U22" s="427"/>
      <c r="V22" s="329"/>
      <c r="W22" s="587"/>
      <c r="X22" s="504"/>
      <c r="Y22" s="329"/>
      <c r="Z22" s="587"/>
      <c r="AA22" s="504"/>
      <c r="AB22" s="329"/>
      <c r="AC22" s="587"/>
      <c r="AD22" s="504"/>
      <c r="AE22" s="329"/>
      <c r="AF22" s="587"/>
      <c r="AG22" s="504"/>
      <c r="AH22" s="329"/>
      <c r="AI22" s="192"/>
      <c r="AJ22" s="427"/>
      <c r="AK22" s="329"/>
      <c r="AL22" s="192"/>
      <c r="AM22" s="427"/>
      <c r="AN22" s="329"/>
      <c r="AO22" s="329">
        <f t="shared" si="14"/>
        <v>0</v>
      </c>
      <c r="AP22" s="329">
        <f t="shared" si="14"/>
        <v>0</v>
      </c>
      <c r="AQ22" s="329"/>
      <c r="AR22" s="329"/>
      <c r="AS22" s="329"/>
      <c r="AT22" s="329"/>
    </row>
    <row r="23" spans="1:46" s="440" customFormat="1" ht="18.75" customHeight="1" x14ac:dyDescent="0.3">
      <c r="A23" s="574" t="s">
        <v>411</v>
      </c>
      <c r="B23" s="584">
        <f>-52.788+36.616</f>
        <v>-16.171999999999997</v>
      </c>
      <c r="C23" s="329">
        <v>-32.394305560000056</v>
      </c>
      <c r="D23" s="329">
        <f t="shared" ref="D23:D30" si="17">IF(B23=0, "    ---- ", IF(ABS(ROUND(100/B23*C23-100,1))&lt;999,ROUND(100/B23*C23-100,1),IF(ROUND(100/B23*C23-100,1)&gt;999,999,-999)))</f>
        <v>100.3</v>
      </c>
      <c r="E23" s="584">
        <v>3055.2248449600002</v>
      </c>
      <c r="F23" s="329">
        <v>3486.7241356</v>
      </c>
      <c r="G23" s="329">
        <f t="shared" ref="G23:G30" si="18">IF(E23=0, "    ---- ", IF(ABS(ROUND(100/E23*F23-100,1))&lt;999,ROUND(100/E23*F23-100,1),IF(ROUND(100/E23*F23-100,1)&gt;999,999,-999)))</f>
        <v>14.1</v>
      </c>
      <c r="H23" s="584">
        <v>-315.80887659999956</v>
      </c>
      <c r="I23" s="329">
        <v>-538.72775331000014</v>
      </c>
      <c r="J23" s="329">
        <f>IF(H23=0, "    ---- ", IF(ABS(ROUND(100/H23*I23-100,1))&lt;999,ROUND(100/H23*I23-100,1),IF(ROUND(100/H23*I23-100,1)&gt;999,999,-999)))</f>
        <v>70.599999999999994</v>
      </c>
      <c r="K23" s="584">
        <v>-274.85297400000002</v>
      </c>
      <c r="L23" s="329">
        <v>-253.82499999999999</v>
      </c>
      <c r="M23" s="329">
        <f>IF(K23=0, "    ---- ", IF(ABS(ROUND(100/K23*L23-100,1))&lt;999,ROUND(100/K23*L23-100,1),IF(ROUND(100/K23*L23-100,1)&gt;999,999,-999)))</f>
        <v>-7.7</v>
      </c>
      <c r="N23" s="584">
        <v>-342.7</v>
      </c>
      <c r="O23" s="329">
        <v>-438</v>
      </c>
      <c r="P23" s="329">
        <f t="shared" ref="P23:P32" si="19">IF(N23=0, "    ---- ", IF(ABS(ROUND(100/N23*O23-100,1))&lt;999,ROUND(100/N23*O23-100,1),IF(ROUND(100/N23*O23-100,1)&gt;999,999,-999)))</f>
        <v>27.8</v>
      </c>
      <c r="Q23" s="584">
        <v>3.0386540000000002</v>
      </c>
      <c r="R23" s="427">
        <v>3.0497380000000001</v>
      </c>
      <c r="S23" s="329">
        <f>IF(Q23=0, "    ---- ", IF(ABS(ROUND(100/Q23*R23-100,1))&lt;999,ROUND(100/Q23*R23-100,1),IF(ROUND(100/Q23*R23-100,1)&gt;999,999,-999)))</f>
        <v>0.4</v>
      </c>
      <c r="T23" s="584">
        <v>-24823.137031990002</v>
      </c>
      <c r="U23" s="329">
        <v>-24905.196044790002</v>
      </c>
      <c r="V23" s="329">
        <f t="shared" ref="V23:V31" si="20">IF(T23=0, "    ---- ", IF(ABS(ROUND(100/T23*U23-100,1))&lt;999,ROUND(100/T23*U23-100,1),IF(ROUND(100/T23*U23-100,1)&gt;999,999,-999)))</f>
        <v>0.3</v>
      </c>
      <c r="W23" s="584">
        <v>-205.95999999999998</v>
      </c>
      <c r="X23" s="329">
        <v>-45.981999999999999</v>
      </c>
      <c r="Y23" s="329">
        <f t="shared" ref="Y23:Y30" si="21">IF(W23=0, "    ---- ", IF(ABS(ROUND(100/W23*X23-100,1))&lt;999,ROUND(100/W23*X23-100,1),IF(ROUND(100/W23*X23-100,1)&gt;999,999,-999)))</f>
        <v>-77.7</v>
      </c>
      <c r="Z23" s="584">
        <v>-4519</v>
      </c>
      <c r="AA23" s="329">
        <v>-5216</v>
      </c>
      <c r="AB23" s="329">
        <f t="shared" ref="AB23:AB30" si="22">IF(Z23=0, "    ---- ", IF(ABS(ROUND(100/Z23*AA23-100,1))&lt;999,ROUND(100/Z23*AA23-100,1),IF(ROUND(100/Z23*AA23-100,1)&gt;999,999,-999)))</f>
        <v>15.4</v>
      </c>
      <c r="AC23" s="192"/>
      <c r="AD23" s="427"/>
      <c r="AE23" s="329"/>
      <c r="AF23" s="584">
        <v>-226.24794961999999</v>
      </c>
      <c r="AG23" s="329">
        <v>119.44939508999957</v>
      </c>
      <c r="AH23" s="329">
        <f t="shared" ref="AH23:AH30" si="23">IF(AF23=0, "    ---- ", IF(ABS(ROUND(100/AF23*AG23-100,1))&lt;999,ROUND(100/AF23*AG23-100,1),IF(ROUND(100/AF23*AG23-100,1)&gt;999,999,-999)))</f>
        <v>-152.80000000000001</v>
      </c>
      <c r="AI23" s="584">
        <v>-5624</v>
      </c>
      <c r="AJ23" s="329">
        <v>-3471</v>
      </c>
      <c r="AK23" s="329">
        <f t="shared" ref="AK23:AK30" si="24">IF(AI23=0, "    ---- ", IF(ABS(ROUND(100/AI23*AJ23-100,1))&lt;999,ROUND(100/AI23*AJ23-100,1),IF(ROUND(100/AI23*AJ23-100,1)&gt;999,999,-999)))</f>
        <v>-38.299999999999997</v>
      </c>
      <c r="AL23" s="584"/>
      <c r="AM23" s="329"/>
      <c r="AN23" s="329"/>
      <c r="AO23" s="329">
        <f t="shared" si="14"/>
        <v>-33292.65398725</v>
      </c>
      <c r="AP23" s="329">
        <f t="shared" si="14"/>
        <v>-31294.951572970003</v>
      </c>
      <c r="AQ23" s="329">
        <f t="shared" si="12"/>
        <v>-6</v>
      </c>
      <c r="AR23" s="329"/>
      <c r="AS23" s="329"/>
      <c r="AT23" s="329"/>
    </row>
    <row r="24" spans="1:46" s="440" customFormat="1" ht="18.75" customHeight="1" x14ac:dyDescent="0.3">
      <c r="A24" s="574" t="s">
        <v>297</v>
      </c>
      <c r="B24" s="584"/>
      <c r="C24" s="329"/>
      <c r="D24" s="329"/>
      <c r="E24" s="584">
        <v>2.74218691</v>
      </c>
      <c r="F24" s="329">
        <v>-4.6655946799999999</v>
      </c>
      <c r="G24" s="329">
        <f t="shared" si="18"/>
        <v>-270.10000000000002</v>
      </c>
      <c r="H24" s="584"/>
      <c r="I24" s="329"/>
      <c r="J24" s="329"/>
      <c r="K24" s="584"/>
      <c r="L24" s="329"/>
      <c r="M24" s="329"/>
      <c r="N24" s="584">
        <v>-0.08</v>
      </c>
      <c r="O24" s="329">
        <v>-2</v>
      </c>
      <c r="P24" s="329">
        <f t="shared" si="19"/>
        <v>999</v>
      </c>
      <c r="Q24" s="584"/>
      <c r="R24" s="427"/>
      <c r="S24" s="329"/>
      <c r="T24" s="584">
        <v>611.07972500000005</v>
      </c>
      <c r="U24" s="329">
        <v>0</v>
      </c>
      <c r="V24" s="329">
        <f t="shared" si="20"/>
        <v>-100</v>
      </c>
      <c r="W24" s="584">
        <v>60</v>
      </c>
      <c r="X24" s="329">
        <v>70</v>
      </c>
      <c r="Y24" s="329">
        <f t="shared" si="21"/>
        <v>16.7</v>
      </c>
      <c r="Z24" s="584"/>
      <c r="AA24" s="329"/>
      <c r="AB24" s="329"/>
      <c r="AC24" s="192"/>
      <c r="AD24" s="427"/>
      <c r="AE24" s="329"/>
      <c r="AF24" s="584">
        <v>46.619932499999997</v>
      </c>
      <c r="AG24" s="329">
        <v>40.251987829999983</v>
      </c>
      <c r="AH24" s="329">
        <f t="shared" si="23"/>
        <v>-13.7</v>
      </c>
      <c r="AI24" s="584">
        <v>-641</v>
      </c>
      <c r="AJ24" s="329">
        <v>2418</v>
      </c>
      <c r="AK24" s="329">
        <f t="shared" si="24"/>
        <v>-477.2</v>
      </c>
      <c r="AL24" s="584"/>
      <c r="AM24" s="329"/>
      <c r="AN24" s="329"/>
      <c r="AO24" s="329">
        <f t="shared" si="14"/>
        <v>79.361844410000003</v>
      </c>
      <c r="AP24" s="329">
        <f t="shared" si="14"/>
        <v>2521.5863931499998</v>
      </c>
      <c r="AQ24" s="329">
        <f t="shared" si="12"/>
        <v>999</v>
      </c>
      <c r="AR24" s="329"/>
      <c r="AS24" s="329"/>
      <c r="AT24" s="329"/>
    </row>
    <row r="25" spans="1:46" s="440" customFormat="1" ht="18.75" customHeight="1" x14ac:dyDescent="0.3">
      <c r="A25" s="574" t="s">
        <v>298</v>
      </c>
      <c r="B25" s="584">
        <v>7.7709999999999999</v>
      </c>
      <c r="C25" s="329">
        <v>53.637150479999995</v>
      </c>
      <c r="D25" s="329">
        <f t="shared" si="17"/>
        <v>590.20000000000005</v>
      </c>
      <c r="E25" s="584">
        <v>804.82167647000006</v>
      </c>
      <c r="F25" s="329">
        <v>3204.3463927899998</v>
      </c>
      <c r="G25" s="329">
        <f t="shared" si="18"/>
        <v>298.10000000000002</v>
      </c>
      <c r="H25" s="584">
        <v>46.184984679999999</v>
      </c>
      <c r="I25" s="329">
        <v>5.9795832400000002</v>
      </c>
      <c r="J25" s="329"/>
      <c r="K25" s="584">
        <v>1.4</v>
      </c>
      <c r="L25" s="329"/>
      <c r="M25" s="329">
        <f t="shared" ref="M25" si="25">IF(K25=0, "    ---- ", IF(ABS(ROUND(100/K25*L25-100,1))&lt;999,ROUND(100/K25*L25-100,1),IF(ROUND(100/K25*L25-100,1)&gt;999,999,-999)))</f>
        <v>-100</v>
      </c>
      <c r="N25" s="584">
        <v>-11.2</v>
      </c>
      <c r="O25" s="329">
        <v>12</v>
      </c>
      <c r="P25" s="329">
        <f t="shared" si="19"/>
        <v>-207.1</v>
      </c>
      <c r="Q25" s="584"/>
      <c r="R25" s="427"/>
      <c r="S25" s="329"/>
      <c r="T25" s="584">
        <v>-13482.824649</v>
      </c>
      <c r="U25" s="329">
        <v>0</v>
      </c>
      <c r="V25" s="329">
        <f t="shared" si="20"/>
        <v>-100</v>
      </c>
      <c r="W25" s="584">
        <v>-594</v>
      </c>
      <c r="X25" s="329">
        <v>1488</v>
      </c>
      <c r="Y25" s="329">
        <f t="shared" si="21"/>
        <v>-350.5</v>
      </c>
      <c r="Z25" s="584">
        <v>-570</v>
      </c>
      <c r="AA25" s="329">
        <v>0</v>
      </c>
      <c r="AB25" s="329">
        <f t="shared" si="22"/>
        <v>-100</v>
      </c>
      <c r="AC25" s="192"/>
      <c r="AD25" s="427"/>
      <c r="AE25" s="329"/>
      <c r="AF25" s="584">
        <v>-55.505044310000017</v>
      </c>
      <c r="AG25" s="329">
        <v>877.14970081000013</v>
      </c>
      <c r="AH25" s="329">
        <f t="shared" si="23"/>
        <v>-999</v>
      </c>
      <c r="AI25" s="584">
        <v>1478</v>
      </c>
      <c r="AJ25" s="329">
        <v>5464</v>
      </c>
      <c r="AK25" s="329">
        <f t="shared" si="24"/>
        <v>269.7</v>
      </c>
      <c r="AL25" s="584"/>
      <c r="AM25" s="329"/>
      <c r="AN25" s="329"/>
      <c r="AO25" s="329">
        <f t="shared" si="14"/>
        <v>-12375.352032160001</v>
      </c>
      <c r="AP25" s="329">
        <f t="shared" si="14"/>
        <v>11105.112827320001</v>
      </c>
      <c r="AQ25" s="329">
        <f t="shared" si="12"/>
        <v>-189.7</v>
      </c>
      <c r="AR25" s="329"/>
      <c r="AS25" s="329"/>
      <c r="AT25" s="329"/>
    </row>
    <row r="26" spans="1:46" s="440" customFormat="1" ht="18.75" customHeight="1" x14ac:dyDescent="0.3">
      <c r="A26" s="574" t="s">
        <v>412</v>
      </c>
      <c r="B26" s="584"/>
      <c r="C26" s="329"/>
      <c r="D26" s="329"/>
      <c r="E26" s="584"/>
      <c r="F26" s="329"/>
      <c r="G26" s="329"/>
      <c r="H26" s="584"/>
      <c r="I26" s="329"/>
      <c r="J26" s="329"/>
      <c r="K26" s="584"/>
      <c r="L26" s="329"/>
      <c r="M26" s="329"/>
      <c r="N26" s="584"/>
      <c r="O26" s="329"/>
      <c r="P26" s="329"/>
      <c r="Q26" s="584"/>
      <c r="R26" s="427"/>
      <c r="S26" s="329"/>
      <c r="T26" s="584"/>
      <c r="U26" s="329">
        <v>-571.21559300000001</v>
      </c>
      <c r="V26" s="329" t="str">
        <f t="shared" si="20"/>
        <v xml:space="preserve">    ---- </v>
      </c>
      <c r="W26" s="584"/>
      <c r="X26" s="329"/>
      <c r="Y26" s="329"/>
      <c r="Z26" s="584"/>
      <c r="AA26" s="329">
        <v>5182</v>
      </c>
      <c r="AB26" s="329" t="str">
        <f t="shared" si="22"/>
        <v xml:space="preserve">    ---- </v>
      </c>
      <c r="AC26" s="192"/>
      <c r="AD26" s="427"/>
      <c r="AE26" s="329"/>
      <c r="AF26" s="584"/>
      <c r="AG26" s="329"/>
      <c r="AH26" s="329"/>
      <c r="AI26" s="584"/>
      <c r="AJ26" s="329">
        <v>446.5</v>
      </c>
      <c r="AK26" s="329" t="str">
        <f t="shared" si="24"/>
        <v xml:space="preserve">    ---- </v>
      </c>
      <c r="AL26" s="584"/>
      <c r="AM26" s="329"/>
      <c r="AN26" s="329"/>
      <c r="AO26" s="329">
        <f t="shared" si="14"/>
        <v>0</v>
      </c>
      <c r="AP26" s="329">
        <f t="shared" si="14"/>
        <v>5057.2844070000001</v>
      </c>
      <c r="AQ26" s="329" t="str">
        <f t="shared" si="12"/>
        <v xml:space="preserve">    ---- </v>
      </c>
      <c r="AR26" s="329"/>
      <c r="AS26" s="329"/>
      <c r="AT26" s="329"/>
    </row>
    <row r="27" spans="1:46" s="440" customFormat="1" ht="18.75" customHeight="1" x14ac:dyDescent="0.3">
      <c r="A27" s="574" t="s">
        <v>413</v>
      </c>
      <c r="B27" s="584"/>
      <c r="C27" s="329"/>
      <c r="D27" s="329"/>
      <c r="E27" s="584">
        <v>-7.8538150499999997</v>
      </c>
      <c r="F27" s="329">
        <v>-7.6029485700000006</v>
      </c>
      <c r="G27" s="329">
        <f t="shared" si="18"/>
        <v>-3.2</v>
      </c>
      <c r="H27" s="584"/>
      <c r="I27" s="329"/>
      <c r="J27" s="329"/>
      <c r="K27" s="584"/>
      <c r="L27" s="329"/>
      <c r="M27" s="329"/>
      <c r="N27" s="584">
        <v>1.6</v>
      </c>
      <c r="O27" s="329">
        <v>1</v>
      </c>
      <c r="P27" s="329">
        <f t="shared" si="19"/>
        <v>-37.5</v>
      </c>
      <c r="Q27" s="584"/>
      <c r="R27" s="427"/>
      <c r="S27" s="329"/>
      <c r="T27" s="584">
        <v>-541.43877599999996</v>
      </c>
      <c r="U27" s="329"/>
      <c r="V27" s="329">
        <f t="shared" si="20"/>
        <v>-100</v>
      </c>
      <c r="W27" s="584">
        <v>-3</v>
      </c>
      <c r="X27" s="329">
        <v>-4</v>
      </c>
      <c r="Y27" s="329">
        <f t="shared" si="21"/>
        <v>33.299999999999997</v>
      </c>
      <c r="Z27" s="584">
        <v>-79</v>
      </c>
      <c r="AA27" s="329">
        <v>-102</v>
      </c>
      <c r="AB27" s="329">
        <f t="shared" si="22"/>
        <v>29.1</v>
      </c>
      <c r="AC27" s="192"/>
      <c r="AD27" s="427"/>
      <c r="AE27" s="329"/>
      <c r="AF27" s="584">
        <v>-2.442043</v>
      </c>
      <c r="AG27" s="329">
        <v>-4.3408920000000002</v>
      </c>
      <c r="AH27" s="329">
        <f t="shared" si="23"/>
        <v>77.8</v>
      </c>
      <c r="AI27" s="584">
        <v>-3</v>
      </c>
      <c r="AJ27" s="329">
        <v>-65</v>
      </c>
      <c r="AK27" s="329">
        <f t="shared" si="24"/>
        <v>999</v>
      </c>
      <c r="AL27" s="584"/>
      <c r="AM27" s="329"/>
      <c r="AN27" s="329"/>
      <c r="AO27" s="329">
        <f t="shared" si="14"/>
        <v>-635.13463404999993</v>
      </c>
      <c r="AP27" s="329">
        <f t="shared" si="14"/>
        <v>-181.94384056999999</v>
      </c>
      <c r="AQ27" s="329">
        <f t="shared" si="12"/>
        <v>-71.400000000000006</v>
      </c>
      <c r="AR27" s="329"/>
      <c r="AS27" s="329"/>
      <c r="AT27" s="329"/>
    </row>
    <row r="28" spans="1:46" s="440" customFormat="1" ht="18.75" customHeight="1" x14ac:dyDescent="0.3">
      <c r="A28" s="574" t="s">
        <v>414</v>
      </c>
      <c r="B28" s="584">
        <v>1.571</v>
      </c>
      <c r="C28" s="329">
        <v>0.69240699999999999</v>
      </c>
      <c r="D28" s="329">
        <f t="shared" si="17"/>
        <v>-55.9</v>
      </c>
      <c r="E28" s="584">
        <v>-389.2674963</v>
      </c>
      <c r="F28" s="329">
        <v>-437.78348499000003</v>
      </c>
      <c r="G28" s="329">
        <f t="shared" si="18"/>
        <v>12.5</v>
      </c>
      <c r="H28" s="584"/>
      <c r="I28" s="329"/>
      <c r="J28" s="329"/>
      <c r="K28" s="584">
        <v>-5.6719999999999997</v>
      </c>
      <c r="L28" s="329">
        <v>-3.794</v>
      </c>
      <c r="M28" s="329">
        <f>IF(K28=0, "    ---- ", IF(ABS(ROUND(100/K28*L28-100,1))&lt;999,ROUND(100/K28*L28-100,1),IF(ROUND(100/K28*L28-100,1)&gt;999,999,-999)))</f>
        <v>-33.1</v>
      </c>
      <c r="N28" s="584"/>
      <c r="O28" s="329"/>
      <c r="P28" s="329"/>
      <c r="Q28" s="584"/>
      <c r="R28" s="427"/>
      <c r="S28" s="329"/>
      <c r="T28" s="584"/>
      <c r="U28" s="329">
        <v>27488.469588</v>
      </c>
      <c r="V28" s="329" t="str">
        <f t="shared" si="20"/>
        <v xml:space="preserve">    ---- </v>
      </c>
      <c r="W28" s="584"/>
      <c r="X28" s="329"/>
      <c r="Y28" s="329"/>
      <c r="Z28" s="584">
        <v>-17</v>
      </c>
      <c r="AA28" s="329">
        <v>-14</v>
      </c>
      <c r="AB28" s="329">
        <f t="shared" si="22"/>
        <v>-17.600000000000001</v>
      </c>
      <c r="AC28" s="192"/>
      <c r="AD28" s="427"/>
      <c r="AE28" s="329"/>
      <c r="AF28" s="584"/>
      <c r="AG28" s="329"/>
      <c r="AH28" s="329"/>
      <c r="AI28" s="584">
        <v>8</v>
      </c>
      <c r="AJ28" s="329"/>
      <c r="AK28" s="329">
        <f t="shared" si="24"/>
        <v>-100</v>
      </c>
      <c r="AL28" s="584"/>
      <c r="AM28" s="329"/>
      <c r="AN28" s="329"/>
      <c r="AO28" s="329">
        <f t="shared" si="14"/>
        <v>-402.3684963</v>
      </c>
      <c r="AP28" s="329">
        <f t="shared" si="14"/>
        <v>27033.584510010001</v>
      </c>
      <c r="AQ28" s="329">
        <f t="shared" si="12"/>
        <v>-999</v>
      </c>
      <c r="AR28" s="329"/>
      <c r="AS28" s="329"/>
      <c r="AT28" s="329"/>
    </row>
    <row r="29" spans="1:46" s="440" customFormat="1" ht="18.75" customHeight="1" x14ac:dyDescent="0.3">
      <c r="A29" s="574" t="s">
        <v>415</v>
      </c>
      <c r="B29" s="584"/>
      <c r="C29" s="329"/>
      <c r="D29" s="329"/>
      <c r="E29" s="584">
        <v>8.1920000000000002</v>
      </c>
      <c r="F29" s="329">
        <v>11.272992220000001</v>
      </c>
      <c r="G29" s="329">
        <f t="shared" si="18"/>
        <v>37.6</v>
      </c>
      <c r="H29" s="584"/>
      <c r="I29" s="329"/>
      <c r="J29" s="329"/>
      <c r="K29" s="584"/>
      <c r="L29" s="329"/>
      <c r="M29" s="329"/>
      <c r="N29" s="584"/>
      <c r="O29" s="329"/>
      <c r="P29" s="329"/>
      <c r="Q29" s="584"/>
      <c r="R29" s="427"/>
      <c r="S29" s="329"/>
      <c r="T29" s="584"/>
      <c r="U29" s="329"/>
      <c r="V29" s="329"/>
      <c r="W29" s="584">
        <v>3</v>
      </c>
      <c r="X29" s="329">
        <v>1</v>
      </c>
      <c r="Y29" s="329">
        <f t="shared" si="21"/>
        <v>-66.7</v>
      </c>
      <c r="Z29" s="584"/>
      <c r="AA29" s="329"/>
      <c r="AB29" s="329"/>
      <c r="AC29" s="192"/>
      <c r="AD29" s="427"/>
      <c r="AE29" s="329"/>
      <c r="AF29" s="584">
        <v>0.55512700000000004</v>
      </c>
      <c r="AG29" s="329">
        <v>2.5907909999999998</v>
      </c>
      <c r="AH29" s="329">
        <f t="shared" si="23"/>
        <v>366.7</v>
      </c>
      <c r="AI29" s="584">
        <v>682</v>
      </c>
      <c r="AJ29" s="329">
        <v>417.5</v>
      </c>
      <c r="AK29" s="329">
        <f t="shared" si="24"/>
        <v>-38.799999999999997</v>
      </c>
      <c r="AL29" s="584"/>
      <c r="AM29" s="329"/>
      <c r="AN29" s="329"/>
      <c r="AO29" s="329">
        <f t="shared" si="14"/>
        <v>693.74712699999998</v>
      </c>
      <c r="AP29" s="329">
        <f t="shared" si="14"/>
        <v>432.36378322000002</v>
      </c>
      <c r="AQ29" s="329">
        <f t="shared" si="12"/>
        <v>-37.700000000000003</v>
      </c>
      <c r="AR29" s="329"/>
      <c r="AS29" s="329"/>
      <c r="AT29" s="329"/>
    </row>
    <row r="30" spans="1:46" s="440" customFormat="1" ht="18.75" customHeight="1" x14ac:dyDescent="0.3">
      <c r="A30" s="574" t="s">
        <v>299</v>
      </c>
      <c r="B30" s="584">
        <f>SUM(B23:B29)</f>
        <v>-6.8299999999999965</v>
      </c>
      <c r="C30" s="329">
        <f>SUM(C23:C29)</f>
        <v>21.935251919999939</v>
      </c>
      <c r="D30" s="329">
        <f t="shared" si="17"/>
        <v>-421.2</v>
      </c>
      <c r="E30" s="584">
        <f>SUM(E23:E29)</f>
        <v>3473.8593969900003</v>
      </c>
      <c r="F30" s="329">
        <f>SUM(F23:F29)</f>
        <v>6252.2914923699991</v>
      </c>
      <c r="G30" s="329">
        <f t="shared" si="18"/>
        <v>80</v>
      </c>
      <c r="H30" s="584">
        <v>-269.62389191999955</v>
      </c>
      <c r="I30" s="329">
        <f>SUM(I23:I29)</f>
        <v>-532.74817007000013</v>
      </c>
      <c r="J30" s="329">
        <f>IF(H30=0, "    ---- ", IF(ABS(ROUND(100/H30*I30-100,1))&lt;999,ROUND(100/H30*I30-100,1),IF(ROUND(100/H30*I30-100,1)&gt;999,999,-999)))</f>
        <v>97.6</v>
      </c>
      <c r="K30" s="584">
        <f>SUM(K23:K29)</f>
        <v>-279.12497400000007</v>
      </c>
      <c r="L30" s="329">
        <f>SUM(L23:L29)</f>
        <v>-257.61899999999997</v>
      </c>
      <c r="M30" s="329">
        <f>IF(K30=0, "    ---- ", IF(ABS(ROUND(100/K30*L30-100,1))&lt;999,ROUND(100/K30*L30-100,1),IF(ROUND(100/K30*L30-100,1)&gt;999,999,-999)))</f>
        <v>-7.7</v>
      </c>
      <c r="N30" s="584">
        <f>SUM(N23:N29)</f>
        <v>-352.37999999999994</v>
      </c>
      <c r="O30" s="329">
        <f>SUM(O23:O29)</f>
        <v>-427</v>
      </c>
      <c r="P30" s="329">
        <f t="shared" si="19"/>
        <v>21.2</v>
      </c>
      <c r="Q30" s="584">
        <f>SUM(Q23:Q29)</f>
        <v>3.0386540000000002</v>
      </c>
      <c r="R30" s="427">
        <f>SUM(R23:R29)</f>
        <v>3.0497380000000001</v>
      </c>
      <c r="S30" s="329">
        <f>IF(Q30=0, "    ---- ", IF(ABS(ROUND(100/Q30*R30-100,1))&lt;999,ROUND(100/Q30*R30-100,1),IF(ROUND(100/Q30*R30-100,1)&gt;999,999,-999)))</f>
        <v>0.4</v>
      </c>
      <c r="T30" s="584">
        <v>-38236.320731990003</v>
      </c>
      <c r="U30" s="329">
        <f>SUM(U23:U28)</f>
        <v>2012.0579502099972</v>
      </c>
      <c r="V30" s="329">
        <f t="shared" si="20"/>
        <v>-105.3</v>
      </c>
      <c r="W30" s="584">
        <f>SUM(W23:W29)</f>
        <v>-739.96</v>
      </c>
      <c r="X30" s="329">
        <f>SUM(X23:X29)</f>
        <v>1509.018</v>
      </c>
      <c r="Y30" s="329">
        <f t="shared" si="21"/>
        <v>-303.89999999999998</v>
      </c>
      <c r="Z30" s="584">
        <f>SUM(Z23:Z29)</f>
        <v>-5185</v>
      </c>
      <c r="AA30" s="329">
        <f>SUM(AA23:AA29)</f>
        <v>-150</v>
      </c>
      <c r="AB30" s="329">
        <f t="shared" si="22"/>
        <v>-97.1</v>
      </c>
      <c r="AC30" s="192"/>
      <c r="AD30" s="427"/>
      <c r="AE30" s="329"/>
      <c r="AF30" s="584">
        <f>SUM(AF23:AF29)</f>
        <v>-237.01997743000001</v>
      </c>
      <c r="AG30" s="329">
        <f>SUM(AG23:AG29)</f>
        <v>1035.1009827299997</v>
      </c>
      <c r="AH30" s="329">
        <f t="shared" si="23"/>
        <v>-536.70000000000005</v>
      </c>
      <c r="AI30" s="584">
        <f>SUM(AI23:AI29)</f>
        <v>-4100</v>
      </c>
      <c r="AJ30" s="329">
        <f>SUM(AJ23:AJ29)</f>
        <v>5210</v>
      </c>
      <c r="AK30" s="329">
        <f t="shared" si="24"/>
        <v>-227.1</v>
      </c>
      <c r="AL30" s="584"/>
      <c r="AM30" s="329"/>
      <c r="AN30" s="329"/>
      <c r="AO30" s="329">
        <f t="shared" si="14"/>
        <v>-45932.400178349999</v>
      </c>
      <c r="AP30" s="329">
        <f t="shared" si="14"/>
        <v>14673.036507159997</v>
      </c>
      <c r="AQ30" s="329">
        <f t="shared" si="12"/>
        <v>-131.9</v>
      </c>
      <c r="AR30" s="329"/>
      <c r="AS30" s="329"/>
      <c r="AT30" s="329"/>
    </row>
    <row r="31" spans="1:46" s="440" customFormat="1" ht="18.75" customHeight="1" x14ac:dyDescent="0.3">
      <c r="A31" s="574" t="s">
        <v>300</v>
      </c>
      <c r="B31" s="584">
        <v>-3450.6439999999998</v>
      </c>
      <c r="C31" s="329">
        <f>3277028.15882/1000</f>
        <v>3277.02815882</v>
      </c>
      <c r="D31" s="329">
        <f>IF(B31=0, "    ---- ", IF(ABS(ROUND(100/B31*C31-100,1))&lt;999,ROUND(100/B31*C31-100,1),IF(ROUND(100/B31*C31-100,1)&gt;999,999,-999)))</f>
        <v>-195</v>
      </c>
      <c r="E31" s="584">
        <v>-15036.32295288</v>
      </c>
      <c r="F31" s="329">
        <v>10954.91817547</v>
      </c>
      <c r="G31" s="329">
        <f>IF(E31=0, "    ---- ", IF(ABS(ROUND(100/E31*F31-100,1))&lt;999,ROUND(100/E31*F31-100,1),IF(ROUND(100/E31*F31-100,1)&gt;999,999,-999)))</f>
        <v>-172.9</v>
      </c>
      <c r="H31" s="584"/>
      <c r="I31" s="329"/>
      <c r="J31" s="329"/>
      <c r="K31" s="584"/>
      <c r="L31" s="329"/>
      <c r="M31" s="329"/>
      <c r="N31" s="584">
        <v>-5304.7</v>
      </c>
      <c r="O31" s="329">
        <v>2232</v>
      </c>
      <c r="P31" s="329">
        <f t="shared" si="19"/>
        <v>-142.1</v>
      </c>
      <c r="Q31" s="584"/>
      <c r="R31" s="427"/>
      <c r="S31" s="329"/>
      <c r="T31" s="584">
        <v>-76.765759000000003</v>
      </c>
      <c r="U31" s="329">
        <v>-354.66308099999998</v>
      </c>
      <c r="V31" s="329">
        <f t="shared" si="20"/>
        <v>362</v>
      </c>
      <c r="W31" s="584">
        <v>-18966.25</v>
      </c>
      <c r="X31" s="329">
        <v>13077.849899999999</v>
      </c>
      <c r="Y31" s="329">
        <f>IF(W31=0, "    ---- ", IF(ABS(ROUND(100/W31*X31-100,1))&lt;999,ROUND(100/W31*X31-100,1),IF(ROUND(100/W31*X31-100,1)&gt;999,999,-999)))</f>
        <v>-169</v>
      </c>
      <c r="Z31" s="584"/>
      <c r="AA31" s="329"/>
      <c r="AB31" s="329"/>
      <c r="AC31" s="192">
        <v>-252.38226577</v>
      </c>
      <c r="AD31" s="427">
        <v>512.93246026999998</v>
      </c>
      <c r="AE31" s="329">
        <f>IF(AC31=0, "    ---- ", IF(ABS(ROUND(100/AC31*AD31-100,1))&lt;999,ROUND(100/AC31*AD31-100,1),IF(ROUND(100/AC31*AD31-100,1)&gt;999,999,-999)))</f>
        <v>-303.2</v>
      </c>
      <c r="AF31" s="584">
        <v>-8940.1426066400018</v>
      </c>
      <c r="AG31" s="329">
        <v>3980.7585098899985</v>
      </c>
      <c r="AH31" s="329">
        <f>IF(AF31=0, "    ---- ", IF(ABS(ROUND(100/AF31*AG31-100,1))&lt;999,ROUND(100/AF31*AG31-100,1),IF(ROUND(100/AF31*AG31-100,1)&gt;999,999,-999)))</f>
        <v>-144.5</v>
      </c>
      <c r="AI31" s="584">
        <v>-14374</v>
      </c>
      <c r="AJ31" s="329">
        <v>14153</v>
      </c>
      <c r="AK31" s="329">
        <f>IF(AI31=0, "    ---- ", IF(ABS(ROUND(100/AI31*AJ31-100,1))&lt;999,ROUND(100/AI31*AJ31-100,1),IF(ROUND(100/AI31*AJ31-100,1)&gt;999,999,-999)))</f>
        <v>-198.5</v>
      </c>
      <c r="AL31" s="584"/>
      <c r="AM31" s="329"/>
      <c r="AN31" s="329"/>
      <c r="AO31" s="329">
        <f t="shared" si="14"/>
        <v>-66148.825318520001</v>
      </c>
      <c r="AP31" s="329">
        <f t="shared" si="14"/>
        <v>47320.891663179995</v>
      </c>
      <c r="AQ31" s="329">
        <f t="shared" si="12"/>
        <v>-171.5</v>
      </c>
      <c r="AR31" s="329"/>
      <c r="AS31" s="329"/>
      <c r="AT31" s="329"/>
    </row>
    <row r="32" spans="1:46" s="440" customFormat="1" ht="18.75" customHeight="1" x14ac:dyDescent="0.3">
      <c r="A32" s="574" t="s">
        <v>301</v>
      </c>
      <c r="B32" s="584">
        <v>-6.5</v>
      </c>
      <c r="C32" s="329">
        <f>-1218.567/1000</f>
        <v>-1.218567</v>
      </c>
      <c r="D32" s="329">
        <f>IF(B32=0, "    ---- ", IF(ABS(ROUND(100/B32*C32-100,1))&lt;999,ROUND(100/B32*C32-100,1),IF(ROUND(100/B32*C32-100,1)&gt;999,999,-999)))</f>
        <v>-81.3</v>
      </c>
      <c r="E32" s="584">
        <v>-2875.4594507100005</v>
      </c>
      <c r="F32" s="329">
        <v>-212.71513284</v>
      </c>
      <c r="G32" s="329">
        <f>IF(E32=0, "    ---- ", IF(ABS(ROUND(100/E32*F32-100,1))&lt;999,ROUND(100/E32*F32-100,1),IF(ROUND(100/E32*F32-100,1)&gt;999,999,-999)))</f>
        <v>-92.6</v>
      </c>
      <c r="H32" s="584">
        <v>-0.65504912999999998</v>
      </c>
      <c r="I32" s="329">
        <v>0</v>
      </c>
      <c r="J32" s="329">
        <f>IF(H32=0, "    ---- ", IF(ABS(ROUND(100/H32*I32-100,1))&lt;999,ROUND(100/H32*I32-100,1),IF(ROUND(100/H32*I32-100,1)&gt;999,999,-999)))</f>
        <v>-100</v>
      </c>
      <c r="K32" s="584"/>
      <c r="L32" s="329"/>
      <c r="M32" s="329"/>
      <c r="N32" s="584">
        <v>-46</v>
      </c>
      <c r="O32" s="329">
        <v>17</v>
      </c>
      <c r="P32" s="329">
        <f t="shared" si="19"/>
        <v>-137</v>
      </c>
      <c r="Q32" s="584"/>
      <c r="R32" s="427"/>
      <c r="S32" s="329"/>
      <c r="T32" s="584">
        <v>-9494.1922919999997</v>
      </c>
      <c r="U32" s="329">
        <v>-962.98299999999995</v>
      </c>
      <c r="V32" s="329">
        <f>IF(T32=0, "    ---- ", IF(ABS(ROUND(100/T32*U32-100,1))&lt;999,ROUND(100/T32*U32-100,1),IF(ROUND(100/T32*U32-100,1)&gt;999,999,-999)))</f>
        <v>-89.9</v>
      </c>
      <c r="W32" s="584">
        <v>-1364.7</v>
      </c>
      <c r="X32" s="329">
        <v>-580.17960000000005</v>
      </c>
      <c r="Y32" s="329">
        <f>IF(W32=0, "    ---- ", IF(ABS(ROUND(100/W32*X32-100,1))&lt;999,ROUND(100/W32*X32-100,1),IF(ROUND(100/W32*X32-100,1)&gt;999,999,-999)))</f>
        <v>-57.5</v>
      </c>
      <c r="Z32" s="584">
        <v>-5751</v>
      </c>
      <c r="AA32" s="329">
        <v>-146</v>
      </c>
      <c r="AB32" s="329">
        <f>IF(Z32=0, "    ---- ", IF(ABS(ROUND(100/Z32*AA32-100,1))&lt;999,ROUND(100/Z32*AA32-100,1),IF(ROUND(100/Z32*AA32-100,1)&gt;999,999,-999)))</f>
        <v>-97.5</v>
      </c>
      <c r="AC32" s="192"/>
      <c r="AD32" s="427"/>
      <c r="AE32" s="329"/>
      <c r="AF32" s="584">
        <v>-563.33151398999996</v>
      </c>
      <c r="AG32" s="329">
        <v>222.07519632</v>
      </c>
      <c r="AH32" s="329">
        <f>IF(AF32=0, "    ---- ", IF(ABS(ROUND(100/AF32*AG32-100,1))&lt;999,ROUND(100/AF32*AG32-100,1),IF(ROUND(100/AF32*AG32-100,1)&gt;999,999,-999)))</f>
        <v>-139.4</v>
      </c>
      <c r="AI32" s="584">
        <v>-1945</v>
      </c>
      <c r="AJ32" s="329">
        <v>-2622</v>
      </c>
      <c r="AK32" s="329">
        <f>IF(AI32=0, "    ---- ", IF(ABS(ROUND(100/AI32*AJ32-100,1))&lt;999,ROUND(100/AI32*AJ32-100,1),IF(ROUND(100/AI32*AJ32-100,1)&gt;999,999,-999)))</f>
        <v>34.799999999999997</v>
      </c>
      <c r="AL32" s="584"/>
      <c r="AM32" s="329"/>
      <c r="AN32" s="329"/>
      <c r="AO32" s="329">
        <f t="shared" si="14"/>
        <v>-22046.838305830002</v>
      </c>
      <c r="AP32" s="329">
        <f t="shared" si="14"/>
        <v>-4286.02110352</v>
      </c>
      <c r="AQ32" s="329">
        <f t="shared" si="12"/>
        <v>-80.599999999999994</v>
      </c>
      <c r="AR32" s="329"/>
      <c r="AS32" s="329"/>
      <c r="AT32" s="329"/>
    </row>
    <row r="33" spans="1:46" s="440" customFormat="1" ht="18.75" customHeight="1" x14ac:dyDescent="0.3">
      <c r="A33" s="574" t="s">
        <v>302</v>
      </c>
      <c r="B33" s="584">
        <v>-159.75399999999999</v>
      </c>
      <c r="C33" s="329">
        <v>-160.85714813000004</v>
      </c>
      <c r="D33" s="329">
        <f>IF(B33=0, "    ---- ", IF(ABS(ROUND(100/B33*C33-100,1))&lt;999,ROUND(100/B33*C33-100,1),IF(ROUND(100/B33*C33-100,1)&gt;999,999,-999)))</f>
        <v>0.7</v>
      </c>
      <c r="E33" s="584">
        <v>-874.62169599999993</v>
      </c>
      <c r="F33" s="329">
        <v>-936.59940688000006</v>
      </c>
      <c r="G33" s="329">
        <f>IF(E33=0, "    ---- ", IF(ABS(ROUND(100/E33*F33-100,1))&lt;999,ROUND(100/E33*F33-100,1),IF(ROUND(100/E33*F33-100,1)&gt;999,999,-999)))</f>
        <v>7.1</v>
      </c>
      <c r="H33" s="584">
        <v>-630.40857976000007</v>
      </c>
      <c r="I33" s="329">
        <v>-658.28657889999999</v>
      </c>
      <c r="J33" s="329">
        <f>IF(H33=0, "    ---- ", IF(ABS(ROUND(100/H33*I33-100,1))&lt;999,ROUND(100/H33*I33-100,1),IF(ROUND(100/H33*I33-100,1)&gt;999,999,-999)))</f>
        <v>4.4000000000000004</v>
      </c>
      <c r="K33" s="584">
        <v>-161.54178400000001</v>
      </c>
      <c r="L33" s="329">
        <v>-184.084</v>
      </c>
      <c r="M33" s="329">
        <f>IF(K33=0, "    ---- ", IF(ABS(ROUND(100/K33*L33-100,1))&lt;999,ROUND(100/K33*L33-100,1),IF(ROUND(100/K33*L33-100,1)&gt;999,999,-999)))</f>
        <v>14</v>
      </c>
      <c r="N33" s="584">
        <v>-231.7</v>
      </c>
      <c r="O33" s="329">
        <v>-241</v>
      </c>
      <c r="P33" s="329">
        <f>IF(N33=0, "    ---- ", IF(ABS(ROUND(100/N33*O33-100,1))&lt;999,ROUND(100/N33*O33-100,1),IF(ROUND(100/N33*O33-100,1)&gt;999,999,-999)))</f>
        <v>4</v>
      </c>
      <c r="Q33" s="584">
        <v>-7.6978609699999998</v>
      </c>
      <c r="R33" s="427">
        <v>-6.5731638400000003</v>
      </c>
      <c r="S33" s="329">
        <f>IF(Q33=0, "    ---- ", IF(ABS(ROUND(100/Q33*R33-100,1))&lt;999,ROUND(100/Q33*R33-100,1),IF(ROUND(100/Q33*R33-100,1)&gt;999,999,-999)))</f>
        <v>-14.6</v>
      </c>
      <c r="T33" s="584">
        <v>-890.7754149299999</v>
      </c>
      <c r="U33" s="329">
        <v>-1057.3046257400001</v>
      </c>
      <c r="V33" s="329">
        <f>IF(T33=0, "    ---- ", IF(ABS(ROUND(100/T33*U33-100,1))&lt;999,ROUND(100/T33*U33-100,1),IF(ROUND(100/T33*U33-100,1)&gt;999,999,-999)))</f>
        <v>18.7</v>
      </c>
      <c r="W33" s="584">
        <v>-554.39</v>
      </c>
      <c r="X33" s="329">
        <v>-559.20010000000002</v>
      </c>
      <c r="Y33" s="329">
        <f>IF(W33=0, "    ---- ", IF(ABS(ROUND(100/W33*X33-100,1))&lt;999,ROUND(100/W33*X33-100,1),IF(ROUND(100/W33*X33-100,1)&gt;999,999,-999)))</f>
        <v>0.9</v>
      </c>
      <c r="Z33" s="584">
        <v>-168</v>
      </c>
      <c r="AA33" s="329">
        <v>-213</v>
      </c>
      <c r="AB33" s="329">
        <f>IF(Z33=0, "    ---- ", IF(ABS(ROUND(100/Z33*AA33-100,1))&lt;999,ROUND(100/Z33*AA33-100,1),IF(ROUND(100/Z33*AA33-100,1)&gt;999,999,-999)))</f>
        <v>26.8</v>
      </c>
      <c r="AC33" s="192">
        <v>5.8977456300000002</v>
      </c>
      <c r="AD33" s="427">
        <v>0.25338772999999998</v>
      </c>
      <c r="AE33" s="329">
        <f>IF(AC33=0, "    ---- ", IF(ABS(ROUND(100/AC33*AD33-100,1))&lt;999,ROUND(100/AC33*AD33-100,1),IF(ROUND(100/AC33*AD33-100,1)&gt;999,999,-999)))</f>
        <v>-95.7</v>
      </c>
      <c r="AF33" s="584">
        <v>-518.89662693869991</v>
      </c>
      <c r="AG33" s="329">
        <v>-574.40657650190019</v>
      </c>
      <c r="AH33" s="329">
        <f>IF(AF33=0, "    ---- ", IF(ABS(ROUND(100/AF33*AG33-100,1))&lt;999,ROUND(100/AF33*AG33-100,1),IF(ROUND(100/AF33*AG33-100,1)&gt;999,999,-999)))</f>
        <v>10.7</v>
      </c>
      <c r="AI33" s="584">
        <v>-1024</v>
      </c>
      <c r="AJ33" s="329">
        <v>-1104</v>
      </c>
      <c r="AK33" s="329">
        <f>IF(AI33=0, "    ---- ", IF(ABS(ROUND(100/AI33*AJ33-100,1))&lt;999,ROUND(100/AI33*AJ33-100,1),IF(ROUND(100/AI33*AJ33-100,1)&gt;999,999,-999)))</f>
        <v>7.8</v>
      </c>
      <c r="AL33" s="584"/>
      <c r="AM33" s="329">
        <v>-23</v>
      </c>
      <c r="AN33" s="329" t="str">
        <f>IF(AL33=0, "    ---- ", IF(ABS(ROUND(100/AL33*AM33-100,1))&lt;999,ROUND(100/AL33*AM33-100,1),IF(ROUND(100/AL33*AM33-100,1)&gt;999,999,-999)))</f>
        <v xml:space="preserve">    ---- </v>
      </c>
      <c r="AO33" s="329">
        <f t="shared" si="14"/>
        <v>-5214.0881016286994</v>
      </c>
      <c r="AP33" s="329">
        <f t="shared" si="14"/>
        <v>-5688.7384361519007</v>
      </c>
      <c r="AQ33" s="329">
        <f t="shared" si="12"/>
        <v>9.1</v>
      </c>
      <c r="AR33" s="329"/>
      <c r="AS33" s="329"/>
      <c r="AT33" s="329"/>
    </row>
    <row r="34" spans="1:46" s="440" customFormat="1" ht="18.75" customHeight="1" x14ac:dyDescent="0.3">
      <c r="A34" s="574" t="s">
        <v>303</v>
      </c>
      <c r="B34" s="192"/>
      <c r="C34" s="427"/>
      <c r="D34" s="427"/>
      <c r="E34" s="192">
        <v>-35.665785839999998</v>
      </c>
      <c r="F34" s="427">
        <v>7.0510233900000001</v>
      </c>
      <c r="G34" s="427">
        <f>IF(E34=0, "    ---- ", IF(ABS(ROUND(100/E34*F34-100,1))&lt;999,ROUND(100/E34*F34-100,1),IF(ROUND(100/E34*F34-100,1)&gt;999,999,-999)))</f>
        <v>-119.8</v>
      </c>
      <c r="H34" s="192">
        <v>-30.067079400000004</v>
      </c>
      <c r="I34" s="329">
        <v>-9.4197322899999989</v>
      </c>
      <c r="J34" s="427"/>
      <c r="K34" s="192"/>
      <c r="L34" s="427"/>
      <c r="M34" s="427"/>
      <c r="N34" s="192"/>
      <c r="O34" s="427"/>
      <c r="P34" s="427"/>
      <c r="Q34" s="192"/>
      <c r="R34" s="427"/>
      <c r="S34" s="427"/>
      <c r="T34" s="192">
        <v>-952.22080100000005</v>
      </c>
      <c r="U34" s="427">
        <v>-1019.826385</v>
      </c>
      <c r="V34" s="427">
        <f>IF(T34=0, "    ---- ", IF(ABS(ROUND(100/T34*U34-100,1))&lt;999,ROUND(100/T34*U34-100,1),IF(ROUND(100/T34*U34-100,1)&gt;999,999,-999)))</f>
        <v>7.1</v>
      </c>
      <c r="W34" s="192">
        <v>-24.782766969999997</v>
      </c>
      <c r="X34" s="427">
        <v>-20.11129575</v>
      </c>
      <c r="Y34" s="427">
        <f>IF(W34=0, "    ---- ", IF(ABS(ROUND(100/W34*X34-100,1))&lt;999,ROUND(100/W34*X34-100,1),IF(ROUND(100/W34*X34-100,1)&gt;999,999,-999)))</f>
        <v>-18.8</v>
      </c>
      <c r="Z34" s="192"/>
      <c r="AA34" s="427"/>
      <c r="AB34" s="427"/>
      <c r="AC34" s="192"/>
      <c r="AD34" s="427"/>
      <c r="AE34" s="427"/>
      <c r="AF34" s="192">
        <v>-2.6564795000000001</v>
      </c>
      <c r="AG34" s="427">
        <v>-0.38271307999999998</v>
      </c>
      <c r="AH34" s="427">
        <f>IF(AF34=0, "    ---- ", IF(ABS(ROUND(100/AF34*AG34-100,1))&lt;999,ROUND(100/AF34*AG34-100,1),IF(ROUND(100/AF34*AG34-100,1)&gt;999,999,-999)))</f>
        <v>-85.6</v>
      </c>
      <c r="AI34" s="192">
        <v>-102</v>
      </c>
      <c r="AJ34" s="427">
        <v>-87</v>
      </c>
      <c r="AK34" s="427">
        <f>IF(AI34=0, "    ---- ", IF(ABS(ROUND(100/AI34*AJ34-100,1))&lt;999,ROUND(100/AI34*AJ34-100,1),IF(ROUND(100/AI34*AJ34-100,1)&gt;999,999,-999)))</f>
        <v>-14.7</v>
      </c>
      <c r="AL34" s="192"/>
      <c r="AM34" s="427"/>
      <c r="AN34" s="427"/>
      <c r="AO34" s="329">
        <f t="shared" si="14"/>
        <v>-1147.39291271</v>
      </c>
      <c r="AP34" s="329">
        <f t="shared" si="14"/>
        <v>-1129.6891027300001</v>
      </c>
      <c r="AQ34" s="427">
        <f t="shared" si="12"/>
        <v>-1.5</v>
      </c>
      <c r="AR34" s="427"/>
      <c r="AS34" s="427"/>
      <c r="AT34" s="427"/>
    </row>
    <row r="35" spans="1:46" s="461" customFormat="1" ht="18.75" customHeight="1" x14ac:dyDescent="0.3">
      <c r="A35" s="593" t="s">
        <v>304</v>
      </c>
      <c r="B35" s="195">
        <f>SUM(B14+B15+B16+B17+B21+B30+B31+B32+B33+B34)</f>
        <v>114.48399999999938</v>
      </c>
      <c r="C35" s="431">
        <f>SUM(C14+C15+C16+C17+C21+C30+C31+C32+C33+C34)</f>
        <v>62.88556970400839</v>
      </c>
      <c r="D35" s="432">
        <f>IF(B35=0, "    ---- ", IF(ABS(ROUND(100/B35*C35-100,1))&lt;999,ROUND(100/B35*C35-100,1),IF(ROUND(100/B35*C35-100,1)&gt;999,999,-999)))</f>
        <v>-45.1</v>
      </c>
      <c r="E35" s="195">
        <f>SUM(E14+E15+E16+E17+E21+E30+E31+E32+E33+E34)</f>
        <v>700.88449860999219</v>
      </c>
      <c r="F35" s="431">
        <f>SUM(F14+F15+F16+F17+F21+F30+F31+F32+F33+F34)</f>
        <v>-926.45561492999877</v>
      </c>
      <c r="G35" s="432">
        <f>IF(E35=0, "    ---- ", IF(ABS(ROUND(100/E35*F35-100,1))&lt;999,ROUND(100/E35*F35-100,1),IF(ROUND(100/E35*F35-100,1)&gt;999,999,-999)))</f>
        <v>-232.2</v>
      </c>
      <c r="H35" s="195">
        <f>SUM(H14+H15+H16+H17+H21+H30+H31+H32+H33+H34)</f>
        <v>702.62968276000106</v>
      </c>
      <c r="I35" s="431">
        <f>SUM(I14+I15+I16+I17+I21+I30+I31+I32+I33+I34)</f>
        <v>278.60376576000004</v>
      </c>
      <c r="J35" s="432">
        <f>IF(H35=0, "    ---- ", IF(ABS(ROUND(100/H35*I35-100,1))&lt;999,ROUND(100/H35*I35-100,1),IF(ROUND(100/H35*I35-100,1)&gt;999,999,-999)))</f>
        <v>-60.3</v>
      </c>
      <c r="K35" s="195">
        <f>SUM(K14+K15+K16+K17+K21+K30+K31+K32+K33+K34)</f>
        <v>67.361174999999889</v>
      </c>
      <c r="L35" s="431">
        <f>SUM(L14+L15+L16+L17+L21+L30+L31+L32+L33+L34)</f>
        <v>8.6279999999999859</v>
      </c>
      <c r="M35" s="432">
        <f>IF(K35=0, "    ---- ", IF(ABS(ROUND(100/K35*L35-100,1))&lt;999,ROUND(100/K35*L35-100,1),IF(ROUND(100/K35*L35-100,1)&gt;999,999,-999)))</f>
        <v>-87.2</v>
      </c>
      <c r="N35" s="195">
        <f>SUM(N14+N15+N16+N17+N21+N30+N31+N32+N33+N34)</f>
        <v>155.42000000000172</v>
      </c>
      <c r="O35" s="431">
        <f>SUM(O14+O15+O16+O17+O21+O30+O31+O32+O33+O34)</f>
        <v>142</v>
      </c>
      <c r="P35" s="432">
        <f>IF(N35=0, "    ---- ", IF(ABS(ROUND(100/N35*O35-100,1))&lt;999,ROUND(100/N35*O35-100,1),IF(ROUND(100/N35*O35-100,1)&gt;999,999,-999)))</f>
        <v>-8.6</v>
      </c>
      <c r="Q35" s="195">
        <f>SUM(Q14+Q15+Q16+Q17+Q21+Q30+Q31+Q32+Q33+Q34)</f>
        <v>9.8422638599999992</v>
      </c>
      <c r="R35" s="431">
        <f>SUM(R14+R15+R16+R17+R21+R30+R31+R32+R33+R34)</f>
        <v>21.565243249999998</v>
      </c>
      <c r="S35" s="432">
        <f>IF(Q35=0, "    ---- ", IF(ABS(ROUND(100/Q35*R35-100,1))&lt;999,ROUND(100/Q35*R35-100,1),IF(ROUND(100/Q35*R35-100,1)&gt;999,999,-999)))</f>
        <v>119.1</v>
      </c>
      <c r="T35" s="195">
        <v>860.85598577999133</v>
      </c>
      <c r="U35" s="431">
        <v>124.33775773000286</v>
      </c>
      <c r="V35" s="432">
        <f>IF(T35=0, "    ---- ", IF(ABS(ROUND(100/T35*U35-100,1))&lt;999,ROUND(100/T35*U35-100,1),IF(ROUND(100/T35*U35-100,1)&gt;999,999,-999)))</f>
        <v>-85.6</v>
      </c>
      <c r="W35" s="195">
        <f>SUM(W14+W15+W16+W17+W21+W30+W31+W32+W33+W34)</f>
        <v>694.69723303000694</v>
      </c>
      <c r="X35" s="431">
        <f>SUM(X14+X15+X16+X17+X21+X30+X31+X32+X33+X34)</f>
        <v>714.33470425000132</v>
      </c>
      <c r="Y35" s="432">
        <f>IF(W35=0, "    ---- ", IF(ABS(ROUND(100/W35*X35-100,1))&lt;999,ROUND(100/W35*X35-100,1),IF(ROUND(100/W35*X35-100,1)&gt;999,999,-999)))</f>
        <v>2.8</v>
      </c>
      <c r="Z35" s="195">
        <f>SUM(Z14+Z15+Z16+Z17+Z21+Z30+Z31+Z32+Z33+Z34)</f>
        <v>509</v>
      </c>
      <c r="AA35" s="431">
        <f>SUM(AA14+AA15+AA16+AA17+AA21+AA30+AA31+AA32+AA33+AA34)</f>
        <v>266</v>
      </c>
      <c r="AB35" s="432">
        <f>IF(Z35=0, "    ---- ", IF(ABS(ROUND(100/Z35*AA35-100,1))&lt;999,ROUND(100/Z35*AA35-100,1),IF(ROUND(100/Z35*AA35-100,1)&gt;999,999,-999)))</f>
        <v>-47.7</v>
      </c>
      <c r="AC35" s="195">
        <f>SUM(AC14+AC15+AC16+AC17+AC21+AC30+AC31+AC32+AC33+AC34)</f>
        <v>14.379848329999984</v>
      </c>
      <c r="AD35" s="431">
        <f>SUM(AD14+AD15+AD16+AD17+AD21+AD30+AD31+AD32+AD33+AD34)</f>
        <v>7.7395045299999907</v>
      </c>
      <c r="AE35" s="432">
        <f>IF(AC35=0, "    ---- ", IF(ABS(ROUND(100/AC35*AD35-100,1))&lt;999,ROUND(100/AC35*AD35-100,1),IF(ROUND(100/AC35*AD35-100,1)&gt;999,999,-999)))</f>
        <v>-46.2</v>
      </c>
      <c r="AF35" s="195">
        <f>SUM(AF14+AF15+AF16+AF17+AF21+AF30+AF31+AF32+AF33+AF34)</f>
        <v>150.51887864129668</v>
      </c>
      <c r="AG35" s="431">
        <f>SUM(AG14+AG15+AG16+AG17+AG21+AG30+AG31+AG32+AG33+AG34)</f>
        <v>-56.225340871902716</v>
      </c>
      <c r="AH35" s="432">
        <f>IF(AF35=0, "    ---- ", IF(ABS(ROUND(100/AF35*AG35-100,1))&lt;999,ROUND(100/AF35*AG35-100,1),IF(ROUND(100/AF35*AG35-100,1)&gt;999,999,-999)))</f>
        <v>-137.4</v>
      </c>
      <c r="AI35" s="195">
        <f>SUM(AI14+AI15+AI16+AI17+AI21+AI30+AI31+AI32+AI33+AI34)</f>
        <v>992</v>
      </c>
      <c r="AJ35" s="431">
        <f>SUM(AJ14+AJ15+AJ16+AJ17+AJ21+AJ30+AJ31+AJ32+AJ33+AJ34)</f>
        <v>-1254</v>
      </c>
      <c r="AK35" s="432">
        <f>IF(AI35=0, "    ---- ", IF(ABS(ROUND(100/AI35*AJ35-100,1))&lt;999,ROUND(100/AI35*AJ35-100,1),IF(ROUND(100/AI35*AJ35-100,1)&gt;999,999,-999)))</f>
        <v>-226.4</v>
      </c>
      <c r="AL35" s="195"/>
      <c r="AM35" s="431">
        <f>SUM(AM14+AM15+AM16+AM17+AM21+AM30+AM31+AM32+AM33+AM34)</f>
        <v>-22</v>
      </c>
      <c r="AN35" s="432" t="str">
        <f>IF(AL35=0, "    ---- ", IF(ABS(ROUND(100/AL35*AM35-100,1))&lt;999,ROUND(100/AL35*AM35-100,1),IF(ROUND(100/AL35*AM35-100,1)&gt;999,999,-999)))</f>
        <v xml:space="preserve">    ---- </v>
      </c>
      <c r="AO35" s="681">
        <f t="shared" si="14"/>
        <v>4947.8514538212894</v>
      </c>
      <c r="AP35" s="681">
        <f t="shared" si="14"/>
        <v>-639.89115835788891</v>
      </c>
      <c r="AQ35" s="432">
        <f t="shared" si="12"/>
        <v>-112.9</v>
      </c>
      <c r="AR35" s="432"/>
      <c r="AS35" s="432"/>
      <c r="AT35" s="432"/>
    </row>
    <row r="36" spans="1:46" s="461" customFormat="1" ht="18.75" customHeight="1" x14ac:dyDescent="0.3">
      <c r="A36" s="594"/>
      <c r="B36" s="595"/>
      <c r="C36" s="487"/>
      <c r="D36" s="425"/>
      <c r="E36" s="595"/>
      <c r="F36" s="487"/>
      <c r="G36" s="425"/>
      <c r="H36" s="595"/>
      <c r="I36" s="487"/>
      <c r="J36" s="425"/>
      <c r="K36" s="595"/>
      <c r="L36" s="487"/>
      <c r="M36" s="425"/>
      <c r="N36" s="595"/>
      <c r="O36" s="487"/>
      <c r="P36" s="425"/>
      <c r="Q36" s="595"/>
      <c r="R36" s="487"/>
      <c r="S36" s="425"/>
      <c r="T36" s="595"/>
      <c r="U36" s="487"/>
      <c r="V36" s="425"/>
      <c r="W36" s="595"/>
      <c r="X36" s="487"/>
      <c r="Y36" s="425"/>
      <c r="Z36" s="595"/>
      <c r="AA36" s="487"/>
      <c r="AB36" s="425"/>
      <c r="AC36" s="595"/>
      <c r="AD36" s="487"/>
      <c r="AE36" s="425"/>
      <c r="AF36" s="595"/>
      <c r="AG36" s="487"/>
      <c r="AH36" s="596"/>
      <c r="AI36" s="595"/>
      <c r="AJ36" s="487"/>
      <c r="AK36" s="596"/>
      <c r="AL36" s="595"/>
      <c r="AM36" s="487"/>
      <c r="AN36" s="596"/>
      <c r="AO36" s="329"/>
      <c r="AP36" s="329"/>
      <c r="AQ36" s="596"/>
      <c r="AR36" s="597"/>
      <c r="AS36" s="598"/>
      <c r="AT36" s="599"/>
    </row>
    <row r="37" spans="1:46" s="461" customFormat="1" ht="18.75" customHeight="1" x14ac:dyDescent="0.3">
      <c r="A37" s="576" t="s">
        <v>305</v>
      </c>
      <c r="B37" s="595"/>
      <c r="C37" s="487"/>
      <c r="D37" s="425"/>
      <c r="E37" s="595"/>
      <c r="F37" s="487"/>
      <c r="G37" s="425"/>
      <c r="H37" s="595"/>
      <c r="I37" s="487"/>
      <c r="J37" s="425"/>
      <c r="K37" s="595"/>
      <c r="L37" s="487"/>
      <c r="M37" s="425"/>
      <c r="N37" s="595"/>
      <c r="O37" s="487"/>
      <c r="P37" s="425"/>
      <c r="Q37" s="595"/>
      <c r="R37" s="487"/>
      <c r="S37" s="425"/>
      <c r="T37" s="595"/>
      <c r="U37" s="487"/>
      <c r="V37" s="425"/>
      <c r="W37" s="595"/>
      <c r="X37" s="487"/>
      <c r="Y37" s="425"/>
      <c r="Z37" s="595"/>
      <c r="AA37" s="487"/>
      <c r="AB37" s="425"/>
      <c r="AC37" s="595"/>
      <c r="AD37" s="487"/>
      <c r="AE37" s="425"/>
      <c r="AF37" s="595"/>
      <c r="AG37" s="487"/>
      <c r="AH37" s="425"/>
      <c r="AI37" s="595"/>
      <c r="AJ37" s="487"/>
      <c r="AK37" s="425"/>
      <c r="AL37" s="595"/>
      <c r="AM37" s="487"/>
      <c r="AN37" s="425"/>
      <c r="AO37" s="329"/>
      <c r="AP37" s="329"/>
      <c r="AQ37" s="425"/>
      <c r="AR37" s="600"/>
      <c r="AS37" s="601"/>
      <c r="AT37" s="602"/>
    </row>
    <row r="38" spans="1:46" s="438" customFormat="1" ht="18.75" customHeight="1" x14ac:dyDescent="0.3">
      <c r="A38" s="574" t="s">
        <v>306</v>
      </c>
      <c r="B38" s="583">
        <v>4.835</v>
      </c>
      <c r="C38" s="482">
        <v>-4.4467648140086604</v>
      </c>
      <c r="D38" s="329">
        <f t="shared" ref="D38:D44" si="26">IF(B38=0, "    ---- ", IF(ABS(ROUND(100/B38*C38-100,1))&lt;999,ROUND(100/B38*C38-100,1),IF(ROUND(100/B38*C38-100,1)&gt;999,999,-999)))</f>
        <v>-192</v>
      </c>
      <c r="E38" s="583">
        <v>761.01273470000001</v>
      </c>
      <c r="F38" s="482">
        <v>193.60833685</v>
      </c>
      <c r="G38" s="329">
        <f t="shared" ref="G38:G45" si="27">IF(E38=0, "    ---- ", IF(ABS(ROUND(100/E38*F38-100,1))&lt;999,ROUND(100/E38*F38-100,1),IF(ROUND(100/E38*F38-100,1)&gt;999,999,-999)))</f>
        <v>-74.599999999999994</v>
      </c>
      <c r="H38" s="583">
        <v>17.557317219999998</v>
      </c>
      <c r="I38" s="482">
        <v>9.9224408999999998</v>
      </c>
      <c r="J38" s="329">
        <f t="shared" ref="J38:J44" si="28">IF(H38=0, "    ---- ", IF(ABS(ROUND(100/H38*I38-100,1))&lt;999,ROUND(100/H38*I38-100,1),IF(ROUND(100/H38*I38-100,1)&gt;999,999,-999)))</f>
        <v>-43.5</v>
      </c>
      <c r="K38" s="583">
        <v>19.544682999999999</v>
      </c>
      <c r="L38" s="482">
        <v>-12.63979</v>
      </c>
      <c r="M38" s="329">
        <f t="shared" ref="M38:M44" si="29">IF(K38=0, "    ---- ", IF(ABS(ROUND(100/K38*L38-100,1))&lt;999,ROUND(100/K38*L38-100,1),IF(ROUND(100/K38*L38-100,1)&gt;999,999,-999)))</f>
        <v>-164.7</v>
      </c>
      <c r="N38" s="583">
        <v>6.4</v>
      </c>
      <c r="O38" s="482">
        <v>9</v>
      </c>
      <c r="P38" s="329">
        <f t="shared" ref="P38:P44" si="30">IF(N38=0, "    ---- ", IF(ABS(ROUND(100/N38*O38-100,1))&lt;999,ROUND(100/N38*O38-100,1),IF(ROUND(100/N38*O38-100,1)&gt;999,999,-999)))</f>
        <v>40.6</v>
      </c>
      <c r="Q38" s="583">
        <v>0.52629322999999995</v>
      </c>
      <c r="R38" s="482">
        <v>1.4117285900000001</v>
      </c>
      <c r="S38" s="329">
        <f t="shared" ref="S38:S44" si="31">IF(Q38=0, "    ---- ", IF(ABS(ROUND(100/Q38*R38-100,1))&lt;999,ROUND(100/Q38*R38-100,1),IF(ROUND(100/Q38*R38-100,1)&gt;999,999,-999)))</f>
        <v>168.2</v>
      </c>
      <c r="T38" s="583">
        <v>1033.3446320399999</v>
      </c>
      <c r="U38" s="482">
        <v>534.09563263999996</v>
      </c>
      <c r="V38" s="329">
        <f t="shared" ref="V38:V45" si="32">IF(T38=0, "    ---- ", IF(ABS(ROUND(100/T38*U38-100,1))&lt;999,ROUND(100/T38*U38-100,1),IF(ROUND(100/T38*U38-100,1)&gt;999,999,-999)))</f>
        <v>-48.3</v>
      </c>
      <c r="W38" s="583">
        <v>10.210000000000001</v>
      </c>
      <c r="X38" s="482">
        <v>-14.13</v>
      </c>
      <c r="Y38" s="329">
        <f t="shared" ref="Y38:Y45" si="33">IF(W38=0, "    ---- ", IF(ABS(ROUND(100/W38*X38-100,1))&lt;999,ROUND(100/W38*X38-100,1),IF(ROUND(100/W38*X38-100,1)&gt;999,999,-999)))</f>
        <v>-238.4</v>
      </c>
      <c r="Z38" s="583">
        <v>447</v>
      </c>
      <c r="AA38" s="482">
        <v>-165</v>
      </c>
      <c r="AB38" s="329">
        <f t="shared" ref="AB38:AB44" si="34">IF(Z38=0, "    ---- ", IF(ABS(ROUND(100/Z38*AA38-100,1))&lt;999,ROUND(100/Z38*AA38-100,1),IF(ROUND(100/Z38*AA38-100,1)&gt;999,999,-999)))</f>
        <v>-136.9</v>
      </c>
      <c r="AC38" s="583">
        <v>0.19519549999999999</v>
      </c>
      <c r="AD38" s="644">
        <v>0.74917637000000004</v>
      </c>
      <c r="AE38" s="329">
        <f>IF(AC38=0, "    ---- ", IF(ABS(ROUND(100/AC38*AD38-100,1))&lt;999,ROUND(100/AC38*AD38-100,1),IF(ROUND(100/AC38*AD38-100,1)&gt;999,999,-999)))</f>
        <v>283.8</v>
      </c>
      <c r="AF38" s="583">
        <v>190.76453634000009</v>
      </c>
      <c r="AG38" s="482">
        <v>-101.31596919999664</v>
      </c>
      <c r="AH38" s="329">
        <f t="shared" ref="AH38:AH44" si="35">IF(AF38=0, "    ---- ", IF(ABS(ROUND(100/AF38*AG38-100,1))&lt;999,ROUND(100/AF38*AG38-100,1),IF(ROUND(100/AF38*AG38-100,1)&gt;999,999,-999)))</f>
        <v>-153.1</v>
      </c>
      <c r="AI38" s="583">
        <v>2074</v>
      </c>
      <c r="AJ38" s="482">
        <v>1505</v>
      </c>
      <c r="AK38" s="329">
        <f t="shared" ref="AK38:AK45" si="36">IF(AI38=0, "    ---- ", IF(ABS(ROUND(100/AI38*AJ38-100,1))&lt;999,ROUND(100/AI38*AJ38-100,1),IF(ROUND(100/AI38*AJ38-100,1)&gt;999,999,-999)))</f>
        <v>-27.4</v>
      </c>
      <c r="AL38" s="583"/>
      <c r="AM38" s="482"/>
      <c r="AN38" s="329"/>
      <c r="AO38" s="329">
        <f t="shared" si="14"/>
        <v>4564.6689033000002</v>
      </c>
      <c r="AP38" s="329">
        <f t="shared" si="14"/>
        <v>1954.0938863759948</v>
      </c>
      <c r="AQ38" s="329">
        <f t="shared" si="12"/>
        <v>-57.2</v>
      </c>
      <c r="AR38" s="585"/>
      <c r="AS38" s="603"/>
      <c r="AT38" s="504"/>
    </row>
    <row r="39" spans="1:46" s="438" customFormat="1" ht="18.75" customHeight="1" x14ac:dyDescent="0.3">
      <c r="A39" s="574" t="s">
        <v>307</v>
      </c>
      <c r="B39" s="583"/>
      <c r="C39" s="482"/>
      <c r="D39" s="329"/>
      <c r="E39" s="583">
        <v>74.766682070000002</v>
      </c>
      <c r="F39" s="482">
        <v>7.2660650000000002</v>
      </c>
      <c r="G39" s="329">
        <f t="shared" si="27"/>
        <v>-90.3</v>
      </c>
      <c r="H39" s="583"/>
      <c r="I39" s="482"/>
      <c r="J39" s="329"/>
      <c r="K39" s="583">
        <v>4.095E-2</v>
      </c>
      <c r="L39" s="482"/>
      <c r="M39" s="329">
        <f t="shared" si="29"/>
        <v>-100</v>
      </c>
      <c r="N39" s="583"/>
      <c r="O39" s="482"/>
      <c r="P39" s="329"/>
      <c r="Q39" s="583"/>
      <c r="R39" s="482"/>
      <c r="S39" s="329"/>
      <c r="T39" s="583">
        <v>11.11077416</v>
      </c>
      <c r="U39" s="482">
        <v>7.8848092200000002</v>
      </c>
      <c r="V39" s="329">
        <f t="shared" si="32"/>
        <v>-29</v>
      </c>
      <c r="W39" s="583"/>
      <c r="X39" s="482"/>
      <c r="Y39" s="329"/>
      <c r="Z39" s="583">
        <v>4</v>
      </c>
      <c r="AA39" s="482">
        <v>7</v>
      </c>
      <c r="AB39" s="329">
        <f t="shared" si="34"/>
        <v>75</v>
      </c>
      <c r="AC39" s="583"/>
      <c r="AD39" s="644"/>
      <c r="AE39" s="329"/>
      <c r="AF39" s="583">
        <v>1.7599469099999998</v>
      </c>
      <c r="AG39" s="482">
        <v>4.6603554100000002</v>
      </c>
      <c r="AH39" s="329">
        <f t="shared" si="35"/>
        <v>164.8</v>
      </c>
      <c r="AI39" s="583">
        <v>2</v>
      </c>
      <c r="AJ39" s="482">
        <v>11</v>
      </c>
      <c r="AK39" s="329">
        <f t="shared" si="36"/>
        <v>450</v>
      </c>
      <c r="AL39" s="583"/>
      <c r="AM39" s="482"/>
      <c r="AN39" s="329"/>
      <c r="AO39" s="329">
        <f t="shared" si="14"/>
        <v>93.678353139999999</v>
      </c>
      <c r="AP39" s="329">
        <f t="shared" si="14"/>
        <v>37.81122963</v>
      </c>
      <c r="AQ39" s="329">
        <f t="shared" si="12"/>
        <v>-59.6</v>
      </c>
      <c r="AR39" s="329"/>
      <c r="AS39" s="604"/>
      <c r="AT39" s="329"/>
    </row>
    <row r="40" spans="1:46" s="438" customFormat="1" ht="18.75" customHeight="1" x14ac:dyDescent="0.3">
      <c r="A40" s="574" t="s">
        <v>308</v>
      </c>
      <c r="B40" s="583"/>
      <c r="C40" s="482"/>
      <c r="D40" s="329"/>
      <c r="E40" s="583">
        <v>-409.88744632000004</v>
      </c>
      <c r="F40" s="482">
        <v>-227.0793329</v>
      </c>
      <c r="G40" s="329">
        <f t="shared" si="27"/>
        <v>-44.6</v>
      </c>
      <c r="H40" s="583">
        <v>-14.30557554</v>
      </c>
      <c r="I40" s="482">
        <v>-17.204371390000002</v>
      </c>
      <c r="J40" s="329">
        <f t="shared" si="28"/>
        <v>20.3</v>
      </c>
      <c r="K40" s="583"/>
      <c r="L40" s="482"/>
      <c r="M40" s="329"/>
      <c r="N40" s="583">
        <v>-6.6</v>
      </c>
      <c r="O40" s="482">
        <v>-7</v>
      </c>
      <c r="P40" s="329">
        <f t="shared" si="30"/>
        <v>6.1</v>
      </c>
      <c r="Q40" s="583"/>
      <c r="R40" s="482"/>
      <c r="S40" s="329"/>
      <c r="T40" s="583">
        <v>-205.9828373</v>
      </c>
      <c r="U40" s="482">
        <v>-205.71787588000001</v>
      </c>
      <c r="V40" s="329">
        <f t="shared" si="32"/>
        <v>-0.1</v>
      </c>
      <c r="W40" s="583">
        <v>-58.83</v>
      </c>
      <c r="X40" s="482">
        <v>-82.63</v>
      </c>
      <c r="Y40" s="329">
        <f t="shared" si="33"/>
        <v>40.5</v>
      </c>
      <c r="Z40" s="583">
        <v>-101</v>
      </c>
      <c r="AA40" s="482">
        <v>-79</v>
      </c>
      <c r="AB40" s="329">
        <f t="shared" si="34"/>
        <v>-21.8</v>
      </c>
      <c r="AC40" s="583"/>
      <c r="AD40" s="644"/>
      <c r="AE40" s="329"/>
      <c r="AF40" s="583">
        <v>-50.437510551300001</v>
      </c>
      <c r="AG40" s="482">
        <v>-2.2151970481000021</v>
      </c>
      <c r="AH40" s="329">
        <f t="shared" si="35"/>
        <v>-95.6</v>
      </c>
      <c r="AI40" s="583">
        <v>-334.2</v>
      </c>
      <c r="AJ40" s="482">
        <v>-360</v>
      </c>
      <c r="AK40" s="329">
        <f t="shared" si="36"/>
        <v>7.7</v>
      </c>
      <c r="AL40" s="583"/>
      <c r="AM40" s="482"/>
      <c r="AN40" s="329"/>
      <c r="AO40" s="329">
        <f t="shared" si="14"/>
        <v>-1181.2433697113001</v>
      </c>
      <c r="AP40" s="329">
        <f t="shared" si="14"/>
        <v>-980.84677721809999</v>
      </c>
      <c r="AQ40" s="329">
        <f t="shared" si="12"/>
        <v>-17</v>
      </c>
      <c r="AR40" s="329"/>
      <c r="AS40" s="604"/>
      <c r="AT40" s="329"/>
    </row>
    <row r="41" spans="1:46" s="606" customFormat="1" ht="18.75" customHeight="1" x14ac:dyDescent="0.3">
      <c r="A41" s="594" t="s">
        <v>309</v>
      </c>
      <c r="B41" s="595">
        <f>SUM(B38:B40)</f>
        <v>4.835</v>
      </c>
      <c r="C41" s="487">
        <f>SUM(C38:C40)</f>
        <v>-4.4467648140086604</v>
      </c>
      <c r="D41" s="425">
        <f t="shared" si="26"/>
        <v>-192</v>
      </c>
      <c r="E41" s="595">
        <f>SUM(E38:E40)</f>
        <v>425.89197044999997</v>
      </c>
      <c r="F41" s="487">
        <f>SUM(F38:F40)</f>
        <v>-26.204931049999999</v>
      </c>
      <c r="G41" s="425">
        <f t="shared" si="27"/>
        <v>-106.2</v>
      </c>
      <c r="H41" s="595">
        <f>SUM(H38:H40)</f>
        <v>3.2517416799999985</v>
      </c>
      <c r="I41" s="487">
        <f>SUM(I38:I40)</f>
        <v>-7.2819304900000024</v>
      </c>
      <c r="J41" s="425">
        <f t="shared" si="28"/>
        <v>-323.89999999999998</v>
      </c>
      <c r="K41" s="595">
        <f>SUM(K38:K40)</f>
        <v>19.585632999999998</v>
      </c>
      <c r="L41" s="487">
        <f>SUM(L38:L40)</f>
        <v>-12.63979</v>
      </c>
      <c r="M41" s="425">
        <f t="shared" si="29"/>
        <v>-164.5</v>
      </c>
      <c r="N41" s="595">
        <f>SUM(N38:N40)</f>
        <v>-0.19999999999999929</v>
      </c>
      <c r="O41" s="487">
        <f>SUM(O38:O40)</f>
        <v>2</v>
      </c>
      <c r="P41" s="425">
        <f t="shared" si="30"/>
        <v>-999</v>
      </c>
      <c r="Q41" s="595">
        <f>SUM(Q38:Q40)</f>
        <v>0.52629322999999995</v>
      </c>
      <c r="R41" s="487">
        <f>SUM(R38:R40)</f>
        <v>1.4117285900000001</v>
      </c>
      <c r="S41" s="425">
        <f t="shared" si="31"/>
        <v>168.2</v>
      </c>
      <c r="T41" s="595">
        <v>838.47256889999971</v>
      </c>
      <c r="U41" s="487">
        <v>336.26256597999992</v>
      </c>
      <c r="V41" s="425">
        <f t="shared" si="32"/>
        <v>-59.9</v>
      </c>
      <c r="W41" s="595">
        <f>SUM(W38:W40)</f>
        <v>-48.62</v>
      </c>
      <c r="X41" s="487">
        <f>SUM(X38:X40)</f>
        <v>-96.759999999999991</v>
      </c>
      <c r="Y41" s="425">
        <f t="shared" si="33"/>
        <v>99</v>
      </c>
      <c r="Z41" s="595">
        <f>SUM(Z38:Z40)</f>
        <v>350</v>
      </c>
      <c r="AA41" s="487">
        <f>SUM(AA38:AA40)</f>
        <v>-237</v>
      </c>
      <c r="AB41" s="425">
        <f t="shared" si="34"/>
        <v>-167.7</v>
      </c>
      <c r="AC41" s="595">
        <f>SUM(AC38:AC40)</f>
        <v>0.19519549999999999</v>
      </c>
      <c r="AD41" s="645">
        <f>SUM(AD38:AD40)</f>
        <v>0.74917637000000004</v>
      </c>
      <c r="AE41" s="425">
        <f>IF(AC41=0, "    ---- ", IF(ABS(ROUND(100/AC41*AD41-100,1))&lt;999,ROUND(100/AC41*AD41-100,1),IF(ROUND(100/AC41*AD41-100,1)&gt;999,999,-999)))</f>
        <v>283.8</v>
      </c>
      <c r="AF41" s="595">
        <f>SUM(AF38:AF40)</f>
        <v>142.08697269870009</v>
      </c>
      <c r="AG41" s="487">
        <f>SUM(AG38:AG40)</f>
        <v>-98.870810838096645</v>
      </c>
      <c r="AH41" s="425">
        <f t="shared" si="35"/>
        <v>-169.6</v>
      </c>
      <c r="AI41" s="595">
        <f>SUM(AI38:AI40)</f>
        <v>1741.8</v>
      </c>
      <c r="AJ41" s="487">
        <f>SUM(AJ38:AJ40)</f>
        <v>1156</v>
      </c>
      <c r="AK41" s="425">
        <f t="shared" si="36"/>
        <v>-33.6</v>
      </c>
      <c r="AL41" s="595"/>
      <c r="AM41" s="487"/>
      <c r="AN41" s="425"/>
      <c r="AO41" s="329">
        <f t="shared" si="14"/>
        <v>3477.1038867286998</v>
      </c>
      <c r="AP41" s="329">
        <f t="shared" si="14"/>
        <v>1011.0583387878946</v>
      </c>
      <c r="AQ41" s="425">
        <f t="shared" si="12"/>
        <v>-70.900000000000006</v>
      </c>
      <c r="AR41" s="425"/>
      <c r="AS41" s="605"/>
      <c r="AT41" s="425"/>
    </row>
    <row r="42" spans="1:46" s="606" customFormat="1" ht="18.75" customHeight="1" x14ac:dyDescent="0.3">
      <c r="A42" s="594" t="s">
        <v>310</v>
      </c>
      <c r="B42" s="595">
        <f>B35+B41</f>
        <v>119.31899999999938</v>
      </c>
      <c r="C42" s="487">
        <f>C35+C41</f>
        <v>58.43880488999973</v>
      </c>
      <c r="D42" s="425">
        <f t="shared" si="26"/>
        <v>-51</v>
      </c>
      <c r="E42" s="595">
        <f>E35+E41</f>
        <v>1126.7764690599922</v>
      </c>
      <c r="F42" s="487">
        <f>F35+F41</f>
        <v>-952.6605459799988</v>
      </c>
      <c r="G42" s="425">
        <f t="shared" si="27"/>
        <v>-184.5</v>
      </c>
      <c r="H42" s="595">
        <f>H35+H41</f>
        <v>705.88142444000107</v>
      </c>
      <c r="I42" s="487">
        <f>I35+I41</f>
        <v>271.32183527000007</v>
      </c>
      <c r="J42" s="425">
        <f t="shared" si="28"/>
        <v>-61.6</v>
      </c>
      <c r="K42" s="595">
        <f>K35+K41</f>
        <v>86.946807999999891</v>
      </c>
      <c r="L42" s="487">
        <f>L35+L41</f>
        <v>-4.0117900000000137</v>
      </c>
      <c r="M42" s="425">
        <f t="shared" si="29"/>
        <v>-104.6</v>
      </c>
      <c r="N42" s="595">
        <f>N35+N41</f>
        <v>155.22000000000173</v>
      </c>
      <c r="O42" s="487">
        <f>O35+O41</f>
        <v>144</v>
      </c>
      <c r="P42" s="425">
        <f t="shared" si="30"/>
        <v>-7.2</v>
      </c>
      <c r="Q42" s="595">
        <f>Q35+Q41</f>
        <v>10.368557089999999</v>
      </c>
      <c r="R42" s="487">
        <f>R35+R41</f>
        <v>22.976971839999997</v>
      </c>
      <c r="S42" s="425">
        <f t="shared" si="31"/>
        <v>121.6</v>
      </c>
      <c r="T42" s="595">
        <v>1699.3285546799912</v>
      </c>
      <c r="U42" s="487">
        <v>460.60032371000278</v>
      </c>
      <c r="V42" s="425">
        <f t="shared" si="32"/>
        <v>-72.900000000000006</v>
      </c>
      <c r="W42" s="595">
        <f>W35+W41</f>
        <v>646.07723303000694</v>
      </c>
      <c r="X42" s="487">
        <f>X35+X41</f>
        <v>617.57470425000133</v>
      </c>
      <c r="Y42" s="425">
        <f t="shared" si="33"/>
        <v>-4.4000000000000004</v>
      </c>
      <c r="Z42" s="595">
        <f>Z35+Z41</f>
        <v>859</v>
      </c>
      <c r="AA42" s="487">
        <f>AA35+AA41</f>
        <v>29</v>
      </c>
      <c r="AB42" s="425">
        <f t="shared" si="34"/>
        <v>-96.6</v>
      </c>
      <c r="AC42" s="595">
        <f>AC35+AC41</f>
        <v>14.575043829999984</v>
      </c>
      <c r="AD42" s="645">
        <f>AD35+AD41</f>
        <v>8.4886808999999914</v>
      </c>
      <c r="AE42" s="425">
        <f>IF(AC42=0, "    ---- ", IF(ABS(ROUND(100/AC42*AD42-100,1))&lt;999,ROUND(100/AC42*AD42-100,1),IF(ROUND(100/AC42*AD42-100,1)&gt;999,999,-999)))</f>
        <v>-41.8</v>
      </c>
      <c r="AF42" s="595">
        <f>AF35+AF41</f>
        <v>292.60585133999678</v>
      </c>
      <c r="AG42" s="487">
        <f>AG35+AG41</f>
        <v>-155.09615170999936</v>
      </c>
      <c r="AH42" s="425">
        <f t="shared" si="35"/>
        <v>-153</v>
      </c>
      <c r="AI42" s="595">
        <f>AI35+AI41</f>
        <v>2733.8</v>
      </c>
      <c r="AJ42" s="487">
        <f>AJ35+AJ41</f>
        <v>-98</v>
      </c>
      <c r="AK42" s="425">
        <f t="shared" si="36"/>
        <v>-103.6</v>
      </c>
      <c r="AL42" s="595"/>
      <c r="AM42" s="487">
        <f>AM35+AM41</f>
        <v>-22</v>
      </c>
      <c r="AN42" s="425" t="str">
        <f t="shared" ref="AN42:AN44" si="37">IF(AL42=0, "    ---- ", IF(ABS(ROUND(100/AL42*AM42-100,1))&lt;999,ROUND(100/AL42*AM42-100,1),IF(ROUND(100/AL42*AM42-100,1)&gt;999,999,-999)))</f>
        <v xml:space="preserve">    ---- </v>
      </c>
      <c r="AO42" s="329">
        <f t="shared" si="14"/>
        <v>8424.9553405499901</v>
      </c>
      <c r="AP42" s="329">
        <f t="shared" si="14"/>
        <v>371.16718043000571</v>
      </c>
      <c r="AQ42" s="425">
        <f t="shared" si="12"/>
        <v>-95.6</v>
      </c>
      <c r="AR42" s="425"/>
      <c r="AS42" s="605"/>
      <c r="AT42" s="425"/>
    </row>
    <row r="43" spans="1:46" s="438" customFormat="1" ht="18.75" customHeight="1" x14ac:dyDescent="0.3">
      <c r="A43" s="574" t="s">
        <v>311</v>
      </c>
      <c r="B43" s="583">
        <v>-29.83</v>
      </c>
      <c r="C43" s="482">
        <v>-16.439131750000001</v>
      </c>
      <c r="D43" s="329">
        <f t="shared" si="26"/>
        <v>-44.9</v>
      </c>
      <c r="E43" s="583">
        <v>-221.43106399999999</v>
      </c>
      <c r="F43" s="482">
        <v>269.507316</v>
      </c>
      <c r="G43" s="329">
        <f t="shared" si="27"/>
        <v>-221.7</v>
      </c>
      <c r="H43" s="583">
        <v>-183.75984665000001</v>
      </c>
      <c r="I43" s="482">
        <v>-86.254400210000014</v>
      </c>
      <c r="J43" s="329">
        <f t="shared" si="28"/>
        <v>-53.1</v>
      </c>
      <c r="K43" s="583">
        <v>-20.075565000000001</v>
      </c>
      <c r="L43" s="482">
        <v>-10.709</v>
      </c>
      <c r="M43" s="329">
        <f t="shared" si="29"/>
        <v>-46.7</v>
      </c>
      <c r="N43" s="583">
        <v>-38.799999999999997</v>
      </c>
      <c r="O43" s="482">
        <v>-36</v>
      </c>
      <c r="P43" s="329">
        <f t="shared" si="30"/>
        <v>-7.2</v>
      </c>
      <c r="Q43" s="583">
        <v>-2.599701</v>
      </c>
      <c r="R43" s="482">
        <v>-5.7645869999999997</v>
      </c>
      <c r="S43" s="329">
        <f t="shared" si="31"/>
        <v>121.7</v>
      </c>
      <c r="T43" s="583">
        <v>-286.18241747499997</v>
      </c>
      <c r="U43" s="482">
        <v>-51.830301474999999</v>
      </c>
      <c r="V43" s="329">
        <f t="shared" si="32"/>
        <v>-81.900000000000006</v>
      </c>
      <c r="W43" s="583">
        <v>-152.71</v>
      </c>
      <c r="X43" s="482">
        <v>-151.61000000000001</v>
      </c>
      <c r="Y43" s="329">
        <f t="shared" si="33"/>
        <v>-0.7</v>
      </c>
      <c r="Z43" s="583">
        <v>-253</v>
      </c>
      <c r="AA43" s="482">
        <v>-80</v>
      </c>
      <c r="AB43" s="329">
        <f t="shared" si="34"/>
        <v>-68.400000000000006</v>
      </c>
      <c r="AC43" s="583">
        <v>-3.2065100000000002</v>
      </c>
      <c r="AD43" s="644">
        <v>-1.8724970000000001</v>
      </c>
      <c r="AE43" s="329">
        <f>IF(AC43=0, "    ---- ", IF(ABS(ROUND(100/AC43*AD43-100,1))&lt;999,ROUND(100/AC43*AD43-100,1),IF(ROUND(100/AC43*AD43-100,1)&gt;999,999,-999)))</f>
        <v>-41.6</v>
      </c>
      <c r="AF43" s="583">
        <v>-38.794350999999999</v>
      </c>
      <c r="AG43" s="482">
        <v>35.311484999999998</v>
      </c>
      <c r="AH43" s="329">
        <f t="shared" si="35"/>
        <v>-191</v>
      </c>
      <c r="AI43" s="583">
        <v>-331.4</v>
      </c>
      <c r="AJ43" s="482">
        <v>950</v>
      </c>
      <c r="AK43" s="329">
        <f t="shared" si="36"/>
        <v>-386.7</v>
      </c>
      <c r="AL43" s="583"/>
      <c r="AM43" s="482"/>
      <c r="AN43" s="329"/>
      <c r="AO43" s="329">
        <f t="shared" si="14"/>
        <v>-1555.9832441250001</v>
      </c>
      <c r="AP43" s="329">
        <f t="shared" si="14"/>
        <v>821.97596756500002</v>
      </c>
      <c r="AQ43" s="329">
        <f t="shared" si="12"/>
        <v>-152.80000000000001</v>
      </c>
      <c r="AR43" s="329"/>
      <c r="AS43" s="604"/>
      <c r="AT43" s="329"/>
    </row>
    <row r="44" spans="1:46" s="606" customFormat="1" ht="18.75" customHeight="1" x14ac:dyDescent="0.3">
      <c r="A44" s="594" t="s">
        <v>416</v>
      </c>
      <c r="B44" s="595">
        <f>B42+B43</f>
        <v>89.488999999999379</v>
      </c>
      <c r="C44" s="487">
        <f>C42+C43</f>
        <v>41.999673139999729</v>
      </c>
      <c r="D44" s="425">
        <f t="shared" si="26"/>
        <v>-53.1</v>
      </c>
      <c r="E44" s="595">
        <f>E42+E43</f>
        <v>905.34540505999223</v>
      </c>
      <c r="F44" s="487">
        <f>F42+F43</f>
        <v>-683.15322997999874</v>
      </c>
      <c r="G44" s="425">
        <f t="shared" si="27"/>
        <v>-175.5</v>
      </c>
      <c r="H44" s="595">
        <f>H42+H43</f>
        <v>522.12157779000108</v>
      </c>
      <c r="I44" s="487">
        <f>I42+I43</f>
        <v>185.06743506000004</v>
      </c>
      <c r="J44" s="425">
        <f t="shared" si="28"/>
        <v>-64.599999999999994</v>
      </c>
      <c r="K44" s="595">
        <f>K42+K43</f>
        <v>66.871242999999893</v>
      </c>
      <c r="L44" s="487">
        <f>L42+L43</f>
        <v>-14.720790000000013</v>
      </c>
      <c r="M44" s="425">
        <f t="shared" si="29"/>
        <v>-122</v>
      </c>
      <c r="N44" s="595">
        <f>N42+N43</f>
        <v>116.42000000000174</v>
      </c>
      <c r="O44" s="487">
        <f>O42+O43</f>
        <v>108</v>
      </c>
      <c r="P44" s="425">
        <f t="shared" si="30"/>
        <v>-7.2</v>
      </c>
      <c r="Q44" s="595">
        <f>Q42+Q43</f>
        <v>7.7688560899999999</v>
      </c>
      <c r="R44" s="487">
        <f>R42+R43</f>
        <v>17.212384839999999</v>
      </c>
      <c r="S44" s="425">
        <f t="shared" si="31"/>
        <v>121.6</v>
      </c>
      <c r="T44" s="595">
        <v>1413.1461372049912</v>
      </c>
      <c r="U44" s="487">
        <v>408.77002223500278</v>
      </c>
      <c r="V44" s="425">
        <f t="shared" si="32"/>
        <v>-71.099999999999994</v>
      </c>
      <c r="W44" s="595">
        <f>W42+W43</f>
        <v>493.3672330300069</v>
      </c>
      <c r="X44" s="487">
        <f>X42+X43</f>
        <v>465.96470425000132</v>
      </c>
      <c r="Y44" s="425">
        <f t="shared" si="33"/>
        <v>-5.6</v>
      </c>
      <c r="Z44" s="595">
        <f>Z42+Z43</f>
        <v>606</v>
      </c>
      <c r="AA44" s="487">
        <f>AA42+AA43</f>
        <v>-51</v>
      </c>
      <c r="AB44" s="425">
        <f t="shared" si="34"/>
        <v>-108.4</v>
      </c>
      <c r="AC44" s="595">
        <f>AC42+AC43</f>
        <v>11.368533829999985</v>
      </c>
      <c r="AD44" s="645">
        <f>AD42+AD43</f>
        <v>6.6161838999999913</v>
      </c>
      <c r="AE44" s="425">
        <f>IF(AC44=0, "    ---- ", IF(ABS(ROUND(100/AC44*AD44-100,1))&lt;999,ROUND(100/AC44*AD44-100,1),IF(ROUND(100/AC44*AD44-100,1)&gt;999,999,-999)))</f>
        <v>-41.8</v>
      </c>
      <c r="AF44" s="595">
        <f>AF42+AF43</f>
        <v>253.81150033999677</v>
      </c>
      <c r="AG44" s="487">
        <f>AG42+AG43</f>
        <v>-119.78466670999936</v>
      </c>
      <c r="AH44" s="425">
        <f t="shared" si="35"/>
        <v>-147.19999999999999</v>
      </c>
      <c r="AI44" s="595">
        <f>AI42+AI43</f>
        <v>2402.4</v>
      </c>
      <c r="AJ44" s="487">
        <f>AJ42+AJ43</f>
        <v>852</v>
      </c>
      <c r="AK44" s="425">
        <f t="shared" si="36"/>
        <v>-64.5</v>
      </c>
      <c r="AL44" s="595"/>
      <c r="AM44" s="487">
        <f>AM42+AM43</f>
        <v>-22</v>
      </c>
      <c r="AN44" s="425" t="str">
        <f t="shared" si="37"/>
        <v xml:space="preserve">    ---- </v>
      </c>
      <c r="AO44" s="329">
        <f t="shared" si="14"/>
        <v>6868.97209642499</v>
      </c>
      <c r="AP44" s="329">
        <f t="shared" si="14"/>
        <v>1193.1431479950056</v>
      </c>
      <c r="AQ44" s="425">
        <f t="shared" si="12"/>
        <v>-82.6</v>
      </c>
      <c r="AR44" s="425"/>
      <c r="AS44" s="605"/>
      <c r="AT44" s="425"/>
    </row>
    <row r="45" spans="1:46" s="438" customFormat="1" ht="18.75" customHeight="1" x14ac:dyDescent="0.3">
      <c r="A45" s="574" t="s">
        <v>417</v>
      </c>
      <c r="B45" s="583"/>
      <c r="C45" s="482"/>
      <c r="D45" s="329"/>
      <c r="E45" s="583">
        <v>4.9324360499999997</v>
      </c>
      <c r="F45" s="482"/>
      <c r="G45" s="329">
        <f t="shared" si="27"/>
        <v>-100</v>
      </c>
      <c r="H45" s="583"/>
      <c r="I45" s="482"/>
      <c r="J45" s="329"/>
      <c r="K45" s="583"/>
      <c r="L45" s="482"/>
      <c r="M45" s="329"/>
      <c r="N45" s="583"/>
      <c r="O45" s="482"/>
      <c r="P45" s="329"/>
      <c r="Q45" s="583"/>
      <c r="R45" s="482"/>
      <c r="S45" s="329"/>
      <c r="T45" s="583">
        <v>-183.82437852499999</v>
      </c>
      <c r="U45" s="482">
        <v>64.403392775</v>
      </c>
      <c r="V45" s="329">
        <f t="shared" si="32"/>
        <v>-135</v>
      </c>
      <c r="W45" s="583">
        <v>3.45</v>
      </c>
      <c r="X45" s="482">
        <v>35.130000000000003</v>
      </c>
      <c r="Y45" s="329">
        <f t="shared" si="33"/>
        <v>918.3</v>
      </c>
      <c r="Z45" s="583"/>
      <c r="AA45" s="482"/>
      <c r="AB45" s="329"/>
      <c r="AC45" s="583"/>
      <c r="AD45" s="644"/>
      <c r="AE45" s="329"/>
      <c r="AF45" s="583"/>
      <c r="AG45" s="482"/>
      <c r="AH45" s="329"/>
      <c r="AI45" s="583">
        <v>-35</v>
      </c>
      <c r="AJ45" s="482">
        <v>-24</v>
      </c>
      <c r="AK45" s="329">
        <f t="shared" si="36"/>
        <v>-31.4</v>
      </c>
      <c r="AL45" s="583"/>
      <c r="AM45" s="482"/>
      <c r="AN45" s="329"/>
      <c r="AO45" s="329">
        <f t="shared" si="14"/>
        <v>-210.44194247499999</v>
      </c>
      <c r="AP45" s="329">
        <f t="shared" si="14"/>
        <v>75.53339277500001</v>
      </c>
      <c r="AQ45" s="329">
        <f t="shared" si="12"/>
        <v>-135.9</v>
      </c>
      <c r="AR45" s="329"/>
      <c r="AS45" s="604"/>
      <c r="AT45" s="329"/>
    </row>
    <row r="46" spans="1:46" s="606" customFormat="1" ht="18.75" customHeight="1" x14ac:dyDescent="0.3">
      <c r="A46" s="593" t="s">
        <v>312</v>
      </c>
      <c r="B46" s="607">
        <f>B44+B45</f>
        <v>89.488999999999379</v>
      </c>
      <c r="C46" s="488">
        <f>C44+C45</f>
        <v>41.999673139999729</v>
      </c>
      <c r="D46" s="432">
        <f>IF(B46=0, "    ---- ", IF(ABS(ROUND(100/B46*C46-100,1))&lt;999,ROUND(100/B46*C46-100,1),IF(ROUND(100/B46*C46-100,1)&gt;999,999,-999)))</f>
        <v>-53.1</v>
      </c>
      <c r="E46" s="607">
        <f>E44+E45</f>
        <v>910.27784110999221</v>
      </c>
      <c r="F46" s="488">
        <f>F44+F45</f>
        <v>-683.15322997999874</v>
      </c>
      <c r="G46" s="432">
        <f>IF(E46=0, "    ---- ", IF(ABS(ROUND(100/E46*F46-100,1))&lt;999,ROUND(100/E46*F46-100,1),IF(ROUND(100/E46*F46-100,1)&gt;999,999,-999)))</f>
        <v>-175</v>
      </c>
      <c r="H46" s="607">
        <f>H44+H45</f>
        <v>522.12157779000108</v>
      </c>
      <c r="I46" s="488">
        <f>I44+I45</f>
        <v>185.06743506000004</v>
      </c>
      <c r="J46" s="432">
        <f>IF(H46=0, "    ---- ", IF(ABS(ROUND(100/H46*I46-100,1))&lt;999,ROUND(100/H46*I46-100,1),IF(ROUND(100/H46*I46-100,1)&gt;999,999,-999)))</f>
        <v>-64.599999999999994</v>
      </c>
      <c r="K46" s="607">
        <f>K44+K45</f>
        <v>66.871242999999893</v>
      </c>
      <c r="L46" s="488">
        <f>L44+L45</f>
        <v>-14.720790000000013</v>
      </c>
      <c r="M46" s="432">
        <f>IF(K46=0, "    ---- ", IF(ABS(ROUND(100/K46*L46-100,1))&lt;999,ROUND(100/K46*L46-100,1),IF(ROUND(100/K46*L46-100,1)&gt;999,999,-999)))</f>
        <v>-122</v>
      </c>
      <c r="N46" s="607">
        <f>N44+N45</f>
        <v>116.42000000000174</v>
      </c>
      <c r="O46" s="488">
        <f>O44+O45</f>
        <v>108</v>
      </c>
      <c r="P46" s="432">
        <f>IF(N46=0, "    ---- ", IF(ABS(ROUND(100/N46*O46-100,1))&lt;999,ROUND(100/N46*O46-100,1),IF(ROUND(100/N46*O46-100,1)&gt;999,999,-999)))</f>
        <v>-7.2</v>
      </c>
      <c r="Q46" s="607">
        <f>Q44+Q45</f>
        <v>7.7688560899999999</v>
      </c>
      <c r="R46" s="488">
        <f>R44+R45</f>
        <v>17.212384839999999</v>
      </c>
      <c r="S46" s="432">
        <f>IF(Q46=0, "    ---- ", IF(ABS(ROUND(100/Q46*R46-100,1))&lt;999,ROUND(100/Q46*R46-100,1),IF(ROUND(100/Q46*R46-100,1)&gt;999,999,-999)))</f>
        <v>121.6</v>
      </c>
      <c r="T46" s="607">
        <v>1229.3217586799913</v>
      </c>
      <c r="U46" s="488">
        <v>473.17341501000277</v>
      </c>
      <c r="V46" s="432">
        <f>IF(T46=0, "    ---- ", IF(ABS(ROUND(100/T46*U46-100,1))&lt;999,ROUND(100/T46*U46-100,1),IF(ROUND(100/T46*U46-100,1)&gt;999,999,-999)))</f>
        <v>-61.5</v>
      </c>
      <c r="W46" s="607">
        <f>W44+W45</f>
        <v>496.81723303000689</v>
      </c>
      <c r="X46" s="488">
        <f>X44+X45</f>
        <v>501.09470425000131</v>
      </c>
      <c r="Y46" s="432">
        <f>IF(W46=0, "    ---- ", IF(ABS(ROUND(100/W46*X46-100,1))&lt;999,ROUND(100/W46*X46-100,1),IF(ROUND(100/W46*X46-100,1)&gt;999,999,-999)))</f>
        <v>0.9</v>
      </c>
      <c r="Z46" s="607">
        <f>Z44+Z45</f>
        <v>606</v>
      </c>
      <c r="AA46" s="488">
        <f>AA44+AA45</f>
        <v>-51</v>
      </c>
      <c r="AB46" s="432">
        <f>IF(Z46=0, "    ---- ", IF(ABS(ROUND(100/Z46*AA46-100,1))&lt;999,ROUND(100/Z46*AA46-100,1),IF(ROUND(100/Z46*AA46-100,1)&gt;999,999,-999)))</f>
        <v>-108.4</v>
      </c>
      <c r="AC46" s="607">
        <f>AC44+AC45</f>
        <v>11.368533829999985</v>
      </c>
      <c r="AD46" s="646">
        <f>AD44+AD45</f>
        <v>6.6161838999999913</v>
      </c>
      <c r="AE46" s="432">
        <f>IF(AC46=0, "    ---- ", IF(ABS(ROUND(100/AC46*AD46-100,1))&lt;999,ROUND(100/AC46*AD46-100,1),IF(ROUND(100/AC46*AD46-100,1)&gt;999,999,-999)))</f>
        <v>-41.8</v>
      </c>
      <c r="AF46" s="607">
        <f>AF44+AF45</f>
        <v>253.81150033999677</v>
      </c>
      <c r="AG46" s="488">
        <f>AG44+AG45</f>
        <v>-119.78466670999936</v>
      </c>
      <c r="AH46" s="432">
        <f>IF(AF46=0, "    ---- ", IF(ABS(ROUND(100/AF46*AG46-100,1))&lt;999,ROUND(100/AF46*AG46-100,1),IF(ROUND(100/AF46*AG46-100,1)&gt;999,999,-999)))</f>
        <v>-147.19999999999999</v>
      </c>
      <c r="AI46" s="607">
        <f>AI44+AI45</f>
        <v>2367.4</v>
      </c>
      <c r="AJ46" s="488">
        <f>AJ44+AJ45</f>
        <v>828</v>
      </c>
      <c r="AK46" s="432">
        <f>IF(AI46=0, "    ---- ", IF(ABS(ROUND(100/AI46*AJ46-100,1))&lt;999,ROUND(100/AI46*AJ46-100,1),IF(ROUND(100/AI46*AJ46-100,1)&gt;999,999,-999)))</f>
        <v>-65</v>
      </c>
      <c r="AL46" s="607"/>
      <c r="AM46" s="488">
        <f>AM44+AM45</f>
        <v>-22</v>
      </c>
      <c r="AN46" s="432" t="str">
        <f>IF(AL46=0, "    ---- ", IF(ABS(ROUND(100/AL46*AM46-100,1))&lt;999,ROUND(100/AL46*AM46-100,1),IF(ROUND(100/AL46*AM46-100,1)&gt;999,999,-999)))</f>
        <v xml:space="preserve">    ---- </v>
      </c>
      <c r="AO46" s="329">
        <f t="shared" si="14"/>
        <v>6658.5301539499887</v>
      </c>
      <c r="AP46" s="329">
        <f t="shared" si="14"/>
        <v>1268.6765407700057</v>
      </c>
      <c r="AQ46" s="432">
        <f t="shared" si="12"/>
        <v>-80.900000000000006</v>
      </c>
      <c r="AR46" s="608"/>
      <c r="AS46" s="609"/>
      <c r="AT46" s="610"/>
    </row>
    <row r="47" spans="1:46" s="606" customFormat="1" ht="18.75" customHeight="1" x14ac:dyDescent="0.3">
      <c r="A47" s="611"/>
      <c r="B47" s="612"/>
      <c r="C47" s="612"/>
      <c r="D47" s="613"/>
      <c r="E47" s="612"/>
      <c r="F47" s="612"/>
      <c r="G47" s="596"/>
      <c r="H47" s="612"/>
      <c r="I47" s="612"/>
      <c r="J47" s="596"/>
      <c r="K47" s="612"/>
      <c r="L47" s="612"/>
      <c r="M47" s="596"/>
      <c r="N47" s="612"/>
      <c r="O47" s="612"/>
      <c r="P47" s="613"/>
      <c r="Q47" s="612"/>
      <c r="R47" s="612"/>
      <c r="S47" s="596"/>
      <c r="T47" s="612"/>
      <c r="U47" s="612"/>
      <c r="V47" s="596"/>
      <c r="W47" s="612"/>
      <c r="X47" s="612"/>
      <c r="Y47" s="596"/>
      <c r="Z47" s="612"/>
      <c r="AA47" s="612"/>
      <c r="AB47" s="596"/>
      <c r="AC47" s="612"/>
      <c r="AD47" s="612"/>
      <c r="AE47" s="596"/>
      <c r="AF47" s="612"/>
      <c r="AG47" s="612"/>
      <c r="AH47" s="596"/>
      <c r="AI47" s="612"/>
      <c r="AJ47" s="612"/>
      <c r="AK47" s="596"/>
      <c r="AL47" s="612"/>
      <c r="AM47" s="612"/>
      <c r="AN47" s="596"/>
      <c r="AO47" s="613"/>
      <c r="AP47" s="613"/>
      <c r="AQ47" s="596"/>
      <c r="AR47" s="614"/>
      <c r="AS47" s="614"/>
      <c r="AT47" s="615"/>
    </row>
    <row r="48" spans="1:46" s="606" customFormat="1" ht="18.75" customHeight="1" x14ac:dyDescent="0.3">
      <c r="A48" s="501" t="s">
        <v>313</v>
      </c>
      <c r="B48" s="616"/>
      <c r="C48" s="616"/>
      <c r="D48" s="616"/>
      <c r="E48" s="616"/>
      <c r="F48" s="616"/>
      <c r="G48" s="616"/>
      <c r="H48" s="616"/>
      <c r="I48" s="616"/>
      <c r="J48" s="616"/>
      <c r="K48" s="616"/>
      <c r="L48" s="616"/>
      <c r="M48" s="616"/>
      <c r="N48" s="616"/>
      <c r="O48" s="616"/>
      <c r="P48" s="616"/>
      <c r="Q48" s="616"/>
      <c r="R48" s="616"/>
      <c r="S48" s="616"/>
      <c r="T48" s="616"/>
      <c r="U48" s="616"/>
      <c r="V48" s="616"/>
      <c r="W48" s="616"/>
      <c r="X48" s="616"/>
      <c r="Y48" s="616"/>
      <c r="Z48" s="616"/>
      <c r="AA48" s="616"/>
      <c r="AB48" s="616"/>
      <c r="AC48" s="616"/>
      <c r="AD48" s="616"/>
      <c r="AE48" s="616"/>
      <c r="AF48" s="616"/>
      <c r="AG48" s="616"/>
      <c r="AH48" s="616"/>
      <c r="AI48" s="616"/>
      <c r="AJ48" s="616"/>
      <c r="AK48" s="616"/>
      <c r="AL48" s="616"/>
      <c r="AM48" s="616"/>
      <c r="AN48" s="616"/>
      <c r="AO48" s="616"/>
      <c r="AP48" s="616"/>
      <c r="AQ48" s="616"/>
      <c r="AR48" s="616"/>
      <c r="AS48" s="616"/>
      <c r="AT48" s="616"/>
    </row>
    <row r="49" spans="1:46" s="438" customFormat="1" ht="18.75" customHeight="1" x14ac:dyDescent="0.3">
      <c r="A49" s="616" t="s">
        <v>314</v>
      </c>
      <c r="B49" s="616"/>
      <c r="C49" s="616"/>
      <c r="D49" s="616"/>
      <c r="E49" s="616"/>
      <c r="F49" s="616"/>
      <c r="G49" s="616"/>
      <c r="H49" s="616"/>
      <c r="I49" s="616"/>
      <c r="J49" s="616"/>
      <c r="K49" s="616"/>
      <c r="L49" s="616"/>
      <c r="M49" s="616"/>
      <c r="N49" s="616"/>
      <c r="O49" s="616"/>
      <c r="P49" s="616"/>
      <c r="Q49" s="616"/>
      <c r="R49" s="616"/>
      <c r="S49" s="616"/>
      <c r="T49" s="616"/>
      <c r="U49" s="616"/>
      <c r="V49" s="616"/>
      <c r="W49" s="616"/>
      <c r="X49" s="616"/>
      <c r="Y49" s="616"/>
      <c r="Z49" s="616"/>
      <c r="AA49" s="616"/>
      <c r="AB49" s="616"/>
      <c r="AC49" s="616"/>
      <c r="AD49" s="616"/>
      <c r="AE49" s="616"/>
      <c r="AF49" s="616"/>
      <c r="AG49" s="616"/>
      <c r="AH49" s="616"/>
      <c r="AI49" s="616"/>
      <c r="AJ49" s="616"/>
      <c r="AK49" s="616"/>
      <c r="AL49" s="616"/>
      <c r="AM49" s="616"/>
      <c r="AN49" s="616"/>
      <c r="AO49" s="616"/>
      <c r="AP49" s="616"/>
      <c r="AQ49" s="616"/>
      <c r="AR49" s="616"/>
      <c r="AS49" s="616"/>
      <c r="AT49" s="616"/>
    </row>
    <row r="50" spans="1:46" s="438" customFormat="1" ht="18.75" customHeight="1" x14ac:dyDescent="0.3">
      <c r="A50" s="616" t="s">
        <v>315</v>
      </c>
      <c r="B50" s="616"/>
      <c r="C50" s="616"/>
      <c r="D50" s="616"/>
      <c r="E50" s="616"/>
      <c r="F50" s="616"/>
      <c r="G50" s="616"/>
      <c r="H50" s="616"/>
      <c r="I50" s="616"/>
      <c r="J50" s="616"/>
      <c r="K50" s="616"/>
      <c r="L50" s="616"/>
      <c r="M50" s="616"/>
      <c r="N50" s="616"/>
      <c r="O50" s="616"/>
      <c r="P50" s="616"/>
      <c r="Q50" s="616"/>
      <c r="R50" s="616"/>
      <c r="S50" s="616"/>
      <c r="T50" s="616"/>
      <c r="U50" s="616"/>
      <c r="V50" s="616"/>
      <c r="W50" s="616"/>
      <c r="X50" s="616"/>
      <c r="Y50" s="616"/>
      <c r="Z50" s="616"/>
      <c r="AA50" s="616"/>
      <c r="AB50" s="616"/>
      <c r="AC50" s="616"/>
      <c r="AD50" s="616"/>
      <c r="AE50" s="616"/>
      <c r="AF50" s="616"/>
      <c r="AG50" s="616"/>
      <c r="AH50" s="616"/>
      <c r="AI50" s="616"/>
      <c r="AJ50" s="616"/>
      <c r="AK50" s="616"/>
      <c r="AL50" s="616"/>
      <c r="AM50" s="616"/>
      <c r="AN50" s="616"/>
      <c r="AO50" s="616"/>
      <c r="AP50" s="616"/>
      <c r="AQ50" s="616"/>
      <c r="AR50" s="616"/>
      <c r="AS50" s="616"/>
      <c r="AT50" s="616"/>
    </row>
    <row r="51" spans="1:46" s="438" customFormat="1" ht="18.75" customHeight="1" x14ac:dyDescent="0.3">
      <c r="A51" s="616" t="s">
        <v>316</v>
      </c>
      <c r="B51" s="616"/>
      <c r="C51" s="616"/>
      <c r="D51" s="616"/>
      <c r="E51" s="616"/>
      <c r="F51" s="616"/>
      <c r="G51" s="616"/>
      <c r="H51" s="616"/>
      <c r="I51" s="616"/>
      <c r="J51" s="616"/>
      <c r="K51" s="616"/>
      <c r="L51" s="616"/>
      <c r="M51" s="616"/>
      <c r="N51" s="616"/>
      <c r="O51" s="616"/>
      <c r="P51" s="616"/>
      <c r="Q51" s="616"/>
      <c r="R51" s="616"/>
      <c r="S51" s="616"/>
      <c r="T51" s="616"/>
      <c r="U51" s="616"/>
      <c r="V51" s="616"/>
      <c r="W51" s="616"/>
      <c r="X51" s="616"/>
      <c r="Y51" s="616"/>
      <c r="Z51" s="616"/>
      <c r="AA51" s="616"/>
      <c r="AB51" s="616"/>
      <c r="AC51" s="616"/>
      <c r="AD51" s="616"/>
      <c r="AE51" s="616"/>
      <c r="AF51" s="616"/>
      <c r="AG51" s="616"/>
      <c r="AH51" s="616"/>
      <c r="AI51" s="616"/>
      <c r="AJ51" s="616"/>
      <c r="AK51" s="616"/>
      <c r="AL51" s="616"/>
      <c r="AM51" s="616"/>
      <c r="AN51" s="616"/>
      <c r="AO51" s="616"/>
      <c r="AP51" s="616"/>
      <c r="AQ51" s="616"/>
      <c r="AR51" s="616"/>
      <c r="AS51" s="616"/>
      <c r="AT51" s="616"/>
    </row>
    <row r="52" spans="1:46" s="438" customFormat="1" ht="18.75" customHeight="1" x14ac:dyDescent="0.3">
      <c r="A52" s="616" t="s">
        <v>317</v>
      </c>
      <c r="B52" s="616"/>
      <c r="C52" s="616"/>
      <c r="D52" s="616"/>
      <c r="E52" s="616"/>
      <c r="F52" s="616"/>
      <c r="G52" s="616"/>
      <c r="H52" s="616"/>
      <c r="I52" s="616"/>
      <c r="J52" s="616"/>
      <c r="K52" s="616"/>
      <c r="L52" s="616"/>
      <c r="M52" s="616"/>
      <c r="N52" s="616"/>
      <c r="O52" s="616"/>
      <c r="P52" s="616"/>
      <c r="Q52" s="616"/>
      <c r="R52" s="616"/>
      <c r="S52" s="616"/>
      <c r="T52" s="616"/>
      <c r="U52" s="616"/>
      <c r="V52" s="616"/>
      <c r="W52" s="616"/>
      <c r="X52" s="616"/>
      <c r="Y52" s="616"/>
      <c r="Z52" s="616"/>
      <c r="AA52" s="616"/>
      <c r="AB52" s="616"/>
      <c r="AC52" s="616"/>
      <c r="AD52" s="616"/>
      <c r="AE52" s="616"/>
      <c r="AF52" s="616"/>
      <c r="AG52" s="616"/>
      <c r="AH52" s="616"/>
      <c r="AI52" s="616"/>
      <c r="AJ52" s="616"/>
      <c r="AK52" s="616"/>
      <c r="AL52" s="616"/>
      <c r="AM52" s="616"/>
      <c r="AN52" s="616"/>
      <c r="AO52" s="616"/>
      <c r="AP52" s="616"/>
      <c r="AQ52" s="616"/>
      <c r="AR52" s="616"/>
      <c r="AS52" s="616"/>
      <c r="AT52" s="616"/>
    </row>
    <row r="53" spans="1:46" s="438" customFormat="1" ht="18.75" customHeight="1" x14ac:dyDescent="0.3">
      <c r="A53" s="616" t="s">
        <v>318</v>
      </c>
      <c r="B53" s="616"/>
      <c r="C53" s="616"/>
      <c r="D53" s="616"/>
      <c r="E53" s="616"/>
      <c r="F53" s="616"/>
      <c r="G53" s="616"/>
      <c r="H53" s="616"/>
      <c r="I53" s="616"/>
      <c r="J53" s="616"/>
      <c r="K53" s="616"/>
      <c r="L53" s="616"/>
      <c r="M53" s="616"/>
      <c r="N53" s="616"/>
      <c r="O53" s="616"/>
      <c r="P53" s="616"/>
      <c r="Q53" s="616"/>
      <c r="R53" s="616"/>
      <c r="S53" s="616"/>
      <c r="T53" s="616"/>
      <c r="U53" s="616"/>
      <c r="V53" s="616"/>
      <c r="W53" s="616"/>
      <c r="X53" s="616"/>
      <c r="Y53" s="616"/>
      <c r="Z53" s="616"/>
      <c r="AA53" s="616"/>
      <c r="AB53" s="616"/>
      <c r="AC53" s="616"/>
      <c r="AD53" s="616"/>
      <c r="AE53" s="616"/>
      <c r="AF53" s="616"/>
      <c r="AG53" s="616"/>
      <c r="AH53" s="616"/>
      <c r="AI53" s="616"/>
      <c r="AJ53" s="616"/>
      <c r="AK53" s="616"/>
      <c r="AL53" s="616"/>
      <c r="AM53" s="616"/>
      <c r="AN53" s="616"/>
      <c r="AO53" s="616"/>
      <c r="AP53" s="616"/>
      <c r="AQ53" s="616"/>
      <c r="AR53" s="616"/>
      <c r="AS53" s="616"/>
      <c r="AT53" s="616"/>
    </row>
    <row r="54" spans="1:46" s="438" customFormat="1" ht="18.75" customHeight="1" x14ac:dyDescent="0.3">
      <c r="A54" s="616" t="s">
        <v>319</v>
      </c>
      <c r="B54" s="616"/>
      <c r="C54" s="616"/>
      <c r="D54" s="616"/>
      <c r="E54" s="616"/>
      <c r="F54" s="616"/>
      <c r="G54" s="616"/>
      <c r="H54" s="616"/>
      <c r="I54" s="616"/>
      <c r="J54" s="616"/>
      <c r="K54" s="616"/>
      <c r="L54" s="616"/>
      <c r="M54" s="616"/>
      <c r="N54" s="616"/>
      <c r="O54" s="616"/>
      <c r="P54" s="616"/>
      <c r="Q54" s="616"/>
      <c r="R54" s="616"/>
      <c r="S54" s="616"/>
      <c r="T54" s="616"/>
      <c r="U54" s="616"/>
      <c r="V54" s="616"/>
      <c r="W54" s="616"/>
      <c r="X54" s="616"/>
      <c r="Y54" s="616"/>
      <c r="Z54" s="616"/>
      <c r="AA54" s="616"/>
      <c r="AB54" s="616"/>
      <c r="AC54" s="616"/>
      <c r="AD54" s="616"/>
      <c r="AE54" s="616"/>
      <c r="AF54" s="616"/>
      <c r="AG54" s="616"/>
      <c r="AH54" s="616"/>
      <c r="AI54" s="616"/>
      <c r="AJ54" s="616"/>
      <c r="AK54" s="616"/>
      <c r="AL54" s="616"/>
      <c r="AM54" s="616"/>
      <c r="AN54" s="616"/>
      <c r="AO54" s="616"/>
      <c r="AP54" s="616"/>
      <c r="AQ54" s="616"/>
      <c r="AR54" s="616"/>
      <c r="AS54" s="616"/>
      <c r="AT54" s="616"/>
    </row>
    <row r="55" spans="1:46" s="438" customFormat="1" ht="18.75" customHeight="1" x14ac:dyDescent="0.3">
      <c r="A55" s="616" t="s">
        <v>320</v>
      </c>
      <c r="B55" s="616"/>
      <c r="C55" s="616"/>
      <c r="D55" s="616"/>
      <c r="E55" s="616"/>
      <c r="F55" s="616"/>
      <c r="G55" s="616"/>
      <c r="H55" s="616"/>
      <c r="I55" s="616"/>
      <c r="J55" s="616"/>
      <c r="K55" s="616"/>
      <c r="L55" s="616"/>
      <c r="M55" s="616"/>
      <c r="N55" s="616"/>
      <c r="O55" s="616"/>
      <c r="P55" s="616"/>
      <c r="Q55" s="616"/>
      <c r="R55" s="616"/>
      <c r="S55" s="616"/>
      <c r="T55" s="616"/>
      <c r="U55" s="616"/>
      <c r="V55" s="616"/>
      <c r="W55" s="616"/>
      <c r="X55" s="616"/>
      <c r="Y55" s="616"/>
      <c r="Z55" s="616"/>
      <c r="AA55" s="616"/>
      <c r="AB55" s="616"/>
      <c r="AC55" s="616"/>
      <c r="AD55" s="616"/>
      <c r="AE55" s="616"/>
      <c r="AF55" s="616"/>
      <c r="AG55" s="616"/>
      <c r="AH55" s="616"/>
      <c r="AI55" s="616"/>
      <c r="AJ55" s="616"/>
      <c r="AK55" s="616"/>
      <c r="AL55" s="616"/>
      <c r="AM55" s="616"/>
      <c r="AN55" s="616"/>
      <c r="AO55" s="616"/>
      <c r="AP55" s="616"/>
      <c r="AQ55" s="616"/>
      <c r="AR55" s="616"/>
      <c r="AS55" s="616"/>
      <c r="AT55" s="616"/>
    </row>
    <row r="56" spans="1:46" s="438" customFormat="1" ht="18.75" customHeight="1" x14ac:dyDescent="0.3">
      <c r="A56" s="616" t="s">
        <v>321</v>
      </c>
      <c r="B56" s="616"/>
      <c r="C56" s="616"/>
      <c r="D56" s="616"/>
      <c r="E56" s="616"/>
      <c r="F56" s="616"/>
      <c r="G56" s="616"/>
      <c r="H56" s="616"/>
      <c r="I56" s="616"/>
      <c r="J56" s="616"/>
      <c r="K56" s="616"/>
      <c r="L56" s="616"/>
      <c r="M56" s="616"/>
      <c r="N56" s="616"/>
      <c r="O56" s="616"/>
      <c r="P56" s="616"/>
      <c r="Q56" s="616"/>
      <c r="R56" s="616"/>
      <c r="S56" s="616"/>
      <c r="T56" s="616"/>
      <c r="U56" s="616"/>
      <c r="V56" s="616"/>
      <c r="W56" s="616"/>
      <c r="X56" s="616"/>
      <c r="Y56" s="616"/>
      <c r="Z56" s="616"/>
      <c r="AA56" s="616"/>
      <c r="AB56" s="616"/>
      <c r="AC56" s="616"/>
      <c r="AD56" s="616"/>
      <c r="AE56" s="616"/>
      <c r="AF56" s="616"/>
      <c r="AG56" s="616"/>
      <c r="AH56" s="616"/>
      <c r="AI56" s="616"/>
      <c r="AJ56" s="616"/>
      <c r="AK56" s="616"/>
      <c r="AL56" s="616"/>
      <c r="AM56" s="616"/>
      <c r="AN56" s="616"/>
      <c r="AO56" s="616"/>
      <c r="AP56" s="616"/>
      <c r="AQ56" s="616"/>
      <c r="AR56" s="616"/>
      <c r="AS56" s="616"/>
      <c r="AT56" s="616"/>
    </row>
    <row r="57" spans="1:46" s="438" customFormat="1" ht="18.75" customHeight="1" x14ac:dyDescent="0.3">
      <c r="A57" s="616" t="s">
        <v>322</v>
      </c>
      <c r="B57" s="616"/>
      <c r="C57" s="616"/>
      <c r="D57" s="616"/>
      <c r="E57" s="616"/>
      <c r="F57" s="616"/>
      <c r="G57" s="616"/>
      <c r="H57" s="616"/>
      <c r="I57" s="616"/>
      <c r="J57" s="616"/>
      <c r="K57" s="616"/>
      <c r="L57" s="616"/>
      <c r="M57" s="616"/>
      <c r="N57" s="616"/>
      <c r="O57" s="616"/>
      <c r="P57" s="616"/>
      <c r="Q57" s="616"/>
      <c r="R57" s="616"/>
      <c r="S57" s="616"/>
      <c r="T57" s="616"/>
      <c r="U57" s="616"/>
      <c r="V57" s="616"/>
      <c r="W57" s="616"/>
      <c r="X57" s="616"/>
      <c r="Y57" s="616"/>
      <c r="Z57" s="616"/>
      <c r="AA57" s="616"/>
      <c r="AB57" s="616"/>
      <c r="AC57" s="616"/>
      <c r="AD57" s="616"/>
      <c r="AE57" s="616"/>
      <c r="AF57" s="616"/>
      <c r="AG57" s="616"/>
      <c r="AH57" s="616"/>
      <c r="AI57" s="616"/>
      <c r="AJ57" s="616"/>
      <c r="AK57" s="616"/>
      <c r="AL57" s="616"/>
      <c r="AM57" s="616"/>
      <c r="AN57" s="616"/>
      <c r="AO57" s="616"/>
      <c r="AP57" s="616"/>
      <c r="AQ57" s="616"/>
      <c r="AR57" s="616"/>
      <c r="AS57" s="616"/>
      <c r="AT57" s="616"/>
    </row>
    <row r="58" spans="1:46" s="606" customFormat="1" ht="18.75" customHeight="1" x14ac:dyDescent="0.3">
      <c r="A58" s="502" t="s">
        <v>323</v>
      </c>
      <c r="B58" s="617"/>
      <c r="C58" s="617"/>
      <c r="D58" s="617"/>
      <c r="E58" s="617"/>
      <c r="F58" s="617"/>
      <c r="G58" s="617"/>
      <c r="H58" s="617"/>
      <c r="I58" s="617"/>
      <c r="J58" s="617"/>
      <c r="K58" s="617"/>
      <c r="L58" s="617"/>
      <c r="M58" s="617"/>
      <c r="N58" s="617"/>
      <c r="O58" s="617"/>
      <c r="P58" s="617"/>
      <c r="Q58" s="617"/>
      <c r="R58" s="617"/>
      <c r="S58" s="617"/>
      <c r="T58" s="617"/>
      <c r="U58" s="617"/>
      <c r="V58" s="617"/>
      <c r="W58" s="617"/>
      <c r="X58" s="617"/>
      <c r="Y58" s="617"/>
      <c r="Z58" s="617"/>
      <c r="AA58" s="617"/>
      <c r="AB58" s="617"/>
      <c r="AC58" s="617"/>
      <c r="AD58" s="617"/>
      <c r="AE58" s="617"/>
      <c r="AF58" s="617"/>
      <c r="AG58" s="617"/>
      <c r="AH58" s="617"/>
      <c r="AI58" s="617"/>
      <c r="AJ58" s="617"/>
      <c r="AK58" s="617"/>
      <c r="AL58" s="617"/>
      <c r="AM58" s="617"/>
      <c r="AN58" s="617"/>
      <c r="AO58" s="617"/>
      <c r="AP58" s="617"/>
      <c r="AQ58" s="617"/>
      <c r="AR58" s="617"/>
      <c r="AS58" s="617"/>
      <c r="AT58" s="617"/>
    </row>
    <row r="59" spans="1:46" s="441" customFormat="1" ht="18.75" customHeight="1" x14ac:dyDescent="0.3">
      <c r="A59" s="438" t="s">
        <v>247</v>
      </c>
      <c r="B59" s="438"/>
    </row>
    <row r="60" spans="1:46" s="441" customFormat="1" ht="18.75" customHeight="1" x14ac:dyDescent="0.3">
      <c r="A60" s="438" t="s">
        <v>248</v>
      </c>
    </row>
    <row r="61" spans="1:46" s="441" customFormat="1" ht="18.75" customHeight="1" x14ac:dyDescent="0.3">
      <c r="A61" s="438" t="s">
        <v>249</v>
      </c>
    </row>
    <row r="62" spans="1:46" s="441" customFormat="1" ht="18.75" x14ac:dyDescent="0.3"/>
    <row r="63" spans="1:46" s="439" customFormat="1" x14ac:dyDescent="0.2"/>
  </sheetData>
  <mergeCells count="28">
    <mergeCell ref="AF6:AH6"/>
    <mergeCell ref="AI6:AK6"/>
    <mergeCell ref="AO6:AQ6"/>
    <mergeCell ref="AI5:AK5"/>
    <mergeCell ref="AO5:AQ5"/>
    <mergeCell ref="AL6:AN6"/>
    <mergeCell ref="AL5:AN5"/>
    <mergeCell ref="N6:P6"/>
    <mergeCell ref="Q6:S6"/>
    <mergeCell ref="T6:V6"/>
    <mergeCell ref="W6:Y6"/>
    <mergeCell ref="Z6:AB6"/>
    <mergeCell ref="AR5:AT5"/>
    <mergeCell ref="AR6:AT6"/>
    <mergeCell ref="B5:D5"/>
    <mergeCell ref="E5:G5"/>
    <mergeCell ref="H5:J5"/>
    <mergeCell ref="K5:M5"/>
    <mergeCell ref="AF5:AH5"/>
    <mergeCell ref="N5:P5"/>
    <mergeCell ref="Z5:AB5"/>
    <mergeCell ref="Q5:S5"/>
    <mergeCell ref="T5:V5"/>
    <mergeCell ref="AC6:AE6"/>
    <mergeCell ref="B6:D6"/>
    <mergeCell ref="E6:G6"/>
    <mergeCell ref="H6:J6"/>
    <mergeCell ref="K6:M6"/>
  </mergeCells>
  <conditionalFormatting sqref="AF30">
    <cfRule type="expression" dxfId="235" priority="121">
      <formula>#REF! ="30≠24+25+26+27+28+29"</formula>
    </cfRule>
  </conditionalFormatting>
  <conditionalFormatting sqref="AF35">
    <cfRule type="expression" dxfId="234" priority="122">
      <formula>#REF! ="35≠14+15+16+17+22+30+31+32+33+34"</formula>
    </cfRule>
  </conditionalFormatting>
  <conditionalFormatting sqref="AF46">
    <cfRule type="expression" dxfId="233" priority="123">
      <formula>#REF! ="46≠35+38+39+40+43+45"</formula>
    </cfRule>
  </conditionalFormatting>
  <conditionalFormatting sqref="AF14">
    <cfRule type="expression" dxfId="232" priority="124">
      <formula>#REF! ="14≠11+12+13"</formula>
    </cfRule>
  </conditionalFormatting>
  <conditionalFormatting sqref="AF21">
    <cfRule type="expression" dxfId="231" priority="125">
      <formula>#REF! ="22≠19+20+21"</formula>
    </cfRule>
  </conditionalFormatting>
  <conditionalFormatting sqref="W30">
    <cfRule type="expression" dxfId="230" priority="111">
      <formula>#REF! ="30≠24+25+26+27+28+29"</formula>
    </cfRule>
  </conditionalFormatting>
  <conditionalFormatting sqref="W35">
    <cfRule type="expression" dxfId="229" priority="112">
      <formula>#REF! ="35≠14+15+16+17+22+30+31+32+33+34"</formula>
    </cfRule>
  </conditionalFormatting>
  <conditionalFormatting sqref="W46">
    <cfRule type="expression" dxfId="228" priority="113">
      <formula>#REF! ="46≠35+38+39+40+43+45"</formula>
    </cfRule>
  </conditionalFormatting>
  <conditionalFormatting sqref="W14">
    <cfRule type="expression" dxfId="227" priority="114">
      <formula>#REF! ="14≠11+12+13"</formula>
    </cfRule>
  </conditionalFormatting>
  <conditionalFormatting sqref="W21">
    <cfRule type="expression" dxfId="226" priority="115">
      <formula>#REF! ="22≠19+20+21"</formula>
    </cfRule>
  </conditionalFormatting>
  <conditionalFormatting sqref="H30">
    <cfRule type="expression" dxfId="225" priority="106">
      <formula>#REF! ="30≠24+25+26+27+28+29"</formula>
    </cfRule>
  </conditionalFormatting>
  <conditionalFormatting sqref="H35">
    <cfRule type="expression" dxfId="224" priority="107">
      <formula>#REF! ="35≠14+15+16+17+22+30+31+32+33+34"</formula>
    </cfRule>
  </conditionalFormatting>
  <conditionalFormatting sqref="H46">
    <cfRule type="expression" dxfId="223" priority="108">
      <formula>#REF! ="46≠35+38+39+40+43+45"</formula>
    </cfRule>
  </conditionalFormatting>
  <conditionalFormatting sqref="H14">
    <cfRule type="expression" dxfId="222" priority="109">
      <formula>#REF! ="14≠11+12+13"</formula>
    </cfRule>
  </conditionalFormatting>
  <conditionalFormatting sqref="H21">
    <cfRule type="expression" dxfId="221" priority="110">
      <formula>#REF! ="22≠19+20+21"</formula>
    </cfRule>
  </conditionalFormatting>
  <conditionalFormatting sqref="N30">
    <cfRule type="expression" dxfId="220" priority="91">
      <formula>#REF! ="30≠24+25+26+27+28+29"</formula>
    </cfRule>
  </conditionalFormatting>
  <conditionalFormatting sqref="N35">
    <cfRule type="expression" dxfId="219" priority="92">
      <formula>#REF! ="35≠14+15+16+17+22+30+31+32+33+34"</formula>
    </cfRule>
  </conditionalFormatting>
  <conditionalFormatting sqref="N46">
    <cfRule type="expression" dxfId="218" priority="93">
      <formula>#REF! ="46≠35+38+39+40+43+45"</formula>
    </cfRule>
  </conditionalFormatting>
  <conditionalFormatting sqref="N14">
    <cfRule type="expression" dxfId="217" priority="94">
      <formula>#REF! ="14≠11+12+13"</formula>
    </cfRule>
  </conditionalFormatting>
  <conditionalFormatting sqref="N21">
    <cfRule type="expression" dxfId="216" priority="95">
      <formula>#REF! ="22≠19+20+21"</formula>
    </cfRule>
  </conditionalFormatting>
  <conditionalFormatting sqref="Q30">
    <cfRule type="expression" dxfId="215" priority="81">
      <formula>#REF! ="30≠24+25+26+27+28+29"</formula>
    </cfRule>
  </conditionalFormatting>
  <conditionalFormatting sqref="Q35">
    <cfRule type="expression" dxfId="214" priority="82">
      <formula>#REF! ="35≠14+15+16+17+22+30+31+32+33+34"</formula>
    </cfRule>
  </conditionalFormatting>
  <conditionalFormatting sqref="Q46">
    <cfRule type="expression" dxfId="213" priority="83">
      <formula>#REF! ="46≠35+38+39+40+43+45"</formula>
    </cfRule>
  </conditionalFormatting>
  <conditionalFormatting sqref="Q14">
    <cfRule type="expression" dxfId="212" priority="84">
      <formula>#REF! ="14≠11+12+13"</formula>
    </cfRule>
  </conditionalFormatting>
  <conditionalFormatting sqref="Q21">
    <cfRule type="expression" dxfId="211" priority="85">
      <formula>#REF! ="22≠19+20+21"</formula>
    </cfRule>
  </conditionalFormatting>
  <conditionalFormatting sqref="AC30">
    <cfRule type="expression" dxfId="210" priority="71">
      <formula>#REF! ="30≠24+25+26+27+28+29"</formula>
    </cfRule>
  </conditionalFormatting>
  <conditionalFormatting sqref="AC35">
    <cfRule type="expression" dxfId="209" priority="72">
      <formula>#REF! ="35≠14+15+16+17+22+30+31+32+33+34"</formula>
    </cfRule>
  </conditionalFormatting>
  <conditionalFormatting sqref="AC46">
    <cfRule type="expression" dxfId="208" priority="73">
      <formula>#REF! ="46≠35+38+39+40+43+45"</formula>
    </cfRule>
  </conditionalFormatting>
  <conditionalFormatting sqref="AC14">
    <cfRule type="expression" dxfId="207" priority="74">
      <formula>#REF! ="14≠11+12+13"</formula>
    </cfRule>
  </conditionalFormatting>
  <conditionalFormatting sqref="AC21">
    <cfRule type="expression" dxfId="206" priority="75">
      <formula>#REF! ="22≠19+20+21"</formula>
    </cfRule>
  </conditionalFormatting>
  <conditionalFormatting sqref="Z30">
    <cfRule type="expression" dxfId="205" priority="61">
      <formula>#REF! ="30≠24+25+26+27+28+29"</formula>
    </cfRule>
  </conditionalFormatting>
  <conditionalFormatting sqref="Z35">
    <cfRule type="expression" dxfId="204" priority="62">
      <formula>#REF! ="35≠14+15+16+17+22+30+31+32+33+34"</formula>
    </cfRule>
  </conditionalFormatting>
  <conditionalFormatting sqref="Z46">
    <cfRule type="expression" dxfId="203" priority="63">
      <formula>#REF! ="46≠35+38+39+40+43+45"</formula>
    </cfRule>
  </conditionalFormatting>
  <conditionalFormatting sqref="Z14">
    <cfRule type="expression" dxfId="202" priority="64">
      <formula>#REF! ="14≠11+12+13"</formula>
    </cfRule>
  </conditionalFormatting>
  <conditionalFormatting sqref="Z21">
    <cfRule type="expression" dxfId="201" priority="65">
      <formula>#REF! ="22≠19+20+21"</formula>
    </cfRule>
  </conditionalFormatting>
  <conditionalFormatting sqref="AI30">
    <cfRule type="expression" dxfId="200" priority="55">
      <formula>#REF! ="30≠24+25+26+27+28+29"</formula>
    </cfRule>
  </conditionalFormatting>
  <conditionalFormatting sqref="AI35">
    <cfRule type="expression" dxfId="199" priority="56">
      <formula>#REF! ="35≠14+15+16+17+22+30+31+32+33+34"</formula>
    </cfRule>
  </conditionalFormatting>
  <conditionalFormatting sqref="AI46">
    <cfRule type="expression" dxfId="198" priority="57">
      <formula>#REF! ="46≠35+38+39+40+43+45"</formula>
    </cfRule>
  </conditionalFormatting>
  <conditionalFormatting sqref="AI14">
    <cfRule type="expression" dxfId="197" priority="58">
      <formula>#REF! ="14≠11+12+13"</formula>
    </cfRule>
  </conditionalFormatting>
  <conditionalFormatting sqref="AI21">
    <cfRule type="expression" dxfId="196" priority="59">
      <formula>#REF! ="22≠19+20+21"</formula>
    </cfRule>
  </conditionalFormatting>
  <conditionalFormatting sqref="AL30">
    <cfRule type="expression" dxfId="195" priority="41">
      <formula>#REF! ="30≠24+25+26+27+28+29"</formula>
    </cfRule>
  </conditionalFormatting>
  <conditionalFormatting sqref="AL35">
    <cfRule type="expression" dxfId="194" priority="42">
      <formula>#REF! ="35≠14+15+16+17+22+30+31+32+33+34"</formula>
    </cfRule>
  </conditionalFormatting>
  <conditionalFormatting sqref="AL46">
    <cfRule type="expression" dxfId="193" priority="43">
      <formula>#REF! ="46≠35+38+39+40+43+45"</formula>
    </cfRule>
  </conditionalFormatting>
  <conditionalFormatting sqref="AL14">
    <cfRule type="expression" dxfId="192" priority="44">
      <formula>#REF! ="14≠11+12+13"</formula>
    </cfRule>
  </conditionalFormatting>
  <conditionalFormatting sqref="AL21">
    <cfRule type="expression" dxfId="191" priority="45">
      <formula>#REF! ="22≠19+20+21"</formula>
    </cfRule>
  </conditionalFormatting>
  <conditionalFormatting sqref="E30">
    <cfRule type="expression" dxfId="190" priority="31">
      <formula>#REF! ="30≠24+25+26+27+28+29"</formula>
    </cfRule>
  </conditionalFormatting>
  <conditionalFormatting sqref="E35">
    <cfRule type="expression" dxfId="189" priority="32">
      <formula>#REF! ="35≠14+15+16+17+22+30+31+32+33+34"</formula>
    </cfRule>
  </conditionalFormatting>
  <conditionalFormatting sqref="E46">
    <cfRule type="expression" dxfId="188" priority="33">
      <formula>#REF! ="46≠35+38+39+40+43+45"</formula>
    </cfRule>
  </conditionalFormatting>
  <conditionalFormatting sqref="E14">
    <cfRule type="expression" dxfId="187" priority="34">
      <formula>#REF! ="14≠11+12+13"</formula>
    </cfRule>
  </conditionalFormatting>
  <conditionalFormatting sqref="E21">
    <cfRule type="expression" dxfId="186" priority="35">
      <formula>#REF! ="22≠19+20+21"</formula>
    </cfRule>
  </conditionalFormatting>
  <conditionalFormatting sqref="K30">
    <cfRule type="expression" dxfId="185" priority="21">
      <formula>#REF! ="30≠24+25+26+27+28+29"</formula>
    </cfRule>
  </conditionalFormatting>
  <conditionalFormatting sqref="K35">
    <cfRule type="expression" dxfId="184" priority="22">
      <formula>#REF! ="35≠14+15+16+17+22+30+31+32+33+34"</formula>
    </cfRule>
  </conditionalFormatting>
  <conditionalFormatting sqref="K46">
    <cfRule type="expression" dxfId="183" priority="23">
      <formula>#REF! ="46≠35+38+39+40+43+45"</formula>
    </cfRule>
  </conditionalFormatting>
  <conditionalFormatting sqref="K14">
    <cfRule type="expression" dxfId="182" priority="24">
      <formula>#REF! ="14≠11+12+13"</formula>
    </cfRule>
  </conditionalFormatting>
  <conditionalFormatting sqref="K21">
    <cfRule type="expression" dxfId="181" priority="25">
      <formula>#REF! ="22≠19+20+21"</formula>
    </cfRule>
  </conditionalFormatting>
  <conditionalFormatting sqref="B30">
    <cfRule type="expression" dxfId="180" priority="12">
      <formula>#REF! ="30≠24+25+26+27+28+29"</formula>
    </cfRule>
  </conditionalFormatting>
  <conditionalFormatting sqref="B35">
    <cfRule type="expression" dxfId="179" priority="13">
      <formula>#REF! ="35≠14+15+16+17+22+30+31+32+33+34"</formula>
    </cfRule>
  </conditionalFormatting>
  <conditionalFormatting sqref="B46">
    <cfRule type="expression" dxfId="178" priority="14">
      <formula>#REF! ="46≠35+38+39+40+43+45"</formula>
    </cfRule>
  </conditionalFormatting>
  <conditionalFormatting sqref="B21">
    <cfRule type="expression" dxfId="177" priority="15">
      <formula>#REF! ="22≠19+20+21"</formula>
    </cfRule>
  </conditionalFormatting>
  <conditionalFormatting sqref="T30">
    <cfRule type="expression" dxfId="176" priority="1">
      <formula>#REF! ="30≠24+25+26+27+28+29"</formula>
    </cfRule>
  </conditionalFormatting>
  <conditionalFormatting sqref="T35">
    <cfRule type="expression" dxfId="175" priority="2">
      <formula>#REF! ="35≠14+15+16+17+22+30+31+32+33+34"</formula>
    </cfRule>
  </conditionalFormatting>
  <conditionalFormatting sqref="T46">
    <cfRule type="expression" dxfId="174" priority="3">
      <formula>#REF! ="46≠35+38+39+40+43+45"</formula>
    </cfRule>
  </conditionalFormatting>
  <conditionalFormatting sqref="T14">
    <cfRule type="expression" dxfId="173" priority="4">
      <formula>#REF! ="14≠11+12+13"</formula>
    </cfRule>
  </conditionalFormatting>
  <conditionalFormatting sqref="T21">
    <cfRule type="expression" dxfId="172" priority="5">
      <formula>#REF! ="22≠19+20+21"</formula>
    </cfRule>
  </conditionalFormatting>
  <conditionalFormatting sqref="AR30:AS30 AG30 X30 I30 O30 R30 AD30 AA30 AJ30 AM30 F30 L30 C30 U30">
    <cfRule type="expression" dxfId="171" priority="362">
      <formula>#REF! ="30≠24+25+26+27+28+29"</formula>
    </cfRule>
  </conditionalFormatting>
  <conditionalFormatting sqref="AR35:AS35 AG35 X35 I35 O35 R35 AD35 AA35 AJ35 AM35 F35 L35 C35 U35">
    <cfRule type="expression" dxfId="170" priority="363">
      <formula>#REF! ="35≠14+15+16+17+22+30+31+32+33+34"</formula>
    </cfRule>
  </conditionalFormatting>
  <conditionalFormatting sqref="AR46:AS46 AG46 X46 I46 O46 R46 AD46 AA46 AJ46 AM46 F46 L46 C46 U46">
    <cfRule type="expression" dxfId="169" priority="364">
      <formula>#REF! ="46≠35+38+39+40+43+45"</formula>
    </cfRule>
  </conditionalFormatting>
  <conditionalFormatting sqref="AG14 X14 I14 O14 R14 AD14 AA14 AJ14 AM14 F14 L14 C14:C16 U14">
    <cfRule type="expression" dxfId="168" priority="365">
      <formula>#REF! ="14≠11+12+13"</formula>
    </cfRule>
  </conditionalFormatting>
  <conditionalFormatting sqref="AG21 X21 I21 O21 R21 AD21 AA21 AJ21 AM21 F21 L21 C21 U21">
    <cfRule type="expression" dxfId="167" priority="366">
      <formula>#REF! ="22≠19+20+21"</formula>
    </cfRule>
  </conditionalFormatting>
  <hyperlinks>
    <hyperlink ref="B1" location="Innhold!A1" display="Tilbake" xr:uid="{00000000-0004-0000-1E00-000000000000}"/>
  </hyperlinks>
  <pageMargins left="0.7" right="0.7" top="0.75" bottom="0.75" header="0.3" footer="0.3"/>
  <pageSetup paperSize="9" orientation="portrait" horizontalDpi="360" verticalDpi="36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34"/>
  <dimension ref="A1:BE130"/>
  <sheetViews>
    <sheetView showGridLines="0" zoomScale="70" zoomScaleNormal="70" workbookViewId="0">
      <pane xSplit="1" ySplit="8" topLeftCell="B9" activePane="bottomRight" state="frozen"/>
      <selection activeCell="AU39" sqref="AU39"/>
      <selection pane="topRight" activeCell="AU39" sqref="AU39"/>
      <selection pane="bottomLeft" activeCell="AU39" sqref="AU39"/>
      <selection pane="bottomRight" activeCell="A4" sqref="A4"/>
    </sheetView>
  </sheetViews>
  <sheetFormatPr baseColWidth="10" defaultColWidth="11.42578125" defaultRowHeight="12.75" x14ac:dyDescent="0.2"/>
  <cols>
    <col min="1" max="1" width="106.7109375" style="439" customWidth="1"/>
    <col min="2" max="40" width="11.7109375" style="439" customWidth="1"/>
    <col min="41" max="42" width="13" style="439" customWidth="1"/>
    <col min="43" max="43" width="11.7109375" style="439" customWidth="1"/>
    <col min="44" max="44" width="13" style="439" bestFit="1" customWidth="1"/>
    <col min="45" max="45" width="15.140625" style="439" customWidth="1"/>
    <col min="46" max="16384" width="11.42578125" style="439"/>
  </cols>
  <sheetData>
    <row r="1" spans="1:57" ht="20.25" customHeight="1" x14ac:dyDescent="0.3">
      <c r="A1" s="442" t="s">
        <v>169</v>
      </c>
      <c r="B1" s="443" t="s">
        <v>52</v>
      </c>
      <c r="C1" s="444"/>
      <c r="D1" s="444"/>
      <c r="E1" s="444"/>
      <c r="F1" s="444"/>
      <c r="G1" s="444"/>
      <c r="H1" s="444"/>
      <c r="I1" s="444"/>
      <c r="J1" s="444"/>
      <c r="K1" s="444"/>
      <c r="L1" s="444"/>
      <c r="M1" s="444"/>
    </row>
    <row r="2" spans="1:57" ht="20.100000000000001" customHeight="1" x14ac:dyDescent="0.3">
      <c r="A2" s="442" t="s">
        <v>170</v>
      </c>
    </row>
    <row r="3" spans="1:57" ht="20.100000000000001" customHeight="1" x14ac:dyDescent="0.3">
      <c r="A3" s="445" t="s">
        <v>171</v>
      </c>
      <c r="B3" s="446"/>
      <c r="C3" s="446"/>
      <c r="D3" s="446"/>
      <c r="E3" s="446"/>
      <c r="F3" s="446"/>
      <c r="G3" s="446"/>
      <c r="H3" s="446"/>
      <c r="I3" s="446"/>
      <c r="J3" s="446"/>
      <c r="K3" s="446"/>
      <c r="L3" s="446"/>
      <c r="M3" s="446"/>
    </row>
    <row r="4" spans="1:57" ht="18.75" customHeight="1" x14ac:dyDescent="0.25">
      <c r="A4" s="447" t="s">
        <v>428</v>
      </c>
      <c r="B4" s="448"/>
      <c r="C4" s="448"/>
      <c r="D4" s="449"/>
      <c r="E4" s="448"/>
      <c r="F4" s="448"/>
      <c r="G4" s="449"/>
      <c r="H4" s="450"/>
      <c r="I4" s="448"/>
      <c r="J4" s="449"/>
      <c r="K4" s="450"/>
      <c r="L4" s="448"/>
      <c r="M4" s="449"/>
      <c r="N4" s="451"/>
      <c r="O4" s="451"/>
      <c r="P4" s="451"/>
      <c r="Q4" s="452"/>
      <c r="R4" s="451"/>
      <c r="S4" s="453"/>
      <c r="T4" s="452"/>
      <c r="U4" s="451"/>
      <c r="V4" s="453"/>
      <c r="W4" s="452"/>
      <c r="X4" s="451"/>
      <c r="Y4" s="453"/>
      <c r="Z4" s="452"/>
      <c r="AA4" s="451"/>
      <c r="AB4" s="453"/>
      <c r="AC4" s="452"/>
      <c r="AD4" s="451"/>
      <c r="AE4" s="453"/>
      <c r="AF4" s="452"/>
      <c r="AG4" s="451"/>
      <c r="AH4" s="453"/>
      <c r="AI4" s="452"/>
      <c r="AJ4" s="451"/>
      <c r="AK4" s="453"/>
      <c r="AL4" s="452"/>
      <c r="AM4" s="451"/>
      <c r="AN4" s="453"/>
      <c r="AO4" s="651"/>
      <c r="AP4" s="652"/>
      <c r="AQ4" s="653"/>
      <c r="AR4" s="651"/>
      <c r="AS4" s="652"/>
      <c r="AT4" s="653"/>
      <c r="AU4" s="648"/>
      <c r="AV4" s="648"/>
      <c r="AW4" s="454"/>
      <c r="AX4" s="454"/>
      <c r="AY4" s="454"/>
      <c r="AZ4" s="454"/>
      <c r="BA4" s="454"/>
      <c r="BB4" s="454"/>
      <c r="BC4" s="454"/>
      <c r="BD4" s="454"/>
      <c r="BE4" s="454"/>
    </row>
    <row r="5" spans="1:57" ht="18.75" customHeight="1" x14ac:dyDescent="0.3">
      <c r="A5" s="455" t="s">
        <v>98</v>
      </c>
      <c r="B5" s="717" t="s">
        <v>425</v>
      </c>
      <c r="C5" s="718"/>
      <c r="D5" s="719"/>
      <c r="E5" s="723" t="s">
        <v>172</v>
      </c>
      <c r="F5" s="724"/>
      <c r="G5" s="725"/>
      <c r="H5" s="723" t="s">
        <v>384</v>
      </c>
      <c r="I5" s="724"/>
      <c r="J5" s="725"/>
      <c r="K5" s="723" t="s">
        <v>173</v>
      </c>
      <c r="L5" s="724"/>
      <c r="M5" s="725"/>
      <c r="N5" s="723" t="s">
        <v>174</v>
      </c>
      <c r="O5" s="724"/>
      <c r="P5" s="725"/>
      <c r="Q5" s="640" t="s">
        <v>175</v>
      </c>
      <c r="R5" s="641"/>
      <c r="S5" s="642"/>
      <c r="T5" s="662" t="s">
        <v>175</v>
      </c>
      <c r="U5" s="663"/>
      <c r="V5" s="664"/>
      <c r="W5" s="631"/>
      <c r="X5" s="632"/>
      <c r="Y5" s="633"/>
      <c r="Z5" s="723" t="s">
        <v>176</v>
      </c>
      <c r="AA5" s="724"/>
      <c r="AB5" s="725"/>
      <c r="AC5" s="640"/>
      <c r="AD5" s="641"/>
      <c r="AE5" s="642"/>
      <c r="AF5" s="736" t="s">
        <v>66</v>
      </c>
      <c r="AG5" s="737"/>
      <c r="AH5" s="738"/>
      <c r="AI5" s="723" t="s">
        <v>71</v>
      </c>
      <c r="AJ5" s="724"/>
      <c r="AK5" s="725"/>
      <c r="AL5" s="730" t="s">
        <v>405</v>
      </c>
      <c r="AM5" s="731"/>
      <c r="AN5" s="732"/>
      <c r="AO5" s="723" t="s">
        <v>2</v>
      </c>
      <c r="AP5" s="724"/>
      <c r="AQ5" s="725"/>
      <c r="AR5" s="723" t="s">
        <v>2</v>
      </c>
      <c r="AS5" s="724"/>
      <c r="AT5" s="725"/>
      <c r="AU5" s="649"/>
      <c r="AV5" s="649"/>
      <c r="AW5" s="726"/>
      <c r="AX5" s="726"/>
      <c r="AY5" s="726"/>
      <c r="AZ5" s="726"/>
      <c r="BA5" s="726"/>
      <c r="BB5" s="726"/>
      <c r="BC5" s="726"/>
      <c r="BD5" s="726"/>
      <c r="BE5" s="726"/>
    </row>
    <row r="6" spans="1:57" ht="21" customHeight="1" x14ac:dyDescent="0.3">
      <c r="A6" s="457"/>
      <c r="B6" s="720" t="s">
        <v>179</v>
      </c>
      <c r="C6" s="721"/>
      <c r="D6" s="722"/>
      <c r="E6" s="727" t="s">
        <v>178</v>
      </c>
      <c r="F6" s="728"/>
      <c r="G6" s="729"/>
      <c r="H6" s="727" t="s">
        <v>178</v>
      </c>
      <c r="I6" s="728"/>
      <c r="J6" s="729"/>
      <c r="K6" s="727" t="s">
        <v>178</v>
      </c>
      <c r="L6" s="728"/>
      <c r="M6" s="729"/>
      <c r="N6" s="727" t="s">
        <v>179</v>
      </c>
      <c r="O6" s="728"/>
      <c r="P6" s="729"/>
      <c r="Q6" s="727" t="s">
        <v>88</v>
      </c>
      <c r="R6" s="728"/>
      <c r="S6" s="729"/>
      <c r="T6" s="727" t="s">
        <v>62</v>
      </c>
      <c r="U6" s="728"/>
      <c r="V6" s="729"/>
      <c r="W6" s="727" t="s">
        <v>64</v>
      </c>
      <c r="X6" s="728"/>
      <c r="Y6" s="729"/>
      <c r="Z6" s="727" t="s">
        <v>177</v>
      </c>
      <c r="AA6" s="728"/>
      <c r="AB6" s="729"/>
      <c r="AC6" s="727" t="s">
        <v>70</v>
      </c>
      <c r="AD6" s="728"/>
      <c r="AE6" s="729"/>
      <c r="AF6" s="739" t="s">
        <v>401</v>
      </c>
      <c r="AG6" s="740"/>
      <c r="AH6" s="741"/>
      <c r="AI6" s="727" t="s">
        <v>178</v>
      </c>
      <c r="AJ6" s="728"/>
      <c r="AK6" s="729"/>
      <c r="AL6" s="733" t="s">
        <v>178</v>
      </c>
      <c r="AM6" s="734"/>
      <c r="AN6" s="735"/>
      <c r="AO6" s="727" t="s">
        <v>283</v>
      </c>
      <c r="AP6" s="728"/>
      <c r="AQ6" s="729"/>
      <c r="AR6" s="727" t="s">
        <v>180</v>
      </c>
      <c r="AS6" s="728"/>
      <c r="AT6" s="729"/>
      <c r="AU6" s="650"/>
      <c r="AV6" s="650"/>
      <c r="AW6" s="726"/>
      <c r="AX6" s="726"/>
      <c r="AY6" s="726"/>
      <c r="AZ6" s="726"/>
      <c r="BA6" s="726"/>
      <c r="BB6" s="726"/>
      <c r="BC6" s="726"/>
      <c r="BD6" s="726"/>
      <c r="BE6" s="726"/>
    </row>
    <row r="7" spans="1:57" ht="18.75" customHeight="1" x14ac:dyDescent="0.3">
      <c r="A7" s="457"/>
      <c r="B7" s="480"/>
      <c r="C7" s="480"/>
      <c r="D7" s="458" t="s">
        <v>79</v>
      </c>
      <c r="E7" s="480"/>
      <c r="F7" s="480"/>
      <c r="G7" s="458" t="s">
        <v>79</v>
      </c>
      <c r="H7" s="480"/>
      <c r="I7" s="480"/>
      <c r="J7" s="458" t="s">
        <v>79</v>
      </c>
      <c r="K7" s="480"/>
      <c r="L7" s="480"/>
      <c r="M7" s="458" t="s">
        <v>79</v>
      </c>
      <c r="N7" s="480"/>
      <c r="O7" s="480"/>
      <c r="P7" s="458" t="s">
        <v>79</v>
      </c>
      <c r="Q7" s="480"/>
      <c r="R7" s="480"/>
      <c r="S7" s="458" t="s">
        <v>79</v>
      </c>
      <c r="T7" s="480"/>
      <c r="U7" s="480"/>
      <c r="V7" s="458" t="s">
        <v>79</v>
      </c>
      <c r="W7" s="480"/>
      <c r="X7" s="480"/>
      <c r="Y7" s="458" t="s">
        <v>79</v>
      </c>
      <c r="Z7" s="480"/>
      <c r="AA7" s="480"/>
      <c r="AB7" s="458" t="s">
        <v>79</v>
      </c>
      <c r="AC7" s="480"/>
      <c r="AD7" s="480"/>
      <c r="AE7" s="458" t="s">
        <v>79</v>
      </c>
      <c r="AF7" s="480"/>
      <c r="AG7" s="480"/>
      <c r="AH7" s="458" t="s">
        <v>79</v>
      </c>
      <c r="AI7" s="480"/>
      <c r="AJ7" s="480"/>
      <c r="AK7" s="458" t="s">
        <v>79</v>
      </c>
      <c r="AL7" s="480"/>
      <c r="AM7" s="480"/>
      <c r="AN7" s="458" t="s">
        <v>79</v>
      </c>
      <c r="AO7" s="480"/>
      <c r="AP7" s="480"/>
      <c r="AQ7" s="458" t="s">
        <v>79</v>
      </c>
      <c r="AR7" s="480"/>
      <c r="AS7" s="480"/>
      <c r="AT7" s="458" t="s">
        <v>79</v>
      </c>
      <c r="AU7" s="650"/>
      <c r="AV7" s="650"/>
      <c r="AW7" s="456"/>
      <c r="AX7" s="456"/>
      <c r="AY7" s="456"/>
      <c r="AZ7" s="456"/>
      <c r="BA7" s="456"/>
      <c r="BB7" s="456"/>
      <c r="BC7" s="456"/>
      <c r="BD7" s="456"/>
      <c r="BE7" s="456"/>
    </row>
    <row r="8" spans="1:57" ht="18.75" customHeight="1" x14ac:dyDescent="0.25">
      <c r="A8" s="434" t="s">
        <v>181</v>
      </c>
      <c r="B8" s="543">
        <v>2021</v>
      </c>
      <c r="C8" s="543">
        <v>2022</v>
      </c>
      <c r="D8" s="435" t="s">
        <v>81</v>
      </c>
      <c r="E8" s="543">
        <f t="shared" ref="E8" si="0">$B$8</f>
        <v>2021</v>
      </c>
      <c r="F8" s="543">
        <f t="shared" ref="F8" si="1">$C$8</f>
        <v>2022</v>
      </c>
      <c r="G8" s="435" t="s">
        <v>81</v>
      </c>
      <c r="H8" s="543">
        <f t="shared" ref="H8" si="2">$B$8</f>
        <v>2021</v>
      </c>
      <c r="I8" s="543">
        <f t="shared" ref="I8" si="3">$C$8</f>
        <v>2022</v>
      </c>
      <c r="J8" s="435" t="s">
        <v>81</v>
      </c>
      <c r="K8" s="655">
        <f t="shared" ref="K8" si="4">$B$8</f>
        <v>2021</v>
      </c>
      <c r="L8" s="655">
        <f t="shared" ref="L8" si="5">$C$8</f>
        <v>2022</v>
      </c>
      <c r="M8" s="435" t="s">
        <v>81</v>
      </c>
      <c r="N8" s="543">
        <f t="shared" ref="N8" si="6">$B$8</f>
        <v>2021</v>
      </c>
      <c r="O8" s="543">
        <f t="shared" ref="O8" si="7">$C$8</f>
        <v>2022</v>
      </c>
      <c r="P8" s="435" t="s">
        <v>81</v>
      </c>
      <c r="Q8" s="543">
        <f t="shared" ref="Q8" si="8">$B$8</f>
        <v>2021</v>
      </c>
      <c r="R8" s="543">
        <f t="shared" ref="R8" si="9">$C$8</f>
        <v>2022</v>
      </c>
      <c r="S8" s="435" t="s">
        <v>81</v>
      </c>
      <c r="T8" s="543">
        <f t="shared" ref="T8" si="10">$B$8</f>
        <v>2021</v>
      </c>
      <c r="U8" s="543">
        <f t="shared" ref="U8" si="11">$C$8</f>
        <v>2022</v>
      </c>
      <c r="V8" s="435" t="s">
        <v>81</v>
      </c>
      <c r="W8" s="543">
        <f t="shared" ref="W8" si="12">$B$8</f>
        <v>2021</v>
      </c>
      <c r="X8" s="543">
        <f t="shared" ref="X8" si="13">$C$8</f>
        <v>2022</v>
      </c>
      <c r="Y8" s="435" t="s">
        <v>81</v>
      </c>
      <c r="Z8" s="543">
        <f t="shared" ref="Z8" si="14">$B$8</f>
        <v>2021</v>
      </c>
      <c r="AA8" s="543">
        <f t="shared" ref="AA8" si="15">$C$8</f>
        <v>2022</v>
      </c>
      <c r="AB8" s="435" t="s">
        <v>81</v>
      </c>
      <c r="AC8" s="543">
        <f t="shared" ref="AC8" si="16">$B$8</f>
        <v>2021</v>
      </c>
      <c r="AD8" s="543">
        <f t="shared" ref="AD8" si="17">$C$8</f>
        <v>2022</v>
      </c>
      <c r="AE8" s="435" t="s">
        <v>81</v>
      </c>
      <c r="AF8" s="543">
        <f t="shared" ref="AF8" si="18">$B$8</f>
        <v>2021</v>
      </c>
      <c r="AG8" s="543">
        <f t="shared" ref="AG8" si="19">$C$8</f>
        <v>2022</v>
      </c>
      <c r="AH8" s="435" t="s">
        <v>81</v>
      </c>
      <c r="AI8" s="543">
        <f t="shared" ref="AI8" si="20">$B$8</f>
        <v>2021</v>
      </c>
      <c r="AJ8" s="543">
        <f t="shared" ref="AJ8" si="21">$C$8</f>
        <v>2022</v>
      </c>
      <c r="AK8" s="435" t="s">
        <v>81</v>
      </c>
      <c r="AL8" s="543">
        <f>$B$8</f>
        <v>2021</v>
      </c>
      <c r="AM8" s="543">
        <f>$C$8</f>
        <v>2022</v>
      </c>
      <c r="AN8" s="435" t="s">
        <v>81</v>
      </c>
      <c r="AO8" s="543">
        <f t="shared" ref="AO8" si="22">$B$8</f>
        <v>2021</v>
      </c>
      <c r="AP8" s="543">
        <f t="shared" ref="AP8" si="23">$C$8</f>
        <v>2022</v>
      </c>
      <c r="AQ8" s="435" t="s">
        <v>81</v>
      </c>
      <c r="AR8" s="543">
        <f t="shared" ref="AR8" si="24">$B$8</f>
        <v>2021</v>
      </c>
      <c r="AS8" s="543">
        <f t="shared" ref="AS8" si="25">$C$8</f>
        <v>2022</v>
      </c>
      <c r="AT8" s="435" t="s">
        <v>81</v>
      </c>
      <c r="AU8" s="460"/>
      <c r="AV8" s="459"/>
      <c r="AW8" s="460"/>
      <c r="AX8" s="460"/>
      <c r="AY8" s="459"/>
      <c r="AZ8" s="460"/>
      <c r="BA8" s="460"/>
      <c r="BB8" s="459"/>
      <c r="BC8" s="460"/>
      <c r="BD8" s="460"/>
      <c r="BE8" s="459"/>
    </row>
    <row r="9" spans="1:57" ht="18.75" customHeight="1" x14ac:dyDescent="0.3">
      <c r="A9" s="436"/>
      <c r="B9" s="618"/>
      <c r="C9" s="422"/>
      <c r="D9" s="422"/>
      <c r="E9" s="618"/>
      <c r="F9" s="422"/>
      <c r="G9" s="422"/>
      <c r="H9" s="618"/>
      <c r="I9" s="422"/>
      <c r="J9" s="422"/>
      <c r="K9" s="656"/>
      <c r="L9" s="657"/>
      <c r="M9" s="657"/>
      <c r="N9" s="582"/>
      <c r="O9" s="423"/>
      <c r="P9" s="423"/>
      <c r="Q9" s="619"/>
      <c r="R9" s="424"/>
      <c r="S9" s="329"/>
      <c r="T9" s="582"/>
      <c r="U9" s="423"/>
      <c r="V9" s="329"/>
      <c r="W9" s="582"/>
      <c r="X9" s="423"/>
      <c r="Y9" s="329"/>
      <c r="Z9" s="582"/>
      <c r="AA9" s="423"/>
      <c r="AB9" s="329"/>
      <c r="AC9" s="582"/>
      <c r="AD9" s="423"/>
      <c r="AE9" s="329"/>
      <c r="AF9" s="582"/>
      <c r="AG9" s="423"/>
      <c r="AH9" s="329"/>
      <c r="AI9" s="582"/>
      <c r="AJ9" s="423"/>
      <c r="AK9" s="329"/>
      <c r="AL9" s="582"/>
      <c r="AM9" s="423"/>
      <c r="AN9" s="329"/>
      <c r="AO9" s="423"/>
      <c r="AP9" s="423"/>
      <c r="AQ9" s="329"/>
      <c r="AR9" s="423"/>
      <c r="AS9" s="423"/>
      <c r="AT9" s="329"/>
    </row>
    <row r="10" spans="1:57" s="440" customFormat="1" ht="18.75" customHeight="1" x14ac:dyDescent="0.3">
      <c r="A10" s="594" t="s">
        <v>182</v>
      </c>
      <c r="B10" s="620"/>
      <c r="C10" s="425"/>
      <c r="D10" s="425"/>
      <c r="E10" s="620"/>
      <c r="F10" s="425"/>
      <c r="G10" s="425"/>
      <c r="H10" s="620"/>
      <c r="I10" s="425"/>
      <c r="J10" s="425"/>
      <c r="K10" s="267"/>
      <c r="L10" s="658"/>
      <c r="M10" s="658"/>
      <c r="N10" s="582"/>
      <c r="O10" s="423"/>
      <c r="P10" s="423"/>
      <c r="Q10" s="619"/>
      <c r="R10" s="424"/>
      <c r="S10" s="329"/>
      <c r="T10" s="582"/>
      <c r="U10" s="423"/>
      <c r="V10" s="329"/>
      <c r="W10" s="582"/>
      <c r="X10" s="423"/>
      <c r="Y10" s="329"/>
      <c r="Z10" s="582"/>
      <c r="AA10" s="423"/>
      <c r="AB10" s="329"/>
      <c r="AC10" s="582"/>
      <c r="AD10" s="423"/>
      <c r="AE10" s="329"/>
      <c r="AF10" s="582"/>
      <c r="AG10" s="423"/>
      <c r="AH10" s="329"/>
      <c r="AI10" s="582"/>
      <c r="AJ10" s="423"/>
      <c r="AK10" s="329"/>
      <c r="AL10" s="582"/>
      <c r="AM10" s="423"/>
      <c r="AN10" s="329"/>
      <c r="AO10" s="423"/>
      <c r="AP10" s="423"/>
      <c r="AQ10" s="329"/>
      <c r="AR10" s="423"/>
      <c r="AS10" s="423"/>
      <c r="AT10" s="329"/>
    </row>
    <row r="11" spans="1:57" s="440" customFormat="1" ht="18.75" customHeight="1" x14ac:dyDescent="0.3">
      <c r="A11" s="437"/>
      <c r="B11" s="620"/>
      <c r="C11" s="425"/>
      <c r="D11" s="425"/>
      <c r="E11" s="620"/>
      <c r="F11" s="425"/>
      <c r="G11" s="425"/>
      <c r="H11" s="620"/>
      <c r="I11" s="425"/>
      <c r="J11" s="425"/>
      <c r="K11" s="267"/>
      <c r="L11" s="658"/>
      <c r="M11" s="658"/>
      <c r="N11" s="582"/>
      <c r="O11" s="423"/>
      <c r="P11" s="423"/>
      <c r="Q11" s="619"/>
      <c r="R11" s="424"/>
      <c r="S11" s="329"/>
      <c r="T11" s="582"/>
      <c r="U11" s="423"/>
      <c r="V11" s="329"/>
      <c r="W11" s="582"/>
      <c r="X11" s="423"/>
      <c r="Y11" s="329"/>
      <c r="Z11" s="582"/>
      <c r="AA11" s="423"/>
      <c r="AB11" s="329"/>
      <c r="AC11" s="582"/>
      <c r="AD11" s="423"/>
      <c r="AE11" s="329"/>
      <c r="AF11" s="582"/>
      <c r="AG11" s="423"/>
      <c r="AH11" s="329"/>
      <c r="AI11" s="582"/>
      <c r="AJ11" s="423"/>
      <c r="AK11" s="329"/>
      <c r="AL11" s="582"/>
      <c r="AM11" s="423"/>
      <c r="AN11" s="329"/>
      <c r="AO11" s="423"/>
      <c r="AP11" s="423"/>
      <c r="AQ11" s="329"/>
      <c r="AR11" s="423"/>
      <c r="AS11" s="423"/>
      <c r="AT11" s="329"/>
    </row>
    <row r="12" spans="1:57" s="440" customFormat="1" ht="20.100000000000001" customHeight="1" x14ac:dyDescent="0.3">
      <c r="A12" s="594" t="s">
        <v>183</v>
      </c>
      <c r="B12" s="194"/>
      <c r="C12" s="426"/>
      <c r="D12" s="426"/>
      <c r="E12" s="194"/>
      <c r="F12" s="426"/>
      <c r="G12" s="426"/>
      <c r="H12" s="194"/>
      <c r="I12" s="426"/>
      <c r="J12" s="426"/>
      <c r="K12" s="267"/>
      <c r="L12" s="658"/>
      <c r="M12" s="658"/>
      <c r="N12" s="582"/>
      <c r="O12" s="423"/>
      <c r="P12" s="423"/>
      <c r="Q12" s="619"/>
      <c r="R12" s="424"/>
      <c r="S12" s="329"/>
      <c r="T12" s="582"/>
      <c r="U12" s="423"/>
      <c r="V12" s="329"/>
      <c r="W12" s="582"/>
      <c r="X12" s="423"/>
      <c r="Y12" s="329"/>
      <c r="Z12" s="582"/>
      <c r="AA12" s="423"/>
      <c r="AB12" s="329"/>
      <c r="AC12" s="582"/>
      <c r="AD12" s="423"/>
      <c r="AE12" s="329"/>
      <c r="AF12" s="582"/>
      <c r="AG12" s="423"/>
      <c r="AH12" s="329"/>
      <c r="AI12" s="582"/>
      <c r="AJ12" s="423"/>
      <c r="AK12" s="329"/>
      <c r="AL12" s="582"/>
      <c r="AM12" s="423"/>
      <c r="AN12" s="329"/>
      <c r="AO12" s="423"/>
      <c r="AP12" s="423"/>
      <c r="AQ12" s="329"/>
      <c r="AR12" s="423"/>
      <c r="AS12" s="423"/>
      <c r="AT12" s="329"/>
    </row>
    <row r="13" spans="1:57" s="440" customFormat="1" ht="20.100000000000001" customHeight="1" x14ac:dyDescent="0.3">
      <c r="A13" s="594" t="s">
        <v>184</v>
      </c>
      <c r="B13" s="194"/>
      <c r="C13" s="426"/>
      <c r="D13" s="426"/>
      <c r="E13" s="194"/>
      <c r="F13" s="426"/>
      <c r="G13" s="426"/>
      <c r="H13" s="194"/>
      <c r="I13" s="426"/>
      <c r="J13" s="426"/>
      <c r="K13" s="267"/>
      <c r="L13" s="658"/>
      <c r="M13" s="658"/>
      <c r="N13" s="102"/>
      <c r="O13" s="518"/>
      <c r="P13" s="518"/>
      <c r="Q13" s="621"/>
      <c r="R13" s="549"/>
      <c r="S13" s="427"/>
      <c r="T13" s="102"/>
      <c r="U13" s="518"/>
      <c r="V13" s="427"/>
      <c r="W13" s="102"/>
      <c r="X13" s="518"/>
      <c r="Y13" s="427"/>
      <c r="Z13" s="102"/>
      <c r="AA13" s="518"/>
      <c r="AB13" s="427"/>
      <c r="AC13" s="102"/>
      <c r="AD13" s="518"/>
      <c r="AE13" s="427"/>
      <c r="AF13" s="102"/>
      <c r="AG13" s="518"/>
      <c r="AH13" s="427"/>
      <c r="AI13" s="102"/>
      <c r="AJ13" s="518"/>
      <c r="AK13" s="427"/>
      <c r="AL13" s="102"/>
      <c r="AM13" s="518"/>
      <c r="AN13" s="427"/>
      <c r="AO13" s="518"/>
      <c r="AP13" s="518"/>
      <c r="AQ13" s="427"/>
      <c r="AR13" s="518"/>
      <c r="AS13" s="518"/>
      <c r="AT13" s="427"/>
    </row>
    <row r="14" spans="1:57" s="440" customFormat="1" ht="20.100000000000001" customHeight="1" x14ac:dyDescent="0.3">
      <c r="A14" s="574" t="s">
        <v>185</v>
      </c>
      <c r="B14" s="192"/>
      <c r="C14" s="427"/>
      <c r="D14" s="427"/>
      <c r="E14" s="192"/>
      <c r="F14" s="427"/>
      <c r="G14" s="427"/>
      <c r="H14" s="192"/>
      <c r="I14" s="427"/>
      <c r="J14" s="427"/>
      <c r="K14" s="659"/>
      <c r="L14" s="660"/>
      <c r="M14" s="660"/>
      <c r="N14" s="102">
        <v>5.4</v>
      </c>
      <c r="O14" s="518">
        <v>3</v>
      </c>
      <c r="P14" s="518"/>
      <c r="Q14" s="621"/>
      <c r="R14" s="549"/>
      <c r="S14" s="427"/>
      <c r="T14" s="102">
        <v>994.03668174999996</v>
      </c>
      <c r="U14" s="518">
        <v>1102.6436477499999</v>
      </c>
      <c r="V14" s="427">
        <f t="shared" ref="V14:V28" si="26">IF(T14=0, "    ---- ", IF(ABS(ROUND(100/T14*U14-100,1))&lt;999,ROUND(100/T14*U14-100,1),IF(ROUND(100/T14*U14-100,1)&gt;999,999,-999)))</f>
        <v>10.9</v>
      </c>
      <c r="W14" s="102"/>
      <c r="X14" s="518"/>
      <c r="Y14" s="427"/>
      <c r="Z14" s="102"/>
      <c r="AA14" s="518"/>
      <c r="AB14" s="427"/>
      <c r="AC14" s="102"/>
      <c r="AD14" s="518"/>
      <c r="AE14" s="427"/>
      <c r="AF14" s="102"/>
      <c r="AG14" s="518"/>
      <c r="AH14" s="427"/>
      <c r="AI14" s="102"/>
      <c r="AJ14" s="518"/>
      <c r="AK14" s="427"/>
      <c r="AL14" s="102"/>
      <c r="AM14" s="518"/>
      <c r="AN14" s="427"/>
      <c r="AO14" s="518">
        <f>B14+E14+H14+K14+N14+T14+W14+Z14+AF14+AI14</f>
        <v>999.43668174999993</v>
      </c>
      <c r="AP14" s="518">
        <f>C14+F14+I14+L14+O14+U14+X14+AA14+AG14+AJ14</f>
        <v>1105.6436477499999</v>
      </c>
      <c r="AQ14" s="427">
        <f t="shared" ref="AQ14:AQ28" si="27">IF(AO14=0, "    ---- ", IF(ABS(ROUND(100/AO14*AP14-100,1))&lt;999,ROUND(100/AO14*AP14-100,1),IF(ROUND(100/AO14*AP14-100,1)&gt;999,999,-999)))</f>
        <v>10.6</v>
      </c>
      <c r="AR14" s="518">
        <f>B14+E14+H14+K14+N14+Q14+T14+W14+Z14+AC14+AF14+AI14+AL14</f>
        <v>999.43668174999993</v>
      </c>
      <c r="AS14" s="518">
        <f>C14+F14+I14+L14+O14+R14+U14+X14+AA14+AD14+AG14+AJ14+AM14</f>
        <v>1105.6436477499999</v>
      </c>
      <c r="AT14" s="427">
        <f t="shared" ref="AT14:AT29" si="28">IF(AR14=0, "    ---- ", IF(ABS(ROUND(100/AR14*AS14-100,1))&lt;999,ROUND(100/AR14*AS14-100,1),IF(ROUND(100/AR14*AS14-100,1)&gt;999,999,-999)))</f>
        <v>10.6</v>
      </c>
    </row>
    <row r="15" spans="1:57" s="440" customFormat="1" ht="20.100000000000001" customHeight="1" x14ac:dyDescent="0.3">
      <c r="A15" s="574" t="s">
        <v>186</v>
      </c>
      <c r="B15" s="192"/>
      <c r="C15" s="427"/>
      <c r="D15" s="427"/>
      <c r="E15" s="192">
        <v>1367.0719999999999</v>
      </c>
      <c r="F15" s="427">
        <v>1174.66853141</v>
      </c>
      <c r="G15" s="427">
        <f t="shared" ref="G15:G28" si="29">IF(E15=0, "    ---- ", IF(ABS(ROUND(100/E15*F15-100,1))&lt;999,ROUND(100/E15*F15-100,1),IF(ROUND(100/E15*F15-100,1)&gt;999,999,-999)))</f>
        <v>-14.1</v>
      </c>
      <c r="H15" s="192"/>
      <c r="I15" s="427"/>
      <c r="J15" s="427"/>
      <c r="K15" s="659"/>
      <c r="L15" s="660"/>
      <c r="M15" s="660"/>
      <c r="N15" s="102"/>
      <c r="O15" s="518"/>
      <c r="P15" s="518"/>
      <c r="Q15" s="621"/>
      <c r="R15" s="549"/>
      <c r="S15" s="427"/>
      <c r="T15" s="102">
        <v>8693.9543338600015</v>
      </c>
      <c r="U15" s="518">
        <v>9212.5874871100004</v>
      </c>
      <c r="V15" s="427">
        <f t="shared" si="26"/>
        <v>6</v>
      </c>
      <c r="W15" s="102">
        <v>0.42000000000000004</v>
      </c>
      <c r="X15" s="518">
        <v>3</v>
      </c>
      <c r="Y15" s="427">
        <f t="shared" ref="Y15" si="30">IF(W15=0, "    ---- ", IF(ABS(ROUND(100/W15*X15-100,1))&lt;999,ROUND(100/W15*X15-100,1),IF(ROUND(100/W15*X15-100,1)&gt;999,999,-999)))</f>
        <v>614.29999999999995</v>
      </c>
      <c r="Z15" s="102">
        <f>1062+365</f>
        <v>1427</v>
      </c>
      <c r="AA15" s="518">
        <v>1296</v>
      </c>
      <c r="AB15" s="427">
        <f t="shared" ref="AB15:AB28" si="31">IF(Z15=0, "    ---- ", IF(ABS(ROUND(100/Z15*AA15-100,1))&lt;999,ROUND(100/Z15*AA15-100,1),IF(ROUND(100/Z15*AA15-100,1)&gt;999,999,-999)))</f>
        <v>-9.1999999999999993</v>
      </c>
      <c r="AC15" s="102"/>
      <c r="AD15" s="518"/>
      <c r="AE15" s="427"/>
      <c r="AF15" s="102">
        <v>1858.89</v>
      </c>
      <c r="AG15" s="518">
        <v>1293.6869999999999</v>
      </c>
      <c r="AH15" s="427">
        <f t="shared" ref="AH15:AH28" si="32">IF(AF15=0, "    ---- ", IF(ABS(ROUND(100/AF15*AG15-100,1))&lt;999,ROUND(100/AF15*AG15-100,1),IF(ROUND(100/AF15*AG15-100,1)&gt;999,999,-999)))</f>
        <v>-30.4</v>
      </c>
      <c r="AI15" s="102">
        <v>12678</v>
      </c>
      <c r="AJ15" s="518">
        <v>14596</v>
      </c>
      <c r="AK15" s="427">
        <f t="shared" ref="AK15:AK28" si="33">IF(AI15=0, "    ---- ", IF(ABS(ROUND(100/AI15*AJ15-100,1))&lt;999,ROUND(100/AI15*AJ15-100,1),IF(ROUND(100/AI15*AJ15-100,1)&gt;999,999,-999)))</f>
        <v>15.1</v>
      </c>
      <c r="AL15" s="102"/>
      <c r="AM15" s="518"/>
      <c r="AN15" s="427"/>
      <c r="AO15" s="518">
        <f t="shared" ref="AO15:AP29" si="34">B15+E15+H15+K15+N15+T15+W15+Z15+AF15+AI15</f>
        <v>26025.336333860003</v>
      </c>
      <c r="AP15" s="518">
        <f t="shared" si="34"/>
        <v>27575.94301852</v>
      </c>
      <c r="AQ15" s="427">
        <f t="shared" si="27"/>
        <v>6</v>
      </c>
      <c r="AR15" s="518">
        <f t="shared" ref="AR15:AS29" si="35">B15+E15+H15+K15+N15+Q15+T15+W15+Z15+AC15+AF15+AI15+AL15</f>
        <v>26025.336333860003</v>
      </c>
      <c r="AS15" s="518">
        <f t="shared" si="35"/>
        <v>27575.94301852</v>
      </c>
      <c r="AT15" s="427">
        <f t="shared" si="28"/>
        <v>6</v>
      </c>
    </row>
    <row r="16" spans="1:57" s="440" customFormat="1" ht="20.100000000000001" customHeight="1" x14ac:dyDescent="0.3">
      <c r="A16" s="574" t="s">
        <v>187</v>
      </c>
      <c r="B16" s="192"/>
      <c r="C16" s="427"/>
      <c r="D16" s="427"/>
      <c r="E16" s="192">
        <f>SUM(E17+E19)</f>
        <v>14200.677286150001</v>
      </c>
      <c r="F16" s="427">
        <f>SUM(F17+F19)</f>
        <v>18434.376151470002</v>
      </c>
      <c r="G16" s="427">
        <f t="shared" si="29"/>
        <v>29.8</v>
      </c>
      <c r="H16" s="192">
        <v>164.82161775</v>
      </c>
      <c r="I16" s="427">
        <f>SUM(I17+I19)</f>
        <v>459.03491562999994</v>
      </c>
      <c r="J16" s="427">
        <f t="shared" ref="J16:J19" si="36">IF(H16=0, "    ---- ", IF(ABS(ROUND(100/H16*I16-100,1))&lt;999,ROUND(100/H16*I16-100,1),IF(ROUND(100/H16*I16-100,1)&gt;999,999,-999)))</f>
        <v>178.5</v>
      </c>
      <c r="K16" s="659">
        <f>SUM(K17+K19)</f>
        <v>94.586989000000003</v>
      </c>
      <c r="L16" s="660">
        <f>SUM(L17+L19)</f>
        <v>132.05699999999999</v>
      </c>
      <c r="M16" s="660">
        <f t="shared" ref="M16:M18" si="37">IF(K16=0, "    ---- ", IF(ABS(ROUND(100/K16*L16-100,1))&lt;999,ROUND(100/K16*L16-100,1),IF(ROUND(100/K16*L16-100,1)&gt;999,999,-999)))</f>
        <v>39.6</v>
      </c>
      <c r="N16" s="102">
        <f>SUM(N17+N19)</f>
        <v>249</v>
      </c>
      <c r="O16" s="518">
        <f>SUM(O17+O19)</f>
        <v>283</v>
      </c>
      <c r="P16" s="518"/>
      <c r="Q16" s="621"/>
      <c r="R16" s="549"/>
      <c r="S16" s="427"/>
      <c r="T16" s="102">
        <v>19350.69231477</v>
      </c>
      <c r="U16" s="518">
        <v>20099.00271891</v>
      </c>
      <c r="V16" s="427">
        <f t="shared" si="26"/>
        <v>3.9</v>
      </c>
      <c r="W16" s="102"/>
      <c r="X16" s="518"/>
      <c r="Y16" s="427"/>
      <c r="Z16" s="102">
        <f>SUM(Z17+Z19)</f>
        <v>4811</v>
      </c>
      <c r="AA16" s="518">
        <f>SUM(AA17+AA19)</f>
        <v>5221</v>
      </c>
      <c r="AB16" s="427">
        <f t="shared" si="31"/>
        <v>8.5</v>
      </c>
      <c r="AC16" s="102"/>
      <c r="AD16" s="518"/>
      <c r="AE16" s="427"/>
      <c r="AF16" s="102">
        <f>SUM(AF17+AF19)</f>
        <v>1104.7350000000001</v>
      </c>
      <c r="AG16" s="518">
        <f>SUM(AG17+AG19)</f>
        <v>1208.3709999999999</v>
      </c>
      <c r="AH16" s="427">
        <f t="shared" si="32"/>
        <v>9.4</v>
      </c>
      <c r="AI16" s="102">
        <f>8287+1220</f>
        <v>9507</v>
      </c>
      <c r="AJ16" s="518">
        <f>SUM(AJ17+AJ19)</f>
        <v>10889</v>
      </c>
      <c r="AK16" s="427">
        <f t="shared" si="33"/>
        <v>14.5</v>
      </c>
      <c r="AL16" s="102"/>
      <c r="AM16" s="518"/>
      <c r="AN16" s="427"/>
      <c r="AO16" s="518">
        <f t="shared" si="34"/>
        <v>49482.513207670003</v>
      </c>
      <c r="AP16" s="518">
        <f t="shared" si="34"/>
        <v>56725.841786010002</v>
      </c>
      <c r="AQ16" s="427">
        <f t="shared" si="27"/>
        <v>14.6</v>
      </c>
      <c r="AR16" s="518">
        <f t="shared" si="35"/>
        <v>49482.513207670003</v>
      </c>
      <c r="AS16" s="518">
        <f t="shared" si="35"/>
        <v>56725.841786010002</v>
      </c>
      <c r="AT16" s="427">
        <f t="shared" si="28"/>
        <v>14.6</v>
      </c>
    </row>
    <row r="17" spans="1:46" s="440" customFormat="1" ht="20.100000000000001" customHeight="1" x14ac:dyDescent="0.3">
      <c r="A17" s="574" t="s">
        <v>188</v>
      </c>
      <c r="B17" s="192"/>
      <c r="C17" s="427"/>
      <c r="D17" s="427"/>
      <c r="E17" s="192">
        <v>11519.060993040001</v>
      </c>
      <c r="F17" s="427">
        <v>15849.654605610001</v>
      </c>
      <c r="G17" s="427">
        <f t="shared" si="29"/>
        <v>37.6</v>
      </c>
      <c r="H17" s="192"/>
      <c r="I17" s="427"/>
      <c r="J17" s="427"/>
      <c r="K17" s="659">
        <v>94.586989000000003</v>
      </c>
      <c r="L17" s="660">
        <v>132.05699999999999</v>
      </c>
      <c r="M17" s="660">
        <f t="shared" si="37"/>
        <v>39.6</v>
      </c>
      <c r="N17" s="102"/>
      <c r="O17" s="518"/>
      <c r="P17" s="518"/>
      <c r="Q17" s="621"/>
      <c r="R17" s="549"/>
      <c r="S17" s="427"/>
      <c r="T17" s="102">
        <v>6936.8172131599995</v>
      </c>
      <c r="U17" s="518">
        <v>7104.3807365900002</v>
      </c>
      <c r="V17" s="427">
        <f t="shared" si="26"/>
        <v>2.4</v>
      </c>
      <c r="W17" s="102"/>
      <c r="X17" s="518"/>
      <c r="Y17" s="427"/>
      <c r="Z17" s="102">
        <v>10</v>
      </c>
      <c r="AA17" s="518">
        <v>37</v>
      </c>
      <c r="AB17" s="427">
        <f t="shared" si="31"/>
        <v>270</v>
      </c>
      <c r="AC17" s="102"/>
      <c r="AD17" s="518"/>
      <c r="AE17" s="427"/>
      <c r="AF17" s="102">
        <v>39.902999999999999</v>
      </c>
      <c r="AG17" s="518">
        <v>28.3</v>
      </c>
      <c r="AH17" s="427">
        <f t="shared" si="32"/>
        <v>-29.1</v>
      </c>
      <c r="AI17" s="102"/>
      <c r="AJ17" s="518"/>
      <c r="AK17" s="427"/>
      <c r="AL17" s="102"/>
      <c r="AM17" s="518"/>
      <c r="AN17" s="427"/>
      <c r="AO17" s="518">
        <f t="shared" si="34"/>
        <v>18600.368195199997</v>
      </c>
      <c r="AP17" s="518">
        <f t="shared" si="34"/>
        <v>23151.392342200001</v>
      </c>
      <c r="AQ17" s="427">
        <f t="shared" si="27"/>
        <v>24.5</v>
      </c>
      <c r="AR17" s="518">
        <f t="shared" si="35"/>
        <v>18600.368195199997</v>
      </c>
      <c r="AS17" s="518">
        <f t="shared" si="35"/>
        <v>23151.392342200001</v>
      </c>
      <c r="AT17" s="427">
        <f t="shared" si="28"/>
        <v>24.5</v>
      </c>
    </row>
    <row r="18" spans="1:46" s="440" customFormat="1" ht="20.100000000000001" customHeight="1" x14ac:dyDescent="0.3">
      <c r="A18" s="574" t="s">
        <v>189</v>
      </c>
      <c r="B18" s="192"/>
      <c r="C18" s="427"/>
      <c r="D18" s="427"/>
      <c r="E18" s="192">
        <f>+E17</f>
        <v>11519.060993040001</v>
      </c>
      <c r="F18" s="427">
        <v>15849.654605610001</v>
      </c>
      <c r="G18" s="427">
        <f t="shared" si="29"/>
        <v>37.6</v>
      </c>
      <c r="H18" s="192"/>
      <c r="I18" s="427"/>
      <c r="J18" s="427"/>
      <c r="K18" s="659">
        <v>94.586989000000003</v>
      </c>
      <c r="L18" s="660">
        <v>132.05699999999999</v>
      </c>
      <c r="M18" s="660">
        <f t="shared" si="37"/>
        <v>39.6</v>
      </c>
      <c r="N18" s="102"/>
      <c r="O18" s="518"/>
      <c r="P18" s="518"/>
      <c r="Q18" s="621"/>
      <c r="R18" s="549"/>
      <c r="S18" s="427"/>
      <c r="T18" s="102">
        <v>6936.8172131599995</v>
      </c>
      <c r="U18" s="518">
        <v>7104.3807365900002</v>
      </c>
      <c r="V18" s="427">
        <f t="shared" si="26"/>
        <v>2.4</v>
      </c>
      <c r="W18" s="102"/>
      <c r="X18" s="518"/>
      <c r="Y18" s="427"/>
      <c r="Z18" s="102"/>
      <c r="AA18" s="518"/>
      <c r="AB18" s="427"/>
      <c r="AC18" s="102"/>
      <c r="AD18" s="518"/>
      <c r="AE18" s="427"/>
      <c r="AF18" s="102">
        <v>-3.2782554626464843E-13</v>
      </c>
      <c r="AG18" s="518">
        <v>-3.2782554626464843E-13</v>
      </c>
      <c r="AH18" s="427">
        <f t="shared" si="32"/>
        <v>0</v>
      </c>
      <c r="AI18" s="102"/>
      <c r="AJ18" s="518"/>
      <c r="AK18" s="427"/>
      <c r="AL18" s="102"/>
      <c r="AM18" s="518"/>
      <c r="AN18" s="427"/>
      <c r="AO18" s="518">
        <f t="shared" si="34"/>
        <v>18550.465195199999</v>
      </c>
      <c r="AP18" s="518">
        <f t="shared" si="34"/>
        <v>23086.092342200001</v>
      </c>
      <c r="AQ18" s="427">
        <f t="shared" si="27"/>
        <v>24.5</v>
      </c>
      <c r="AR18" s="518">
        <f t="shared" si="35"/>
        <v>18550.465195199999</v>
      </c>
      <c r="AS18" s="518">
        <f t="shared" si="35"/>
        <v>23086.092342200001</v>
      </c>
      <c r="AT18" s="427">
        <f t="shared" si="28"/>
        <v>24.5</v>
      </c>
    </row>
    <row r="19" spans="1:46" s="440" customFormat="1" ht="20.100000000000001" customHeight="1" x14ac:dyDescent="0.3">
      <c r="A19" s="574" t="s">
        <v>190</v>
      </c>
      <c r="B19" s="192"/>
      <c r="C19" s="427"/>
      <c r="D19" s="427"/>
      <c r="E19" s="192">
        <v>2681.6162931100002</v>
      </c>
      <c r="F19" s="427">
        <v>2584.7215458600003</v>
      </c>
      <c r="G19" s="427">
        <f t="shared" si="29"/>
        <v>-3.6</v>
      </c>
      <c r="H19" s="192">
        <v>164.82161775</v>
      </c>
      <c r="I19" s="427">
        <v>459.03491562999994</v>
      </c>
      <c r="J19" s="427">
        <f t="shared" si="36"/>
        <v>178.5</v>
      </c>
      <c r="K19" s="659"/>
      <c r="L19" s="660"/>
      <c r="M19" s="660"/>
      <c r="N19" s="102">
        <v>249</v>
      </c>
      <c r="O19" s="518">
        <v>283</v>
      </c>
      <c r="P19" s="518"/>
      <c r="Q19" s="621"/>
      <c r="R19" s="549"/>
      <c r="S19" s="427"/>
      <c r="T19" s="102">
        <v>12413.875101610001</v>
      </c>
      <c r="U19" s="518">
        <v>12994.621982319999</v>
      </c>
      <c r="V19" s="427">
        <f t="shared" si="26"/>
        <v>4.7</v>
      </c>
      <c r="W19" s="102"/>
      <c r="X19" s="518"/>
      <c r="Y19" s="427"/>
      <c r="Z19" s="102">
        <v>4801</v>
      </c>
      <c r="AA19" s="518">
        <v>5184</v>
      </c>
      <c r="AB19" s="427">
        <f t="shared" si="31"/>
        <v>8</v>
      </c>
      <c r="AC19" s="102"/>
      <c r="AD19" s="518"/>
      <c r="AE19" s="427"/>
      <c r="AF19" s="102">
        <v>1064.8320000000001</v>
      </c>
      <c r="AG19" s="518">
        <v>1180.0709999999999</v>
      </c>
      <c r="AH19" s="427">
        <f t="shared" si="32"/>
        <v>10.8</v>
      </c>
      <c r="AI19" s="102">
        <f>8287+1220</f>
        <v>9507</v>
      </c>
      <c r="AJ19" s="518">
        <f>3006+7465+418</f>
        <v>10889</v>
      </c>
      <c r="AK19" s="427">
        <f t="shared" si="33"/>
        <v>14.5</v>
      </c>
      <c r="AL19" s="102"/>
      <c r="AM19" s="518"/>
      <c r="AN19" s="427"/>
      <c r="AO19" s="518">
        <f t="shared" si="34"/>
        <v>30882.145012470002</v>
      </c>
      <c r="AP19" s="518">
        <f t="shared" si="34"/>
        <v>33574.449443809994</v>
      </c>
      <c r="AQ19" s="427">
        <f t="shared" si="27"/>
        <v>8.6999999999999993</v>
      </c>
      <c r="AR19" s="518">
        <f t="shared" si="35"/>
        <v>30882.145012470002</v>
      </c>
      <c r="AS19" s="518">
        <f t="shared" si="35"/>
        <v>33574.449443809994</v>
      </c>
      <c r="AT19" s="427">
        <f t="shared" si="28"/>
        <v>8.6999999999999993</v>
      </c>
    </row>
    <row r="20" spans="1:46" s="440" customFormat="1" ht="20.100000000000001" customHeight="1" x14ac:dyDescent="0.3">
      <c r="A20" s="574" t="s">
        <v>191</v>
      </c>
      <c r="B20" s="192">
        <f>SUM(B21:B25)</f>
        <v>847.56499999999994</v>
      </c>
      <c r="C20" s="427">
        <f>SUM(C21:C25)</f>
        <v>840.7670892399999</v>
      </c>
      <c r="D20" s="427">
        <f>IF(B20=0, "    ---- ", IF(ABS(ROUND(100/B20*C20-100,1))&lt;999,ROUND(100/B20*C20-100,1),IF(ROUND(100/B20*C20-100,1)&gt;999,999,-999)))</f>
        <v>-0.8</v>
      </c>
      <c r="E20" s="192">
        <f>SUM(E21:E25)</f>
        <v>18882.432392910003</v>
      </c>
      <c r="F20" s="427">
        <f>SUM(F21:F25)</f>
        <v>12667.301262160001</v>
      </c>
      <c r="G20" s="427">
        <f t="shared" si="29"/>
        <v>-32.9</v>
      </c>
      <c r="H20" s="192">
        <v>2481.9259533900008</v>
      </c>
      <c r="I20" s="427">
        <f>SUM(I21:I25)</f>
        <v>2052.3623557299993</v>
      </c>
      <c r="J20" s="427">
        <f>IF(H20=0, "    ---- ", IF(ABS(ROUND(100/H20*I20-100,1))&lt;999,ROUND(100/H20*I20-100,1),IF(ROUND(100/H20*I20-100,1)&gt;999,999,-999)))</f>
        <v>-17.3</v>
      </c>
      <c r="K20" s="659">
        <f>SUM(K21:K25)</f>
        <v>387.77268700000002</v>
      </c>
      <c r="L20" s="660">
        <f>SUM(L21:L25)</f>
        <v>323.28530000000001</v>
      </c>
      <c r="M20" s="660">
        <f t="shared" ref="M20:M28" si="38">IF(K20=0, "    ---- ", IF(ABS(ROUND(100/K20*L20-100,1))&lt;999,ROUND(100/K20*L20-100,1),IF(ROUND(100/K20*L20-100,1)&gt;999,999,-999)))</f>
        <v>-16.600000000000001</v>
      </c>
      <c r="N20" s="102">
        <f>SUM(N21:N25)</f>
        <v>1039.9000000000001</v>
      </c>
      <c r="O20" s="518">
        <f>SUM(O21:O25)</f>
        <v>1110</v>
      </c>
      <c r="P20" s="518">
        <f t="shared" ref="P20:P28" si="39">IF(N20=0, "    ---- ", IF(ABS(ROUND(100/N20*O20-100,1))&lt;999,ROUND(100/N20*O20-100,1),IF(ROUND(100/N20*O20-100,1)&gt;999,999,-999)))</f>
        <v>6.7</v>
      </c>
      <c r="Q20" s="621"/>
      <c r="R20" s="549"/>
      <c r="S20" s="427"/>
      <c r="T20" s="102">
        <v>15571.545790259999</v>
      </c>
      <c r="U20" s="518">
        <v>12793.98067571</v>
      </c>
      <c r="V20" s="427">
        <f t="shared" si="26"/>
        <v>-17.8</v>
      </c>
      <c r="W20" s="102">
        <f>SUM(W21:W25)</f>
        <v>11050.230000000001</v>
      </c>
      <c r="X20" s="518">
        <f>SUM(X21:X25)</f>
        <v>11088.36</v>
      </c>
      <c r="Y20" s="427">
        <f t="shared" ref="Y20:Y28" si="40">IF(W20=0, "    ---- ", IF(ABS(ROUND(100/W20*X20-100,1))&lt;999,ROUND(100/W20*X20-100,1),IF(ROUND(100/W20*X20-100,1)&gt;999,999,-999)))</f>
        <v>0.3</v>
      </c>
      <c r="Z20" s="102">
        <f>SUM(Z21:Z25)</f>
        <v>4373</v>
      </c>
      <c r="AA20" s="518">
        <f>SUM(AA21:AA25)</f>
        <v>4363</v>
      </c>
      <c r="AB20" s="427">
        <f t="shared" si="31"/>
        <v>-0.2</v>
      </c>
      <c r="AC20" s="102"/>
      <c r="AD20" s="518"/>
      <c r="AE20" s="427"/>
      <c r="AF20" s="102">
        <f>SUM(AF21:AF25)</f>
        <v>3820.739</v>
      </c>
      <c r="AG20" s="518">
        <f>SUM(AG21:AG25)</f>
        <v>3859.576</v>
      </c>
      <c r="AH20" s="427">
        <f t="shared" si="32"/>
        <v>1</v>
      </c>
      <c r="AI20" s="102">
        <f>SUM(AI21:AI25)</f>
        <v>14956</v>
      </c>
      <c r="AJ20" s="518">
        <f>SUM(AJ21:AJ25)</f>
        <v>10685</v>
      </c>
      <c r="AK20" s="427">
        <f t="shared" si="33"/>
        <v>-28.6</v>
      </c>
      <c r="AL20" s="102"/>
      <c r="AM20" s="518">
        <f>SUM(AM21:AM25)</f>
        <v>9</v>
      </c>
      <c r="AN20" s="427" t="str">
        <f t="shared" ref="AN20:AN25" si="41">IF(AL20=0, "    ---- ", IF(ABS(ROUND(100/AL20*AM20-100,1))&lt;999,ROUND(100/AL20*AM20-100,1),IF(ROUND(100/AL20*AM20-100,1)&gt;999,999,-999)))</f>
        <v xml:space="preserve">    ---- </v>
      </c>
      <c r="AO20" s="518">
        <f t="shared" si="34"/>
        <v>73411.110823560011</v>
      </c>
      <c r="AP20" s="518">
        <f t="shared" si="34"/>
        <v>59783.632682840005</v>
      </c>
      <c r="AQ20" s="427">
        <f t="shared" si="27"/>
        <v>-18.600000000000001</v>
      </c>
      <c r="AR20" s="518">
        <f t="shared" si="35"/>
        <v>73411.110823560011</v>
      </c>
      <c r="AS20" s="518">
        <f t="shared" si="35"/>
        <v>59792.632682840005</v>
      </c>
      <c r="AT20" s="427">
        <f t="shared" si="28"/>
        <v>-18.600000000000001</v>
      </c>
    </row>
    <row r="21" spans="1:46" s="440" customFormat="1" ht="20.100000000000001" customHeight="1" x14ac:dyDescent="0.3">
      <c r="A21" s="574" t="s">
        <v>192</v>
      </c>
      <c r="B21" s="192">
        <v>7.2039999999999997</v>
      </c>
      <c r="C21" s="427">
        <v>6.7910205700000006</v>
      </c>
      <c r="D21" s="427">
        <f>IF(B21=0, "    ---- ", IF(ABS(ROUND(100/B21*C21-100,1))&lt;999,ROUND(100/B21*C21-100,1),IF(ROUND(100/B21*C21-100,1)&gt;999,999,-999)))</f>
        <v>-5.7</v>
      </c>
      <c r="E21" s="192">
        <v>1567.4986408599998</v>
      </c>
      <c r="F21" s="427">
        <v>1317.94216325</v>
      </c>
      <c r="G21" s="427">
        <f t="shared" si="29"/>
        <v>-15.9</v>
      </c>
      <c r="H21" s="192"/>
      <c r="I21" s="427"/>
      <c r="J21" s="427"/>
      <c r="K21" s="659">
        <v>59.491070999999998</v>
      </c>
      <c r="L21" s="660">
        <v>46.046300000000002</v>
      </c>
      <c r="M21" s="660">
        <f t="shared" si="38"/>
        <v>-22.6</v>
      </c>
      <c r="N21" s="102">
        <v>44.2</v>
      </c>
      <c r="O21" s="518">
        <v>42</v>
      </c>
      <c r="P21" s="518">
        <f t="shared" si="39"/>
        <v>-5</v>
      </c>
      <c r="Q21" s="621"/>
      <c r="R21" s="549"/>
      <c r="S21" s="427"/>
      <c r="T21" s="102">
        <v>6.7540584500000005</v>
      </c>
      <c r="U21" s="518">
        <v>6.1438499999999996</v>
      </c>
      <c r="V21" s="427">
        <f t="shared" si="26"/>
        <v>-9</v>
      </c>
      <c r="W21" s="102">
        <v>7.76</v>
      </c>
      <c r="X21" s="518">
        <v>48.02</v>
      </c>
      <c r="Y21" s="427">
        <f t="shared" si="40"/>
        <v>518.79999999999995</v>
      </c>
      <c r="Z21" s="102">
        <v>2330</v>
      </c>
      <c r="AA21" s="518">
        <v>2217</v>
      </c>
      <c r="AB21" s="427">
        <f t="shared" si="31"/>
        <v>-4.8</v>
      </c>
      <c r="AC21" s="102"/>
      <c r="AD21" s="518"/>
      <c r="AE21" s="427"/>
      <c r="AF21" s="102">
        <v>1.204</v>
      </c>
      <c r="AG21" s="518">
        <v>1.355</v>
      </c>
      <c r="AH21" s="427">
        <f t="shared" si="32"/>
        <v>12.5</v>
      </c>
      <c r="AI21" s="102">
        <v>407</v>
      </c>
      <c r="AJ21" s="518">
        <v>354</v>
      </c>
      <c r="AK21" s="427">
        <f t="shared" si="33"/>
        <v>-13</v>
      </c>
      <c r="AL21" s="102"/>
      <c r="AM21" s="518"/>
      <c r="AN21" s="427"/>
      <c r="AO21" s="518">
        <f t="shared" si="34"/>
        <v>4431.1117703099999</v>
      </c>
      <c r="AP21" s="518">
        <f t="shared" si="34"/>
        <v>4039.2983338199997</v>
      </c>
      <c r="AQ21" s="427">
        <f t="shared" si="27"/>
        <v>-8.8000000000000007</v>
      </c>
      <c r="AR21" s="518">
        <f t="shared" si="35"/>
        <v>4431.1117703099999</v>
      </c>
      <c r="AS21" s="518">
        <f t="shared" si="35"/>
        <v>4039.2983338199997</v>
      </c>
      <c r="AT21" s="427">
        <f t="shared" si="28"/>
        <v>-8.8000000000000007</v>
      </c>
    </row>
    <row r="22" spans="1:46" s="440" customFormat="1" ht="20.100000000000001" customHeight="1" x14ac:dyDescent="0.3">
      <c r="A22" s="574" t="s">
        <v>193</v>
      </c>
      <c r="B22" s="192">
        <v>840.36099999999999</v>
      </c>
      <c r="C22" s="427">
        <v>833.9760686699999</v>
      </c>
      <c r="D22" s="427">
        <f>IF(B22=0, "    ---- ", IF(ABS(ROUND(100/B22*C22-100,1))&lt;999,ROUND(100/B22*C22-100,1),IF(ROUND(100/B22*C22-100,1)&gt;999,999,-999)))</f>
        <v>-0.8</v>
      </c>
      <c r="E22" s="192">
        <v>17016.17989716</v>
      </c>
      <c r="F22" s="427">
        <v>11176.491899320001</v>
      </c>
      <c r="G22" s="427">
        <f t="shared" si="29"/>
        <v>-34.299999999999997</v>
      </c>
      <c r="H22" s="192">
        <v>2413.9000814400006</v>
      </c>
      <c r="I22" s="427">
        <v>2083.8870947399992</v>
      </c>
      <c r="J22" s="427">
        <f>IF(H22=0, "    ---- ", IF(ABS(ROUND(100/H22*I22-100,1))&lt;999,ROUND(100/H22*I22-100,1),IF(ROUND(100/H22*I22-100,1)&gt;999,999,-999)))</f>
        <v>-13.7</v>
      </c>
      <c r="K22" s="659">
        <v>247.121364</v>
      </c>
      <c r="L22" s="660">
        <v>197.75299999999999</v>
      </c>
      <c r="M22" s="660">
        <f t="shared" si="38"/>
        <v>-20</v>
      </c>
      <c r="N22" s="102">
        <v>995.7</v>
      </c>
      <c r="O22" s="518">
        <v>1068</v>
      </c>
      <c r="P22" s="518">
        <f t="shared" si="39"/>
        <v>7.3</v>
      </c>
      <c r="Q22" s="621"/>
      <c r="R22" s="549"/>
      <c r="S22" s="427"/>
      <c r="T22" s="102">
        <v>10351.00128986</v>
      </c>
      <c r="U22" s="518">
        <v>10833.464112899999</v>
      </c>
      <c r="V22" s="427">
        <f t="shared" si="26"/>
        <v>4.7</v>
      </c>
      <c r="W22" s="102">
        <v>11042.36</v>
      </c>
      <c r="X22" s="518">
        <v>10832.51</v>
      </c>
      <c r="Y22" s="427">
        <f t="shared" si="40"/>
        <v>-1.9</v>
      </c>
      <c r="Z22" s="102">
        <v>2055</v>
      </c>
      <c r="AA22" s="518">
        <v>2257</v>
      </c>
      <c r="AB22" s="427">
        <f t="shared" si="31"/>
        <v>9.8000000000000007</v>
      </c>
      <c r="AC22" s="102"/>
      <c r="AD22" s="518"/>
      <c r="AE22" s="427"/>
      <c r="AF22" s="102">
        <v>3190.6109999999999</v>
      </c>
      <c r="AG22" s="518">
        <v>3089.1680000000001</v>
      </c>
      <c r="AH22" s="427">
        <f t="shared" si="32"/>
        <v>-3.2</v>
      </c>
      <c r="AI22" s="102">
        <v>13653</v>
      </c>
      <c r="AJ22" s="518">
        <v>9812</v>
      </c>
      <c r="AK22" s="427">
        <f t="shared" si="33"/>
        <v>-28.1</v>
      </c>
      <c r="AL22" s="102"/>
      <c r="AM22" s="518"/>
      <c r="AN22" s="427"/>
      <c r="AO22" s="518">
        <f t="shared" si="34"/>
        <v>61805.23463246</v>
      </c>
      <c r="AP22" s="518">
        <f t="shared" si="34"/>
        <v>52184.250175629997</v>
      </c>
      <c r="AQ22" s="427">
        <f t="shared" si="27"/>
        <v>-15.6</v>
      </c>
      <c r="AR22" s="518">
        <f t="shared" si="35"/>
        <v>61805.23463246</v>
      </c>
      <c r="AS22" s="518">
        <f t="shared" si="35"/>
        <v>52184.250175629997</v>
      </c>
      <c r="AT22" s="427">
        <f t="shared" si="28"/>
        <v>-15.6</v>
      </c>
    </row>
    <row r="23" spans="1:46" s="440" customFormat="1" ht="20.100000000000001" customHeight="1" x14ac:dyDescent="0.3">
      <c r="A23" s="574" t="s">
        <v>194</v>
      </c>
      <c r="B23" s="192"/>
      <c r="C23" s="427"/>
      <c r="D23" s="427"/>
      <c r="E23" s="192">
        <v>7.8191590300000007</v>
      </c>
      <c r="F23" s="427">
        <v>163.71268669999998</v>
      </c>
      <c r="G23" s="427">
        <f t="shared" si="29"/>
        <v>999</v>
      </c>
      <c r="H23" s="192">
        <v>67.588517570000022</v>
      </c>
      <c r="I23" s="427">
        <v>-38.795948259999989</v>
      </c>
      <c r="J23" s="427">
        <f>IF(H23=0, "    ---- ", IF(ABS(ROUND(100/H23*I23-100,1))&lt;999,ROUND(100/H23*I23-100,1),IF(ROUND(100/H23*I23-100,1)&gt;999,999,-999)))</f>
        <v>-157.4</v>
      </c>
      <c r="K23" s="659"/>
      <c r="L23" s="660"/>
      <c r="M23" s="660"/>
      <c r="N23" s="102"/>
      <c r="O23" s="518"/>
      <c r="P23" s="518"/>
      <c r="Q23" s="621"/>
      <c r="R23" s="549"/>
      <c r="S23" s="427"/>
      <c r="T23" s="102">
        <v>1512.9207325899999</v>
      </c>
      <c r="U23" s="518">
        <v>1296.5107809600001</v>
      </c>
      <c r="V23" s="427">
        <f t="shared" si="26"/>
        <v>-14.3</v>
      </c>
      <c r="W23" s="102">
        <v>0.11</v>
      </c>
      <c r="X23" s="518">
        <v>0.11</v>
      </c>
      <c r="Y23" s="427">
        <f t="shared" si="40"/>
        <v>0</v>
      </c>
      <c r="Z23" s="102"/>
      <c r="AA23" s="518"/>
      <c r="AB23" s="427"/>
      <c r="AC23" s="102"/>
      <c r="AD23" s="518"/>
      <c r="AE23" s="427"/>
      <c r="AF23" s="102">
        <v>0</v>
      </c>
      <c r="AG23" s="518">
        <v>680.33699999999999</v>
      </c>
      <c r="AH23" s="427" t="str">
        <f t="shared" si="32"/>
        <v xml:space="preserve">    ---- </v>
      </c>
      <c r="AI23" s="102"/>
      <c r="AJ23" s="518"/>
      <c r="AK23" s="427"/>
      <c r="AL23" s="102"/>
      <c r="AM23" s="518"/>
      <c r="AN23" s="427"/>
      <c r="AO23" s="518">
        <f t="shared" si="34"/>
        <v>1588.4384091899999</v>
      </c>
      <c r="AP23" s="518">
        <f t="shared" si="34"/>
        <v>2101.8745194000003</v>
      </c>
      <c r="AQ23" s="427">
        <f t="shared" si="27"/>
        <v>32.299999999999997</v>
      </c>
      <c r="AR23" s="518">
        <f t="shared" si="35"/>
        <v>1588.4384091899999</v>
      </c>
      <c r="AS23" s="518">
        <f t="shared" si="35"/>
        <v>2101.8745194000003</v>
      </c>
      <c r="AT23" s="427">
        <f t="shared" si="28"/>
        <v>32.299999999999997</v>
      </c>
    </row>
    <row r="24" spans="1:46" s="440" customFormat="1" ht="20.100000000000001" customHeight="1" x14ac:dyDescent="0.3">
      <c r="A24" s="574" t="s">
        <v>195</v>
      </c>
      <c r="B24" s="192"/>
      <c r="C24" s="427"/>
      <c r="D24" s="427"/>
      <c r="E24" s="192">
        <v>3.3540056099999997</v>
      </c>
      <c r="F24" s="427">
        <v>1.7584299699999999</v>
      </c>
      <c r="G24" s="427">
        <f t="shared" si="29"/>
        <v>-47.6</v>
      </c>
      <c r="H24" s="192"/>
      <c r="I24" s="427"/>
      <c r="J24" s="427"/>
      <c r="K24" s="659"/>
      <c r="L24" s="660"/>
      <c r="M24" s="660"/>
      <c r="N24" s="102"/>
      <c r="O24" s="518"/>
      <c r="P24" s="518"/>
      <c r="Q24" s="621"/>
      <c r="R24" s="549"/>
      <c r="S24" s="427"/>
      <c r="T24" s="102">
        <v>680.74601358000007</v>
      </c>
      <c r="U24" s="518">
        <v>657.49690499999997</v>
      </c>
      <c r="V24" s="427">
        <f t="shared" si="26"/>
        <v>-3.4</v>
      </c>
      <c r="W24" s="102"/>
      <c r="X24" s="518">
        <v>0.06</v>
      </c>
      <c r="Y24" s="427" t="str">
        <f t="shared" si="40"/>
        <v xml:space="preserve">    ---- </v>
      </c>
      <c r="Z24" s="102">
        <v>-12</v>
      </c>
      <c r="AA24" s="518">
        <v>-111</v>
      </c>
      <c r="AB24" s="427">
        <f t="shared" si="31"/>
        <v>825</v>
      </c>
      <c r="AC24" s="102"/>
      <c r="AD24" s="518"/>
      <c r="AE24" s="427"/>
      <c r="AF24" s="102">
        <v>0.64500000000000002</v>
      </c>
      <c r="AG24" s="518">
        <v>2.2789999999999999</v>
      </c>
      <c r="AH24" s="427">
        <f t="shared" si="32"/>
        <v>253.3</v>
      </c>
      <c r="AI24" s="102">
        <v>896</v>
      </c>
      <c r="AJ24" s="518">
        <v>519</v>
      </c>
      <c r="AK24" s="427">
        <f t="shared" si="33"/>
        <v>-42.1</v>
      </c>
      <c r="AL24" s="102"/>
      <c r="AM24" s="518"/>
      <c r="AN24" s="427"/>
      <c r="AO24" s="518">
        <f t="shared" si="34"/>
        <v>1568.74501919</v>
      </c>
      <c r="AP24" s="518">
        <f t="shared" si="34"/>
        <v>1069.5943349699999</v>
      </c>
      <c r="AQ24" s="427">
        <f t="shared" si="27"/>
        <v>-31.8</v>
      </c>
      <c r="AR24" s="518">
        <f t="shared" si="35"/>
        <v>1568.74501919</v>
      </c>
      <c r="AS24" s="518">
        <f t="shared" si="35"/>
        <v>1069.5943349699999</v>
      </c>
      <c r="AT24" s="427">
        <f t="shared" si="28"/>
        <v>-31.8</v>
      </c>
    </row>
    <row r="25" spans="1:46" s="440" customFormat="1" ht="20.100000000000001" customHeight="1" x14ac:dyDescent="0.3">
      <c r="A25" s="574" t="s">
        <v>196</v>
      </c>
      <c r="B25" s="192"/>
      <c r="C25" s="427"/>
      <c r="D25" s="427"/>
      <c r="E25" s="192">
        <v>287.58069025000003</v>
      </c>
      <c r="F25" s="427">
        <v>7.3960829199999996</v>
      </c>
      <c r="G25" s="427">
        <f t="shared" si="29"/>
        <v>-97.4</v>
      </c>
      <c r="H25" s="192">
        <v>0.43735437999999871</v>
      </c>
      <c r="I25" s="427">
        <v>7.2712092500000001</v>
      </c>
      <c r="J25" s="427">
        <f>IF(H25=0, "    ---- ", IF(ABS(ROUND(100/H25*I25-100,1))&lt;999,ROUND(100/H25*I25-100,1),IF(ROUND(100/H25*I25-100,1)&gt;999,999,-999)))</f>
        <v>999</v>
      </c>
      <c r="K25" s="659">
        <v>81.160252</v>
      </c>
      <c r="L25" s="660">
        <v>79.486000000000004</v>
      </c>
      <c r="M25" s="660">
        <f t="shared" si="38"/>
        <v>-2.1</v>
      </c>
      <c r="N25" s="102"/>
      <c r="O25" s="518"/>
      <c r="P25" s="518"/>
      <c r="Q25" s="621"/>
      <c r="R25" s="549"/>
      <c r="S25" s="427"/>
      <c r="T25" s="102">
        <v>3020.1236957800002</v>
      </c>
      <c r="U25" s="518">
        <v>0.36502684999999996</v>
      </c>
      <c r="V25" s="427">
        <f t="shared" si="26"/>
        <v>-100</v>
      </c>
      <c r="W25" s="102"/>
      <c r="X25" s="518">
        <v>207.66</v>
      </c>
      <c r="Y25" s="427" t="str">
        <f t="shared" si="40"/>
        <v xml:space="preserve">    ---- </v>
      </c>
      <c r="Z25" s="102"/>
      <c r="AA25" s="518"/>
      <c r="AB25" s="427"/>
      <c r="AC25" s="102"/>
      <c r="AD25" s="518"/>
      <c r="AE25" s="427"/>
      <c r="AF25" s="102">
        <v>628.279</v>
      </c>
      <c r="AG25" s="518">
        <v>86.436999999999998</v>
      </c>
      <c r="AH25" s="427">
        <f t="shared" si="32"/>
        <v>-86.2</v>
      </c>
      <c r="AI25" s="102"/>
      <c r="AJ25" s="518"/>
      <c r="AK25" s="427"/>
      <c r="AL25" s="102"/>
      <c r="AM25" s="518">
        <v>9</v>
      </c>
      <c r="AN25" s="427" t="str">
        <f t="shared" si="41"/>
        <v xml:space="preserve">    ---- </v>
      </c>
      <c r="AO25" s="518">
        <f t="shared" si="34"/>
        <v>4017.5809924100004</v>
      </c>
      <c r="AP25" s="518">
        <f t="shared" si="34"/>
        <v>388.61531902000002</v>
      </c>
      <c r="AQ25" s="427">
        <f t="shared" si="27"/>
        <v>-90.3</v>
      </c>
      <c r="AR25" s="518">
        <f t="shared" si="35"/>
        <v>4017.5809924100004</v>
      </c>
      <c r="AS25" s="518">
        <f t="shared" si="35"/>
        <v>397.61531902000002</v>
      </c>
      <c r="AT25" s="427">
        <f t="shared" si="28"/>
        <v>-90.1</v>
      </c>
    </row>
    <row r="26" spans="1:46" s="440" customFormat="1" ht="20.100000000000001" customHeight="1" x14ac:dyDescent="0.3">
      <c r="A26" s="574" t="s">
        <v>197</v>
      </c>
      <c r="B26" s="192"/>
      <c r="C26" s="427"/>
      <c r="D26" s="427"/>
      <c r="E26" s="192"/>
      <c r="F26" s="427"/>
      <c r="G26" s="427"/>
      <c r="H26" s="192"/>
      <c r="I26" s="427"/>
      <c r="J26" s="427"/>
      <c r="K26" s="659"/>
      <c r="L26" s="660"/>
      <c r="M26" s="660"/>
      <c r="N26" s="102"/>
      <c r="O26" s="518"/>
      <c r="P26" s="518"/>
      <c r="Q26" s="621"/>
      <c r="R26" s="549"/>
      <c r="S26" s="427"/>
      <c r="T26" s="102"/>
      <c r="U26" s="518"/>
      <c r="V26" s="427"/>
      <c r="W26" s="102"/>
      <c r="X26" s="518"/>
      <c r="Y26" s="427"/>
      <c r="Z26" s="102"/>
      <c r="AA26" s="518"/>
      <c r="AB26" s="427"/>
      <c r="AC26" s="102"/>
      <c r="AD26" s="518"/>
      <c r="AE26" s="427"/>
      <c r="AF26" s="102"/>
      <c r="AG26" s="518"/>
      <c r="AH26" s="427"/>
      <c r="AI26" s="102"/>
      <c r="AJ26" s="518"/>
      <c r="AK26" s="427"/>
      <c r="AL26" s="102"/>
      <c r="AM26" s="518"/>
      <c r="AN26" s="427"/>
      <c r="AO26" s="518">
        <f t="shared" si="34"/>
        <v>0</v>
      </c>
      <c r="AP26" s="518">
        <f t="shared" si="34"/>
        <v>0</v>
      </c>
      <c r="AQ26" s="427" t="str">
        <f t="shared" si="27"/>
        <v xml:space="preserve">    ---- </v>
      </c>
      <c r="AR26" s="518">
        <f t="shared" si="35"/>
        <v>0</v>
      </c>
      <c r="AS26" s="518">
        <f t="shared" si="35"/>
        <v>0</v>
      </c>
      <c r="AT26" s="427" t="str">
        <f t="shared" si="28"/>
        <v xml:space="preserve">    ---- </v>
      </c>
    </row>
    <row r="27" spans="1:46" s="440" customFormat="1" ht="20.100000000000001" customHeight="1" x14ac:dyDescent="0.3">
      <c r="A27" s="622" t="s">
        <v>198</v>
      </c>
      <c r="B27" s="192">
        <f>SUM(B14+B15+B16+B20+B26)</f>
        <v>847.56499999999994</v>
      </c>
      <c r="C27" s="427">
        <f>SUM(C14+C15+C16+C20+C26)</f>
        <v>840.7670892399999</v>
      </c>
      <c r="D27" s="427">
        <f>IF(B27=0, "    ---- ", IF(ABS(ROUND(100/B27*C27-100,1))&lt;999,ROUND(100/B27*C27-100,1),IF(ROUND(100/B27*C27-100,1)&gt;999,999,-999)))</f>
        <v>-0.8</v>
      </c>
      <c r="E27" s="192">
        <f>SUM(E14+E15+E16+E20+E26)</f>
        <v>34450.181679060006</v>
      </c>
      <c r="F27" s="427">
        <f>SUM(F14+F15+F16+F20+F26)</f>
        <v>32276.345945040004</v>
      </c>
      <c r="G27" s="427">
        <f t="shared" si="29"/>
        <v>-6.3</v>
      </c>
      <c r="H27" s="192">
        <v>2646.7475711400007</v>
      </c>
      <c r="I27" s="427">
        <f>SUM(I14+I15+I16+I20+I26)</f>
        <v>2511.3972713599992</v>
      </c>
      <c r="J27" s="427">
        <f>IF(H27=0, "    ---- ", IF(ABS(ROUND(100/H27*I27-100,1))&lt;999,ROUND(100/H27*I27-100,1),IF(ROUND(100/H27*I27-100,1)&gt;999,999,-999)))</f>
        <v>-5.0999999999999996</v>
      </c>
      <c r="K27" s="659">
        <f>SUM(K14+K15+K16+K20+K26)</f>
        <v>482.35967600000004</v>
      </c>
      <c r="L27" s="660">
        <f>SUM(L14+L15+L16+L20+L26)</f>
        <v>455.34230000000002</v>
      </c>
      <c r="M27" s="660">
        <f t="shared" si="38"/>
        <v>-5.6</v>
      </c>
      <c r="N27" s="102">
        <f>SUM(N14+N15+N16+N20+N26)</f>
        <v>1294.3000000000002</v>
      </c>
      <c r="O27" s="518">
        <f>SUM(O14+O15+O16+O20+O26)</f>
        <v>1396</v>
      </c>
      <c r="P27" s="518">
        <f t="shared" si="39"/>
        <v>7.9</v>
      </c>
      <c r="Q27" s="621"/>
      <c r="R27" s="549"/>
      <c r="S27" s="427"/>
      <c r="T27" s="102">
        <v>44610.229120639997</v>
      </c>
      <c r="U27" s="518">
        <v>43208.214529479999</v>
      </c>
      <c r="V27" s="427">
        <f t="shared" si="26"/>
        <v>-3.1</v>
      </c>
      <c r="W27" s="102">
        <f>SUM(W14+W15+W16+W20+W26)</f>
        <v>11050.650000000001</v>
      </c>
      <c r="X27" s="518">
        <f>SUM(X14+X15+X16+X20+X26)</f>
        <v>11091.36</v>
      </c>
      <c r="Y27" s="427">
        <f t="shared" si="40"/>
        <v>0.4</v>
      </c>
      <c r="Z27" s="102">
        <f>SUM(Z14+Z15+Z16+Z20+Z26)</f>
        <v>10611</v>
      </c>
      <c r="AA27" s="518">
        <f>SUM(AA14+AA15+AA16+AA20+AA26)</f>
        <v>10880</v>
      </c>
      <c r="AB27" s="427">
        <f t="shared" si="31"/>
        <v>2.5</v>
      </c>
      <c r="AC27" s="102"/>
      <c r="AD27" s="518"/>
      <c r="AE27" s="427"/>
      <c r="AF27" s="102">
        <f>SUM(AF14+AF15+AF16+AF20+AF26)</f>
        <v>6784.3639999999996</v>
      </c>
      <c r="AG27" s="518">
        <f>SUM(AG14+AG15+AG16+AG20+AG26)</f>
        <v>6361.634</v>
      </c>
      <c r="AH27" s="427">
        <f t="shared" si="32"/>
        <v>-6.2</v>
      </c>
      <c r="AI27" s="102">
        <f>SUM(AI14+AI15+AI16+AI20+AI26)</f>
        <v>37141</v>
      </c>
      <c r="AJ27" s="518">
        <f>SUM(AJ14+AJ15+AJ16+AJ20+AJ26)</f>
        <v>36170</v>
      </c>
      <c r="AK27" s="427">
        <f t="shared" si="33"/>
        <v>-2.6</v>
      </c>
      <c r="AL27" s="102"/>
      <c r="AM27" s="518">
        <f>SUM(AM14+AM15+AM16+AM20+AM26)</f>
        <v>9</v>
      </c>
      <c r="AN27" s="427" t="str">
        <f t="shared" ref="AN27" si="42">IF(AL27=0, "    ---- ", IF(ABS(ROUND(100/AL27*AM27-100,1))&lt;999,ROUND(100/AL27*AM27-100,1),IF(ROUND(100/AL27*AM27-100,1)&gt;999,999,-999)))</f>
        <v xml:space="preserve">    ---- </v>
      </c>
      <c r="AO27" s="518">
        <f t="shared" si="34"/>
        <v>149918.39704684002</v>
      </c>
      <c r="AP27" s="518">
        <f t="shared" si="34"/>
        <v>145191.06113511999</v>
      </c>
      <c r="AQ27" s="427">
        <f t="shared" si="27"/>
        <v>-3.2</v>
      </c>
      <c r="AR27" s="518">
        <f t="shared" si="35"/>
        <v>149918.39704684002</v>
      </c>
      <c r="AS27" s="518">
        <f t="shared" si="35"/>
        <v>145200.06113511999</v>
      </c>
      <c r="AT27" s="427">
        <f t="shared" si="28"/>
        <v>-3.1</v>
      </c>
    </row>
    <row r="28" spans="1:46" s="440" customFormat="1" ht="20.100000000000001" customHeight="1" x14ac:dyDescent="0.3">
      <c r="A28" s="574" t="s">
        <v>199</v>
      </c>
      <c r="B28" s="192">
        <f>91.812+136.734+4.005</f>
        <v>232.55099999999999</v>
      </c>
      <c r="C28" s="427">
        <v>257.46499999999997</v>
      </c>
      <c r="D28" s="427">
        <f>IF(B28=0, "    ---- ", IF(ABS(ROUND(100/B28*C28-100,1))&lt;999,ROUND(100/B28*C28-100,1),IF(ROUND(100/B28*C28-100,1)&gt;999,999,-999)))</f>
        <v>10.7</v>
      </c>
      <c r="E28" s="192">
        <v>1402.26</v>
      </c>
      <c r="F28" s="427">
        <v>870.94100000000003</v>
      </c>
      <c r="G28" s="427">
        <f t="shared" si="29"/>
        <v>-37.9</v>
      </c>
      <c r="H28" s="192">
        <v>1227.9555674800001</v>
      </c>
      <c r="I28" s="427">
        <v>1032.8464938599998</v>
      </c>
      <c r="J28" s="427">
        <f>IF(H28=0, "    ---- ", IF(ABS(ROUND(100/H28*I28-100,1))&lt;999,ROUND(100/H28*I28-100,1),IF(ROUND(100/H28*I28-100,1)&gt;999,999,-999)))</f>
        <v>-15.9</v>
      </c>
      <c r="K28" s="659">
        <v>231.53990099999999</v>
      </c>
      <c r="L28" s="660">
        <v>244.624</v>
      </c>
      <c r="M28" s="660">
        <f t="shared" si="38"/>
        <v>5.7</v>
      </c>
      <c r="N28" s="102">
        <v>318.89999999999998</v>
      </c>
      <c r="O28" s="518">
        <v>249</v>
      </c>
      <c r="P28" s="518">
        <f t="shared" si="39"/>
        <v>-21.9</v>
      </c>
      <c r="Q28" s="621">
        <v>161.35311759999999</v>
      </c>
      <c r="R28" s="549">
        <v>158.73574070000001</v>
      </c>
      <c r="S28" s="427">
        <f t="shared" ref="S28" si="43">IF(Q28=0, "    ---- ", IF(ABS(ROUND(100/Q28*R28-100,1))&lt;999,ROUND(100/Q28*R28-100,1),IF(ROUND(100/Q28*R28-100,1)&gt;999,999,-999)))</f>
        <v>-1.6</v>
      </c>
      <c r="T28" s="102">
        <v>3596.3576718600002</v>
      </c>
      <c r="U28" s="518">
        <v>3865.5332293100005</v>
      </c>
      <c r="V28" s="427">
        <f t="shared" si="26"/>
        <v>7.5</v>
      </c>
      <c r="W28" s="102">
        <v>1266.76</v>
      </c>
      <c r="X28" s="518">
        <v>1440.67</v>
      </c>
      <c r="Y28" s="427">
        <f t="shared" si="40"/>
        <v>13.7</v>
      </c>
      <c r="Z28" s="102">
        <f>59+35+1331+23</f>
        <v>1448</v>
      </c>
      <c r="AA28" s="518">
        <f>74+1390+44+66</f>
        <v>1574</v>
      </c>
      <c r="AB28" s="427">
        <f t="shared" si="31"/>
        <v>8.6999999999999993</v>
      </c>
      <c r="AC28" s="102">
        <v>95.449366670000003</v>
      </c>
      <c r="AD28" s="518">
        <v>105.53197652999999</v>
      </c>
      <c r="AE28" s="427">
        <f>IF(AC28=0, "    ---- ", IF(ABS(ROUND(100/AC28*AD28-100,1))&lt;999,ROUND(100/AC28*AD28-100,1),IF(ROUND(100/AC28*AD28-100,1)&gt;999,999,-999)))</f>
        <v>10.6</v>
      </c>
      <c r="AF28" s="102">
        <v>1086.4490000000001</v>
      </c>
      <c r="AG28" s="518">
        <v>951.04399999999998</v>
      </c>
      <c r="AH28" s="427">
        <f t="shared" si="32"/>
        <v>-12.5</v>
      </c>
      <c r="AI28" s="102">
        <f>482+5018+2826+44</f>
        <v>8370</v>
      </c>
      <c r="AJ28" s="518">
        <f>459+7731+3223+44</f>
        <v>11457</v>
      </c>
      <c r="AK28" s="427">
        <f t="shared" si="33"/>
        <v>36.9</v>
      </c>
      <c r="AL28" s="102"/>
      <c r="AM28" s="518"/>
      <c r="AN28" s="427"/>
      <c r="AO28" s="518">
        <f t="shared" si="34"/>
        <v>19180.773140340003</v>
      </c>
      <c r="AP28" s="518">
        <f t="shared" si="34"/>
        <v>21943.12372317</v>
      </c>
      <c r="AQ28" s="427">
        <f t="shared" si="27"/>
        <v>14.4</v>
      </c>
      <c r="AR28" s="518">
        <f t="shared" si="35"/>
        <v>19437.575624609999</v>
      </c>
      <c r="AS28" s="518">
        <f t="shared" si="35"/>
        <v>22207.391440399999</v>
      </c>
      <c r="AT28" s="427">
        <f t="shared" si="28"/>
        <v>14.2</v>
      </c>
    </row>
    <row r="29" spans="1:46" s="440" customFormat="1" ht="20.100000000000001" customHeight="1" x14ac:dyDescent="0.3">
      <c r="A29" s="574" t="s">
        <v>200</v>
      </c>
      <c r="B29" s="192">
        <f>SUM(B27+B28)</f>
        <v>1080.116</v>
      </c>
      <c r="C29" s="427">
        <f>SUM(C27+C28)</f>
        <v>1098.2320892399998</v>
      </c>
      <c r="D29" s="427">
        <f>IF(B29=0, "    ---- ", IF(ABS(ROUND(100/B29*C29-100,1))&lt;999,ROUND(100/B29*C29-100,1),IF(ROUND(100/B29*C29-100,1)&gt;999,999,-999)))</f>
        <v>1.7</v>
      </c>
      <c r="E29" s="192">
        <f>SUM(E27+E28)</f>
        <v>35852.441679060008</v>
      </c>
      <c r="F29" s="427">
        <f>SUM(F27+F28)</f>
        <v>33147.286945040003</v>
      </c>
      <c r="G29" s="427">
        <f>IF(E29=0, "    ---- ", IF(ABS(ROUND(100/E29*F29-100,1))&lt;999,ROUND(100/E29*F29-100,1),IF(ROUND(100/E29*F29-100,1)&gt;999,999,-999)))</f>
        <v>-7.5</v>
      </c>
      <c r="H29" s="192">
        <v>3874.7031386200006</v>
      </c>
      <c r="I29" s="427">
        <f>SUM(I27+I28)</f>
        <v>3544.2437652199987</v>
      </c>
      <c r="J29" s="427">
        <f>IF(H29=0, "    ---- ", IF(ABS(ROUND(100/H29*I29-100,1))&lt;999,ROUND(100/H29*I29-100,1),IF(ROUND(100/H29*I29-100,1)&gt;999,999,-999)))</f>
        <v>-8.5</v>
      </c>
      <c r="K29" s="659">
        <f>SUM(K27+K28)</f>
        <v>713.89957700000002</v>
      </c>
      <c r="L29" s="660">
        <f>SUM(L27+L28)</f>
        <v>699.96630000000005</v>
      </c>
      <c r="M29" s="660">
        <f>IF(K29=0, "    ---- ", IF(ABS(ROUND(100/K29*L29-100,1))&lt;999,ROUND(100/K29*L29-100,1),IF(ROUND(100/K29*L29-100,1)&gt;999,999,-999)))</f>
        <v>-2</v>
      </c>
      <c r="N29" s="192">
        <f>SUM(N27+N28)</f>
        <v>1613.2000000000003</v>
      </c>
      <c r="O29" s="427">
        <f>SUM(O27+O28)</f>
        <v>1645</v>
      </c>
      <c r="P29" s="427">
        <f>IF(N29=0, "    ---- ", IF(ABS(ROUND(100/N29*O29-100,1))&lt;999,ROUND(100/N29*O29-100,1),IF(ROUND(100/N29*O29-100,1)&gt;999,999,-999)))</f>
        <v>2</v>
      </c>
      <c r="Q29" s="192">
        <f>SUM(Q27+Q28)</f>
        <v>161.35311759999999</v>
      </c>
      <c r="R29" s="427">
        <f>SUM(R27+R28)</f>
        <v>158.73574070000001</v>
      </c>
      <c r="S29" s="427">
        <f>IF(Q29=0, "    ---- ", IF(ABS(ROUND(100/Q29*R29-100,1))&lt;999,ROUND(100/Q29*R29-100,1),IF(ROUND(100/Q29*R29-100,1)&gt;999,999,-999)))</f>
        <v>-1.6</v>
      </c>
      <c r="T29" s="192">
        <v>48206.586792499998</v>
      </c>
      <c r="U29" s="427">
        <v>47073.747758789999</v>
      </c>
      <c r="V29" s="427">
        <f>IF(T29=0, "    ---- ", IF(ABS(ROUND(100/T29*U29-100,1))&lt;999,ROUND(100/T29*U29-100,1),IF(ROUND(100/T29*U29-100,1)&gt;999,999,-999)))</f>
        <v>-2.2999999999999998</v>
      </c>
      <c r="W29" s="192">
        <f>SUM(W27+W28)</f>
        <v>12317.410000000002</v>
      </c>
      <c r="X29" s="427">
        <f>SUM(X27+X28)</f>
        <v>12532.03</v>
      </c>
      <c r="Y29" s="427">
        <f>IF(W29=0, "    ---- ", IF(ABS(ROUND(100/W29*X29-100,1))&lt;999,ROUND(100/W29*X29-100,1),IF(ROUND(100/W29*X29-100,1)&gt;999,999,-999)))</f>
        <v>1.7</v>
      </c>
      <c r="Z29" s="192">
        <f>SUM(Z27+Z28)</f>
        <v>12059</v>
      </c>
      <c r="AA29" s="427">
        <f>SUM(AA27+AA28)</f>
        <v>12454</v>
      </c>
      <c r="AB29" s="427">
        <f>IF(Z29=0, "    ---- ", IF(ABS(ROUND(100/Z29*AA29-100,1))&lt;999,ROUND(100/Z29*AA29-100,1),IF(ROUND(100/Z29*AA29-100,1)&gt;999,999,-999)))</f>
        <v>3.3</v>
      </c>
      <c r="AC29" s="192">
        <f>SUM(AC27+AC28)</f>
        <v>95.449366670000003</v>
      </c>
      <c r="AD29" s="427">
        <f>SUM(AD27+AD28)</f>
        <v>105.53197652999999</v>
      </c>
      <c r="AE29" s="427">
        <f>IF(AC29=0, "    ---- ", IF(ABS(ROUND(100/AC29*AD29-100,1))&lt;999,ROUND(100/AC29*AD29-100,1),IF(ROUND(100/AC29*AD29-100,1)&gt;999,999,-999)))</f>
        <v>10.6</v>
      </c>
      <c r="AF29" s="192">
        <f>SUM(AF27+AF28)</f>
        <v>7870.8130000000001</v>
      </c>
      <c r="AG29" s="427">
        <f>SUM(AG27+AG28)</f>
        <v>7312.6779999999999</v>
      </c>
      <c r="AH29" s="427">
        <f>IF(AF29=0, "    ---- ", IF(ABS(ROUND(100/AF29*AG29-100,1))&lt;999,ROUND(100/AF29*AG29-100,1),IF(ROUND(100/AF29*AG29-100,1)&gt;999,999,-999)))</f>
        <v>-7.1</v>
      </c>
      <c r="AI29" s="192">
        <f>SUM(AI27+AI28)</f>
        <v>45511</v>
      </c>
      <c r="AJ29" s="427">
        <f>SUM(AJ27+AJ28)</f>
        <v>47627</v>
      </c>
      <c r="AK29" s="427">
        <f>IF(AI29=0, "    ---- ", IF(ABS(ROUND(100/AI29*AJ29-100,1))&lt;999,ROUND(100/AI29*AJ29-100,1),IF(ROUND(100/AI29*AJ29-100,1)&gt;999,999,-999)))</f>
        <v>4.5999999999999996</v>
      </c>
      <c r="AL29" s="192"/>
      <c r="AM29" s="427">
        <f>SUM(AM27+AM28)</f>
        <v>9</v>
      </c>
      <c r="AN29" s="427" t="str">
        <f>IF(AL29=0, "    ---- ", IF(ABS(ROUND(100/AL29*AM29-100,1))&lt;999,ROUND(100/AL29*AM29-100,1),IF(ROUND(100/AL29*AM29-100,1)&gt;999,999,-999)))</f>
        <v xml:space="preserve">    ---- </v>
      </c>
      <c r="AO29" s="518">
        <f t="shared" si="34"/>
        <v>169099.17018717999</v>
      </c>
      <c r="AP29" s="518">
        <f t="shared" si="34"/>
        <v>167134.18485829001</v>
      </c>
      <c r="AQ29" s="427">
        <f>IF(AO29=0, "    ---- ", IF(ABS(ROUND(100/AO29*AP29-100,1))&lt;999,ROUND(100/AO29*AP29-100,1),IF(ROUND(100/AO29*AP29-100,1)&gt;999,999,-999)))</f>
        <v>-1.2</v>
      </c>
      <c r="AR29" s="518">
        <f t="shared" si="35"/>
        <v>169355.97267145</v>
      </c>
      <c r="AS29" s="518">
        <f t="shared" si="35"/>
        <v>167407.45257552</v>
      </c>
      <c r="AT29" s="623">
        <f t="shared" si="28"/>
        <v>-1.2</v>
      </c>
    </row>
    <row r="30" spans="1:46" s="440" customFormat="1" ht="20.100000000000001" customHeight="1" x14ac:dyDescent="0.3">
      <c r="A30" s="574"/>
      <c r="B30" s="582"/>
      <c r="C30" s="423"/>
      <c r="D30" s="427"/>
      <c r="E30" s="582"/>
      <c r="F30" s="423"/>
      <c r="G30" s="427"/>
      <c r="H30" s="582"/>
      <c r="I30" s="423"/>
      <c r="J30" s="427"/>
      <c r="K30" s="104"/>
      <c r="L30" s="661"/>
      <c r="M30" s="660"/>
      <c r="N30" s="192"/>
      <c r="O30" s="427"/>
      <c r="P30" s="423"/>
      <c r="Q30" s="582"/>
      <c r="R30" s="423"/>
      <c r="S30" s="329"/>
      <c r="T30" s="582"/>
      <c r="U30" s="423"/>
      <c r="V30" s="329"/>
      <c r="W30" s="582"/>
      <c r="X30" s="423"/>
      <c r="Y30" s="329"/>
      <c r="Z30" s="582"/>
      <c r="AA30" s="423"/>
      <c r="AB30" s="329"/>
      <c r="AC30" s="582"/>
      <c r="AD30" s="423"/>
      <c r="AE30" s="329"/>
      <c r="AF30" s="582"/>
      <c r="AG30" s="423"/>
      <c r="AH30" s="329"/>
      <c r="AI30" s="582"/>
      <c r="AJ30" s="423"/>
      <c r="AK30" s="329"/>
      <c r="AL30" s="582"/>
      <c r="AM30" s="423"/>
      <c r="AN30" s="329"/>
      <c r="AO30" s="423"/>
      <c r="AP30" s="423"/>
      <c r="AQ30" s="329"/>
      <c r="AR30" s="423"/>
      <c r="AS30" s="423"/>
      <c r="AT30" s="428"/>
    </row>
    <row r="31" spans="1:46" s="440" customFormat="1" ht="20.100000000000001" customHeight="1" x14ac:dyDescent="0.3">
      <c r="A31" s="594" t="s">
        <v>201</v>
      </c>
      <c r="B31" s="192"/>
      <c r="C31" s="427"/>
      <c r="D31" s="427"/>
      <c r="E31" s="192"/>
      <c r="F31" s="427"/>
      <c r="G31" s="427"/>
      <c r="H31" s="192"/>
      <c r="I31" s="427"/>
      <c r="J31" s="427"/>
      <c r="K31" s="659"/>
      <c r="L31" s="660"/>
      <c r="M31" s="660"/>
      <c r="N31" s="192"/>
      <c r="O31" s="427"/>
      <c r="P31" s="423"/>
      <c r="Q31" s="192"/>
      <c r="R31" s="427"/>
      <c r="S31" s="329"/>
      <c r="T31" s="192"/>
      <c r="U31" s="427"/>
      <c r="V31" s="329"/>
      <c r="W31" s="192"/>
      <c r="X31" s="427"/>
      <c r="Y31" s="329"/>
      <c r="Z31" s="192"/>
      <c r="AA31" s="427"/>
      <c r="AB31" s="329"/>
      <c r="AC31" s="192"/>
      <c r="AD31" s="427"/>
      <c r="AE31" s="329"/>
      <c r="AF31" s="192"/>
      <c r="AG31" s="427"/>
      <c r="AH31" s="329"/>
      <c r="AI31" s="192"/>
      <c r="AJ31" s="427"/>
      <c r="AK31" s="329"/>
      <c r="AL31" s="192"/>
      <c r="AM31" s="427"/>
      <c r="AN31" s="329"/>
      <c r="AO31" s="423"/>
      <c r="AP31" s="423"/>
      <c r="AQ31" s="329"/>
      <c r="AR31" s="423"/>
      <c r="AS31" s="423"/>
      <c r="AT31" s="428"/>
    </row>
    <row r="32" spans="1:46" s="440" customFormat="1" ht="20.100000000000001" customHeight="1" x14ac:dyDescent="0.3">
      <c r="A32" s="594" t="s">
        <v>202</v>
      </c>
      <c r="B32" s="192"/>
      <c r="C32" s="427"/>
      <c r="D32" s="329"/>
      <c r="E32" s="192"/>
      <c r="F32" s="427"/>
      <c r="G32" s="329"/>
      <c r="H32" s="192"/>
      <c r="I32" s="427"/>
      <c r="J32" s="329"/>
      <c r="K32" s="659"/>
      <c r="L32" s="660"/>
      <c r="M32" s="660"/>
      <c r="N32" s="192"/>
      <c r="O32" s="427"/>
      <c r="P32" s="423"/>
      <c r="Q32" s="192"/>
      <c r="R32" s="427"/>
      <c r="S32" s="329"/>
      <c r="T32" s="192"/>
      <c r="U32" s="427"/>
      <c r="V32" s="329"/>
      <c r="W32" s="192"/>
      <c r="X32" s="427"/>
      <c r="Y32" s="329"/>
      <c r="Z32" s="192"/>
      <c r="AA32" s="427"/>
      <c r="AB32" s="329"/>
      <c r="AC32" s="192"/>
      <c r="AD32" s="427"/>
      <c r="AE32" s="329"/>
      <c r="AF32" s="192"/>
      <c r="AG32" s="427"/>
      <c r="AH32" s="329"/>
      <c r="AI32" s="192"/>
      <c r="AJ32" s="427"/>
      <c r="AK32" s="329"/>
      <c r="AL32" s="192"/>
      <c r="AM32" s="427"/>
      <c r="AN32" s="329"/>
      <c r="AO32" s="423"/>
      <c r="AP32" s="423"/>
      <c r="AQ32" s="329"/>
      <c r="AR32" s="423"/>
      <c r="AS32" s="423"/>
      <c r="AT32" s="428"/>
    </row>
    <row r="33" spans="1:46" s="440" customFormat="1" ht="20.100000000000001" customHeight="1" x14ac:dyDescent="0.3">
      <c r="A33" s="574" t="s">
        <v>203</v>
      </c>
      <c r="B33" s="192"/>
      <c r="C33" s="427"/>
      <c r="D33" s="427"/>
      <c r="E33" s="192">
        <v>19.31040771</v>
      </c>
      <c r="F33" s="427">
        <v>14.22554581</v>
      </c>
      <c r="G33" s="427">
        <f t="shared" ref="G33:G93" si="44">IF(E33=0, "    ---- ", IF(ABS(ROUND(100/E33*F33-100,1))&lt;999,ROUND(100/E33*F33-100,1),IF(ROUND(100/E33*F33-100,1)&gt;999,999,-999)))</f>
        <v>-26.3</v>
      </c>
      <c r="H33" s="192"/>
      <c r="I33" s="427"/>
      <c r="J33" s="427"/>
      <c r="K33" s="659"/>
      <c r="L33" s="660"/>
      <c r="M33" s="660"/>
      <c r="N33" s="192"/>
      <c r="O33" s="427"/>
      <c r="P33" s="423"/>
      <c r="Q33" s="192"/>
      <c r="R33" s="427"/>
      <c r="S33" s="329"/>
      <c r="T33" s="192"/>
      <c r="U33" s="427"/>
      <c r="V33" s="329"/>
      <c r="W33" s="192"/>
      <c r="X33" s="427"/>
      <c r="Y33" s="329"/>
      <c r="Z33" s="192"/>
      <c r="AA33" s="427"/>
      <c r="AB33" s="329"/>
      <c r="AC33" s="192"/>
      <c r="AD33" s="427"/>
      <c r="AE33" s="329"/>
      <c r="AF33" s="192"/>
      <c r="AG33" s="427"/>
      <c r="AH33" s="329"/>
      <c r="AI33" s="192"/>
      <c r="AJ33" s="427"/>
      <c r="AK33" s="329"/>
      <c r="AL33" s="192"/>
      <c r="AM33" s="427"/>
      <c r="AN33" s="329"/>
      <c r="AO33" s="518">
        <f t="shared" ref="AO33:AP46" si="45">B33+E33+H33+K33+N33+T33+W33+Z33+AF33+AI33</f>
        <v>19.31040771</v>
      </c>
      <c r="AP33" s="518">
        <f t="shared" si="45"/>
        <v>14.22554581</v>
      </c>
      <c r="AQ33" s="329">
        <f t="shared" ref="AQ33:AQ93" si="46">IF(AO33=0, "    ---- ", IF(ABS(ROUND(100/AO33*AP33-100,1))&lt;999,ROUND(100/AO33*AP33-100,1),IF(ROUND(100/AO33*AP33-100,1)&gt;999,999,-999)))</f>
        <v>-26.3</v>
      </c>
      <c r="AR33" s="518">
        <f t="shared" ref="AR33:AS46" si="47">B33+E33+H33+K33+N33+Q33+T33+W33+Z33+AC33+AF33+AI33+AL33</f>
        <v>19.31040771</v>
      </c>
      <c r="AS33" s="518">
        <f t="shared" si="47"/>
        <v>14.22554581</v>
      </c>
      <c r="AT33" s="428">
        <f t="shared" ref="AT33:AT93" si="48">IF(AR33=0, "    ---- ", IF(ABS(ROUND(100/AR33*AS33-100,1))&lt;999,ROUND(100/AR33*AS33-100,1),IF(ROUND(100/AR33*AS33-100,1)&gt;999,999,-999)))</f>
        <v>-26.3</v>
      </c>
    </row>
    <row r="34" spans="1:46" s="440" customFormat="1" ht="20.100000000000001" customHeight="1" x14ac:dyDescent="0.3">
      <c r="A34" s="574" t="s">
        <v>204</v>
      </c>
      <c r="B34" s="192"/>
      <c r="C34" s="427"/>
      <c r="D34" s="427"/>
      <c r="E34" s="192">
        <v>28099.357</v>
      </c>
      <c r="F34" s="427">
        <v>30340.385999999999</v>
      </c>
      <c r="G34" s="427">
        <f t="shared" si="44"/>
        <v>8</v>
      </c>
      <c r="H34" s="192">
        <v>0</v>
      </c>
      <c r="I34" s="427">
        <v>451.91452741999996</v>
      </c>
      <c r="J34" s="427" t="str">
        <f t="shared" ref="J34:J38" si="49">IF(H34=0, "    ---- ", IF(ABS(ROUND(100/H34*I34-100,1))&lt;999,ROUND(100/H34*I34-100,1),IF(ROUND(100/H34*I34-100,1)&gt;999,999,-999)))</f>
        <v xml:space="preserve">    ---- </v>
      </c>
      <c r="K34" s="659"/>
      <c r="L34" s="660"/>
      <c r="M34" s="660"/>
      <c r="N34" s="192">
        <v>1171.2</v>
      </c>
      <c r="O34" s="427">
        <v>803</v>
      </c>
      <c r="P34" s="423"/>
      <c r="Q34" s="192"/>
      <c r="R34" s="427"/>
      <c r="S34" s="329"/>
      <c r="T34" s="192">
        <v>82573.901610240006</v>
      </c>
      <c r="U34" s="427">
        <v>95802.363433770006</v>
      </c>
      <c r="V34" s="329">
        <f>IF(T34=0, "    ---- ", IF(ABS(ROUND(100/T34*U34-100,1))&lt;999,ROUND(100/T34*U34-100,1),IF(ROUND(100/T34*U34-100,1)&gt;999,999,-999)))</f>
        <v>16</v>
      </c>
      <c r="W34" s="192">
        <v>8046.8019964900004</v>
      </c>
      <c r="X34" s="427">
        <v>7662.0150350799995</v>
      </c>
      <c r="Y34" s="329">
        <f t="shared" ref="Y34:Y93" si="50">IF(W34=0, "    ---- ", IF(ABS(ROUND(100/W34*X34-100,1))&lt;999,ROUND(100/W34*X34-100,1),IF(ROUND(100/W34*X34-100,1)&gt;999,999,-999)))</f>
        <v>-4.8</v>
      </c>
      <c r="Z34" s="192">
        <f>14525+7829</f>
        <v>22354</v>
      </c>
      <c r="AA34" s="427">
        <v>20734</v>
      </c>
      <c r="AB34" s="329">
        <f t="shared" ref="AB34:AB41" si="51">IF(Z34=0, "    ---- ", IF(ABS(ROUND(100/Z34*AA34-100,1))&lt;999,ROUND(100/Z34*AA34-100,1),IF(ROUND(100/Z34*AA34-100,1)&gt;999,999,-999)))</f>
        <v>-7.2</v>
      </c>
      <c r="AC34" s="192"/>
      <c r="AD34" s="427"/>
      <c r="AE34" s="329"/>
      <c r="AF34" s="192">
        <v>5180.3909999999996</v>
      </c>
      <c r="AG34" s="427">
        <v>5722.5680000000002</v>
      </c>
      <c r="AH34" s="329">
        <f t="shared" ref="AH34:AH93" si="52">IF(AF34=0, "    ---- ", IF(ABS(ROUND(100/AF34*AG34-100,1))&lt;999,ROUND(100/AF34*AG34-100,1),IF(ROUND(100/AF34*AG34-100,1)&gt;999,999,-999)))</f>
        <v>10.5</v>
      </c>
      <c r="AI34" s="192">
        <v>22105</v>
      </c>
      <c r="AJ34" s="427">
        <v>24414</v>
      </c>
      <c r="AK34" s="329">
        <f t="shared" ref="AK34:AK93" si="53">IF(AI34=0, "    ---- ", IF(ABS(ROUND(100/AI34*AJ34-100,1))&lt;999,ROUND(100/AI34*AJ34-100,1),IF(ROUND(100/AI34*AJ34-100,1)&gt;999,999,-999)))</f>
        <v>10.4</v>
      </c>
      <c r="AL34" s="192"/>
      <c r="AM34" s="427"/>
      <c r="AN34" s="329"/>
      <c r="AO34" s="518">
        <f t="shared" si="45"/>
        <v>169530.65160673001</v>
      </c>
      <c r="AP34" s="518">
        <f t="shared" si="45"/>
        <v>185930.24699627</v>
      </c>
      <c r="AQ34" s="329">
        <f t="shared" si="46"/>
        <v>9.6999999999999993</v>
      </c>
      <c r="AR34" s="518">
        <f t="shared" si="47"/>
        <v>169530.65160673001</v>
      </c>
      <c r="AS34" s="518">
        <f t="shared" si="47"/>
        <v>185930.24699627</v>
      </c>
      <c r="AT34" s="428">
        <f t="shared" si="48"/>
        <v>9.6999999999999993</v>
      </c>
    </row>
    <row r="35" spans="1:46" s="440" customFormat="1" ht="20.100000000000001" customHeight="1" x14ac:dyDescent="0.3">
      <c r="A35" s="574" t="s">
        <v>205</v>
      </c>
      <c r="B35" s="192"/>
      <c r="C35" s="427"/>
      <c r="D35" s="427"/>
      <c r="E35" s="192">
        <f>SUM(E36+E38)</f>
        <v>96789.022268519999</v>
      </c>
      <c r="F35" s="427">
        <f>SUM(F36+F38)</f>
        <v>108742.02226955</v>
      </c>
      <c r="G35" s="427">
        <f t="shared" si="44"/>
        <v>12.3</v>
      </c>
      <c r="H35" s="192">
        <v>472.08234469999996</v>
      </c>
      <c r="I35" s="427">
        <f>SUM(I36+I38)</f>
        <v>1075.0864761699997</v>
      </c>
      <c r="J35" s="427">
        <f t="shared" si="49"/>
        <v>127.7</v>
      </c>
      <c r="K35" s="659">
        <f>SUM(K36+K38)</f>
        <v>239.37287699999999</v>
      </c>
      <c r="L35" s="660">
        <f>SUM(L36+L38)</f>
        <v>394.762</v>
      </c>
      <c r="M35" s="660">
        <f t="shared" ref="M35:M37" si="54">IF(K35=0, "    ---- ", IF(ABS(ROUND(100/K35*L35-100,1))&lt;999,ROUND(100/K35*L35-100,1),IF(ROUND(100/K35*L35-100,1)&gt;999,999,-999)))</f>
        <v>64.900000000000006</v>
      </c>
      <c r="N35" s="192">
        <f>SUM(N36+N38)</f>
        <v>5576</v>
      </c>
      <c r="O35" s="427">
        <f>SUM(O36+O38)</f>
        <v>6849</v>
      </c>
      <c r="P35" s="423">
        <f>IF(N35=0, "    ---- ", IF(ABS(ROUND(100/N35*O35-100,1))&lt;999,ROUND(100/N35*O35-100,1),IF(ROUND(100/N35*O35-100,1)&gt;999,999,-999)))</f>
        <v>22.8</v>
      </c>
      <c r="Q35" s="192"/>
      <c r="R35" s="427"/>
      <c r="S35" s="329"/>
      <c r="T35" s="192">
        <v>257935.07237168003</v>
      </c>
      <c r="U35" s="427">
        <v>269245.69367014</v>
      </c>
      <c r="V35" s="329">
        <f>IF(T35=0, "    ---- ", IF(ABS(ROUND(100/T35*U35-100,1))&lt;999,ROUND(100/T35*U35-100,1),IF(ROUND(100/T35*U35-100,1)&gt;999,999,-999)))</f>
        <v>4.4000000000000004</v>
      </c>
      <c r="W35" s="192">
        <f>SUM(W36+W38)</f>
        <v>33731.308128819997</v>
      </c>
      <c r="X35" s="427">
        <f>SUM(X36+X38)</f>
        <v>36166.897099850001</v>
      </c>
      <c r="Y35" s="329">
        <f t="shared" si="50"/>
        <v>7.2</v>
      </c>
      <c r="Z35" s="192">
        <f>SUM(Z36+Z38)</f>
        <v>25987</v>
      </c>
      <c r="AA35" s="427">
        <f>SUM(AA36+AA38)</f>
        <v>27843</v>
      </c>
      <c r="AB35" s="329">
        <f t="shared" si="51"/>
        <v>7.1</v>
      </c>
      <c r="AC35" s="192"/>
      <c r="AD35" s="427"/>
      <c r="AE35" s="329"/>
      <c r="AF35" s="192">
        <f>SUM(AF36+AF38)</f>
        <v>7701.7420000000002</v>
      </c>
      <c r="AG35" s="427">
        <f>SUM(AG36+AG38)</f>
        <v>8710.3019999999997</v>
      </c>
      <c r="AH35" s="329">
        <f t="shared" si="52"/>
        <v>13.1</v>
      </c>
      <c r="AI35" s="192">
        <f>SUM(AI36+AI38)</f>
        <v>142584</v>
      </c>
      <c r="AJ35" s="427">
        <f>SUM(AJ36+AJ38)</f>
        <v>137126</v>
      </c>
      <c r="AK35" s="329">
        <f t="shared" si="53"/>
        <v>-3.8</v>
      </c>
      <c r="AL35" s="192"/>
      <c r="AM35" s="427"/>
      <c r="AN35" s="329"/>
      <c r="AO35" s="518">
        <f t="shared" si="45"/>
        <v>571015.59999072005</v>
      </c>
      <c r="AP35" s="518">
        <f t="shared" si="45"/>
        <v>596152.76351571002</v>
      </c>
      <c r="AQ35" s="329">
        <f t="shared" si="46"/>
        <v>4.4000000000000004</v>
      </c>
      <c r="AR35" s="518">
        <f t="shared" si="47"/>
        <v>571015.59999072005</v>
      </c>
      <c r="AS35" s="518">
        <f t="shared" si="47"/>
        <v>596152.76351571002</v>
      </c>
      <c r="AT35" s="428">
        <f t="shared" si="48"/>
        <v>4.4000000000000004</v>
      </c>
    </row>
    <row r="36" spans="1:46" s="440" customFormat="1" ht="20.100000000000001" customHeight="1" x14ac:dyDescent="0.3">
      <c r="A36" s="574" t="s">
        <v>206</v>
      </c>
      <c r="B36" s="192"/>
      <c r="C36" s="427"/>
      <c r="D36" s="329"/>
      <c r="E36" s="192">
        <v>69889.913092050003</v>
      </c>
      <c r="F36" s="427">
        <v>83642.468267360004</v>
      </c>
      <c r="G36" s="329">
        <f t="shared" si="44"/>
        <v>19.7</v>
      </c>
      <c r="H36" s="192"/>
      <c r="I36" s="427"/>
      <c r="J36" s="427"/>
      <c r="K36" s="659">
        <v>239.37287699999999</v>
      </c>
      <c r="L36" s="660">
        <v>394.762</v>
      </c>
      <c r="M36" s="660">
        <f t="shared" si="54"/>
        <v>64.900000000000006</v>
      </c>
      <c r="N36" s="192"/>
      <c r="O36" s="427"/>
      <c r="P36" s="423"/>
      <c r="Q36" s="192"/>
      <c r="R36" s="427"/>
      <c r="S36" s="329"/>
      <c r="T36" s="192">
        <v>21752.057581200002</v>
      </c>
      <c r="U36" s="427">
        <v>19566.7164051</v>
      </c>
      <c r="V36" s="329">
        <f>IF(T36=0, "    ---- ", IF(ABS(ROUND(100/T36*U36-100,1))&lt;999,ROUND(100/T36*U36-100,1),IF(ROUND(100/T36*U36-100,1)&gt;999,999,-999)))</f>
        <v>-10</v>
      </c>
      <c r="W36" s="192">
        <v>0</v>
      </c>
      <c r="X36" s="427">
        <v>3.4000000000000003E-7</v>
      </c>
      <c r="Y36" s="329" t="str">
        <f t="shared" si="50"/>
        <v xml:space="preserve">    ---- </v>
      </c>
      <c r="Z36" s="192"/>
      <c r="AA36" s="427"/>
      <c r="AB36" s="329"/>
      <c r="AC36" s="192"/>
      <c r="AD36" s="427"/>
      <c r="AE36" s="329"/>
      <c r="AF36" s="192">
        <v>309.35399999999998</v>
      </c>
      <c r="AG36" s="427">
        <v>219.40199999999999</v>
      </c>
      <c r="AH36" s="329">
        <f t="shared" si="52"/>
        <v>-29.1</v>
      </c>
      <c r="AI36" s="192">
        <v>10071</v>
      </c>
      <c r="AJ36" s="427">
        <v>7548</v>
      </c>
      <c r="AK36" s="329">
        <f t="shared" si="53"/>
        <v>-25.1</v>
      </c>
      <c r="AL36" s="192"/>
      <c r="AM36" s="427"/>
      <c r="AN36" s="329"/>
      <c r="AO36" s="518">
        <f t="shared" si="45"/>
        <v>102261.69755025001</v>
      </c>
      <c r="AP36" s="518">
        <f t="shared" si="45"/>
        <v>111371.34867280001</v>
      </c>
      <c r="AQ36" s="329">
        <f t="shared" si="46"/>
        <v>8.9</v>
      </c>
      <c r="AR36" s="518">
        <f t="shared" si="47"/>
        <v>102261.69755025001</v>
      </c>
      <c r="AS36" s="518">
        <f t="shared" si="47"/>
        <v>111371.34867280001</v>
      </c>
      <c r="AT36" s="428">
        <f t="shared" si="48"/>
        <v>8.9</v>
      </c>
    </row>
    <row r="37" spans="1:46" s="440" customFormat="1" ht="20.100000000000001" customHeight="1" x14ac:dyDescent="0.3">
      <c r="A37" s="574" t="s">
        <v>189</v>
      </c>
      <c r="B37" s="192"/>
      <c r="C37" s="427"/>
      <c r="D37" s="427"/>
      <c r="E37" s="192">
        <v>69889.913092050003</v>
      </c>
      <c r="F37" s="427">
        <v>83642.468267360004</v>
      </c>
      <c r="G37" s="427">
        <f t="shared" si="44"/>
        <v>19.7</v>
      </c>
      <c r="H37" s="192"/>
      <c r="I37" s="427"/>
      <c r="J37" s="427"/>
      <c r="K37" s="659">
        <v>239.37287699999999</v>
      </c>
      <c r="L37" s="660">
        <v>394.762</v>
      </c>
      <c r="M37" s="660">
        <f t="shared" si="54"/>
        <v>64.900000000000006</v>
      </c>
      <c r="N37" s="192"/>
      <c r="O37" s="427"/>
      <c r="P37" s="423"/>
      <c r="Q37" s="192"/>
      <c r="R37" s="427"/>
      <c r="S37" s="329"/>
      <c r="T37" s="192">
        <v>21752.057581200002</v>
      </c>
      <c r="U37" s="427">
        <v>19566.7164051</v>
      </c>
      <c r="V37" s="329">
        <f>IF(T37=0, "    ---- ", IF(ABS(ROUND(100/T37*U37-100,1))&lt;999,ROUND(100/T37*U37-100,1),IF(ROUND(100/T37*U37-100,1)&gt;999,999,-999)))</f>
        <v>-10</v>
      </c>
      <c r="W37" s="192">
        <v>0</v>
      </c>
      <c r="X37" s="427">
        <v>3.4000000000000003E-7</v>
      </c>
      <c r="Y37" s="329" t="str">
        <f t="shared" si="50"/>
        <v xml:space="preserve">    ---- </v>
      </c>
      <c r="Z37" s="192"/>
      <c r="AA37" s="427"/>
      <c r="AB37" s="329"/>
      <c r="AC37" s="192"/>
      <c r="AD37" s="427"/>
      <c r="AE37" s="329"/>
      <c r="AF37" s="192">
        <v>-8.4750354290008545E-13</v>
      </c>
      <c r="AG37" s="427">
        <v>-8.4750354290008545E-13</v>
      </c>
      <c r="AH37" s="329">
        <f t="shared" si="52"/>
        <v>0</v>
      </c>
      <c r="AI37" s="192">
        <v>10071</v>
      </c>
      <c r="AJ37" s="427">
        <v>7548</v>
      </c>
      <c r="AK37" s="329">
        <f t="shared" si="53"/>
        <v>-25.1</v>
      </c>
      <c r="AL37" s="192"/>
      <c r="AM37" s="427"/>
      <c r="AN37" s="329"/>
      <c r="AO37" s="518">
        <f t="shared" si="45"/>
        <v>101952.34355025001</v>
      </c>
      <c r="AP37" s="518">
        <f t="shared" si="45"/>
        <v>111151.94667280001</v>
      </c>
      <c r="AQ37" s="329">
        <f t="shared" si="46"/>
        <v>9</v>
      </c>
      <c r="AR37" s="518">
        <f t="shared" si="47"/>
        <v>101952.34355025001</v>
      </c>
      <c r="AS37" s="518">
        <f t="shared" si="47"/>
        <v>111151.94667280001</v>
      </c>
      <c r="AT37" s="428">
        <f t="shared" si="48"/>
        <v>9</v>
      </c>
    </row>
    <row r="38" spans="1:46" s="440" customFormat="1" ht="20.100000000000001" customHeight="1" x14ac:dyDescent="0.3">
      <c r="A38" s="574" t="s">
        <v>207</v>
      </c>
      <c r="B38" s="192"/>
      <c r="C38" s="427"/>
      <c r="D38" s="427"/>
      <c r="E38" s="192">
        <v>26899.10917647</v>
      </c>
      <c r="F38" s="427">
        <v>25099.554002189998</v>
      </c>
      <c r="G38" s="427">
        <f t="shared" si="44"/>
        <v>-6.7</v>
      </c>
      <c r="H38" s="192">
        <v>472.08234469999996</v>
      </c>
      <c r="I38" s="427">
        <v>1075.0864761699997</v>
      </c>
      <c r="J38" s="427">
        <f t="shared" si="49"/>
        <v>127.7</v>
      </c>
      <c r="K38" s="659"/>
      <c r="L38" s="660"/>
      <c r="M38" s="660"/>
      <c r="N38" s="192">
        <v>5576</v>
      </c>
      <c r="O38" s="427">
        <v>6849</v>
      </c>
      <c r="P38" s="423">
        <f t="shared" ref="P38:P57" si="55">IF(N38=0, "    ---- ", IF(ABS(ROUND(100/N38*O38-100,1))&lt;999,ROUND(100/N38*O38-100,1),IF(ROUND(100/N38*O38-100,1)&gt;999,999,-999)))</f>
        <v>22.8</v>
      </c>
      <c r="Q38" s="192"/>
      <c r="R38" s="427"/>
      <c r="S38" s="329"/>
      <c r="T38" s="192">
        <v>236183.01479048003</v>
      </c>
      <c r="U38" s="427">
        <v>249678.97726504001</v>
      </c>
      <c r="V38" s="329">
        <f t="shared" ref="V38:V45" si="56">IF(T38=0, "    ---- ", IF(ABS(ROUND(100/T38*U38-100,1))&lt;999,ROUND(100/T38*U38-100,1),IF(ROUND(100/T38*U38-100,1)&gt;999,999,-999)))</f>
        <v>5.7</v>
      </c>
      <c r="W38" s="192">
        <v>33731.308128819997</v>
      </c>
      <c r="X38" s="427">
        <v>36166.897099510003</v>
      </c>
      <c r="Y38" s="329">
        <f t="shared" si="50"/>
        <v>7.2</v>
      </c>
      <c r="Z38" s="192">
        <v>25987</v>
      </c>
      <c r="AA38" s="427">
        <f>360+27483</f>
        <v>27843</v>
      </c>
      <c r="AB38" s="329">
        <f t="shared" si="51"/>
        <v>7.1</v>
      </c>
      <c r="AC38" s="192"/>
      <c r="AD38" s="427"/>
      <c r="AE38" s="329"/>
      <c r="AF38" s="192">
        <v>7392.3879999999999</v>
      </c>
      <c r="AG38" s="427">
        <v>8490.9</v>
      </c>
      <c r="AH38" s="329">
        <f t="shared" si="52"/>
        <v>14.9</v>
      </c>
      <c r="AI38" s="192">
        <f>106658+21601+4254</f>
        <v>132513</v>
      </c>
      <c r="AJ38" s="427">
        <f>110217+17742+1619</f>
        <v>129578</v>
      </c>
      <c r="AK38" s="329">
        <f t="shared" si="53"/>
        <v>-2.2000000000000002</v>
      </c>
      <c r="AL38" s="192"/>
      <c r="AM38" s="427"/>
      <c r="AN38" s="329"/>
      <c r="AO38" s="518">
        <f t="shared" si="45"/>
        <v>468753.90244046994</v>
      </c>
      <c r="AP38" s="518">
        <f t="shared" si="45"/>
        <v>484781.41484291008</v>
      </c>
      <c r="AQ38" s="329">
        <f t="shared" si="46"/>
        <v>3.4</v>
      </c>
      <c r="AR38" s="518">
        <f t="shared" si="47"/>
        <v>468753.90244046994</v>
      </c>
      <c r="AS38" s="518">
        <f t="shared" si="47"/>
        <v>484781.41484291008</v>
      </c>
      <c r="AT38" s="428">
        <f t="shared" si="48"/>
        <v>3.4</v>
      </c>
    </row>
    <row r="39" spans="1:46" s="440" customFormat="1" ht="20.100000000000001" customHeight="1" x14ac:dyDescent="0.3">
      <c r="A39" s="574" t="s">
        <v>208</v>
      </c>
      <c r="B39" s="192">
        <f>SUM(B40:B44)</f>
        <v>1370.2470000000001</v>
      </c>
      <c r="C39" s="427">
        <f>SUM(C40:C44)</f>
        <v>1415.36349602</v>
      </c>
      <c r="D39" s="427">
        <f>IF(B39=0, "    ---- ", IF(ABS(ROUND(100/B39*C39-100,1))&lt;999,ROUND(100/B39*C39-100,1),IF(ROUND(100/B39*C39-100,1)&gt;999,999,-999)))</f>
        <v>3.3</v>
      </c>
      <c r="E39" s="192">
        <f>SUM(E40:E44)</f>
        <v>76348.478033420004</v>
      </c>
      <c r="F39" s="427">
        <f>SUM(F40:F44)</f>
        <v>59732.165240810005</v>
      </c>
      <c r="G39" s="427">
        <f t="shared" si="44"/>
        <v>-21.8</v>
      </c>
      <c r="H39" s="192">
        <v>6758.0713769500007</v>
      </c>
      <c r="I39" s="427">
        <f>SUM(I40:I44)</f>
        <v>6442.0477413399994</v>
      </c>
      <c r="J39" s="427">
        <f>IF(H39=0, "    ---- ", IF(ABS(ROUND(100/H39*I39-100,1))&lt;999,ROUND(100/H39*I39-100,1),IF(ROUND(100/H39*I39-100,1)&gt;999,999,-999)))</f>
        <v>-4.7</v>
      </c>
      <c r="K39" s="659">
        <f>SUM(K40:K44)</f>
        <v>981.34282799999994</v>
      </c>
      <c r="L39" s="660">
        <f>SUM(L40:L44)</f>
        <v>966.45799999999997</v>
      </c>
      <c r="M39" s="660">
        <f t="shared" ref="M39:M46" si="57">IF(K39=0, "    ---- ", IF(ABS(ROUND(100/K39*L39-100,1))&lt;999,ROUND(100/K39*L39-100,1),IF(ROUND(100/K39*L39-100,1)&gt;999,999,-999)))</f>
        <v>-1.5</v>
      </c>
      <c r="N39" s="192">
        <f>SUM(N40:N44)</f>
        <v>873.6</v>
      </c>
      <c r="O39" s="427">
        <f>SUM(O40:O44)</f>
        <v>484</v>
      </c>
      <c r="P39" s="423">
        <f t="shared" si="55"/>
        <v>-44.6</v>
      </c>
      <c r="Q39" s="192"/>
      <c r="R39" s="427"/>
      <c r="S39" s="329"/>
      <c r="T39" s="192">
        <v>303650.87587990996</v>
      </c>
      <c r="U39" s="427">
        <v>306047.07824593002</v>
      </c>
      <c r="V39" s="329">
        <f t="shared" si="56"/>
        <v>0.8</v>
      </c>
      <c r="W39" s="192">
        <f>SUM(W40:W44)</f>
        <v>13996.004139459999</v>
      </c>
      <c r="X39" s="427">
        <f>SUM(X40:X44)</f>
        <v>12328.375330690002</v>
      </c>
      <c r="Y39" s="329">
        <f t="shared" si="50"/>
        <v>-11.9</v>
      </c>
      <c r="Z39" s="192">
        <f>SUM(Z40:Z44)</f>
        <v>62002</v>
      </c>
      <c r="AA39" s="427">
        <f>SUM(AA40:AA44)</f>
        <v>62814</v>
      </c>
      <c r="AB39" s="329">
        <f t="shared" si="51"/>
        <v>1.3</v>
      </c>
      <c r="AC39" s="192"/>
      <c r="AD39" s="427"/>
      <c r="AE39" s="329"/>
      <c r="AF39" s="192">
        <f>SUM(AF40:AF44)</f>
        <v>10408.291999999999</v>
      </c>
      <c r="AG39" s="427">
        <f>SUM(AG40:AG44)</f>
        <v>8515.8940000000002</v>
      </c>
      <c r="AH39" s="329">
        <f t="shared" si="52"/>
        <v>-18.2</v>
      </c>
      <c r="AI39" s="192">
        <f>SUM(AI40:AI44)</f>
        <v>42728</v>
      </c>
      <c r="AJ39" s="427">
        <f>SUM(AJ40:AJ44)</f>
        <v>41359</v>
      </c>
      <c r="AK39" s="329">
        <f t="shared" si="53"/>
        <v>-3.2</v>
      </c>
      <c r="AL39" s="192"/>
      <c r="AM39" s="427"/>
      <c r="AN39" s="329"/>
      <c r="AO39" s="518">
        <f t="shared" si="45"/>
        <v>519116.91125773994</v>
      </c>
      <c r="AP39" s="518">
        <f t="shared" si="45"/>
        <v>500104.38205479004</v>
      </c>
      <c r="AQ39" s="329">
        <f t="shared" si="46"/>
        <v>-3.7</v>
      </c>
      <c r="AR39" s="518">
        <f t="shared" si="47"/>
        <v>519116.91125773994</v>
      </c>
      <c r="AS39" s="518">
        <f t="shared" si="47"/>
        <v>500104.38205479004</v>
      </c>
      <c r="AT39" s="428">
        <f t="shared" si="48"/>
        <v>-3.7</v>
      </c>
    </row>
    <row r="40" spans="1:46" s="440" customFormat="1" ht="20.100000000000001" customHeight="1" x14ac:dyDescent="0.3">
      <c r="A40" s="574" t="s">
        <v>209</v>
      </c>
      <c r="B40" s="192">
        <v>45.851999999999997</v>
      </c>
      <c r="C40" s="427">
        <v>36.764018750000005</v>
      </c>
      <c r="D40" s="329">
        <f>IF(B40=0, "    ---- ", IF(ABS(ROUND(100/B40*C40-100,1))&lt;999,ROUND(100/B40*C40-100,1),IF(ROUND(100/B40*C40-100,1)&gt;999,999,-999)))</f>
        <v>-19.8</v>
      </c>
      <c r="E40" s="192">
        <v>12032.240401809999</v>
      </c>
      <c r="F40" s="427">
        <v>15140.97383793</v>
      </c>
      <c r="G40" s="329">
        <f t="shared" si="44"/>
        <v>25.8</v>
      </c>
      <c r="H40" s="192">
        <v>0</v>
      </c>
      <c r="I40" s="427">
        <v>267.56622636000003</v>
      </c>
      <c r="J40" s="329" t="str">
        <f>IF(H40=0, "    ---- ", IF(ABS(ROUND(100/H40*I40-100,1))&lt;999,ROUND(100/H40*I40-100,1),IF(ROUND(100/H40*I40-100,1)&gt;999,999,-999)))</f>
        <v xml:space="preserve">    ---- </v>
      </c>
      <c r="K40" s="659">
        <v>150.55504999999999</v>
      </c>
      <c r="L40" s="660">
        <v>137.69900000000001</v>
      </c>
      <c r="M40" s="660">
        <f t="shared" si="57"/>
        <v>-8.5</v>
      </c>
      <c r="N40" s="192">
        <v>10.6</v>
      </c>
      <c r="O40" s="427">
        <v>4</v>
      </c>
      <c r="P40" s="423"/>
      <c r="Q40" s="192"/>
      <c r="R40" s="427"/>
      <c r="S40" s="329"/>
      <c r="T40" s="192">
        <v>168181.80179833999</v>
      </c>
      <c r="U40" s="427">
        <v>180899.43689521</v>
      </c>
      <c r="V40" s="329">
        <f t="shared" si="56"/>
        <v>7.6</v>
      </c>
      <c r="W40" s="192">
        <v>6782.1161887799999</v>
      </c>
      <c r="X40" s="427">
        <v>6205.4967120900001</v>
      </c>
      <c r="Y40" s="329">
        <f t="shared" si="50"/>
        <v>-8.5</v>
      </c>
      <c r="Z40" s="192">
        <v>41469</v>
      </c>
      <c r="AA40" s="427">
        <v>39194</v>
      </c>
      <c r="AB40" s="329">
        <f t="shared" si="51"/>
        <v>-5.5</v>
      </c>
      <c r="AC40" s="192"/>
      <c r="AD40" s="427"/>
      <c r="AE40" s="329"/>
      <c r="AF40" s="192">
        <v>3621.0459999999998</v>
      </c>
      <c r="AG40" s="427">
        <v>3363.837</v>
      </c>
      <c r="AH40" s="329">
        <f t="shared" si="52"/>
        <v>-7.1</v>
      </c>
      <c r="AI40" s="192">
        <v>17012</v>
      </c>
      <c r="AJ40" s="427">
        <v>19429.5</v>
      </c>
      <c r="AK40" s="329">
        <f t="shared" si="53"/>
        <v>14.2</v>
      </c>
      <c r="AL40" s="192"/>
      <c r="AM40" s="427"/>
      <c r="AN40" s="329"/>
      <c r="AO40" s="518">
        <f t="shared" si="45"/>
        <v>249305.21143892998</v>
      </c>
      <c r="AP40" s="518">
        <f t="shared" si="45"/>
        <v>264679.27369033999</v>
      </c>
      <c r="AQ40" s="329">
        <f t="shared" si="46"/>
        <v>6.2</v>
      </c>
      <c r="AR40" s="518">
        <f t="shared" si="47"/>
        <v>249305.21143892998</v>
      </c>
      <c r="AS40" s="518">
        <f t="shared" si="47"/>
        <v>264679.27369033999</v>
      </c>
      <c r="AT40" s="428">
        <f t="shared" si="48"/>
        <v>6.2</v>
      </c>
    </row>
    <row r="41" spans="1:46" s="440" customFormat="1" ht="20.100000000000001" customHeight="1" x14ac:dyDescent="0.3">
      <c r="A41" s="574" t="s">
        <v>210</v>
      </c>
      <c r="B41" s="192">
        <v>1302.115</v>
      </c>
      <c r="C41" s="427">
        <v>1303.0162789999999</v>
      </c>
      <c r="D41" s="427">
        <f>IF(B41=0, "    ---- ", IF(ABS(ROUND(100/B41*C41-100,1))&lt;999,ROUND(100/B41*C41-100,1),IF(ROUND(100/B41*C41-100,1)&gt;999,999,-999)))</f>
        <v>0.1</v>
      </c>
      <c r="E41" s="192">
        <v>59913.111839290003</v>
      </c>
      <c r="F41" s="427">
        <v>42503.664253379997</v>
      </c>
      <c r="G41" s="427">
        <f t="shared" si="44"/>
        <v>-29.1</v>
      </c>
      <c r="H41" s="192">
        <v>6730.0926515500014</v>
      </c>
      <c r="I41" s="427">
        <v>6059.2092886099999</v>
      </c>
      <c r="J41" s="427">
        <f>IF(H41=0, "    ---- ", IF(ABS(ROUND(100/H41*I41-100,1))&lt;999,ROUND(100/H41*I41-100,1),IF(ROUND(100/H41*I41-100,1)&gt;999,999,-999)))</f>
        <v>-10</v>
      </c>
      <c r="K41" s="192">
        <v>625.39417000000003</v>
      </c>
      <c r="L41" s="427">
        <v>591.149</v>
      </c>
      <c r="M41" s="427">
        <f>IF(K41=0, "    ---- ", IF(ABS(ROUND(100/K41*L41-100,1))&lt;999,ROUND(100/K41*L41-100,1),IF(ROUND(100/K41*L41-100,1)&gt;999,999,-999)))</f>
        <v>-5.5</v>
      </c>
      <c r="N41" s="192">
        <v>846.7</v>
      </c>
      <c r="O41" s="427">
        <v>462</v>
      </c>
      <c r="P41" s="423">
        <f t="shared" si="55"/>
        <v>-45.4</v>
      </c>
      <c r="Q41" s="192"/>
      <c r="R41" s="427"/>
      <c r="S41" s="329"/>
      <c r="T41" s="192">
        <v>116551.59640071001</v>
      </c>
      <c r="U41" s="427">
        <v>102233.33019019</v>
      </c>
      <c r="V41" s="329">
        <f t="shared" si="56"/>
        <v>-12.3</v>
      </c>
      <c r="W41" s="192">
        <v>7061.9147136000001</v>
      </c>
      <c r="X41" s="427">
        <v>5197.7826088100001</v>
      </c>
      <c r="Y41" s="329">
        <f t="shared" si="50"/>
        <v>-26.4</v>
      </c>
      <c r="Z41" s="192">
        <v>19843</v>
      </c>
      <c r="AA41" s="427">
        <v>26842</v>
      </c>
      <c r="AB41" s="329">
        <f t="shared" si="51"/>
        <v>35.299999999999997</v>
      </c>
      <c r="AC41" s="192"/>
      <c r="AD41" s="427"/>
      <c r="AE41" s="329"/>
      <c r="AF41" s="192">
        <v>6446.2460000000001</v>
      </c>
      <c r="AG41" s="427">
        <v>4809.6279999999997</v>
      </c>
      <c r="AH41" s="329">
        <f t="shared" si="52"/>
        <v>-25.4</v>
      </c>
      <c r="AI41" s="192">
        <v>23798</v>
      </c>
      <c r="AJ41" s="427">
        <v>20518.5</v>
      </c>
      <c r="AK41" s="329">
        <f t="shared" si="53"/>
        <v>-13.8</v>
      </c>
      <c r="AL41" s="192"/>
      <c r="AM41" s="427"/>
      <c r="AN41" s="329"/>
      <c r="AO41" s="518">
        <f t="shared" si="45"/>
        <v>243118.17077515004</v>
      </c>
      <c r="AP41" s="518">
        <f t="shared" si="45"/>
        <v>210520.27961999</v>
      </c>
      <c r="AQ41" s="329">
        <f t="shared" si="46"/>
        <v>-13.4</v>
      </c>
      <c r="AR41" s="518">
        <f t="shared" si="47"/>
        <v>243118.17077515004</v>
      </c>
      <c r="AS41" s="518">
        <f t="shared" si="47"/>
        <v>210520.27961999</v>
      </c>
      <c r="AT41" s="428">
        <f t="shared" si="48"/>
        <v>-13.4</v>
      </c>
    </row>
    <row r="42" spans="1:46" s="440" customFormat="1" ht="20.100000000000001" customHeight="1" x14ac:dyDescent="0.3">
      <c r="A42" s="574" t="s">
        <v>211</v>
      </c>
      <c r="B42" s="192"/>
      <c r="C42" s="427"/>
      <c r="D42" s="427"/>
      <c r="E42" s="192">
        <v>3711.0596628099997</v>
      </c>
      <c r="F42" s="427">
        <v>904.33426011000006</v>
      </c>
      <c r="G42" s="427">
        <f t="shared" si="44"/>
        <v>-75.599999999999994</v>
      </c>
      <c r="H42" s="192">
        <v>-67.588517570000022</v>
      </c>
      <c r="I42" s="427">
        <v>38.795948259999989</v>
      </c>
      <c r="J42" s="427">
        <f t="shared" ref="J42:J43" si="58">IF(H42=0, "    ---- ", IF(ABS(ROUND(100/H42*I42-100,1))&lt;999,ROUND(100/H42*I42-100,1),IF(ROUND(100/H42*I42-100,1)&gt;999,999,-999)))</f>
        <v>-157.4</v>
      </c>
      <c r="K42" s="192"/>
      <c r="L42" s="427"/>
      <c r="M42" s="427"/>
      <c r="N42" s="192"/>
      <c r="O42" s="427">
        <v>3</v>
      </c>
      <c r="P42" s="423" t="str">
        <f t="shared" si="55"/>
        <v xml:space="preserve">    ---- </v>
      </c>
      <c r="Q42" s="192"/>
      <c r="R42" s="427"/>
      <c r="S42" s="329"/>
      <c r="T42" s="192">
        <v>15345.762179180001</v>
      </c>
      <c r="U42" s="427">
        <v>11020.658407379999</v>
      </c>
      <c r="V42" s="329">
        <f t="shared" si="56"/>
        <v>-28.2</v>
      </c>
      <c r="W42" s="192"/>
      <c r="X42" s="427"/>
      <c r="Y42" s="329"/>
      <c r="Z42" s="192"/>
      <c r="AA42" s="427"/>
      <c r="AB42" s="329"/>
      <c r="AC42" s="192"/>
      <c r="AD42" s="427"/>
      <c r="AE42" s="329"/>
      <c r="AF42" s="192">
        <v>0</v>
      </c>
      <c r="AG42" s="427">
        <v>86.578000000000003</v>
      </c>
      <c r="AH42" s="329" t="str">
        <f t="shared" si="52"/>
        <v xml:space="preserve">    ---- </v>
      </c>
      <c r="AI42" s="192"/>
      <c r="AJ42" s="427"/>
      <c r="AK42" s="329"/>
      <c r="AL42" s="192"/>
      <c r="AM42" s="427"/>
      <c r="AN42" s="329"/>
      <c r="AO42" s="518">
        <f t="shared" si="45"/>
        <v>18989.233324420002</v>
      </c>
      <c r="AP42" s="518">
        <f t="shared" si="45"/>
        <v>12053.366615749997</v>
      </c>
      <c r="AQ42" s="329">
        <f t="shared" si="46"/>
        <v>-36.5</v>
      </c>
      <c r="AR42" s="518">
        <f t="shared" si="47"/>
        <v>18989.233324420002</v>
      </c>
      <c r="AS42" s="518">
        <f t="shared" si="47"/>
        <v>12053.366615749997</v>
      </c>
      <c r="AT42" s="428">
        <f t="shared" si="48"/>
        <v>-36.5</v>
      </c>
    </row>
    <row r="43" spans="1:46" s="440" customFormat="1" ht="20.100000000000001" customHeight="1" x14ac:dyDescent="0.3">
      <c r="A43" s="574" t="s">
        <v>212</v>
      </c>
      <c r="B43" s="192"/>
      <c r="C43" s="427"/>
      <c r="D43" s="427"/>
      <c r="E43" s="192">
        <v>126.23863011</v>
      </c>
      <c r="F43" s="427">
        <v>651.50705822999998</v>
      </c>
      <c r="G43" s="427">
        <f t="shared" si="44"/>
        <v>416.1</v>
      </c>
      <c r="H43" s="192">
        <v>9.2182890100000012</v>
      </c>
      <c r="I43" s="427">
        <v>7.4505805969238278E-15</v>
      </c>
      <c r="J43" s="427">
        <f t="shared" si="58"/>
        <v>-100</v>
      </c>
      <c r="K43" s="192"/>
      <c r="L43" s="427"/>
      <c r="M43" s="427"/>
      <c r="N43" s="192"/>
      <c r="O43" s="427"/>
      <c r="P43" s="423"/>
      <c r="Q43" s="192"/>
      <c r="R43" s="427"/>
      <c r="S43" s="329"/>
      <c r="T43" s="192">
        <v>2374.48546803</v>
      </c>
      <c r="U43" s="427">
        <v>324.80700752999996</v>
      </c>
      <c r="V43" s="329">
        <f t="shared" si="56"/>
        <v>-86.3</v>
      </c>
      <c r="W43" s="192">
        <v>1.5112781499999999</v>
      </c>
      <c r="X43" s="427">
        <v>36.94833139</v>
      </c>
      <c r="Y43" s="329">
        <f t="shared" si="50"/>
        <v>999</v>
      </c>
      <c r="Z43" s="192">
        <v>-142</v>
      </c>
      <c r="AA43" s="427">
        <v>-3543</v>
      </c>
      <c r="AB43" s="329">
        <f>IF(Z43=0, "    ---- ", IF(ABS(ROUND(100/Z43*AA43-100,1))&lt;999,ROUND(100/Z43*AA43-100,1),IF(ROUND(100/Z43*AA43-100,1)&gt;999,999,-999)))</f>
        <v>999</v>
      </c>
      <c r="AC43" s="192"/>
      <c r="AD43" s="427"/>
      <c r="AE43" s="329"/>
      <c r="AF43" s="192">
        <v>76.424999999999997</v>
      </c>
      <c r="AG43" s="427">
        <v>3.9830000000000001</v>
      </c>
      <c r="AH43" s="329">
        <f t="shared" si="52"/>
        <v>-94.8</v>
      </c>
      <c r="AI43" s="192">
        <v>1918</v>
      </c>
      <c r="AJ43" s="427">
        <v>1411</v>
      </c>
      <c r="AK43" s="329">
        <f t="shared" si="53"/>
        <v>-26.4</v>
      </c>
      <c r="AL43" s="192"/>
      <c r="AM43" s="427"/>
      <c r="AN43" s="329"/>
      <c r="AO43" s="518">
        <f t="shared" si="45"/>
        <v>4363.8786653000006</v>
      </c>
      <c r="AP43" s="518">
        <f t="shared" si="45"/>
        <v>-1114.7546028500001</v>
      </c>
      <c r="AQ43" s="329">
        <f t="shared" si="46"/>
        <v>-125.5</v>
      </c>
      <c r="AR43" s="518">
        <f t="shared" si="47"/>
        <v>4363.8786653000006</v>
      </c>
      <c r="AS43" s="518">
        <f t="shared" si="47"/>
        <v>-1114.7546028500001</v>
      </c>
      <c r="AT43" s="428">
        <f t="shared" si="48"/>
        <v>-125.5</v>
      </c>
    </row>
    <row r="44" spans="1:46" s="440" customFormat="1" ht="20.100000000000001" customHeight="1" x14ac:dyDescent="0.3">
      <c r="A44" s="574" t="s">
        <v>213</v>
      </c>
      <c r="B44" s="192">
        <v>22.28</v>
      </c>
      <c r="C44" s="427">
        <v>75.583198269999855</v>
      </c>
      <c r="D44" s="427">
        <f>IF(B44=0, "    ---- ", IF(ABS(ROUND(100/B44*C44-100,1))&lt;999,ROUND(100/B44*C44-100,1),IF(ROUND(100/B44*C44-100,1)&gt;999,999,-999)))</f>
        <v>239.2</v>
      </c>
      <c r="E44" s="192">
        <v>565.82749940000008</v>
      </c>
      <c r="F44" s="427">
        <v>531.68583115999991</v>
      </c>
      <c r="G44" s="427">
        <f t="shared" si="44"/>
        <v>-6</v>
      </c>
      <c r="H44" s="192">
        <v>86.348953960000003</v>
      </c>
      <c r="I44" s="427">
        <v>76.47627811000001</v>
      </c>
      <c r="J44" s="427">
        <f>IF(H44=0, "    ---- ", IF(ABS(ROUND(100/H44*I44-100,1))&lt;999,ROUND(100/H44*I44-100,1),IF(ROUND(100/H44*I44-100,1)&gt;999,999,-999)))</f>
        <v>-11.4</v>
      </c>
      <c r="K44" s="192">
        <v>205.393608</v>
      </c>
      <c r="L44" s="427">
        <v>237.61</v>
      </c>
      <c r="M44" s="427">
        <f t="shared" si="57"/>
        <v>15.7</v>
      </c>
      <c r="N44" s="192">
        <v>16.3</v>
      </c>
      <c r="O44" s="427">
        <v>15</v>
      </c>
      <c r="P44" s="423">
        <f t="shared" si="55"/>
        <v>-8</v>
      </c>
      <c r="Q44" s="192"/>
      <c r="R44" s="427"/>
      <c r="S44" s="329"/>
      <c r="T44" s="192">
        <v>1197.23003365</v>
      </c>
      <c r="U44" s="427">
        <v>11568.845745620001</v>
      </c>
      <c r="V44" s="329">
        <f t="shared" si="56"/>
        <v>866.3</v>
      </c>
      <c r="W44" s="192">
        <v>150.46195893000001</v>
      </c>
      <c r="X44" s="427">
        <v>888.14767840000002</v>
      </c>
      <c r="Y44" s="329">
        <f t="shared" si="50"/>
        <v>490.3</v>
      </c>
      <c r="Z44" s="192">
        <v>832</v>
      </c>
      <c r="AA44" s="427">
        <v>321</v>
      </c>
      <c r="AB44" s="329">
        <f>IF(Z44=0, "    ---- ", IF(ABS(ROUND(100/Z44*AA44-100,1))&lt;999,ROUND(100/Z44*AA44-100,1),IF(ROUND(100/Z44*AA44-100,1)&gt;999,999,-999)))</f>
        <v>-61.4</v>
      </c>
      <c r="AC44" s="192"/>
      <c r="AD44" s="427"/>
      <c r="AE44" s="329"/>
      <c r="AF44" s="192">
        <v>264.57499999999999</v>
      </c>
      <c r="AG44" s="427">
        <v>251.86799999999999</v>
      </c>
      <c r="AH44" s="329">
        <f t="shared" si="52"/>
        <v>-4.8</v>
      </c>
      <c r="AI44" s="192"/>
      <c r="AJ44" s="427"/>
      <c r="AK44" s="329"/>
      <c r="AL44" s="192"/>
      <c r="AM44" s="427"/>
      <c r="AN44" s="329"/>
      <c r="AO44" s="518">
        <f t="shared" si="45"/>
        <v>3340.4170539399997</v>
      </c>
      <c r="AP44" s="518">
        <f t="shared" si="45"/>
        <v>13966.216731560002</v>
      </c>
      <c r="AQ44" s="329">
        <f t="shared" si="46"/>
        <v>318.10000000000002</v>
      </c>
      <c r="AR44" s="518">
        <f t="shared" si="47"/>
        <v>3340.4170539399997</v>
      </c>
      <c r="AS44" s="518">
        <f t="shared" si="47"/>
        <v>13966.216731560002</v>
      </c>
      <c r="AT44" s="428">
        <f t="shared" si="48"/>
        <v>318.10000000000002</v>
      </c>
    </row>
    <row r="45" spans="1:46" s="440" customFormat="1" ht="20.100000000000001" customHeight="1" x14ac:dyDescent="0.3">
      <c r="A45" s="622" t="s">
        <v>214</v>
      </c>
      <c r="B45" s="192">
        <f>SUM(B33+B34+B35+B39)</f>
        <v>1370.2470000000001</v>
      </c>
      <c r="C45" s="427">
        <f>SUM(C33+C34+C35+C39)</f>
        <v>1415.36349602</v>
      </c>
      <c r="D45" s="329">
        <f>IF(B45=0, "    ---- ", IF(ABS(ROUND(100/B45*C45-100,1))&lt;999,ROUND(100/B45*C45-100,1),IF(ROUND(100/B45*C45-100,1)&gt;999,999,-999)))</f>
        <v>3.3</v>
      </c>
      <c r="E45" s="192">
        <f>SUM(E33+E34+E35+E39)</f>
        <v>201256.16770965001</v>
      </c>
      <c r="F45" s="427">
        <f>SUM(F33+F34+F35+F39)</f>
        <v>198828.79905616998</v>
      </c>
      <c r="G45" s="329">
        <f t="shared" si="44"/>
        <v>-1.2</v>
      </c>
      <c r="H45" s="192">
        <v>7230.153721650001</v>
      </c>
      <c r="I45" s="427">
        <f>SUM(I33+I34+I35+I39)</f>
        <v>7969.048744929999</v>
      </c>
      <c r="J45" s="329">
        <f>IF(H45=0, "    ---- ", IF(ABS(ROUND(100/H45*I45-100,1))&lt;999,ROUND(100/H45*I45-100,1),IF(ROUND(100/H45*I45-100,1)&gt;999,999,-999)))</f>
        <v>10.199999999999999</v>
      </c>
      <c r="K45" s="192">
        <f>SUM(K33+K34+K35+K39)</f>
        <v>1220.7157049999998</v>
      </c>
      <c r="L45" s="427">
        <f>SUM(L33+L34+L35+L39)</f>
        <v>1361.22</v>
      </c>
      <c r="M45" s="329">
        <f t="shared" si="57"/>
        <v>11.5</v>
      </c>
      <c r="N45" s="192">
        <f>SUM(N33+N34+N35+N39)</f>
        <v>7620.8</v>
      </c>
      <c r="O45" s="427">
        <f>SUM(O33+O34+O35+O39)</f>
        <v>8136</v>
      </c>
      <c r="P45" s="423">
        <f t="shared" si="55"/>
        <v>6.8</v>
      </c>
      <c r="Q45" s="192"/>
      <c r="R45" s="427"/>
      <c r="S45" s="329"/>
      <c r="T45" s="192">
        <v>644159.84986183001</v>
      </c>
      <c r="U45" s="427">
        <v>671095.13534984004</v>
      </c>
      <c r="V45" s="329">
        <f t="shared" si="56"/>
        <v>4.2</v>
      </c>
      <c r="W45" s="192">
        <f>SUM(W33+W34+W35+W39)</f>
        <v>55774.114264769996</v>
      </c>
      <c r="X45" s="427">
        <f>SUM(X33+X34+X35+X39)</f>
        <v>56157.28746562</v>
      </c>
      <c r="Y45" s="329">
        <f t="shared" si="50"/>
        <v>0.7</v>
      </c>
      <c r="Z45" s="192">
        <f>SUM(Z33+Z34+Z35+Z39)</f>
        <v>110343</v>
      </c>
      <c r="AA45" s="427">
        <f>SUM(AA33+AA34+AA35+AA39)</f>
        <v>111391</v>
      </c>
      <c r="AB45" s="329">
        <f>IF(Z45=0, "    ---- ", IF(ABS(ROUND(100/Z45*AA45-100,1))&lt;999,ROUND(100/Z45*AA45-100,1),IF(ROUND(100/Z45*AA45-100,1)&gt;999,999,-999)))</f>
        <v>0.9</v>
      </c>
      <c r="AC45" s="192"/>
      <c r="AD45" s="427"/>
      <c r="AE45" s="329"/>
      <c r="AF45" s="192">
        <f>SUM(AF33+AF34+AF35+AF39)</f>
        <v>23290.424999999999</v>
      </c>
      <c r="AG45" s="427">
        <f>SUM(AG33+AG34+AG35+AG39)</f>
        <v>22948.763999999999</v>
      </c>
      <c r="AH45" s="329">
        <f t="shared" si="52"/>
        <v>-1.5</v>
      </c>
      <c r="AI45" s="192">
        <f>SUM(AI33+AI34+AI35+AI39)</f>
        <v>207417</v>
      </c>
      <c r="AJ45" s="427">
        <f>SUM(AJ33+AJ34+AJ35+AJ39)</f>
        <v>202899</v>
      </c>
      <c r="AK45" s="329">
        <f t="shared" si="53"/>
        <v>-2.2000000000000002</v>
      </c>
      <c r="AL45" s="192"/>
      <c r="AM45" s="427"/>
      <c r="AN45" s="329"/>
      <c r="AO45" s="518">
        <f t="shared" si="45"/>
        <v>1259682.4732629</v>
      </c>
      <c r="AP45" s="518">
        <f t="shared" si="45"/>
        <v>1282201.6181125799</v>
      </c>
      <c r="AQ45" s="329">
        <f t="shared" si="46"/>
        <v>1.8</v>
      </c>
      <c r="AR45" s="518">
        <f t="shared" si="47"/>
        <v>1259682.4732629</v>
      </c>
      <c r="AS45" s="518">
        <f t="shared" si="47"/>
        <v>1282201.6181125799</v>
      </c>
      <c r="AT45" s="428">
        <f t="shared" si="48"/>
        <v>1.8</v>
      </c>
    </row>
    <row r="46" spans="1:46" s="440" customFormat="1" ht="20.100000000000001" customHeight="1" x14ac:dyDescent="0.3">
      <c r="A46" s="594" t="s">
        <v>325</v>
      </c>
      <c r="B46" s="192">
        <v>205.65199999999999</v>
      </c>
      <c r="C46" s="427">
        <v>255.52768669</v>
      </c>
      <c r="D46" s="329">
        <f>IF(B46=0, "    ---- ", IF(ABS(ROUND(100/B46*C46-100,1))&lt;999,ROUND(100/B46*C46-100,1),IF(ROUND(100/B46*C46-100,1)&gt;999,999,-999)))</f>
        <v>24.3</v>
      </c>
      <c r="E46" s="192">
        <v>264.57889319999998</v>
      </c>
      <c r="F46" s="427">
        <v>399.59901329000002</v>
      </c>
      <c r="G46" s="427">
        <f t="shared" si="44"/>
        <v>51</v>
      </c>
      <c r="H46" s="192">
        <v>523.30382349000001</v>
      </c>
      <c r="I46" s="427">
        <v>504.73026716000004</v>
      </c>
      <c r="J46" s="329">
        <f>IF(H46=0, "    ---- ", IF(ABS(ROUND(100/H46*I46-100,1))&lt;999,ROUND(100/H46*I46-100,1),IF(ROUND(100/H46*I46-100,1)&gt;999,999,-999)))</f>
        <v>-3.5</v>
      </c>
      <c r="K46" s="192">
        <v>58.057814999999998</v>
      </c>
      <c r="L46" s="427">
        <v>74.462000000000003</v>
      </c>
      <c r="M46" s="329">
        <f t="shared" si="57"/>
        <v>28.3</v>
      </c>
      <c r="N46" s="192">
        <v>562.4</v>
      </c>
      <c r="O46" s="427">
        <v>616</v>
      </c>
      <c r="P46" s="423"/>
      <c r="Q46" s="192"/>
      <c r="R46" s="427"/>
      <c r="S46" s="329"/>
      <c r="T46" s="192"/>
      <c r="U46" s="427"/>
      <c r="V46" s="329"/>
      <c r="W46" s="192">
        <v>62.17</v>
      </c>
      <c r="X46" s="427">
        <v>66.48</v>
      </c>
      <c r="Y46" s="329">
        <f t="shared" si="50"/>
        <v>6.9</v>
      </c>
      <c r="Z46" s="192"/>
      <c r="AA46" s="427"/>
      <c r="AB46" s="329"/>
      <c r="AC46" s="192"/>
      <c r="AD46" s="427"/>
      <c r="AE46" s="329"/>
      <c r="AF46" s="192">
        <v>5.2619999999999996</v>
      </c>
      <c r="AG46" s="427">
        <v>7.9569999999999999</v>
      </c>
      <c r="AH46" s="329">
        <f t="shared" si="52"/>
        <v>51.2</v>
      </c>
      <c r="AI46" s="192">
        <v>4</v>
      </c>
      <c r="AJ46" s="427">
        <v>6</v>
      </c>
      <c r="AK46" s="329">
        <f t="shared" si="53"/>
        <v>50</v>
      </c>
      <c r="AL46" s="192"/>
      <c r="AM46" s="427"/>
      <c r="AN46" s="329"/>
      <c r="AO46" s="518">
        <f t="shared" si="45"/>
        <v>1685.4245316899999</v>
      </c>
      <c r="AP46" s="518">
        <f t="shared" si="45"/>
        <v>1930.7559671400002</v>
      </c>
      <c r="AQ46" s="329">
        <f t="shared" si="46"/>
        <v>14.6</v>
      </c>
      <c r="AR46" s="518">
        <f t="shared" si="47"/>
        <v>1685.4245316899999</v>
      </c>
      <c r="AS46" s="518">
        <f t="shared" si="47"/>
        <v>1930.7559671400002</v>
      </c>
      <c r="AT46" s="428">
        <f t="shared" si="48"/>
        <v>14.6</v>
      </c>
    </row>
    <row r="47" spans="1:46" s="440" customFormat="1" ht="20.100000000000001" customHeight="1" x14ac:dyDescent="0.3">
      <c r="A47" s="594" t="s">
        <v>215</v>
      </c>
      <c r="B47" s="192"/>
      <c r="C47" s="427"/>
      <c r="D47" s="427"/>
      <c r="E47" s="192"/>
      <c r="F47" s="427"/>
      <c r="G47" s="427"/>
      <c r="H47" s="192"/>
      <c r="I47" s="427"/>
      <c r="J47" s="427"/>
      <c r="K47" s="192"/>
      <c r="L47" s="427"/>
      <c r="M47" s="427"/>
      <c r="N47" s="192"/>
      <c r="O47" s="427"/>
      <c r="P47" s="423"/>
      <c r="Q47" s="192"/>
      <c r="R47" s="427"/>
      <c r="S47" s="329"/>
      <c r="T47" s="192"/>
      <c r="U47" s="427"/>
      <c r="V47" s="329"/>
      <c r="W47" s="192"/>
      <c r="X47" s="427"/>
      <c r="Y47" s="329"/>
      <c r="Z47" s="192"/>
      <c r="AA47" s="427"/>
      <c r="AB47" s="329"/>
      <c r="AC47" s="192"/>
      <c r="AD47" s="427"/>
      <c r="AE47" s="329"/>
      <c r="AF47" s="192"/>
      <c r="AG47" s="427"/>
      <c r="AH47" s="329"/>
      <c r="AI47" s="192"/>
      <c r="AJ47" s="427"/>
      <c r="AK47" s="329"/>
      <c r="AL47" s="192"/>
      <c r="AM47" s="427"/>
      <c r="AN47" s="329"/>
      <c r="AO47" s="423"/>
      <c r="AP47" s="423"/>
      <c r="AQ47" s="329"/>
      <c r="AR47" s="423"/>
      <c r="AS47" s="423"/>
      <c r="AT47" s="428"/>
    </row>
    <row r="48" spans="1:46" s="440" customFormat="1" ht="20.100000000000001" customHeight="1" x14ac:dyDescent="0.3">
      <c r="A48" s="574" t="s">
        <v>216</v>
      </c>
      <c r="B48" s="192"/>
      <c r="C48" s="427"/>
      <c r="D48" s="427"/>
      <c r="E48" s="192"/>
      <c r="F48" s="427"/>
      <c r="G48" s="427"/>
      <c r="H48" s="192"/>
      <c r="I48" s="427"/>
      <c r="J48" s="427"/>
      <c r="K48" s="192"/>
      <c r="L48" s="427"/>
      <c r="M48" s="427"/>
      <c r="N48" s="192"/>
      <c r="O48" s="427"/>
      <c r="P48" s="423"/>
      <c r="Q48" s="192"/>
      <c r="R48" s="427"/>
      <c r="S48" s="329"/>
      <c r="T48" s="192"/>
      <c r="U48" s="427"/>
      <c r="V48" s="329"/>
      <c r="W48" s="192"/>
      <c r="X48" s="427"/>
      <c r="Y48" s="329"/>
      <c r="Z48" s="192"/>
      <c r="AA48" s="427"/>
      <c r="AB48" s="329"/>
      <c r="AC48" s="192"/>
      <c r="AD48" s="427"/>
      <c r="AE48" s="329"/>
      <c r="AF48" s="192"/>
      <c r="AG48" s="427"/>
      <c r="AH48" s="329"/>
      <c r="AI48" s="192"/>
      <c r="AJ48" s="427"/>
      <c r="AK48" s="329"/>
      <c r="AL48" s="192"/>
      <c r="AM48" s="427"/>
      <c r="AN48" s="329"/>
      <c r="AO48" s="518">
        <f t="shared" ref="AO48:AP62" si="59">B48+E48+H48+K48+N48+T48+W48+Z48+AF48+AI48</f>
        <v>0</v>
      </c>
      <c r="AP48" s="518">
        <f t="shared" si="59"/>
        <v>0</v>
      </c>
      <c r="AQ48" s="329" t="str">
        <f t="shared" si="46"/>
        <v xml:space="preserve">    ---- </v>
      </c>
      <c r="AR48" s="518">
        <f t="shared" ref="AR48:AS62" si="60">B48+E48+H48+K48+N48+Q48+T48+W48+Z48+AC48+AF48+AI48+AL48</f>
        <v>0</v>
      </c>
      <c r="AS48" s="518">
        <f t="shared" si="60"/>
        <v>0</v>
      </c>
      <c r="AT48" s="428" t="str">
        <f t="shared" si="48"/>
        <v xml:space="preserve">    ---- </v>
      </c>
    </row>
    <row r="49" spans="1:46" s="440" customFormat="1" ht="20.100000000000001" customHeight="1" x14ac:dyDescent="0.3">
      <c r="A49" s="574" t="s">
        <v>217</v>
      </c>
      <c r="B49" s="192"/>
      <c r="C49" s="427"/>
      <c r="D49" s="427"/>
      <c r="E49" s="192">
        <v>4034.8843331910002</v>
      </c>
      <c r="F49" s="427">
        <v>4744.1036645889999</v>
      </c>
      <c r="G49" s="427">
        <f t="shared" ref="G49" si="61">IF(E49=0, "    ---- ", IF(ABS(ROUND(100/E49*F49-100,1))&lt;999,ROUND(100/E49*F49-100,1),IF(ROUND(100/E49*F49-100,1)&gt;999,999,-999)))</f>
        <v>17.600000000000001</v>
      </c>
      <c r="H49" s="192"/>
      <c r="I49" s="427"/>
      <c r="J49" s="427"/>
      <c r="K49" s="192"/>
      <c r="L49" s="427"/>
      <c r="M49" s="427"/>
      <c r="N49" s="192">
        <v>1771.1</v>
      </c>
      <c r="O49" s="427">
        <v>2229</v>
      </c>
      <c r="P49" s="423"/>
      <c r="Q49" s="192"/>
      <c r="R49" s="427"/>
      <c r="S49" s="329"/>
      <c r="T49" s="192">
        <v>302.03703087999997</v>
      </c>
      <c r="U49" s="427">
        <v>381.28629683999998</v>
      </c>
      <c r="V49" s="329">
        <f t="shared" ref="V49:V60" si="62">IF(T49=0, "    ---- ", IF(ABS(ROUND(100/T49*U49-100,1))&lt;999,ROUND(100/T49*U49-100,1),IF(ROUND(100/T49*U49-100,1)&gt;999,999,-999)))</f>
        <v>26.2</v>
      </c>
      <c r="W49" s="192">
        <v>0.01</v>
      </c>
      <c r="X49" s="427">
        <v>3359.62</v>
      </c>
      <c r="Y49" s="329"/>
      <c r="Z49" s="192"/>
      <c r="AA49" s="427"/>
      <c r="AB49" s="329"/>
      <c r="AC49" s="192"/>
      <c r="AD49" s="427"/>
      <c r="AE49" s="329"/>
      <c r="AF49" s="192"/>
      <c r="AG49" s="427">
        <v>910.63599999999997</v>
      </c>
      <c r="AH49" s="329" t="str">
        <f t="shared" si="52"/>
        <v xml:space="preserve">    ---- </v>
      </c>
      <c r="AI49" s="192">
        <v>6014</v>
      </c>
      <c r="AJ49" s="427">
        <v>6374</v>
      </c>
      <c r="AK49" s="329">
        <f t="shared" si="53"/>
        <v>6</v>
      </c>
      <c r="AL49" s="192"/>
      <c r="AM49" s="427"/>
      <c r="AN49" s="329"/>
      <c r="AO49" s="518">
        <f t="shared" si="59"/>
        <v>12122.031364071001</v>
      </c>
      <c r="AP49" s="518">
        <f t="shared" si="59"/>
        <v>17998.645961429</v>
      </c>
      <c r="AQ49" s="329">
        <f t="shared" si="46"/>
        <v>48.5</v>
      </c>
      <c r="AR49" s="518">
        <f t="shared" si="60"/>
        <v>12122.031364071001</v>
      </c>
      <c r="AS49" s="518">
        <f t="shared" si="60"/>
        <v>17998.645961429</v>
      </c>
      <c r="AT49" s="428">
        <f t="shared" si="48"/>
        <v>48.5</v>
      </c>
    </row>
    <row r="50" spans="1:46" s="440" customFormat="1" ht="20.100000000000001" customHeight="1" x14ac:dyDescent="0.3">
      <c r="A50" s="574" t="s">
        <v>218</v>
      </c>
      <c r="B50" s="192"/>
      <c r="C50" s="427"/>
      <c r="D50" s="427"/>
      <c r="E50" s="192"/>
      <c r="F50" s="427"/>
      <c r="G50" s="427"/>
      <c r="H50" s="192"/>
      <c r="I50" s="427"/>
      <c r="J50" s="427"/>
      <c r="K50" s="192"/>
      <c r="L50" s="427"/>
      <c r="M50" s="427"/>
      <c r="N50" s="192">
        <f>SUM(N51+N53)</f>
        <v>0</v>
      </c>
      <c r="O50" s="427">
        <f>SUM(O51+O53)</f>
        <v>0</v>
      </c>
      <c r="P50" s="423"/>
      <c r="Q50" s="192"/>
      <c r="R50" s="427"/>
      <c r="S50" s="329"/>
      <c r="T50" s="192">
        <v>746.87003001000005</v>
      </c>
      <c r="U50" s="427">
        <v>941.2053449</v>
      </c>
      <c r="V50" s="329">
        <f t="shared" si="62"/>
        <v>26</v>
      </c>
      <c r="W50" s="192"/>
      <c r="X50" s="427"/>
      <c r="Y50" s="329"/>
      <c r="Z50" s="192"/>
      <c r="AA50" s="427"/>
      <c r="AB50" s="329"/>
      <c r="AC50" s="192"/>
      <c r="AD50" s="427"/>
      <c r="AE50" s="329"/>
      <c r="AF50" s="192"/>
      <c r="AG50" s="427"/>
      <c r="AH50" s="329"/>
      <c r="AI50" s="192">
        <f>SUM(AI51+AI53)</f>
        <v>1406</v>
      </c>
      <c r="AJ50" s="427">
        <f>SUM(AJ51+AJ53)</f>
        <v>1423</v>
      </c>
      <c r="AK50" s="329">
        <f t="shared" si="53"/>
        <v>1.2</v>
      </c>
      <c r="AL50" s="192"/>
      <c r="AM50" s="427"/>
      <c r="AN50" s="329"/>
      <c r="AO50" s="518">
        <f t="shared" si="59"/>
        <v>2152.8700300099999</v>
      </c>
      <c r="AP50" s="518">
        <f t="shared" si="59"/>
        <v>2364.2053449</v>
      </c>
      <c r="AQ50" s="329">
        <f t="shared" si="46"/>
        <v>9.8000000000000007</v>
      </c>
      <c r="AR50" s="518">
        <f t="shared" si="60"/>
        <v>2152.8700300099999</v>
      </c>
      <c r="AS50" s="518">
        <f t="shared" si="60"/>
        <v>2364.2053449</v>
      </c>
      <c r="AT50" s="428">
        <f t="shared" si="48"/>
        <v>9.8000000000000007</v>
      </c>
    </row>
    <row r="51" spans="1:46" s="440" customFormat="1" ht="20.100000000000001" customHeight="1" x14ac:dyDescent="0.3">
      <c r="A51" s="574" t="s">
        <v>219</v>
      </c>
      <c r="B51" s="192"/>
      <c r="C51" s="427"/>
      <c r="D51" s="329"/>
      <c r="E51" s="192"/>
      <c r="F51" s="427"/>
      <c r="G51" s="329"/>
      <c r="H51" s="192"/>
      <c r="I51" s="427"/>
      <c r="J51" s="329"/>
      <c r="K51" s="192"/>
      <c r="L51" s="427"/>
      <c r="M51" s="329"/>
      <c r="N51" s="192"/>
      <c r="O51" s="427"/>
      <c r="P51" s="423"/>
      <c r="Q51" s="192"/>
      <c r="R51" s="427"/>
      <c r="S51" s="329"/>
      <c r="T51" s="192">
        <v>73.51872834000001</v>
      </c>
      <c r="U51" s="427">
        <v>40.343116530000003</v>
      </c>
      <c r="V51" s="329">
        <f t="shared" si="62"/>
        <v>-45.1</v>
      </c>
      <c r="W51" s="192"/>
      <c r="X51" s="427"/>
      <c r="Y51" s="329"/>
      <c r="Z51" s="192"/>
      <c r="AA51" s="427"/>
      <c r="AB51" s="329"/>
      <c r="AC51" s="192"/>
      <c r="AD51" s="427"/>
      <c r="AE51" s="329"/>
      <c r="AF51" s="192"/>
      <c r="AG51" s="427"/>
      <c r="AH51" s="329"/>
      <c r="AI51" s="192"/>
      <c r="AJ51" s="427"/>
      <c r="AK51" s="329"/>
      <c r="AL51" s="192"/>
      <c r="AM51" s="427"/>
      <c r="AN51" s="329"/>
      <c r="AO51" s="518">
        <f t="shared" si="59"/>
        <v>73.51872834000001</v>
      </c>
      <c r="AP51" s="518">
        <f t="shared" si="59"/>
        <v>40.343116530000003</v>
      </c>
      <c r="AQ51" s="329">
        <f t="shared" si="46"/>
        <v>-45.1</v>
      </c>
      <c r="AR51" s="518">
        <f t="shared" si="60"/>
        <v>73.51872834000001</v>
      </c>
      <c r="AS51" s="518">
        <f t="shared" si="60"/>
        <v>40.343116530000003</v>
      </c>
      <c r="AT51" s="428">
        <f t="shared" si="48"/>
        <v>-45.1</v>
      </c>
    </row>
    <row r="52" spans="1:46" s="440" customFormat="1" ht="20.100000000000001" customHeight="1" x14ac:dyDescent="0.3">
      <c r="A52" s="574" t="s">
        <v>189</v>
      </c>
      <c r="B52" s="192"/>
      <c r="C52" s="427"/>
      <c r="D52" s="427"/>
      <c r="E52" s="192"/>
      <c r="F52" s="427"/>
      <c r="G52" s="427"/>
      <c r="H52" s="192"/>
      <c r="I52" s="427"/>
      <c r="J52" s="427"/>
      <c r="K52" s="192"/>
      <c r="L52" s="427"/>
      <c r="M52" s="427"/>
      <c r="N52" s="192"/>
      <c r="O52" s="427"/>
      <c r="P52" s="518"/>
      <c r="Q52" s="192"/>
      <c r="R52" s="427"/>
      <c r="S52" s="427"/>
      <c r="T52" s="192">
        <v>73.51872834000001</v>
      </c>
      <c r="U52" s="427">
        <v>40.343116530000003</v>
      </c>
      <c r="V52" s="329">
        <f t="shared" si="62"/>
        <v>-45.1</v>
      </c>
      <c r="W52" s="192"/>
      <c r="X52" s="427"/>
      <c r="Y52" s="427"/>
      <c r="Z52" s="192"/>
      <c r="AA52" s="427"/>
      <c r="AB52" s="427"/>
      <c r="AC52" s="192"/>
      <c r="AD52" s="427"/>
      <c r="AE52" s="427"/>
      <c r="AF52" s="192"/>
      <c r="AG52" s="427"/>
      <c r="AH52" s="427"/>
      <c r="AI52" s="192"/>
      <c r="AJ52" s="427"/>
      <c r="AK52" s="427"/>
      <c r="AL52" s="192"/>
      <c r="AM52" s="427"/>
      <c r="AN52" s="427"/>
      <c r="AO52" s="518">
        <f t="shared" si="59"/>
        <v>73.51872834000001</v>
      </c>
      <c r="AP52" s="518">
        <f t="shared" si="59"/>
        <v>40.343116530000003</v>
      </c>
      <c r="AQ52" s="427">
        <f t="shared" si="46"/>
        <v>-45.1</v>
      </c>
      <c r="AR52" s="518">
        <f t="shared" si="60"/>
        <v>73.51872834000001</v>
      </c>
      <c r="AS52" s="518">
        <f t="shared" si="60"/>
        <v>40.343116530000003</v>
      </c>
      <c r="AT52" s="623">
        <f t="shared" si="48"/>
        <v>-45.1</v>
      </c>
    </row>
    <row r="53" spans="1:46" s="440" customFormat="1" ht="20.100000000000001" customHeight="1" x14ac:dyDescent="0.3">
      <c r="A53" s="574" t="s">
        <v>220</v>
      </c>
      <c r="B53" s="192"/>
      <c r="C53" s="427"/>
      <c r="D53" s="427"/>
      <c r="E53" s="192"/>
      <c r="F53" s="427"/>
      <c r="G53" s="427"/>
      <c r="H53" s="192"/>
      <c r="I53" s="427"/>
      <c r="J53" s="427"/>
      <c r="K53" s="192"/>
      <c r="L53" s="427"/>
      <c r="M53" s="427"/>
      <c r="N53" s="192"/>
      <c r="O53" s="427"/>
      <c r="P53" s="423"/>
      <c r="Q53" s="192"/>
      <c r="R53" s="427"/>
      <c r="S53" s="329"/>
      <c r="T53" s="192">
        <v>673.35130167</v>
      </c>
      <c r="U53" s="427">
        <v>900.86222837000003</v>
      </c>
      <c r="V53" s="329">
        <f t="shared" si="62"/>
        <v>33.799999999999997</v>
      </c>
      <c r="W53" s="192"/>
      <c r="X53" s="427"/>
      <c r="Y53" s="329"/>
      <c r="Z53" s="192"/>
      <c r="AA53" s="427"/>
      <c r="AB53" s="329"/>
      <c r="AC53" s="192"/>
      <c r="AD53" s="427"/>
      <c r="AE53" s="329"/>
      <c r="AF53" s="192"/>
      <c r="AG53" s="427"/>
      <c r="AH53" s="329"/>
      <c r="AI53" s="192">
        <f>941+465</f>
        <v>1406</v>
      </c>
      <c r="AJ53" s="427">
        <f>79+910+434</f>
        <v>1423</v>
      </c>
      <c r="AK53" s="329">
        <f t="shared" si="53"/>
        <v>1.2</v>
      </c>
      <c r="AL53" s="192"/>
      <c r="AM53" s="427"/>
      <c r="AN53" s="329"/>
      <c r="AO53" s="518">
        <f t="shared" si="59"/>
        <v>2079.3513016699999</v>
      </c>
      <c r="AP53" s="518">
        <f t="shared" si="59"/>
        <v>2323.8622283700001</v>
      </c>
      <c r="AQ53" s="329">
        <f t="shared" si="46"/>
        <v>11.8</v>
      </c>
      <c r="AR53" s="518">
        <f t="shared" si="60"/>
        <v>2079.3513016699999</v>
      </c>
      <c r="AS53" s="518">
        <f t="shared" si="60"/>
        <v>2323.8622283700001</v>
      </c>
      <c r="AT53" s="428">
        <f t="shared" si="48"/>
        <v>11.8</v>
      </c>
    </row>
    <row r="54" spans="1:46" s="440" customFormat="1" ht="20.100000000000001" customHeight="1" x14ac:dyDescent="0.3">
      <c r="A54" s="574" t="s">
        <v>221</v>
      </c>
      <c r="B54" s="192">
        <f>SUM(B55:B59)</f>
        <v>27529.055</v>
      </c>
      <c r="C54" s="427">
        <f>SUM(C55:C59)</f>
        <v>26528.46043214</v>
      </c>
      <c r="D54" s="427">
        <f>IF(B54=0, "    ---- ", IF(ABS(ROUND(100/B54*C54-100,1))&lt;999,ROUND(100/B54*C54-100,1),IF(ROUND(100/B54*C54-100,1)&gt;999,999,-999)))</f>
        <v>-3.6</v>
      </c>
      <c r="E54" s="192">
        <f>SUM(E55:E59)</f>
        <v>127581.68571666998</v>
      </c>
      <c r="F54" s="427">
        <f>SUM(F55:F59)</f>
        <v>123621.03569647099</v>
      </c>
      <c r="G54" s="427">
        <f t="shared" si="44"/>
        <v>-3.1</v>
      </c>
      <c r="H54" s="192"/>
      <c r="I54" s="427"/>
      <c r="J54" s="427"/>
      <c r="K54" s="192"/>
      <c r="L54" s="427"/>
      <c r="M54" s="427"/>
      <c r="N54" s="192">
        <f>SUM(N55:N59)</f>
        <v>38231</v>
      </c>
      <c r="O54" s="427">
        <f>SUM(O55:O59)</f>
        <v>38699</v>
      </c>
      <c r="P54" s="423">
        <f t="shared" si="55"/>
        <v>1.2</v>
      </c>
      <c r="Q54" s="192"/>
      <c r="R54" s="427"/>
      <c r="S54" s="329"/>
      <c r="T54" s="192">
        <v>1107.0231783600002</v>
      </c>
      <c r="U54" s="427">
        <v>1279.26412899</v>
      </c>
      <c r="V54" s="329">
        <f t="shared" si="62"/>
        <v>15.6</v>
      </c>
      <c r="W54" s="192">
        <f>SUM(W55:W59)</f>
        <v>117827.81</v>
      </c>
      <c r="X54" s="427">
        <f>SUM(X55:X59)</f>
        <v>108967.78000000001</v>
      </c>
      <c r="Y54" s="329">
        <f t="shared" si="50"/>
        <v>-7.5</v>
      </c>
      <c r="Z54" s="192"/>
      <c r="AA54" s="427"/>
      <c r="AB54" s="329"/>
      <c r="AC54" s="192">
        <f>SUM(AC55:AC59)</f>
        <v>3191.3599081399998</v>
      </c>
      <c r="AD54" s="427">
        <f>SUM(AD55:AD59)</f>
        <v>2700.3462319700002</v>
      </c>
      <c r="AE54" s="329">
        <f>IF(AC54=0, "    ---- ", IF(ABS(ROUND(100/AC54*AD54-100,1))&lt;999,ROUND(100/AC54*AD54-100,1),IF(ROUND(100/AC54*AD54-100,1)&gt;999,999,-999)))</f>
        <v>-15.4</v>
      </c>
      <c r="AF54" s="192">
        <f>SUM(AF55:AF59)</f>
        <v>52210.942999999999</v>
      </c>
      <c r="AG54" s="427">
        <f>SUM(AG55:AG59)</f>
        <v>51797.375999999997</v>
      </c>
      <c r="AH54" s="329">
        <f t="shared" si="52"/>
        <v>-0.8</v>
      </c>
      <c r="AI54" s="192">
        <f>SUM(AI55:AI59)</f>
        <v>144143</v>
      </c>
      <c r="AJ54" s="427">
        <f>SUM(AJ55:AJ59)</f>
        <v>140154</v>
      </c>
      <c r="AK54" s="329">
        <f t="shared" si="53"/>
        <v>-2.8</v>
      </c>
      <c r="AL54" s="192"/>
      <c r="AM54" s="427">
        <f>SUM(AM55:AM59)</f>
        <v>2</v>
      </c>
      <c r="AN54" s="329" t="str">
        <f t="shared" ref="AN54:AN60" si="63">IF(AL54=0, "    ---- ", IF(ABS(ROUND(100/AL54*AM54-100,1))&lt;999,ROUND(100/AL54*AM54-100,1),IF(ROUND(100/AL54*AM54-100,1)&gt;999,999,-999)))</f>
        <v xml:space="preserve">    ---- </v>
      </c>
      <c r="AO54" s="518">
        <f t="shared" si="59"/>
        <v>508630.51689502993</v>
      </c>
      <c r="AP54" s="518">
        <f t="shared" si="59"/>
        <v>491046.916257601</v>
      </c>
      <c r="AQ54" s="329">
        <f t="shared" si="46"/>
        <v>-3.5</v>
      </c>
      <c r="AR54" s="518">
        <f t="shared" si="60"/>
        <v>511821.87680316996</v>
      </c>
      <c r="AS54" s="518">
        <f t="shared" si="60"/>
        <v>493749.262489571</v>
      </c>
      <c r="AT54" s="428">
        <f t="shared" si="48"/>
        <v>-3.5</v>
      </c>
    </row>
    <row r="55" spans="1:46" s="440" customFormat="1" ht="20.100000000000001" customHeight="1" x14ac:dyDescent="0.3">
      <c r="A55" s="574" t="s">
        <v>222</v>
      </c>
      <c r="B55" s="192">
        <v>17537.593000000001</v>
      </c>
      <c r="C55" s="427">
        <v>16819.399831930001</v>
      </c>
      <c r="D55" s="427">
        <f>IF(B55=0, "    ---- ", IF(ABS(ROUND(100/B55*C55-100,1))&lt;999,ROUND(100/B55*C55-100,1),IF(ROUND(100/B55*C55-100,1)&gt;999,999,-999)))</f>
        <v>-4.0999999999999996</v>
      </c>
      <c r="E55" s="192">
        <v>76114.433392748993</v>
      </c>
      <c r="F55" s="427">
        <v>74096.465739630992</v>
      </c>
      <c r="G55" s="427">
        <f t="shared" si="44"/>
        <v>-2.7</v>
      </c>
      <c r="H55" s="192"/>
      <c r="I55" s="427"/>
      <c r="J55" s="427"/>
      <c r="K55" s="192"/>
      <c r="L55" s="427"/>
      <c r="M55" s="427"/>
      <c r="N55" s="192">
        <v>31468.5</v>
      </c>
      <c r="O55" s="427">
        <v>32111</v>
      </c>
      <c r="P55" s="423">
        <f t="shared" si="55"/>
        <v>2</v>
      </c>
      <c r="Q55" s="192"/>
      <c r="R55" s="427"/>
      <c r="S55" s="329"/>
      <c r="T55" s="192">
        <v>722.78919171000007</v>
      </c>
      <c r="U55" s="427">
        <v>922.62612208000007</v>
      </c>
      <c r="V55" s="329">
        <f t="shared" si="62"/>
        <v>27.6</v>
      </c>
      <c r="W55" s="192">
        <v>74094.289999999994</v>
      </c>
      <c r="X55" s="427">
        <v>68425.22</v>
      </c>
      <c r="Y55" s="329">
        <f t="shared" si="50"/>
        <v>-7.7</v>
      </c>
      <c r="Z55" s="192"/>
      <c r="AA55" s="427"/>
      <c r="AB55" s="329"/>
      <c r="AC55" s="192">
        <v>3191.3599081399998</v>
      </c>
      <c r="AD55" s="427">
        <v>2700.3462319700002</v>
      </c>
      <c r="AE55" s="329">
        <f>IF(AC55=0, "    ---- ", IF(ABS(ROUND(100/AC55*AD55-100,1))&lt;999,ROUND(100/AC55*AD55-100,1),IF(ROUND(100/AC55*AD55-100,1)&gt;999,999,-999)))</f>
        <v>-15.4</v>
      </c>
      <c r="AF55" s="192">
        <v>33720.567000000003</v>
      </c>
      <c r="AG55" s="427">
        <v>33505.411999999997</v>
      </c>
      <c r="AH55" s="329">
        <f t="shared" si="52"/>
        <v>-0.6</v>
      </c>
      <c r="AI55" s="192">
        <v>101777</v>
      </c>
      <c r="AJ55" s="427">
        <v>99774</v>
      </c>
      <c r="AK55" s="329">
        <f t="shared" si="53"/>
        <v>-2</v>
      </c>
      <c r="AL55" s="192"/>
      <c r="AM55" s="427"/>
      <c r="AN55" s="329"/>
      <c r="AO55" s="518">
        <f t="shared" si="59"/>
        <v>335435.17258445895</v>
      </c>
      <c r="AP55" s="518">
        <f t="shared" si="59"/>
        <v>325654.12369364098</v>
      </c>
      <c r="AQ55" s="329">
        <f t="shared" si="46"/>
        <v>-2.9</v>
      </c>
      <c r="AR55" s="518">
        <f t="shared" si="60"/>
        <v>338626.53249259898</v>
      </c>
      <c r="AS55" s="518">
        <f t="shared" si="60"/>
        <v>328354.46992561099</v>
      </c>
      <c r="AT55" s="428">
        <f t="shared" si="48"/>
        <v>-3</v>
      </c>
    </row>
    <row r="56" spans="1:46" s="440" customFormat="1" ht="20.100000000000001" customHeight="1" x14ac:dyDescent="0.3">
      <c r="A56" s="574" t="s">
        <v>223</v>
      </c>
      <c r="B56" s="192">
        <v>9571.5509999999995</v>
      </c>
      <c r="C56" s="427">
        <v>9154.7765330900002</v>
      </c>
      <c r="D56" s="427">
        <f>IF(B56=0, "    ---- ", IF(ABS(ROUND(100/B56*C56-100,1))&lt;999,ROUND(100/B56*C56-100,1),IF(ROUND(100/B56*C56-100,1)&gt;999,999,-999)))</f>
        <v>-4.4000000000000004</v>
      </c>
      <c r="E56" s="192">
        <v>50088.738276730997</v>
      </c>
      <c r="F56" s="427">
        <v>47712.040404840001</v>
      </c>
      <c r="G56" s="427">
        <f t="shared" si="44"/>
        <v>-4.7</v>
      </c>
      <c r="H56" s="192"/>
      <c r="I56" s="427"/>
      <c r="J56" s="427"/>
      <c r="K56" s="192"/>
      <c r="L56" s="427"/>
      <c r="M56" s="427"/>
      <c r="N56" s="192">
        <v>6281.5</v>
      </c>
      <c r="O56" s="427">
        <v>6428</v>
      </c>
      <c r="P56" s="423">
        <f t="shared" si="55"/>
        <v>2.2999999999999998</v>
      </c>
      <c r="Q56" s="192"/>
      <c r="R56" s="427"/>
      <c r="S56" s="329"/>
      <c r="T56" s="192">
        <v>285.01421730999999</v>
      </c>
      <c r="U56" s="427">
        <v>267.70394236999999</v>
      </c>
      <c r="V56" s="329">
        <f t="shared" si="62"/>
        <v>-6.1</v>
      </c>
      <c r="W56" s="192">
        <v>42708.03</v>
      </c>
      <c r="X56" s="427">
        <v>41142.76</v>
      </c>
      <c r="Y56" s="329">
        <f t="shared" si="50"/>
        <v>-3.7</v>
      </c>
      <c r="Z56" s="192"/>
      <c r="AA56" s="427"/>
      <c r="AB56" s="329"/>
      <c r="AC56" s="192"/>
      <c r="AD56" s="427"/>
      <c r="AE56" s="329"/>
      <c r="AF56" s="192">
        <v>18306.481</v>
      </c>
      <c r="AG56" s="427">
        <v>18091.633999999998</v>
      </c>
      <c r="AH56" s="329">
        <f t="shared" si="52"/>
        <v>-1.2</v>
      </c>
      <c r="AI56" s="192">
        <v>41402</v>
      </c>
      <c r="AJ56" s="427">
        <v>40173</v>
      </c>
      <c r="AK56" s="329">
        <f t="shared" si="53"/>
        <v>-3</v>
      </c>
      <c r="AL56" s="192"/>
      <c r="AM56" s="427"/>
      <c r="AN56" s="329"/>
      <c r="AO56" s="518">
        <f t="shared" si="59"/>
        <v>168643.314494041</v>
      </c>
      <c r="AP56" s="518">
        <f t="shared" si="59"/>
        <v>162969.9148803</v>
      </c>
      <c r="AQ56" s="329">
        <f t="shared" si="46"/>
        <v>-3.4</v>
      </c>
      <c r="AR56" s="518">
        <f t="shared" si="60"/>
        <v>168643.314494041</v>
      </c>
      <c r="AS56" s="518">
        <f t="shared" si="60"/>
        <v>162969.9148803</v>
      </c>
      <c r="AT56" s="428">
        <f t="shared" si="48"/>
        <v>-3.4</v>
      </c>
    </row>
    <row r="57" spans="1:46" s="440" customFormat="1" ht="20.100000000000001" customHeight="1" x14ac:dyDescent="0.3">
      <c r="A57" s="574" t="s">
        <v>224</v>
      </c>
      <c r="B57" s="192"/>
      <c r="C57" s="427"/>
      <c r="D57" s="329"/>
      <c r="E57" s="192">
        <v>1378.5140471899999</v>
      </c>
      <c r="F57" s="427">
        <v>1812.529552</v>
      </c>
      <c r="G57" s="329">
        <f t="shared" si="44"/>
        <v>31.5</v>
      </c>
      <c r="H57" s="192"/>
      <c r="I57" s="427"/>
      <c r="J57" s="329"/>
      <c r="K57" s="192"/>
      <c r="L57" s="427"/>
      <c r="M57" s="329"/>
      <c r="N57" s="192"/>
      <c r="O57" s="427">
        <v>28</v>
      </c>
      <c r="P57" s="329" t="str">
        <f t="shared" si="55"/>
        <v xml:space="preserve">    ---- </v>
      </c>
      <c r="Q57" s="192"/>
      <c r="R57" s="427"/>
      <c r="S57" s="329"/>
      <c r="T57" s="192">
        <v>92.489311279999995</v>
      </c>
      <c r="U57" s="427">
        <v>88.497764989999993</v>
      </c>
      <c r="V57" s="329">
        <f t="shared" si="62"/>
        <v>-4.3</v>
      </c>
      <c r="W57" s="192"/>
      <c r="X57" s="427"/>
      <c r="Y57" s="329"/>
      <c r="Z57" s="192"/>
      <c r="AA57" s="427"/>
      <c r="AB57" s="329"/>
      <c r="AC57" s="192"/>
      <c r="AD57" s="427"/>
      <c r="AE57" s="329"/>
      <c r="AF57" s="192">
        <v>0</v>
      </c>
      <c r="AG57" s="427">
        <v>75.328000000000003</v>
      </c>
      <c r="AH57" s="329" t="str">
        <f t="shared" si="52"/>
        <v xml:space="preserve">    ---- </v>
      </c>
      <c r="AI57" s="192">
        <v>135</v>
      </c>
      <c r="AJ57" s="427">
        <v>127</v>
      </c>
      <c r="AK57" s="329">
        <f t="shared" si="53"/>
        <v>-5.9</v>
      </c>
      <c r="AL57" s="192"/>
      <c r="AM57" s="427"/>
      <c r="AN57" s="329"/>
      <c r="AO57" s="518">
        <f t="shared" si="59"/>
        <v>1606.00335847</v>
      </c>
      <c r="AP57" s="518">
        <f t="shared" si="59"/>
        <v>2131.3553169899997</v>
      </c>
      <c r="AQ57" s="329">
        <f t="shared" si="46"/>
        <v>32.700000000000003</v>
      </c>
      <c r="AR57" s="518">
        <f t="shared" si="60"/>
        <v>1606.00335847</v>
      </c>
      <c r="AS57" s="518">
        <f t="shared" si="60"/>
        <v>2131.3553169899997</v>
      </c>
      <c r="AT57" s="428">
        <f t="shared" si="48"/>
        <v>32.700000000000003</v>
      </c>
    </row>
    <row r="58" spans="1:46" s="440" customFormat="1" ht="20.100000000000001" customHeight="1" x14ac:dyDescent="0.3">
      <c r="A58" s="574" t="s">
        <v>225</v>
      </c>
      <c r="B58" s="192">
        <v>-90.51</v>
      </c>
      <c r="C58" s="427">
        <v>3.7270671200000001</v>
      </c>
      <c r="D58" s="329">
        <f>IF(B58=0, "    ---- ", IF(ABS(ROUND(100/B58*C58-100,1))&lt;999,ROUND(100/B58*C58-100,1),IF(ROUND(100/B58*C58-100,1)&gt;999,999,-999)))</f>
        <v>-104.1</v>
      </c>
      <c r="E58" s="192"/>
      <c r="F58" s="427"/>
      <c r="G58" s="329"/>
      <c r="H58" s="192"/>
      <c r="I58" s="427"/>
      <c r="J58" s="329"/>
      <c r="K58" s="192"/>
      <c r="L58" s="427"/>
      <c r="M58" s="329"/>
      <c r="N58" s="192"/>
      <c r="O58" s="427"/>
      <c r="P58" s="329"/>
      <c r="Q58" s="192"/>
      <c r="R58" s="427"/>
      <c r="S58" s="329"/>
      <c r="T58" s="192">
        <v>6.7304580700000001</v>
      </c>
      <c r="U58" s="427">
        <v>7.6415339999999998E-2</v>
      </c>
      <c r="V58" s="329">
        <f t="shared" si="62"/>
        <v>-98.9</v>
      </c>
      <c r="W58" s="192">
        <v>-47.15</v>
      </c>
      <c r="X58" s="427">
        <v>-1048.22</v>
      </c>
      <c r="Y58" s="329">
        <f t="shared" si="50"/>
        <v>999</v>
      </c>
      <c r="Z58" s="192"/>
      <c r="AA58" s="427"/>
      <c r="AB58" s="329"/>
      <c r="AC58" s="192"/>
      <c r="AD58" s="427"/>
      <c r="AE58" s="329"/>
      <c r="AF58" s="192">
        <v>86.744</v>
      </c>
      <c r="AG58" s="427">
        <v>0</v>
      </c>
      <c r="AH58" s="329">
        <f t="shared" si="52"/>
        <v>-100</v>
      </c>
      <c r="AI58" s="192">
        <v>829</v>
      </c>
      <c r="AJ58" s="427">
        <v>80</v>
      </c>
      <c r="AK58" s="329">
        <f t="shared" si="53"/>
        <v>-90.3</v>
      </c>
      <c r="AL58" s="192"/>
      <c r="AM58" s="427"/>
      <c r="AN58" s="329"/>
      <c r="AO58" s="518">
        <f t="shared" si="59"/>
        <v>784.81445807</v>
      </c>
      <c r="AP58" s="518">
        <f t="shared" si="59"/>
        <v>-964.41651754000009</v>
      </c>
      <c r="AQ58" s="329">
        <f t="shared" si="46"/>
        <v>-222.9</v>
      </c>
      <c r="AR58" s="518">
        <f t="shared" si="60"/>
        <v>784.81445807</v>
      </c>
      <c r="AS58" s="518">
        <f t="shared" si="60"/>
        <v>-964.41651754000009</v>
      </c>
      <c r="AT58" s="428">
        <f t="shared" si="48"/>
        <v>-222.9</v>
      </c>
    </row>
    <row r="59" spans="1:46" s="440" customFormat="1" ht="20.100000000000001" customHeight="1" x14ac:dyDescent="0.3">
      <c r="A59" s="574" t="s">
        <v>226</v>
      </c>
      <c r="B59" s="192">
        <f>229.351+281.07</f>
        <v>510.42099999999999</v>
      </c>
      <c r="C59" s="427">
        <v>550.55700000000002</v>
      </c>
      <c r="D59" s="329">
        <f>IF(B59=0, "    ---- ", IF(ABS(ROUND(100/B59*C59-100,1))&lt;999,ROUND(100/B59*C59-100,1),IF(ROUND(100/B59*C59-100,1)&gt;999,999,-999)))</f>
        <v>7.9</v>
      </c>
      <c r="E59" s="192"/>
      <c r="F59" s="427"/>
      <c r="G59" s="329"/>
      <c r="H59" s="192"/>
      <c r="I59" s="427"/>
      <c r="J59" s="329"/>
      <c r="K59" s="192"/>
      <c r="L59" s="427"/>
      <c r="M59" s="329"/>
      <c r="N59" s="192">
        <v>481</v>
      </c>
      <c r="O59" s="427">
        <v>132</v>
      </c>
      <c r="P59" s="329">
        <f>IF(N59=0, "    ---- ", IF(ABS(ROUND(100/N59*O59-100,1))&lt;999,ROUND(100/N59*O59-100,1),IF(ROUND(100/N59*O59-100,1)&gt;999,999,-999)))</f>
        <v>-72.599999999999994</v>
      </c>
      <c r="Q59" s="192"/>
      <c r="R59" s="427"/>
      <c r="S59" s="329"/>
      <c r="T59" s="192">
        <v>-1E-8</v>
      </c>
      <c r="U59" s="427">
        <v>0.35988421000000004</v>
      </c>
      <c r="V59" s="329">
        <f t="shared" si="62"/>
        <v>-999</v>
      </c>
      <c r="W59" s="192">
        <v>1072.6400000000001</v>
      </c>
      <c r="X59" s="427">
        <v>448.02</v>
      </c>
      <c r="Y59" s="329">
        <f t="shared" si="50"/>
        <v>-58.2</v>
      </c>
      <c r="Z59" s="192"/>
      <c r="AA59" s="427"/>
      <c r="AB59" s="329"/>
      <c r="AC59" s="192"/>
      <c r="AD59" s="427"/>
      <c r="AE59" s="329"/>
      <c r="AF59" s="192">
        <v>97.150999999999996</v>
      </c>
      <c r="AG59" s="427">
        <v>125.002</v>
      </c>
      <c r="AH59" s="329">
        <f t="shared" si="52"/>
        <v>28.7</v>
      </c>
      <c r="AI59" s="192"/>
      <c r="AJ59" s="427"/>
      <c r="AK59" s="329"/>
      <c r="AL59" s="192"/>
      <c r="AM59" s="427">
        <v>2</v>
      </c>
      <c r="AN59" s="329" t="str">
        <f t="shared" si="63"/>
        <v xml:space="preserve">    ---- </v>
      </c>
      <c r="AO59" s="518">
        <f t="shared" si="59"/>
        <v>2161.2119999900001</v>
      </c>
      <c r="AP59" s="518">
        <f t="shared" si="59"/>
        <v>1255.93888421</v>
      </c>
      <c r="AQ59" s="329">
        <f t="shared" si="46"/>
        <v>-41.9</v>
      </c>
      <c r="AR59" s="518">
        <f t="shared" si="60"/>
        <v>2161.2119999900001</v>
      </c>
      <c r="AS59" s="518">
        <f t="shared" si="60"/>
        <v>1257.93888421</v>
      </c>
      <c r="AT59" s="428">
        <f t="shared" si="48"/>
        <v>-41.8</v>
      </c>
    </row>
    <row r="60" spans="1:46" s="440" customFormat="1" ht="20.100000000000001" customHeight="1" x14ac:dyDescent="0.3">
      <c r="A60" s="622" t="s">
        <v>227</v>
      </c>
      <c r="B60" s="192">
        <f>SUM(B48+B49+B50+B54)</f>
        <v>27529.055</v>
      </c>
      <c r="C60" s="427">
        <f>SUM(C48+C49+C50+C54)</f>
        <v>26528.46043214</v>
      </c>
      <c r="D60" s="329">
        <f>IF(B60=0, "    ---- ", IF(ABS(ROUND(100/B60*C60-100,1))&lt;999,ROUND(100/B60*C60-100,1),IF(ROUND(100/B60*C60-100,1)&gt;999,999,-999)))</f>
        <v>-3.6</v>
      </c>
      <c r="E60" s="192">
        <f>SUM(E48+E49+E50+E54)</f>
        <v>131616.57004986098</v>
      </c>
      <c r="F60" s="427">
        <f>SUM(F48+F49+F50+F54)</f>
        <v>128365.13936105999</v>
      </c>
      <c r="G60" s="329">
        <f t="shared" si="44"/>
        <v>-2.5</v>
      </c>
      <c r="H60" s="192"/>
      <c r="I60" s="427"/>
      <c r="J60" s="329"/>
      <c r="K60" s="192"/>
      <c r="L60" s="427"/>
      <c r="M60" s="329"/>
      <c r="N60" s="192">
        <f>SUM(N48+N49+N50+N54)</f>
        <v>40002.1</v>
      </c>
      <c r="O60" s="427">
        <f>SUM(O48+O49+O50+O54)</f>
        <v>40928</v>
      </c>
      <c r="P60" s="329">
        <f>IF(N60=0, "    ---- ", IF(ABS(ROUND(100/N60*O60-100,1))&lt;999,ROUND(100/N60*O60-100,1),IF(ROUND(100/N60*O60-100,1)&gt;999,999,-999)))</f>
        <v>2.2999999999999998</v>
      </c>
      <c r="Q60" s="192"/>
      <c r="R60" s="427"/>
      <c r="S60" s="329"/>
      <c r="T60" s="192">
        <v>2155.9302392500003</v>
      </c>
      <c r="U60" s="427">
        <v>2601.7557707300002</v>
      </c>
      <c r="V60" s="329">
        <f t="shared" si="62"/>
        <v>20.7</v>
      </c>
      <c r="W60" s="192">
        <f>SUM(W48+W49+W50+W54)</f>
        <v>117827.81999999999</v>
      </c>
      <c r="X60" s="427">
        <f>SUM(X48+X49+X50+X54)</f>
        <v>112327.40000000001</v>
      </c>
      <c r="Y60" s="329">
        <f t="shared" si="50"/>
        <v>-4.7</v>
      </c>
      <c r="Z60" s="192"/>
      <c r="AA60" s="427"/>
      <c r="AB60" s="329"/>
      <c r="AC60" s="192">
        <f>SUM(AC48+AC49+AC50+AC54)</f>
        <v>3191.3599081399998</v>
      </c>
      <c r="AD60" s="427">
        <f>SUM(AD48+AD49+AD50+AD54)</f>
        <v>2700.3462319700002</v>
      </c>
      <c r="AE60" s="329">
        <f>IF(AC60=0, "    ---- ", IF(ABS(ROUND(100/AC60*AD60-100,1))&lt;999,ROUND(100/AC60*AD60-100,1),IF(ROUND(100/AC60*AD60-100,1)&gt;999,999,-999)))</f>
        <v>-15.4</v>
      </c>
      <c r="AF60" s="192">
        <f>SUM(AF48+AF49+AF50+AF54)</f>
        <v>52210.942999999999</v>
      </c>
      <c r="AG60" s="427">
        <f>SUM(AG48+AG49+AG50+AG54)</f>
        <v>52708.011999999995</v>
      </c>
      <c r="AH60" s="329">
        <f t="shared" si="52"/>
        <v>1</v>
      </c>
      <c r="AI60" s="192">
        <f>SUM(AI48+AI49+AI50+AI54)</f>
        <v>151563</v>
      </c>
      <c r="AJ60" s="427">
        <f>SUM(AJ48+AJ49+AJ50+AJ54)</f>
        <v>147951</v>
      </c>
      <c r="AK60" s="329">
        <f t="shared" si="53"/>
        <v>-2.4</v>
      </c>
      <c r="AL60" s="192"/>
      <c r="AM60" s="427">
        <f>SUM(AM48+AM49+AM50+AM54)</f>
        <v>2</v>
      </c>
      <c r="AN60" s="329" t="str">
        <f t="shared" si="63"/>
        <v xml:space="preserve">    ---- </v>
      </c>
      <c r="AO60" s="518">
        <f t="shared" si="59"/>
        <v>522905.418289111</v>
      </c>
      <c r="AP60" s="518">
        <f t="shared" si="59"/>
        <v>511409.76756393001</v>
      </c>
      <c r="AQ60" s="329">
        <f t="shared" si="46"/>
        <v>-2.2000000000000002</v>
      </c>
      <c r="AR60" s="518">
        <f t="shared" si="60"/>
        <v>526096.77819725091</v>
      </c>
      <c r="AS60" s="518">
        <f t="shared" si="60"/>
        <v>514112.11379590002</v>
      </c>
      <c r="AT60" s="428">
        <f t="shared" si="48"/>
        <v>-2.2999999999999998</v>
      </c>
    </row>
    <row r="61" spans="1:46" s="440" customFormat="1" ht="20.100000000000001" customHeight="1" x14ac:dyDescent="0.3">
      <c r="A61" s="594" t="s">
        <v>326</v>
      </c>
      <c r="B61" s="192"/>
      <c r="C61" s="427"/>
      <c r="D61" s="329"/>
      <c r="E61" s="192"/>
      <c r="F61" s="427"/>
      <c r="G61" s="329"/>
      <c r="H61" s="192"/>
      <c r="I61" s="427"/>
      <c r="J61" s="329"/>
      <c r="K61" s="192"/>
      <c r="L61" s="427"/>
      <c r="M61" s="329"/>
      <c r="N61" s="192">
        <v>2.7</v>
      </c>
      <c r="O61" s="427">
        <v>4</v>
      </c>
      <c r="P61" s="329"/>
      <c r="Q61" s="192"/>
      <c r="R61" s="427"/>
      <c r="S61" s="329"/>
      <c r="T61" s="192"/>
      <c r="U61" s="427"/>
      <c r="V61" s="329"/>
      <c r="W61" s="192"/>
      <c r="X61" s="427"/>
      <c r="Y61" s="329"/>
      <c r="Z61" s="192"/>
      <c r="AA61" s="427"/>
      <c r="AB61" s="329"/>
      <c r="AC61" s="192"/>
      <c r="AD61" s="427"/>
      <c r="AE61" s="329"/>
      <c r="AF61" s="192"/>
      <c r="AG61" s="427"/>
      <c r="AH61" s="329"/>
      <c r="AI61" s="192"/>
      <c r="AJ61" s="427"/>
      <c r="AK61" s="329"/>
      <c r="AL61" s="192"/>
      <c r="AM61" s="427"/>
      <c r="AN61" s="329"/>
      <c r="AO61" s="518">
        <f t="shared" si="59"/>
        <v>2.7</v>
      </c>
      <c r="AP61" s="518">
        <f t="shared" si="59"/>
        <v>4</v>
      </c>
      <c r="AQ61" s="329">
        <f t="shared" si="46"/>
        <v>48.1</v>
      </c>
      <c r="AR61" s="518">
        <f t="shared" si="60"/>
        <v>2.7</v>
      </c>
      <c r="AS61" s="518">
        <f t="shared" si="60"/>
        <v>4</v>
      </c>
      <c r="AT61" s="428">
        <f t="shared" si="48"/>
        <v>48.1</v>
      </c>
    </row>
    <row r="62" spans="1:46" s="440" customFormat="1" ht="20.100000000000001" customHeight="1" x14ac:dyDescent="0.3">
      <c r="A62" s="574" t="s">
        <v>228</v>
      </c>
      <c r="B62" s="192">
        <f>SUM(B45+B46+B60+B61)</f>
        <v>29104.954000000002</v>
      </c>
      <c r="C62" s="427">
        <f>SUM(C45+C46+C60+C61)</f>
        <v>28199.351614849998</v>
      </c>
      <c r="D62" s="329">
        <f>IF(B62=0, "    ---- ", IF(ABS(ROUND(100/B62*C62-100,1))&lt;999,ROUND(100/B62*C62-100,1),IF(ROUND(100/B62*C62-100,1)&gt;999,999,-999)))</f>
        <v>-3.1</v>
      </c>
      <c r="E62" s="192">
        <f>SUM(E45+E46+E60+E61)</f>
        <v>333137.31665271102</v>
      </c>
      <c r="F62" s="427">
        <f>SUM(F45+F46+F60+F61)</f>
        <v>327593.53743051994</v>
      </c>
      <c r="G62" s="329">
        <f t="shared" si="44"/>
        <v>-1.7</v>
      </c>
      <c r="H62" s="192">
        <f>SUM(H45+H46+H60+H61)</f>
        <v>7753.4575451400015</v>
      </c>
      <c r="I62" s="427">
        <f>SUM(I45+I46+I60+I61)</f>
        <v>8473.779012089999</v>
      </c>
      <c r="J62" s="329">
        <f>IF(H62=0, "    ---- ", IF(ABS(ROUND(100/H62*I62-100,1))&lt;999,ROUND(100/H62*I62-100,1),IF(ROUND(100/H62*I62-100,1)&gt;999,999,-999)))</f>
        <v>9.3000000000000007</v>
      </c>
      <c r="K62" s="192">
        <f>SUM(K45+K46+K60+K61)</f>
        <v>1278.7735199999997</v>
      </c>
      <c r="L62" s="427">
        <f>SUM(L45+L46+L60+L61)</f>
        <v>1435.682</v>
      </c>
      <c r="M62" s="329">
        <f>IF(K62=0, "    ---- ", IF(ABS(ROUND(100/K62*L62-100,1))&lt;999,ROUND(100/K62*L62-100,1),IF(ROUND(100/K62*L62-100,1)&gt;999,999,-999)))</f>
        <v>12.3</v>
      </c>
      <c r="N62" s="192">
        <f>SUM(N45+N46+N60+N61)</f>
        <v>48187.999999999993</v>
      </c>
      <c r="O62" s="427">
        <f>SUM(O45+O46+O60+O61)</f>
        <v>49684</v>
      </c>
      <c r="P62" s="329">
        <f>IF(N62=0, "    ---- ", IF(ABS(ROUND(100/N62*O62-100,1))&lt;999,ROUND(100/N62*O62-100,1),IF(ROUND(100/N62*O62-100,1)&gt;999,999,-999)))</f>
        <v>3.1</v>
      </c>
      <c r="Q62" s="192"/>
      <c r="R62" s="427"/>
      <c r="S62" s="329"/>
      <c r="T62" s="192">
        <v>646315.78010107996</v>
      </c>
      <c r="U62" s="427">
        <v>673696.89112057001</v>
      </c>
      <c r="V62" s="329">
        <f>IF(T62=0, "    ---- ", IF(ABS(ROUND(100/T62*U62-100,1))&lt;999,ROUND(100/T62*U62-100,1),IF(ROUND(100/T62*U62-100,1)&gt;999,999,-999)))</f>
        <v>4.2</v>
      </c>
      <c r="W62" s="192">
        <f>SUM(W45+W46+W60+W61)</f>
        <v>173664.10426476999</v>
      </c>
      <c r="X62" s="427">
        <f>SUM(X45+X46+X60+X61)</f>
        <v>168551.16746562</v>
      </c>
      <c r="Y62" s="329">
        <f t="shared" si="50"/>
        <v>-2.9</v>
      </c>
      <c r="Z62" s="192">
        <f>SUM(Z45+Z46+Z60+Z61)</f>
        <v>110343</v>
      </c>
      <c r="AA62" s="427">
        <f>SUM(AA45+AA46+AA60+AA61)</f>
        <v>111391</v>
      </c>
      <c r="AB62" s="329">
        <f>IF(Z62=0, "    ---- ", IF(ABS(ROUND(100/Z62*AA62-100,1))&lt;999,ROUND(100/Z62*AA62-100,1),IF(ROUND(100/Z62*AA62-100,1)&gt;999,999,-999)))</f>
        <v>0.9</v>
      </c>
      <c r="AC62" s="192">
        <f>SUM(AC45+AC46+AC60+AC61)</f>
        <v>3191.3599081399998</v>
      </c>
      <c r="AD62" s="427">
        <f>SUM(AD45+AD46+AD60+AD61)</f>
        <v>2700.3462319700002</v>
      </c>
      <c r="AE62" s="329">
        <f>IF(AC62=0, "    ---- ", IF(ABS(ROUND(100/AC62*AD62-100,1))&lt;999,ROUND(100/AC62*AD62-100,1),IF(ROUND(100/AC62*AD62-100,1)&gt;999,999,-999)))</f>
        <v>-15.4</v>
      </c>
      <c r="AF62" s="192">
        <f>SUM(AF45+AF46+AF60+AF61)</f>
        <v>75506.63</v>
      </c>
      <c r="AG62" s="427">
        <f>SUM(AG45+AG46+AG60+AG61)</f>
        <v>75664.732999999993</v>
      </c>
      <c r="AH62" s="329">
        <f t="shared" si="52"/>
        <v>0.2</v>
      </c>
      <c r="AI62" s="192">
        <f>SUM(AI45+AI46+AI60+AI61)</f>
        <v>358984</v>
      </c>
      <c r="AJ62" s="427">
        <f>SUM(AJ45+AJ46+AJ60+AJ61)</f>
        <v>350856</v>
      </c>
      <c r="AK62" s="329">
        <f t="shared" si="53"/>
        <v>-2.2999999999999998</v>
      </c>
      <c r="AL62" s="192"/>
      <c r="AM62" s="427">
        <f>SUM(AM45+AM46+AM60+AM61)</f>
        <v>2</v>
      </c>
      <c r="AN62" s="329" t="str">
        <f t="shared" ref="AN62" si="64">IF(AL62=0, "    ---- ", IF(ABS(ROUND(100/AL62*AM62-100,1))&lt;999,ROUND(100/AL62*AM62-100,1),IF(ROUND(100/AL62*AM62-100,1)&gt;999,999,-999)))</f>
        <v xml:space="preserve">    ---- </v>
      </c>
      <c r="AO62" s="518">
        <f t="shared" si="59"/>
        <v>1784276.016083701</v>
      </c>
      <c r="AP62" s="518">
        <f t="shared" si="59"/>
        <v>1795546.1416436499</v>
      </c>
      <c r="AQ62" s="329">
        <f t="shared" si="46"/>
        <v>0.6</v>
      </c>
      <c r="AR62" s="518">
        <f t="shared" si="60"/>
        <v>1787467.3759918408</v>
      </c>
      <c r="AS62" s="518">
        <f t="shared" si="60"/>
        <v>1798248.4878756199</v>
      </c>
      <c r="AT62" s="428">
        <f t="shared" si="48"/>
        <v>0.6</v>
      </c>
    </row>
    <row r="63" spans="1:46" s="461" customFormat="1" ht="20.100000000000001" customHeight="1" x14ac:dyDescent="0.3">
      <c r="A63" s="594"/>
      <c r="B63" s="194"/>
      <c r="C63" s="426"/>
      <c r="D63" s="425"/>
      <c r="E63" s="194"/>
      <c r="F63" s="426"/>
      <c r="G63" s="425"/>
      <c r="H63" s="194"/>
      <c r="I63" s="426"/>
      <c r="J63" s="425"/>
      <c r="K63" s="194"/>
      <c r="L63" s="426"/>
      <c r="M63" s="425"/>
      <c r="N63" s="194"/>
      <c r="O63" s="426"/>
      <c r="P63" s="429"/>
      <c r="Q63" s="194"/>
      <c r="R63" s="426"/>
      <c r="S63" s="425"/>
      <c r="T63" s="194"/>
      <c r="U63" s="426"/>
      <c r="V63" s="425"/>
      <c r="W63" s="194"/>
      <c r="X63" s="426"/>
      <c r="Y63" s="425"/>
      <c r="Z63" s="194"/>
      <c r="AA63" s="426"/>
      <c r="AB63" s="425"/>
      <c r="AC63" s="194"/>
      <c r="AD63" s="426"/>
      <c r="AE63" s="425"/>
      <c r="AF63" s="194"/>
      <c r="AG63" s="426"/>
      <c r="AH63" s="425"/>
      <c r="AI63" s="194"/>
      <c r="AJ63" s="426"/>
      <c r="AK63" s="425"/>
      <c r="AL63" s="194"/>
      <c r="AM63" s="426"/>
      <c r="AN63" s="425"/>
      <c r="AO63" s="429"/>
      <c r="AP63" s="429"/>
      <c r="AQ63" s="425"/>
      <c r="AR63" s="429"/>
      <c r="AS63" s="429"/>
      <c r="AT63" s="430"/>
    </row>
    <row r="64" spans="1:46" s="461" customFormat="1" ht="20.100000000000001" customHeight="1" x14ac:dyDescent="0.3">
      <c r="A64" s="594" t="s">
        <v>229</v>
      </c>
      <c r="B64" s="194">
        <f>SUM(B29+B62)</f>
        <v>30185.07</v>
      </c>
      <c r="C64" s="426">
        <f>SUM(C29+C62)</f>
        <v>29297.583704089997</v>
      </c>
      <c r="D64" s="425">
        <f>IF(B64=0, "    ---- ", IF(ABS(ROUND(100/B64*C64-100,1))&lt;999,ROUND(100/B64*C64-100,1),IF(ROUND(100/B64*C64-100,1)&gt;999,999,-999)))</f>
        <v>-2.9</v>
      </c>
      <c r="E64" s="194">
        <f>SUM(E29+E62)</f>
        <v>368989.75833177101</v>
      </c>
      <c r="F64" s="426">
        <f>SUM(F29+F62)</f>
        <v>360740.82437555993</v>
      </c>
      <c r="G64" s="425">
        <f t="shared" si="44"/>
        <v>-2.2000000000000002</v>
      </c>
      <c r="H64" s="194">
        <f>SUM(H29+H62)</f>
        <v>11628.160683760001</v>
      </c>
      <c r="I64" s="426">
        <f>SUM(I29+I62)</f>
        <v>12018.022777309998</v>
      </c>
      <c r="J64" s="425">
        <f>IF(H64=0, "    ---- ", IF(ABS(ROUND(100/H64*I64-100,1))&lt;999,ROUND(100/H64*I64-100,1),IF(ROUND(100/H64*I64-100,1)&gt;999,999,-999)))</f>
        <v>3.4</v>
      </c>
      <c r="K64" s="194">
        <f>SUM(K29+K62)</f>
        <v>1992.6730969999999</v>
      </c>
      <c r="L64" s="426">
        <f>SUM(L29+L62)</f>
        <v>2135.6482999999998</v>
      </c>
      <c r="M64" s="425">
        <f>IF(K64=0, "    ---- ", IF(ABS(ROUND(100/K64*L64-100,1))&lt;999,ROUND(100/K64*L64-100,1),IF(ROUND(100/K64*L64-100,1)&gt;999,999,-999)))</f>
        <v>7.2</v>
      </c>
      <c r="N64" s="194">
        <f>SUM(N29+N62)</f>
        <v>49801.19999999999</v>
      </c>
      <c r="O64" s="426">
        <f>SUM(O29+O62)</f>
        <v>51329</v>
      </c>
      <c r="P64" s="429">
        <f>IF(N64=0, "    ---- ", IF(ABS(ROUND(100/N64*O64-100,1))&lt;999,ROUND(100/N64*O64-100,1),IF(ROUND(100/N64*O64-100,1)&gt;999,999,-999)))</f>
        <v>3.1</v>
      </c>
      <c r="Q64" s="194">
        <f>SUM(Q29+Q62)</f>
        <v>161.35311759999999</v>
      </c>
      <c r="R64" s="426">
        <f>SUM(R29+R62)</f>
        <v>158.73574070000001</v>
      </c>
      <c r="S64" s="425">
        <f>IF(Q64=0, "    ---- ", IF(ABS(ROUND(100/Q64*R64-100,1))&lt;999,ROUND(100/Q64*R64-100,1),IF(ROUND(100/Q64*R64-100,1)&gt;999,999,-999)))</f>
        <v>-1.6</v>
      </c>
      <c r="T64" s="194">
        <v>694522.36689357995</v>
      </c>
      <c r="U64" s="426">
        <v>720770.63887936005</v>
      </c>
      <c r="V64" s="425">
        <f>IF(T64=0, "    ---- ", IF(ABS(ROUND(100/T64*U64-100,1))&lt;999,ROUND(100/T64*U64-100,1),IF(ROUND(100/T64*U64-100,1)&gt;999,999,-999)))</f>
        <v>3.8</v>
      </c>
      <c r="W64" s="194">
        <f>SUM(W29+W62)</f>
        <v>185981.51426477</v>
      </c>
      <c r="X64" s="426">
        <f>SUM(X29+X62)</f>
        <v>181083.19746562</v>
      </c>
      <c r="Y64" s="425">
        <f t="shared" si="50"/>
        <v>-2.6</v>
      </c>
      <c r="Z64" s="194">
        <f>SUM(Z29+Z62)</f>
        <v>122402</v>
      </c>
      <c r="AA64" s="426">
        <f>SUM(AA29+AA62)</f>
        <v>123845</v>
      </c>
      <c r="AB64" s="425">
        <f>IF(Z64=0, "    ---- ", IF(ABS(ROUND(100/Z64*AA64-100,1))&lt;999,ROUND(100/Z64*AA64-100,1),IF(ROUND(100/Z64*AA64-100,1)&gt;999,999,-999)))</f>
        <v>1.2</v>
      </c>
      <c r="AC64" s="194">
        <f>SUM(AC29+AC62)</f>
        <v>3286.8092748099998</v>
      </c>
      <c r="AD64" s="426">
        <f>SUM(AD29+AD62)</f>
        <v>2805.8782085000003</v>
      </c>
      <c r="AE64" s="425">
        <f>IF(AC64=0, "    ---- ", IF(ABS(ROUND(100/AC64*AD64-100,1))&lt;999,ROUND(100/AC64*AD64-100,1),IF(ROUND(100/AC64*AD64-100,1)&gt;999,999,-999)))</f>
        <v>-14.6</v>
      </c>
      <c r="AF64" s="194">
        <f>SUM(AF29+AF62)</f>
        <v>83377.442999999999</v>
      </c>
      <c r="AG64" s="426">
        <f>SUM(AG29+AG62)</f>
        <v>82977.410999999993</v>
      </c>
      <c r="AH64" s="425">
        <f t="shared" si="52"/>
        <v>-0.5</v>
      </c>
      <c r="AI64" s="194">
        <f>SUM(AI29+AI62)</f>
        <v>404495</v>
      </c>
      <c r="AJ64" s="426">
        <f>SUM(AJ29+AJ62)</f>
        <v>398483</v>
      </c>
      <c r="AK64" s="425">
        <f t="shared" si="53"/>
        <v>-1.5</v>
      </c>
      <c r="AL64" s="194"/>
      <c r="AM64" s="426">
        <f>SUM(AM29+AM62)</f>
        <v>11</v>
      </c>
      <c r="AN64" s="425" t="str">
        <f t="shared" ref="AN64" si="65">IF(AL64=0, "    ---- ", IF(ABS(ROUND(100/AL64*AM64-100,1))&lt;999,ROUND(100/AL64*AM64-100,1),IF(ROUND(100/AL64*AM64-100,1)&gt;999,999,-999)))</f>
        <v xml:space="preserve">    ---- </v>
      </c>
      <c r="AO64" s="678">
        <f t="shared" ref="AO64:AP64" si="66">B64+E64+H64+K64+N64+T64+W64+Z64+AF64+AI64</f>
        <v>1953375.186270881</v>
      </c>
      <c r="AP64" s="678">
        <f t="shared" si="66"/>
        <v>1962680.3265019401</v>
      </c>
      <c r="AQ64" s="425">
        <f t="shared" si="46"/>
        <v>0.5</v>
      </c>
      <c r="AR64" s="678">
        <f t="shared" ref="AR64:AS64" si="67">B64+E64+H64+K64+N64+Q64+T64+W64+Z64+AC64+AF64+AI64+AL64</f>
        <v>1956823.348663291</v>
      </c>
      <c r="AS64" s="678">
        <f t="shared" si="67"/>
        <v>1965655.94045114</v>
      </c>
      <c r="AT64" s="430">
        <f t="shared" si="48"/>
        <v>0.5</v>
      </c>
    </row>
    <row r="65" spans="1:46" s="440" customFormat="1" ht="20.100000000000001" customHeight="1" x14ac:dyDescent="0.3">
      <c r="A65" s="624"/>
      <c r="B65" s="192"/>
      <c r="C65" s="427"/>
      <c r="D65" s="329"/>
      <c r="E65" s="192"/>
      <c r="F65" s="427"/>
      <c r="G65" s="329"/>
      <c r="H65" s="192"/>
      <c r="I65" s="427"/>
      <c r="J65" s="329"/>
      <c r="K65" s="192"/>
      <c r="L65" s="427"/>
      <c r="M65" s="329"/>
      <c r="N65" s="192"/>
      <c r="O65" s="427"/>
      <c r="P65" s="423"/>
      <c r="Q65" s="192"/>
      <c r="R65" s="427"/>
      <c r="S65" s="329"/>
      <c r="T65" s="192"/>
      <c r="U65" s="427"/>
      <c r="V65" s="329"/>
      <c r="W65" s="192"/>
      <c r="X65" s="427"/>
      <c r="Y65" s="329"/>
      <c r="Z65" s="192"/>
      <c r="AA65" s="427"/>
      <c r="AB65" s="329"/>
      <c r="AC65" s="192"/>
      <c r="AD65" s="427"/>
      <c r="AE65" s="329"/>
      <c r="AF65" s="192"/>
      <c r="AG65" s="427"/>
      <c r="AH65" s="329"/>
      <c r="AI65" s="192"/>
      <c r="AJ65" s="427"/>
      <c r="AK65" s="329"/>
      <c r="AL65" s="192"/>
      <c r="AM65" s="427"/>
      <c r="AN65" s="329"/>
      <c r="AO65" s="423"/>
      <c r="AP65" s="423"/>
      <c r="AQ65" s="329"/>
      <c r="AR65" s="423"/>
      <c r="AS65" s="423"/>
      <c r="AT65" s="428"/>
    </row>
    <row r="66" spans="1:46" s="440" customFormat="1" ht="20.100000000000001" customHeight="1" x14ac:dyDescent="0.3">
      <c r="A66" s="594" t="s">
        <v>230</v>
      </c>
      <c r="B66" s="192"/>
      <c r="C66" s="427"/>
      <c r="D66" s="329"/>
      <c r="E66" s="192"/>
      <c r="F66" s="427"/>
      <c r="G66" s="329"/>
      <c r="H66" s="192"/>
      <c r="I66" s="427"/>
      <c r="J66" s="329"/>
      <c r="K66" s="192"/>
      <c r="L66" s="427"/>
      <c r="M66" s="329"/>
      <c r="N66" s="192"/>
      <c r="O66" s="427"/>
      <c r="P66" s="423"/>
      <c r="Q66" s="192"/>
      <c r="R66" s="427"/>
      <c r="S66" s="329"/>
      <c r="T66" s="192"/>
      <c r="U66" s="427"/>
      <c r="V66" s="329"/>
      <c r="W66" s="192"/>
      <c r="X66" s="427"/>
      <c r="Y66" s="329"/>
      <c r="Z66" s="192"/>
      <c r="AA66" s="427"/>
      <c r="AB66" s="329"/>
      <c r="AC66" s="192"/>
      <c r="AD66" s="427"/>
      <c r="AE66" s="329"/>
      <c r="AF66" s="192"/>
      <c r="AG66" s="427"/>
      <c r="AH66" s="329"/>
      <c r="AI66" s="192"/>
      <c r="AJ66" s="427"/>
      <c r="AK66" s="329"/>
      <c r="AL66" s="192"/>
      <c r="AM66" s="427"/>
      <c r="AN66" s="329"/>
      <c r="AO66" s="423"/>
      <c r="AP66" s="423"/>
      <c r="AQ66" s="329"/>
      <c r="AR66" s="423"/>
      <c r="AS66" s="423"/>
      <c r="AT66" s="428"/>
    </row>
    <row r="67" spans="1:46" s="440" customFormat="1" ht="20.100000000000001" customHeight="1" x14ac:dyDescent="0.3">
      <c r="A67" s="594"/>
      <c r="B67" s="192"/>
      <c r="C67" s="427"/>
      <c r="D67" s="329"/>
      <c r="E67" s="192"/>
      <c r="F67" s="427"/>
      <c r="G67" s="329"/>
      <c r="H67" s="192"/>
      <c r="I67" s="427"/>
      <c r="J67" s="329"/>
      <c r="K67" s="192"/>
      <c r="L67" s="427"/>
      <c r="M67" s="329"/>
      <c r="N67" s="192"/>
      <c r="O67" s="427"/>
      <c r="P67" s="423"/>
      <c r="Q67" s="192"/>
      <c r="R67" s="427"/>
      <c r="S67" s="329"/>
      <c r="T67" s="192"/>
      <c r="U67" s="427"/>
      <c r="V67" s="329"/>
      <c r="W67" s="192"/>
      <c r="X67" s="427"/>
      <c r="Y67" s="329"/>
      <c r="Z67" s="192"/>
      <c r="AA67" s="427"/>
      <c r="AB67" s="329"/>
      <c r="AC67" s="192"/>
      <c r="AD67" s="427"/>
      <c r="AE67" s="329"/>
      <c r="AF67" s="192"/>
      <c r="AG67" s="427"/>
      <c r="AH67" s="329"/>
      <c r="AI67" s="192"/>
      <c r="AJ67" s="427"/>
      <c r="AK67" s="329"/>
      <c r="AL67" s="192"/>
      <c r="AM67" s="427"/>
      <c r="AN67" s="329"/>
      <c r="AO67" s="423"/>
      <c r="AP67" s="423"/>
      <c r="AQ67" s="329"/>
      <c r="AR67" s="423"/>
      <c r="AS67" s="423"/>
      <c r="AT67" s="428"/>
    </row>
    <row r="68" spans="1:46" s="440" customFormat="1" ht="20.100000000000001" customHeight="1" x14ac:dyDescent="0.3">
      <c r="A68" s="574" t="s">
        <v>231</v>
      </c>
      <c r="B68" s="192">
        <v>406.16</v>
      </c>
      <c r="C68" s="427">
        <v>406.15993775999999</v>
      </c>
      <c r="D68" s="329">
        <f>IF(B68=0, "    ---- ", IF(ABS(ROUND(100/B68*C68-100,1))&lt;999,ROUND(100/B68*C68-100,1),IF(ROUND(100/B68*C68-100,1)&gt;999,999,-999)))</f>
        <v>0</v>
      </c>
      <c r="E68" s="192">
        <v>7657.0531522000001</v>
      </c>
      <c r="F68" s="427">
        <v>7657.0531522000001</v>
      </c>
      <c r="G68" s="329">
        <f t="shared" si="44"/>
        <v>0</v>
      </c>
      <c r="H68" s="192">
        <v>2452.057311</v>
      </c>
      <c r="I68" s="427">
        <v>2452.057311</v>
      </c>
      <c r="J68" s="329">
        <f>IF(H68=0, "    ---- ", IF(ABS(ROUND(100/H68*I68-100,1))&lt;999,ROUND(100/H68*I68-100,1),IF(ROUND(100/H68*I68-100,1)&gt;999,999,-999)))</f>
        <v>0</v>
      </c>
      <c r="K68" s="192">
        <v>210</v>
      </c>
      <c r="L68" s="427">
        <v>210</v>
      </c>
      <c r="M68" s="329">
        <f>IF(K68=0, "    ---- ", IF(ABS(ROUND(100/K68*L68-100,1))&lt;999,ROUND(100/K68*L68-100,1),IF(ROUND(100/K68*L68-100,1)&gt;999,999,-999)))</f>
        <v>0</v>
      </c>
      <c r="N68" s="192">
        <v>121.9</v>
      </c>
      <c r="O68" s="427">
        <v>122</v>
      </c>
      <c r="P68" s="423">
        <f>IF(N68=0, "    ---- ", IF(ABS(ROUND(100/N68*O68-100,1))&lt;999,ROUND(100/N68*O68-100,1),IF(ROUND(100/N68*O68-100,1)&gt;999,999,-999)))</f>
        <v>0.1</v>
      </c>
      <c r="Q68" s="192">
        <v>5</v>
      </c>
      <c r="R68" s="427">
        <v>5</v>
      </c>
      <c r="S68" s="329">
        <f>IF(Q68=0, "    ---- ", IF(ABS(ROUND(100/Q68*R68-100,1))&lt;999,ROUND(100/Q68*R68-100,1),IF(ROUND(100/Q68*R68-100,1)&gt;999,999,-999)))</f>
        <v>0</v>
      </c>
      <c r="T68" s="192">
        <v>18971.261301999999</v>
      </c>
      <c r="U68" s="427">
        <v>20812.485427</v>
      </c>
      <c r="V68" s="329">
        <f t="shared" ref="V68:V80" si="68">IF(T68=0, "    ---- ", IF(ABS(ROUND(100/T68*U68-100,1))&lt;999,ROUND(100/T68*U68-100,1),IF(ROUND(100/T68*U68-100,1)&gt;999,999,-999)))</f>
        <v>9.6999999999999993</v>
      </c>
      <c r="W68" s="192">
        <v>1126.76</v>
      </c>
      <c r="X68" s="427">
        <v>1126.76</v>
      </c>
      <c r="Y68" s="329">
        <f t="shared" si="50"/>
        <v>0</v>
      </c>
      <c r="Z68" s="192">
        <v>1430</v>
      </c>
      <c r="AA68" s="427">
        <v>1430</v>
      </c>
      <c r="AB68" s="329">
        <f>IF(Z68=0, "    ---- ", IF(ABS(ROUND(100/Z68*AA68-100,1))&lt;999,ROUND(100/Z68*AA68-100,1),IF(ROUND(100/Z68*AA68-100,1)&gt;999,999,-999)))</f>
        <v>0</v>
      </c>
      <c r="AC68" s="192">
        <v>48.519831859999996</v>
      </c>
      <c r="AD68" s="427">
        <v>48.519831859999996</v>
      </c>
      <c r="AE68" s="329">
        <f>IF(AC68=0, "    ---- ", IF(ABS(ROUND(100/AC68*AD68-100,1))&lt;999,ROUND(100/AC68*AD68-100,1),IF(ROUND(100/AC68*AD68-100,1)&gt;999,999,-999)))</f>
        <v>0</v>
      </c>
      <c r="AF68" s="192">
        <v>4257.0320000000002</v>
      </c>
      <c r="AG68" s="427">
        <v>4972.6959999999999</v>
      </c>
      <c r="AH68" s="329">
        <f t="shared" si="52"/>
        <v>16.8</v>
      </c>
      <c r="AI68" s="192">
        <v>14361</v>
      </c>
      <c r="AJ68" s="427">
        <v>15150</v>
      </c>
      <c r="AK68" s="329">
        <f t="shared" si="53"/>
        <v>5.5</v>
      </c>
      <c r="AL68" s="192"/>
      <c r="AM68" s="427">
        <v>38</v>
      </c>
      <c r="AN68" s="329" t="str">
        <f t="shared" ref="AN68:AN69" si="69">IF(AL68=0, "    ---- ", IF(ABS(ROUND(100/AL68*AM68-100,1))&lt;999,ROUND(100/AL68*AM68-100,1),IF(ROUND(100/AL68*AM68-100,1)&gt;999,999,-999)))</f>
        <v xml:space="preserve">    ---- </v>
      </c>
      <c r="AO68" s="518">
        <f t="shared" ref="AO68:AP71" si="70">B68+E68+H68+K68+N68+T68+W68+Z68+AF68+AI68</f>
        <v>50993.223765199997</v>
      </c>
      <c r="AP68" s="518">
        <f t="shared" si="70"/>
        <v>54339.211827959996</v>
      </c>
      <c r="AQ68" s="329">
        <f t="shared" si="46"/>
        <v>6.6</v>
      </c>
      <c r="AR68" s="518">
        <f t="shared" ref="AR68:AS71" si="71">B68+E68+H68+K68+N68+Q68+T68+W68+Z68+AC68+AF68+AI68+AL68</f>
        <v>51046.743597059998</v>
      </c>
      <c r="AS68" s="518">
        <f t="shared" si="71"/>
        <v>54430.731659819998</v>
      </c>
      <c r="AT68" s="428">
        <f t="shared" si="48"/>
        <v>6.6</v>
      </c>
    </row>
    <row r="69" spans="1:46" s="440" customFormat="1" ht="20.100000000000001" customHeight="1" x14ac:dyDescent="0.3">
      <c r="A69" s="574" t="s">
        <v>232</v>
      </c>
      <c r="B69" s="192">
        <v>680.61</v>
      </c>
      <c r="C69" s="427">
        <v>746.83085156000595</v>
      </c>
      <c r="D69" s="329">
        <f>IF(B69=0, "    ---- ", IF(ABS(ROUND(100/B69*C69-100,1))&lt;999,ROUND(100/B69*C69-100,1),IF(ROUND(100/B69*C69-100,1)&gt;999,999,-999)))</f>
        <v>9.6999999999999993</v>
      </c>
      <c r="E69" s="192">
        <v>17670.726993459997</v>
      </c>
      <c r="F69" s="427">
        <v>16169.00288527</v>
      </c>
      <c r="G69" s="329">
        <f t="shared" si="44"/>
        <v>-8.5</v>
      </c>
      <c r="H69" s="192">
        <v>538.90992704000189</v>
      </c>
      <c r="I69" s="427">
        <v>162.86535551000006</v>
      </c>
      <c r="J69" s="329">
        <f>IF(H69=0, "    ---- ", IF(ABS(ROUND(100/H69*I69-100,1))&lt;999,ROUND(100/H69*I69-100,1),IF(ROUND(100/H69*I69-100,1)&gt;999,999,-999)))</f>
        <v>-69.8</v>
      </c>
      <c r="K69" s="192">
        <v>351.80221799999998</v>
      </c>
      <c r="L69" s="427">
        <v>352.68599999999998</v>
      </c>
      <c r="M69" s="329">
        <f>IF(K69=0, "    ---- ", IF(ABS(ROUND(100/K69*L69-100,1))&lt;999,ROUND(100/K69*L69-100,1),IF(ROUND(100/K69*L69-100,1)&gt;999,999,-999)))</f>
        <v>0.3</v>
      </c>
      <c r="N69" s="192">
        <v>1021.4</v>
      </c>
      <c r="O69" s="427">
        <v>1025</v>
      </c>
      <c r="P69" s="423">
        <f>IF(N69=0, "    ---- ", IF(ABS(ROUND(100/N69*O69-100,1))&lt;999,ROUND(100/N69*O69-100,1),IF(ROUND(100/N69*O69-100,1)&gt;999,999,-999)))</f>
        <v>0.4</v>
      </c>
      <c r="Q69" s="192">
        <v>106.68431285</v>
      </c>
      <c r="R69" s="427">
        <v>126.28419212999999</v>
      </c>
      <c r="S69" s="329">
        <f>IF(Q69=0, "    ---- ", IF(ABS(ROUND(100/Q69*R69-100,1))&lt;999,ROUND(100/Q69*R69-100,1),IF(ROUND(100/Q69*R69-100,1)&gt;999,999,-999)))</f>
        <v>18.399999999999999</v>
      </c>
      <c r="T69" s="192">
        <v>22417.714151669999</v>
      </c>
      <c r="U69" s="427">
        <v>21643.86188488</v>
      </c>
      <c r="V69" s="329">
        <f t="shared" si="68"/>
        <v>-3.5</v>
      </c>
      <c r="W69" s="192">
        <v>7911.71</v>
      </c>
      <c r="X69" s="427">
        <v>7980.61</v>
      </c>
      <c r="Y69" s="329">
        <f t="shared" si="50"/>
        <v>0.9</v>
      </c>
      <c r="Z69" s="192">
        <v>9640</v>
      </c>
      <c r="AA69" s="427">
        <v>9983</v>
      </c>
      <c r="AB69" s="329">
        <f>IF(Z69=0, "    ---- ", IF(ABS(ROUND(100/Z69*AA69-100,1))&lt;999,ROUND(100/Z69*AA69-100,1),IF(ROUND(100/Z69*AA69-100,1)&gt;999,999,-999)))</f>
        <v>3.6</v>
      </c>
      <c r="AC69" s="192">
        <v>39.237541339999702</v>
      </c>
      <c r="AD69" s="427">
        <v>47.969086320000002</v>
      </c>
      <c r="AE69" s="329">
        <f>IF(AC69=0, "    ---- ", IF(ABS(ROUND(100/AC69*AD69-100,1))&lt;999,ROUND(100/AC69*AD69-100,1),IF(ROUND(100/AC69*AD69-100,1)&gt;999,999,-999)))</f>
        <v>22.3</v>
      </c>
      <c r="AF69" s="192">
        <v>1155.77</v>
      </c>
      <c r="AG69" s="427">
        <v>844.47799999999995</v>
      </c>
      <c r="AH69" s="329">
        <f t="shared" si="52"/>
        <v>-26.9</v>
      </c>
      <c r="AI69" s="192">
        <v>13540</v>
      </c>
      <c r="AJ69" s="427">
        <v>11396</v>
      </c>
      <c r="AK69" s="329">
        <f t="shared" si="53"/>
        <v>-15.8</v>
      </c>
      <c r="AL69" s="192"/>
      <c r="AM69" s="427">
        <v>-35</v>
      </c>
      <c r="AN69" s="329" t="str">
        <f t="shared" si="69"/>
        <v xml:space="preserve">    ---- </v>
      </c>
      <c r="AO69" s="518">
        <f t="shared" si="70"/>
        <v>74928.643290170003</v>
      </c>
      <c r="AP69" s="518">
        <f t="shared" si="70"/>
        <v>70304.334977220016</v>
      </c>
      <c r="AQ69" s="329">
        <f t="shared" si="46"/>
        <v>-6.2</v>
      </c>
      <c r="AR69" s="518">
        <f t="shared" si="71"/>
        <v>75074.565144359993</v>
      </c>
      <c r="AS69" s="518">
        <f t="shared" si="71"/>
        <v>70443.588255670009</v>
      </c>
      <c r="AT69" s="428">
        <f t="shared" si="48"/>
        <v>-6.2</v>
      </c>
    </row>
    <row r="70" spans="1:46" s="440" customFormat="1" ht="20.100000000000001" customHeight="1" x14ac:dyDescent="0.3">
      <c r="A70" s="574" t="s">
        <v>233</v>
      </c>
      <c r="B70" s="192"/>
      <c r="C70" s="427"/>
      <c r="D70" s="329"/>
      <c r="E70" s="192">
        <v>858.947</v>
      </c>
      <c r="F70" s="427">
        <v>929.41688958999998</v>
      </c>
      <c r="G70" s="329">
        <f>IF(E70=0, "    ---- ", IF(ABS(ROUND(100/E70*F70-100,1))&lt;999,ROUND(100/E70*F70-100,1),IF(ROUND(100/E70*F70-100,1)&gt;999,999,-999)))</f>
        <v>8.1999999999999993</v>
      </c>
      <c r="H70" s="192"/>
      <c r="I70" s="427"/>
      <c r="J70" s="329"/>
      <c r="K70" s="192"/>
      <c r="L70" s="427"/>
      <c r="M70" s="329"/>
      <c r="N70" s="192">
        <v>35.200000000000003</v>
      </c>
      <c r="O70" s="427">
        <v>39</v>
      </c>
      <c r="P70" s="329">
        <f>IF(N70=0, "    ---- ", IF(ABS(ROUND(100/N70*O70-100,1))&lt;999,ROUND(100/N70*O70-100,1),IF(ROUND(100/N70*O70-100,1)&gt;999,999,-999)))</f>
        <v>10.8</v>
      </c>
      <c r="Q70" s="192"/>
      <c r="R70" s="427"/>
      <c r="S70" s="329"/>
      <c r="T70" s="192">
        <v>5912.5206330000001</v>
      </c>
      <c r="U70" s="427">
        <v>4793.5356352099998</v>
      </c>
      <c r="V70" s="329">
        <f t="shared" si="68"/>
        <v>-18.899999999999999</v>
      </c>
      <c r="W70" s="192">
        <v>90.86</v>
      </c>
      <c r="X70" s="427">
        <v>168.4</v>
      </c>
      <c r="Y70" s="329">
        <f t="shared" si="50"/>
        <v>85.3</v>
      </c>
      <c r="Z70" s="192"/>
      <c r="AA70" s="427"/>
      <c r="AB70" s="329"/>
      <c r="AC70" s="192"/>
      <c r="AD70" s="427"/>
      <c r="AE70" s="329"/>
      <c r="AF70" s="192">
        <v>186.66499999999999</v>
      </c>
      <c r="AG70" s="427">
        <v>246.554</v>
      </c>
      <c r="AH70" s="329">
        <f>IF(AF70=0, "    ---- ", IF(ABS(ROUND(100/AF70*AG70-100,1))&lt;999,ROUND(100/AF70*AG70-100,1),IF(ROUND(100/AF70*AG70-100,1)&gt;999,999,-999)))</f>
        <v>32.1</v>
      </c>
      <c r="AI70" s="192">
        <v>485</v>
      </c>
      <c r="AJ70" s="427">
        <v>752</v>
      </c>
      <c r="AK70" s="329">
        <f t="shared" si="53"/>
        <v>55.1</v>
      </c>
      <c r="AL70" s="192"/>
      <c r="AM70" s="427"/>
      <c r="AN70" s="329"/>
      <c r="AO70" s="518">
        <f t="shared" si="70"/>
        <v>7569.1926329999997</v>
      </c>
      <c r="AP70" s="518">
        <f t="shared" si="70"/>
        <v>6928.9065247999997</v>
      </c>
      <c r="AQ70" s="329">
        <f t="shared" si="46"/>
        <v>-8.5</v>
      </c>
      <c r="AR70" s="518">
        <f t="shared" si="71"/>
        <v>7569.1926329999997</v>
      </c>
      <c r="AS70" s="518">
        <f t="shared" si="71"/>
        <v>6928.9065247999997</v>
      </c>
      <c r="AT70" s="428">
        <f t="shared" si="48"/>
        <v>-8.5</v>
      </c>
    </row>
    <row r="71" spans="1:46" s="440" customFormat="1" ht="20.100000000000001" customHeight="1" x14ac:dyDescent="0.3">
      <c r="A71" s="574" t="s">
        <v>234</v>
      </c>
      <c r="B71" s="192"/>
      <c r="C71" s="427"/>
      <c r="D71" s="329"/>
      <c r="E71" s="192">
        <v>7000</v>
      </c>
      <c r="F71" s="427">
        <v>7000</v>
      </c>
      <c r="G71" s="329">
        <f t="shared" si="44"/>
        <v>0</v>
      </c>
      <c r="H71" s="192">
        <v>550</v>
      </c>
      <c r="I71" s="427">
        <v>550</v>
      </c>
      <c r="J71" s="329">
        <f t="shared" ref="J71" si="72">IF(H71=0, "    ---- ", IF(ABS(ROUND(100/H71*I71-100,1))&lt;999,ROUND(100/H71*I71-100,1),IF(ROUND(100/H71*I71-100,1)&gt;999,999,-999)))</f>
        <v>0</v>
      </c>
      <c r="K71" s="192"/>
      <c r="L71" s="427"/>
      <c r="M71" s="329"/>
      <c r="N71" s="192">
        <v>300.2</v>
      </c>
      <c r="O71" s="427">
        <v>300</v>
      </c>
      <c r="P71" s="423"/>
      <c r="Q71" s="192"/>
      <c r="R71" s="427"/>
      <c r="S71" s="329"/>
      <c r="T71" s="192">
        <v>4664.22323443</v>
      </c>
      <c r="U71" s="427">
        <v>4812.0981426400003</v>
      </c>
      <c r="V71" s="329">
        <f t="shared" si="68"/>
        <v>3.2</v>
      </c>
      <c r="W71" s="192">
        <v>2830</v>
      </c>
      <c r="X71" s="427">
        <v>2830</v>
      </c>
      <c r="Y71" s="329">
        <f t="shared" si="50"/>
        <v>0</v>
      </c>
      <c r="Z71" s="192">
        <v>1240</v>
      </c>
      <c r="AA71" s="427">
        <v>1240</v>
      </c>
      <c r="AB71" s="329">
        <f>IF(Z71=0, "    ---- ", IF(ABS(ROUND(100/Z71*AA71-100,1))&lt;999,ROUND(100/Z71*AA71-100,1),IF(ROUND(100/Z71*AA71-100,1)&gt;999,999,-999)))</f>
        <v>0</v>
      </c>
      <c r="AC71" s="192"/>
      <c r="AD71" s="427"/>
      <c r="AE71" s="329"/>
      <c r="AF71" s="192">
        <v>1000</v>
      </c>
      <c r="AG71" s="427"/>
      <c r="AH71" s="329">
        <f t="shared" si="52"/>
        <v>-100</v>
      </c>
      <c r="AI71" s="192">
        <v>11758</v>
      </c>
      <c r="AJ71" s="427">
        <v>11063</v>
      </c>
      <c r="AK71" s="329">
        <f t="shared" si="53"/>
        <v>-5.9</v>
      </c>
      <c r="AL71" s="192"/>
      <c r="AM71" s="427"/>
      <c r="AN71" s="329"/>
      <c r="AO71" s="518">
        <f t="shared" si="70"/>
        <v>29342.42323443</v>
      </c>
      <c r="AP71" s="518">
        <f t="shared" si="70"/>
        <v>27795.098142639999</v>
      </c>
      <c r="AQ71" s="329">
        <f t="shared" si="46"/>
        <v>-5.3</v>
      </c>
      <c r="AR71" s="518">
        <f t="shared" si="71"/>
        <v>29342.42323443</v>
      </c>
      <c r="AS71" s="518">
        <f t="shared" si="71"/>
        <v>27795.098142639999</v>
      </c>
      <c r="AT71" s="428">
        <f t="shared" si="48"/>
        <v>-5.3</v>
      </c>
    </row>
    <row r="72" spans="1:46" s="440" customFormat="1" ht="20.100000000000001" customHeight="1" x14ac:dyDescent="0.3">
      <c r="A72" s="574" t="s">
        <v>235</v>
      </c>
      <c r="B72" s="192"/>
      <c r="C72" s="427"/>
      <c r="D72" s="329"/>
      <c r="E72" s="192"/>
      <c r="F72" s="427"/>
      <c r="G72" s="329"/>
      <c r="H72" s="192"/>
      <c r="I72" s="427"/>
      <c r="J72" s="329"/>
      <c r="K72" s="192"/>
      <c r="L72" s="427"/>
      <c r="M72" s="329"/>
      <c r="N72" s="192"/>
      <c r="O72" s="427"/>
      <c r="P72" s="423"/>
      <c r="Q72" s="192"/>
      <c r="R72" s="427"/>
      <c r="S72" s="329"/>
      <c r="T72" s="192"/>
      <c r="U72" s="427"/>
      <c r="V72" s="329"/>
      <c r="W72" s="192"/>
      <c r="X72" s="427"/>
      <c r="Y72" s="329"/>
      <c r="Z72" s="192"/>
      <c r="AA72" s="427"/>
      <c r="AB72" s="329"/>
      <c r="AC72" s="192"/>
      <c r="AD72" s="427"/>
      <c r="AE72" s="329"/>
      <c r="AF72" s="192"/>
      <c r="AG72" s="427"/>
      <c r="AH72" s="329"/>
      <c r="AI72" s="192"/>
      <c r="AJ72" s="427"/>
      <c r="AK72" s="329"/>
      <c r="AL72" s="192"/>
      <c r="AM72" s="427"/>
      <c r="AN72" s="329"/>
      <c r="AO72" s="423"/>
      <c r="AP72" s="423"/>
      <c r="AQ72" s="329"/>
      <c r="AR72" s="423"/>
      <c r="AS72" s="423"/>
      <c r="AT72" s="428"/>
    </row>
    <row r="73" spans="1:46" s="440" customFormat="1" ht="20.100000000000001" customHeight="1" x14ac:dyDescent="0.3">
      <c r="A73" s="574" t="s">
        <v>380</v>
      </c>
      <c r="B73" s="192">
        <v>1219.9960000000001</v>
      </c>
      <c r="C73" s="427">
        <v>1319.72736964</v>
      </c>
      <c r="D73" s="329">
        <f>IF(B73=0, "    ---- ", IF(ABS(ROUND(100/B73*C73-100,1))&lt;999,ROUND(100/B73*C73-100,1),IF(ROUND(100/B73*C73-100,1)&gt;999,999,-999)))</f>
        <v>8.1999999999999993</v>
      </c>
      <c r="E73" s="192">
        <v>188399.32238684999</v>
      </c>
      <c r="F73" s="427">
        <v>182548.20344354</v>
      </c>
      <c r="G73" s="329">
        <f t="shared" si="44"/>
        <v>-3.1</v>
      </c>
      <c r="H73" s="192">
        <v>7383.9423353099974</v>
      </c>
      <c r="I73" s="427">
        <v>8020.8927933899986</v>
      </c>
      <c r="J73" s="329">
        <f>IF(H73=0, "    ---- ", IF(ABS(ROUND(100/H73*I73-100,1))&lt;999,ROUND(100/H73*I73-100,1),IF(ROUND(100/H73*I73-100,1)&gt;999,999,-999)))</f>
        <v>8.6</v>
      </c>
      <c r="K73" s="192">
        <v>1253.473446</v>
      </c>
      <c r="L73" s="427">
        <v>1427.8969999999999</v>
      </c>
      <c r="M73" s="329">
        <f>IF(K73=0, "    ---- ", IF(ABS(ROUND(100/K73*L73-100,1))&lt;999,ROUND(100/K73*L73-100,1),IF(ROUND(100/K73*L73-100,1)&gt;999,999,-999)))</f>
        <v>13.9</v>
      </c>
      <c r="N73" s="192">
        <v>7764.3</v>
      </c>
      <c r="O73" s="427">
        <v>8397</v>
      </c>
      <c r="P73" s="423">
        <f>IF(N73=0, "    ---- ", IF(ABS(ROUND(100/N73*O73-100,1))&lt;999,ROUND(100/N73*O73-100,1),IF(ROUND(100/N73*O73-100,1)&gt;999,999,-999)))</f>
        <v>8.1</v>
      </c>
      <c r="Q73" s="192">
        <v>44.909822679999998</v>
      </c>
      <c r="R73" s="427">
        <v>17.20121382</v>
      </c>
      <c r="S73" s="329">
        <f>IF(Q73=0, "    ---- ", IF(ABS(ROUND(100/Q73*R73-100,1))&lt;999,ROUND(100/Q73*R73-100,1),IF(ROUND(100/Q73*R73-100,1)&gt;999,999,-999)))</f>
        <v>-61.7</v>
      </c>
      <c r="T73" s="192">
        <v>480819.96359488001</v>
      </c>
      <c r="U73" s="427">
        <v>509679.16766490001</v>
      </c>
      <c r="V73" s="329">
        <f t="shared" si="68"/>
        <v>6</v>
      </c>
      <c r="W73" s="192">
        <v>48769.870999999999</v>
      </c>
      <c r="X73" s="427">
        <v>48291.97</v>
      </c>
      <c r="Y73" s="329">
        <f t="shared" si="50"/>
        <v>-1</v>
      </c>
      <c r="Z73" s="192">
        <v>71279</v>
      </c>
      <c r="AA73" s="427">
        <v>77308</v>
      </c>
      <c r="AB73" s="329">
        <f>IF(Z73=0, "    ---- ", IF(ABS(ROUND(100/Z73*AA73-100,1))&lt;999,ROUND(100/Z73*AA73-100,1),IF(ROUND(100/Z73*AA73-100,1)&gt;999,999,-999)))</f>
        <v>8.5</v>
      </c>
      <c r="AC73" s="192"/>
      <c r="AD73" s="427"/>
      <c r="AE73" s="329"/>
      <c r="AF73" s="630">
        <v>18170.067999999999</v>
      </c>
      <c r="AG73" s="427">
        <v>18989.648000000001</v>
      </c>
      <c r="AH73" s="329">
        <f t="shared" si="52"/>
        <v>4.5</v>
      </c>
      <c r="AI73" s="192">
        <v>180440</v>
      </c>
      <c r="AJ73" s="427">
        <v>184310</v>
      </c>
      <c r="AK73" s="329">
        <f t="shared" si="53"/>
        <v>2.1</v>
      </c>
      <c r="AL73" s="192"/>
      <c r="AM73" s="427">
        <v>2</v>
      </c>
      <c r="AN73" s="329" t="str">
        <f t="shared" ref="AN73" si="73">IF(AL73=0, "    ---- ", IF(ABS(ROUND(100/AL73*AM73-100,1))&lt;999,ROUND(100/AL73*AM73-100,1),IF(ROUND(100/AL73*AM73-100,1)&gt;999,999,-999)))</f>
        <v xml:space="preserve">    ---- </v>
      </c>
      <c r="AO73" s="518">
        <f t="shared" ref="AO73:AP76" si="74">B73+E73+H73+K73+N73+T73+W73+Z73+AF73+AI73</f>
        <v>1005499.93676304</v>
      </c>
      <c r="AP73" s="518">
        <f t="shared" si="74"/>
        <v>1040292.50627147</v>
      </c>
      <c r="AQ73" s="329">
        <f t="shared" si="46"/>
        <v>3.5</v>
      </c>
      <c r="AR73" s="518">
        <f t="shared" ref="AR73:AS75" si="75">B73+E73+H73+K73+N73+Q73+T73+W73+Z73+AC73+AF73+AI73+AL73</f>
        <v>1005544.84658572</v>
      </c>
      <c r="AS73" s="518">
        <f t="shared" si="75"/>
        <v>1040311.70748529</v>
      </c>
      <c r="AT73" s="428">
        <f t="shared" si="48"/>
        <v>3.5</v>
      </c>
    </row>
    <row r="74" spans="1:46" s="440" customFormat="1" ht="20.100000000000001" customHeight="1" x14ac:dyDescent="0.3">
      <c r="A74" s="574" t="s">
        <v>236</v>
      </c>
      <c r="B74" s="192">
        <v>29.513000000000002</v>
      </c>
      <c r="C74" s="427">
        <v>29.880109059999999</v>
      </c>
      <c r="D74" s="329">
        <f>IF(B74=0, "    ---- ", IF(ABS(ROUND(100/B74*C74-100,1))&lt;999,ROUND(100/B74*C74-100,1),IF(ROUND(100/B74*C74-100,1)&gt;999,999,-999)))</f>
        <v>1.2</v>
      </c>
      <c r="E74" s="192">
        <v>6354.1321672700005</v>
      </c>
      <c r="F74" s="427">
        <v>7270.5717858799999</v>
      </c>
      <c r="G74" s="329">
        <f t="shared" si="44"/>
        <v>14.4</v>
      </c>
      <c r="H74" s="192"/>
      <c r="I74" s="427"/>
      <c r="J74" s="329"/>
      <c r="K74" s="192">
        <v>5.7917430000000003</v>
      </c>
      <c r="L74" s="427">
        <v>4.66</v>
      </c>
      <c r="M74" s="329">
        <f>IF(K74=0, "    ---- ", IF(ABS(ROUND(100/K74*L74-100,1))&lt;999,ROUND(100/K74*L74-100,1),IF(ROUND(100/K74*L74-100,1)&gt;999,999,-999)))</f>
        <v>-19.5</v>
      </c>
      <c r="N74" s="192">
        <v>296</v>
      </c>
      <c r="O74" s="427">
        <v>334</v>
      </c>
      <c r="P74" s="423">
        <f>IF(N74=0, "    ---- ", IF(ABS(ROUND(100/N74*O74-100,1))&lt;999,ROUND(100/N74*O74-100,1),IF(ROUND(100/N74*O74-100,1)&gt;999,999,-999)))</f>
        <v>12.8</v>
      </c>
      <c r="Q74" s="192"/>
      <c r="R74" s="427"/>
      <c r="S74" s="329"/>
      <c r="T74" s="192">
        <v>42715.335400999997</v>
      </c>
      <c r="U74" s="427"/>
      <c r="V74" s="329">
        <f t="shared" si="68"/>
        <v>-100</v>
      </c>
      <c r="W74" s="192">
        <v>2547.25</v>
      </c>
      <c r="X74" s="427">
        <v>3760.52</v>
      </c>
      <c r="Y74" s="329">
        <f t="shared" si="50"/>
        <v>47.6</v>
      </c>
      <c r="Z74" s="192">
        <v>7898</v>
      </c>
      <c r="AA74" s="427">
        <v>0</v>
      </c>
      <c r="AB74" s="329">
        <f>IF(Z74=0, "    ---- ", IF(ABS(ROUND(100/Z74*AA74-100,1))&lt;999,ROUND(100/Z74*AA74-100,1),IF(ROUND(100/Z74*AA74-100,1)&gt;999,999,-999)))</f>
        <v>-100</v>
      </c>
      <c r="AC74" s="192"/>
      <c r="AD74" s="427"/>
      <c r="AE74" s="329"/>
      <c r="AF74" s="630">
        <v>1157.4960000000001</v>
      </c>
      <c r="AG74" s="427">
        <v>1413.741</v>
      </c>
      <c r="AH74" s="329">
        <f t="shared" si="52"/>
        <v>22.1</v>
      </c>
      <c r="AI74" s="192">
        <v>11975</v>
      </c>
      <c r="AJ74" s="427">
        <v>12242</v>
      </c>
      <c r="AK74" s="329">
        <f t="shared" si="53"/>
        <v>2.2000000000000002</v>
      </c>
      <c r="AL74" s="192"/>
      <c r="AM74" s="427"/>
      <c r="AN74" s="329"/>
      <c r="AO74" s="518">
        <f t="shared" si="74"/>
        <v>72978.518311269989</v>
      </c>
      <c r="AP74" s="518">
        <f t="shared" si="74"/>
        <v>25055.372894939999</v>
      </c>
      <c r="AQ74" s="329">
        <f t="shared" si="46"/>
        <v>-65.7</v>
      </c>
      <c r="AR74" s="518">
        <f t="shared" si="75"/>
        <v>72978.518311269989</v>
      </c>
      <c r="AS74" s="518">
        <f t="shared" si="75"/>
        <v>25055.372894939999</v>
      </c>
      <c r="AT74" s="428">
        <f t="shared" si="48"/>
        <v>-65.7</v>
      </c>
    </row>
    <row r="75" spans="1:46" s="440" customFormat="1" ht="20.100000000000001" customHeight="1" x14ac:dyDescent="0.3">
      <c r="A75" s="574" t="s">
        <v>237</v>
      </c>
      <c r="B75" s="192">
        <v>60.634999999999998</v>
      </c>
      <c r="C75" s="427">
        <v>0</v>
      </c>
      <c r="D75" s="329">
        <f>IF(B75=0, "    ---- ", IF(ABS(ROUND(100/B75*C75-100,1))&lt;999,ROUND(100/B75*C75-100,1),IF(ROUND(100/B75*C75-100,1)&gt;999,999,-999)))</f>
        <v>-100</v>
      </c>
      <c r="E75" s="192">
        <v>1822.0684933</v>
      </c>
      <c r="F75" s="427">
        <v>0</v>
      </c>
      <c r="G75" s="329">
        <f t="shared" si="44"/>
        <v>-100</v>
      </c>
      <c r="H75" s="192">
        <v>-3.7252902984619139E-15</v>
      </c>
      <c r="I75" s="427">
        <v>0</v>
      </c>
      <c r="J75" s="329">
        <f>IF(H75=0, "    ---- ", IF(ABS(ROUND(100/H75*I75-100,1))&lt;999,ROUND(100/H75*I75-100,1),IF(ROUND(100/H75*I75-100,1)&gt;999,999,-999)))</f>
        <v>-100</v>
      </c>
      <c r="K75" s="192">
        <v>5.5</v>
      </c>
      <c r="L75" s="427"/>
      <c r="M75" s="329">
        <f>IF(K75=0, "    ---- ", IF(ABS(ROUND(100/K75*L75-100,1))&lt;999,ROUND(100/K75*L75-100,1),IF(ROUND(100/K75*L75-100,1)&gt;999,999,-999)))</f>
        <v>-100</v>
      </c>
      <c r="N75" s="192">
        <v>12.8</v>
      </c>
      <c r="O75" s="427">
        <v>0</v>
      </c>
      <c r="P75" s="423">
        <f>IF(N75=0, "    ---- ", IF(ABS(ROUND(100/N75*O75-100,1))&lt;999,ROUND(100/N75*O75-100,1),IF(ROUND(100/N75*O75-100,1)&gt;999,999,-999)))</f>
        <v>-100</v>
      </c>
      <c r="Q75" s="192"/>
      <c r="R75" s="427"/>
      <c r="S75" s="329"/>
      <c r="T75" s="192">
        <v>68620.313370999997</v>
      </c>
      <c r="U75" s="427">
        <v>1E-8</v>
      </c>
      <c r="V75" s="329">
        <f t="shared" si="68"/>
        <v>-100</v>
      </c>
      <c r="W75" s="192">
        <v>2934.54</v>
      </c>
      <c r="X75" s="427">
        <v>1898</v>
      </c>
      <c r="Y75" s="329">
        <f t="shared" si="50"/>
        <v>-35.299999999999997</v>
      </c>
      <c r="Z75" s="192">
        <v>18175</v>
      </c>
      <c r="AA75" s="427">
        <v>0</v>
      </c>
      <c r="AB75" s="329">
        <f>IF(Z75=0, "    ---- ", IF(ABS(ROUND(100/Z75*AA75-100,1))&lt;999,ROUND(100/Z75*AA75-100,1),IF(ROUND(100/Z75*AA75-100,1)&gt;999,999,-999)))</f>
        <v>-100</v>
      </c>
      <c r="AC75" s="192"/>
      <c r="AD75" s="427"/>
      <c r="AE75" s="329"/>
      <c r="AF75" s="630">
        <v>2861.8960000000002</v>
      </c>
      <c r="AG75" s="427">
        <v>1859.2809999999999</v>
      </c>
      <c r="AH75" s="329">
        <f t="shared" si="52"/>
        <v>-35</v>
      </c>
      <c r="AI75" s="192">
        <v>5692</v>
      </c>
      <c r="AJ75" s="427">
        <v>361</v>
      </c>
      <c r="AK75" s="329">
        <f t="shared" si="53"/>
        <v>-93.7</v>
      </c>
      <c r="AL75" s="192"/>
      <c r="AM75" s="427"/>
      <c r="AN75" s="329"/>
      <c r="AO75" s="518">
        <f t="shared" si="74"/>
        <v>100184.75286429998</v>
      </c>
      <c r="AP75" s="518">
        <f t="shared" si="74"/>
        <v>4118.2810000099998</v>
      </c>
      <c r="AQ75" s="329">
        <f t="shared" si="46"/>
        <v>-95.9</v>
      </c>
      <c r="AR75" s="518">
        <f t="shared" si="75"/>
        <v>100184.75286429998</v>
      </c>
      <c r="AS75" s="518">
        <f t="shared" si="75"/>
        <v>4118.2810000099998</v>
      </c>
      <c r="AT75" s="428">
        <f t="shared" si="48"/>
        <v>-95.9</v>
      </c>
    </row>
    <row r="76" spans="1:46" s="440" customFormat="1" ht="20.100000000000001" customHeight="1" x14ac:dyDescent="0.3">
      <c r="A76" s="574" t="s">
        <v>418</v>
      </c>
      <c r="B76" s="192"/>
      <c r="C76" s="427"/>
      <c r="D76" s="329"/>
      <c r="E76" s="192"/>
      <c r="F76" s="427"/>
      <c r="G76" s="329"/>
      <c r="H76" s="192"/>
      <c r="I76" s="427"/>
      <c r="J76" s="329"/>
      <c r="K76" s="192"/>
      <c r="L76" s="427"/>
      <c r="M76" s="329"/>
      <c r="N76" s="192"/>
      <c r="O76" s="427"/>
      <c r="P76" s="423"/>
      <c r="Q76" s="192"/>
      <c r="R76" s="427"/>
      <c r="S76" s="329"/>
      <c r="T76" s="192"/>
      <c r="U76" s="427">
        <v>30598.60500009</v>
      </c>
      <c r="V76" s="329" t="str">
        <f t="shared" si="68"/>
        <v xml:space="preserve">    ---- </v>
      </c>
      <c r="W76" s="192"/>
      <c r="X76" s="427"/>
      <c r="Y76" s="329"/>
      <c r="Z76" s="192"/>
      <c r="AA76" s="427">
        <v>24635</v>
      </c>
      <c r="AB76" s="329" t="str">
        <f t="shared" ref="AB76:AB79" si="76">IF(Z76=0, "    ---- ", IF(ABS(ROUND(100/Z76*AA76-100,1))&lt;999,ROUND(100/Z76*AA76-100,1),IF(ROUND(100/Z76*AA76-100,1)&gt;999,999,-999)))</f>
        <v xml:space="preserve">    ---- </v>
      </c>
      <c r="AC76" s="192"/>
      <c r="AD76" s="427"/>
      <c r="AE76" s="329"/>
      <c r="AF76" s="630"/>
      <c r="AG76" s="427"/>
      <c r="AH76" s="329"/>
      <c r="AI76" s="192"/>
      <c r="AJ76" s="427">
        <v>1047</v>
      </c>
      <c r="AK76" s="329" t="str">
        <f t="shared" si="53"/>
        <v xml:space="preserve">    ---- </v>
      </c>
      <c r="AL76" s="192"/>
      <c r="AM76" s="427"/>
      <c r="AN76" s="329"/>
      <c r="AO76" s="518">
        <f t="shared" si="74"/>
        <v>0</v>
      </c>
      <c r="AP76" s="518">
        <f t="shared" si="74"/>
        <v>56280.60500009</v>
      </c>
      <c r="AQ76" s="329" t="str">
        <f t="shared" ref="AQ76" si="77">IF(AO76=0, "    ---- ", IF(ABS(ROUND(100/AO76*AP76-100,1))&lt;999,ROUND(100/AO76*AP76-100,1),IF(ROUND(100/AO76*AP76-100,1)&gt;999,999,-999)))</f>
        <v xml:space="preserve">    ---- </v>
      </c>
      <c r="AR76" s="518"/>
      <c r="AS76" s="518"/>
      <c r="AT76" s="428"/>
    </row>
    <row r="77" spans="1:46" s="440" customFormat="1" ht="20.100000000000001" customHeight="1" x14ac:dyDescent="0.3">
      <c r="A77" s="574" t="s">
        <v>419</v>
      </c>
      <c r="B77" s="192">
        <v>14.882999999999999</v>
      </c>
      <c r="C77" s="427">
        <v>17.761022319999999</v>
      </c>
      <c r="D77" s="329">
        <f>IF(B77=0, "    ---- ", IF(ABS(ROUND(100/B77*C77-100,1))&lt;999,ROUND(100/B77*C77-100,1),IF(ROUND(100/B77*C77-100,1)&gt;999,999,-999)))</f>
        <v>19.3</v>
      </c>
      <c r="E77" s="192">
        <v>0</v>
      </c>
      <c r="F77" s="427">
        <v>464.03983706000002</v>
      </c>
      <c r="G77" s="329" t="str">
        <f t="shared" si="44"/>
        <v xml:space="preserve">    ---- </v>
      </c>
      <c r="H77" s="192"/>
      <c r="I77" s="427"/>
      <c r="J77" s="329"/>
      <c r="K77" s="192"/>
      <c r="L77" s="427"/>
      <c r="M77" s="329"/>
      <c r="N77" s="192">
        <v>1.1000000000000001</v>
      </c>
      <c r="O77" s="427">
        <v>3</v>
      </c>
      <c r="P77" s="423"/>
      <c r="Q77" s="192"/>
      <c r="R77" s="427"/>
      <c r="S77" s="329"/>
      <c r="T77" s="192">
        <v>30404.591854089998</v>
      </c>
      <c r="U77" s="427">
        <v>0</v>
      </c>
      <c r="V77" s="329">
        <f t="shared" si="68"/>
        <v>-100</v>
      </c>
      <c r="W77" s="192">
        <v>808.3</v>
      </c>
      <c r="X77" s="427">
        <v>929.7</v>
      </c>
      <c r="Y77" s="329">
        <f t="shared" si="50"/>
        <v>15</v>
      </c>
      <c r="Z77" s="192">
        <v>5388</v>
      </c>
      <c r="AA77" s="427">
        <v>7448</v>
      </c>
      <c r="AB77" s="329">
        <f t="shared" si="76"/>
        <v>38.200000000000003</v>
      </c>
      <c r="AC77" s="192"/>
      <c r="AD77" s="427"/>
      <c r="AE77" s="329"/>
      <c r="AF77" s="630">
        <v>250.44800000000001</v>
      </c>
      <c r="AG77" s="427">
        <v>394.65199999999999</v>
      </c>
      <c r="AH77" s="329">
        <f t="shared" si="52"/>
        <v>57.6</v>
      </c>
      <c r="AI77" s="192">
        <v>2854</v>
      </c>
      <c r="AJ77" s="427">
        <v>3834</v>
      </c>
      <c r="AK77" s="329">
        <f t="shared" si="53"/>
        <v>34.299999999999997</v>
      </c>
      <c r="AL77" s="192"/>
      <c r="AM77" s="427"/>
      <c r="AN77" s="329"/>
      <c r="AO77" s="518">
        <f t="shared" ref="AO77:AP80" si="78">B77+E77+H77+K77+N77+T77+W77+Z77+AF77+AI77</f>
        <v>39721.322854089995</v>
      </c>
      <c r="AP77" s="518">
        <f t="shared" si="78"/>
        <v>13091.152859379999</v>
      </c>
      <c r="AQ77" s="329">
        <f t="shared" si="46"/>
        <v>-67</v>
      </c>
      <c r="AR77" s="518">
        <f t="shared" ref="AR77:AS80" si="79">B77+E77+H77+K77+N77+Q77+T77+W77+Z77+AC77+AF77+AI77+AL77</f>
        <v>39721.322854089995</v>
      </c>
      <c r="AS77" s="518">
        <f t="shared" si="79"/>
        <v>13091.152859379999</v>
      </c>
      <c r="AT77" s="428">
        <f t="shared" si="48"/>
        <v>-67</v>
      </c>
    </row>
    <row r="78" spans="1:46" s="440" customFormat="1" ht="20.100000000000001" customHeight="1" x14ac:dyDescent="0.3">
      <c r="A78" s="574" t="s">
        <v>420</v>
      </c>
      <c r="B78" s="192">
        <v>45.22</v>
      </c>
      <c r="C78" s="427">
        <v>47.994995000000003</v>
      </c>
      <c r="D78" s="329">
        <f>IF(B78=0, "    ---- ", IF(ABS(ROUND(100/B78*C78-100,1))&lt;999,ROUND(100/B78*C78-100,1),IF(ROUND(100/B78*C78-100,1)&gt;999,999,-999)))</f>
        <v>6.1</v>
      </c>
      <c r="E78" s="192">
        <v>495.41105729000003</v>
      </c>
      <c r="F78" s="427">
        <v>2833.0426459</v>
      </c>
      <c r="G78" s="329">
        <f t="shared" si="44"/>
        <v>471.9</v>
      </c>
      <c r="H78" s="192"/>
      <c r="I78" s="427"/>
      <c r="J78" s="329"/>
      <c r="K78" s="192">
        <v>33.833385</v>
      </c>
      <c r="L78" s="427">
        <v>41.582000000000001</v>
      </c>
      <c r="M78" s="329">
        <f>IF(K78=0, "    ---- ", IF(ABS(ROUND(100/K78*L78-100,1))&lt;999,ROUND(100/K78*L78-100,1),IF(ROUND(100/K78*L78-100,1)&gt;999,999,-999)))</f>
        <v>22.9</v>
      </c>
      <c r="N78" s="192"/>
      <c r="O78" s="427"/>
      <c r="P78" s="423"/>
      <c r="Q78" s="192"/>
      <c r="R78" s="427"/>
      <c r="S78" s="329"/>
      <c r="T78" s="192">
        <v>0</v>
      </c>
      <c r="U78" s="427">
        <v>97984.670942910001</v>
      </c>
      <c r="V78" s="329" t="str">
        <f t="shared" si="68"/>
        <v xml:space="preserve">    ---- </v>
      </c>
      <c r="W78" s="192"/>
      <c r="X78" s="427"/>
      <c r="Y78" s="329"/>
      <c r="Z78" s="192">
        <v>366</v>
      </c>
      <c r="AA78" s="427">
        <v>387</v>
      </c>
      <c r="AB78" s="329">
        <f t="shared" si="76"/>
        <v>5.7</v>
      </c>
      <c r="AC78" s="192"/>
      <c r="AD78" s="427"/>
      <c r="AE78" s="329"/>
      <c r="AF78" s="192"/>
      <c r="AG78" s="427"/>
      <c r="AH78" s="329"/>
      <c r="AI78" s="192">
        <v>683</v>
      </c>
      <c r="AJ78" s="427">
        <v>729</v>
      </c>
      <c r="AK78" s="329">
        <f t="shared" si="53"/>
        <v>6.7</v>
      </c>
      <c r="AL78" s="192"/>
      <c r="AM78" s="427"/>
      <c r="AN78" s="329"/>
      <c r="AO78" s="518">
        <f t="shared" si="78"/>
        <v>1623.4644422900001</v>
      </c>
      <c r="AP78" s="518">
        <f t="shared" si="78"/>
        <v>102023.29058381</v>
      </c>
      <c r="AQ78" s="329">
        <f t="shared" si="46"/>
        <v>999</v>
      </c>
      <c r="AR78" s="518">
        <f t="shared" si="79"/>
        <v>1623.4644422900001</v>
      </c>
      <c r="AS78" s="518">
        <f t="shared" si="79"/>
        <v>102023.29058381</v>
      </c>
      <c r="AT78" s="428">
        <f t="shared" si="48"/>
        <v>999</v>
      </c>
    </row>
    <row r="79" spans="1:46" s="440" customFormat="1" ht="20.100000000000001" customHeight="1" x14ac:dyDescent="0.3">
      <c r="A79" s="574" t="s">
        <v>238</v>
      </c>
      <c r="B79" s="192"/>
      <c r="C79" s="427"/>
      <c r="D79" s="329"/>
      <c r="E79" s="192">
        <v>2366.8364925199999</v>
      </c>
      <c r="F79" s="427">
        <v>0</v>
      </c>
      <c r="G79" s="329">
        <f t="shared" si="44"/>
        <v>-100</v>
      </c>
      <c r="H79" s="192"/>
      <c r="I79" s="427"/>
      <c r="J79" s="329"/>
      <c r="K79" s="192"/>
      <c r="L79" s="427"/>
      <c r="M79" s="329"/>
      <c r="N79" s="192">
        <v>46.1</v>
      </c>
      <c r="O79" s="427">
        <v>-17</v>
      </c>
      <c r="P79" s="423"/>
      <c r="Q79" s="192"/>
      <c r="R79" s="427"/>
      <c r="S79" s="329"/>
      <c r="T79" s="192">
        <v>9379.3180470000007</v>
      </c>
      <c r="U79" s="427">
        <v>956.84729000000004</v>
      </c>
      <c r="V79" s="329">
        <f t="shared" si="68"/>
        <v>-89.8</v>
      </c>
      <c r="W79" s="192"/>
      <c r="X79" s="427"/>
      <c r="Y79" s="329"/>
      <c r="Z79" s="192">
        <v>5751</v>
      </c>
      <c r="AA79" s="427">
        <v>146</v>
      </c>
      <c r="AB79" s="329">
        <f t="shared" si="76"/>
        <v>-97.5</v>
      </c>
      <c r="AC79" s="192"/>
      <c r="AD79" s="427"/>
      <c r="AE79" s="329"/>
      <c r="AF79" s="192">
        <v>548.41065495000021</v>
      </c>
      <c r="AG79" s="427">
        <v>-225.10269718999982</v>
      </c>
      <c r="AH79" s="329"/>
      <c r="AI79" s="192">
        <v>1981</v>
      </c>
      <c r="AJ79" s="427">
        <v>292</v>
      </c>
      <c r="AK79" s="329">
        <f t="shared" si="53"/>
        <v>-85.3</v>
      </c>
      <c r="AL79" s="192"/>
      <c r="AM79" s="427"/>
      <c r="AN79" s="329"/>
      <c r="AO79" s="518">
        <f t="shared" si="78"/>
        <v>20072.665194469999</v>
      </c>
      <c r="AP79" s="518">
        <f t="shared" si="78"/>
        <v>1152.7445928100003</v>
      </c>
      <c r="AQ79" s="329">
        <f t="shared" si="46"/>
        <v>-94.3</v>
      </c>
      <c r="AR79" s="518">
        <f t="shared" si="79"/>
        <v>20072.665194469999</v>
      </c>
      <c r="AS79" s="518">
        <f t="shared" si="79"/>
        <v>1152.7445928100003</v>
      </c>
      <c r="AT79" s="428">
        <f t="shared" si="48"/>
        <v>-94.3</v>
      </c>
    </row>
    <row r="80" spans="1:46" s="440" customFormat="1" ht="20.100000000000001" customHeight="1" x14ac:dyDescent="0.3">
      <c r="A80" s="622" t="s">
        <v>239</v>
      </c>
      <c r="B80" s="192">
        <f>SUM(B73:B79)</f>
        <v>1370.2470000000001</v>
      </c>
      <c r="C80" s="427">
        <f>(SUM(C73:C79))</f>
        <v>1415.36349602</v>
      </c>
      <c r="D80" s="329">
        <f>IF(B80=0, "    ---- ", IF(ABS(ROUND(100/B80*C80-100,1))&lt;999,ROUND(100/B80*C80-100,1),IF(ROUND(100/B80*C80-100,1)&gt;999,999,-999)))</f>
        <v>3.3</v>
      </c>
      <c r="E80" s="192">
        <f>SUM(E73:E79)</f>
        <v>199437.77059723</v>
      </c>
      <c r="F80" s="427">
        <f>SUM(F73:F79)</f>
        <v>193115.85771237998</v>
      </c>
      <c r="G80" s="329">
        <f t="shared" si="44"/>
        <v>-3.2</v>
      </c>
      <c r="H80" s="192">
        <v>7383.9423353099974</v>
      </c>
      <c r="I80" s="427">
        <f>SUM(I73:I79)</f>
        <v>8020.8927933899986</v>
      </c>
      <c r="J80" s="329">
        <f>IF(H80=0, "    ---- ", IF(ABS(ROUND(100/H80*I80-100,1))&lt;999,ROUND(100/H80*I80-100,1),IF(ROUND(100/H80*I80-100,1)&gt;999,999,-999)))</f>
        <v>8.6</v>
      </c>
      <c r="K80" s="192">
        <f>SUM(K73:K79)</f>
        <v>1298.5985739999999</v>
      </c>
      <c r="L80" s="427">
        <f>SUM(L73:L79)</f>
        <v>1474.1390000000001</v>
      </c>
      <c r="M80" s="329">
        <f>IF(K80=0, "    ---- ", IF(ABS(ROUND(100/K80*L80-100,1))&lt;999,ROUND(100/K80*L80-100,1),IF(ROUND(100/K80*L80-100,1)&gt;999,999,-999)))</f>
        <v>13.5</v>
      </c>
      <c r="N80" s="192">
        <f>SUM(N73:N79)</f>
        <v>8120.3000000000011</v>
      </c>
      <c r="O80" s="427">
        <f>SUM(O73:O79)</f>
        <v>8717</v>
      </c>
      <c r="P80" s="423">
        <f>IF(N80=0, "    ---- ", IF(ABS(ROUND(100/N80*O80-100,1))&lt;999,ROUND(100/N80*O80-100,1),IF(ROUND(100/N80*O80-100,1)&gt;999,999,-999)))</f>
        <v>7.3</v>
      </c>
      <c r="Q80" s="192">
        <f>SUM(Q73:Q79)</f>
        <v>44.909822679999998</v>
      </c>
      <c r="R80" s="427">
        <f>SUM(R73:R79)</f>
        <v>17.20121382</v>
      </c>
      <c r="S80" s="329">
        <f>IF(Q80=0, "    ---- ", IF(ABS(ROUND(100/Q80*R80-100,1))&lt;999,ROUND(100/Q80*R80-100,1),IF(ROUND(100/Q80*R80-100,1)&gt;999,999,-999)))</f>
        <v>-61.7</v>
      </c>
      <c r="T80" s="192">
        <v>631939.52226797002</v>
      </c>
      <c r="U80" s="427">
        <v>639219.29089791002</v>
      </c>
      <c r="V80" s="329">
        <f t="shared" si="68"/>
        <v>1.2</v>
      </c>
      <c r="W80" s="192">
        <f>SUM(W73:W79)</f>
        <v>55059.961000000003</v>
      </c>
      <c r="X80" s="427">
        <f>SUM(X73:X79)</f>
        <v>54880.189999999995</v>
      </c>
      <c r="Y80" s="329">
        <f t="shared" si="50"/>
        <v>-0.3</v>
      </c>
      <c r="Z80" s="192">
        <f>SUM(Z73:Z79)</f>
        <v>108857</v>
      </c>
      <c r="AA80" s="427">
        <f>SUM(AA73:AA79)</f>
        <v>109924</v>
      </c>
      <c r="AB80" s="329">
        <f>IF(Z80=0, "    ---- ", IF(ABS(ROUND(100/Z80*AA80-100,1))&lt;999,ROUND(100/Z80*AA80-100,1),IF(ROUND(100/Z80*AA80-100,1)&gt;999,999,-999)))</f>
        <v>1</v>
      </c>
      <c r="AC80" s="192"/>
      <c r="AD80" s="427"/>
      <c r="AE80" s="329"/>
      <c r="AF80" s="192">
        <f>SUM(AF73:AF79)</f>
        <v>22988.318654949999</v>
      </c>
      <c r="AG80" s="427">
        <f>SUM(AG73:AG79)</f>
        <v>22432.219302810001</v>
      </c>
      <c r="AH80" s="329">
        <f t="shared" si="52"/>
        <v>-2.4</v>
      </c>
      <c r="AI80" s="192">
        <f>SUM(AI73:AI79)</f>
        <v>203625</v>
      </c>
      <c r="AJ80" s="427">
        <f>SUM(AJ73:AJ79)</f>
        <v>202815</v>
      </c>
      <c r="AK80" s="329">
        <f t="shared" si="53"/>
        <v>-0.4</v>
      </c>
      <c r="AL80" s="192"/>
      <c r="AM80" s="427">
        <f>SUM(AM73:AM79)</f>
        <v>2</v>
      </c>
      <c r="AN80" s="329" t="str">
        <f t="shared" ref="AN80" si="80">IF(AL80=0, "    ---- ", IF(ABS(ROUND(100/AL80*AM80-100,1))&lt;999,ROUND(100/AL80*AM80-100,1),IF(ROUND(100/AL80*AM80-100,1)&gt;999,999,-999)))</f>
        <v xml:space="preserve">    ---- </v>
      </c>
      <c r="AO80" s="518">
        <f t="shared" si="78"/>
        <v>1240080.66042946</v>
      </c>
      <c r="AP80" s="518">
        <f t="shared" si="78"/>
        <v>1242013.95320251</v>
      </c>
      <c r="AQ80" s="329">
        <f t="shared" si="46"/>
        <v>0.2</v>
      </c>
      <c r="AR80" s="518">
        <f t="shared" si="79"/>
        <v>1240125.5702521401</v>
      </c>
      <c r="AS80" s="518">
        <f t="shared" si="79"/>
        <v>1242033.1544163299</v>
      </c>
      <c r="AT80" s="428">
        <f t="shared" si="48"/>
        <v>0.2</v>
      </c>
    </row>
    <row r="81" spans="1:46" s="440" customFormat="1" ht="20.100000000000001" customHeight="1" x14ac:dyDescent="0.3">
      <c r="A81" s="574" t="s">
        <v>240</v>
      </c>
      <c r="B81" s="192"/>
      <c r="C81" s="427"/>
      <c r="D81" s="329"/>
      <c r="E81" s="192"/>
      <c r="F81" s="427"/>
      <c r="G81" s="329"/>
      <c r="H81" s="192"/>
      <c r="I81" s="427"/>
      <c r="J81" s="329"/>
      <c r="K81" s="192"/>
      <c r="L81" s="427"/>
      <c r="M81" s="329"/>
      <c r="N81" s="192"/>
      <c r="O81" s="427"/>
      <c r="P81" s="423"/>
      <c r="Q81" s="192"/>
      <c r="R81" s="427"/>
      <c r="S81" s="329"/>
      <c r="T81" s="192"/>
      <c r="U81" s="427"/>
      <c r="V81" s="329"/>
      <c r="W81" s="192"/>
      <c r="X81" s="427"/>
      <c r="Y81" s="329"/>
      <c r="Z81" s="192"/>
      <c r="AA81" s="427"/>
      <c r="AB81" s="329"/>
      <c r="AC81" s="192"/>
      <c r="AD81" s="427"/>
      <c r="AE81" s="329"/>
      <c r="AF81" s="192"/>
      <c r="AG81" s="427"/>
      <c r="AH81" s="329"/>
      <c r="AI81" s="192"/>
      <c r="AJ81" s="427"/>
      <c r="AK81" s="329"/>
      <c r="AL81" s="192"/>
      <c r="AM81" s="427"/>
      <c r="AN81" s="329"/>
      <c r="AO81" s="423"/>
      <c r="AP81" s="423"/>
      <c r="AQ81" s="329"/>
      <c r="AR81" s="423"/>
      <c r="AS81" s="423"/>
      <c r="AT81" s="428"/>
    </row>
    <row r="82" spans="1:46" s="440" customFormat="1" ht="20.100000000000001" customHeight="1" x14ac:dyDescent="0.3">
      <c r="A82" s="574" t="s">
        <v>381</v>
      </c>
      <c r="B82" s="192">
        <v>27460.087</v>
      </c>
      <c r="C82" s="427">
        <v>25989.520953529998</v>
      </c>
      <c r="D82" s="329">
        <f>IF(B82=0, "    ---- ", IF(ABS(ROUND(100/B82*C82-100,1))&lt;999,ROUND(100/B82*C82-100,1),IF(ROUND(100/B82*C82-100,1)&gt;999,999,-999)))</f>
        <v>-5.4</v>
      </c>
      <c r="E82" s="192">
        <v>131087.64032699002</v>
      </c>
      <c r="F82" s="427">
        <v>127823.52328730999</v>
      </c>
      <c r="G82" s="329">
        <f t="shared" si="44"/>
        <v>-2.5</v>
      </c>
      <c r="H82" s="192"/>
      <c r="I82" s="427"/>
      <c r="J82" s="329"/>
      <c r="K82" s="192"/>
      <c r="L82" s="427"/>
      <c r="M82" s="329"/>
      <c r="N82" s="192">
        <v>39754.6</v>
      </c>
      <c r="O82" s="427">
        <v>40661</v>
      </c>
      <c r="P82" s="423">
        <f>IF(N82=0, "    ---- ", IF(ABS(ROUND(100/N82*O82-100,1))&lt;999,ROUND(100/N82*O82-100,1),IF(ROUND(100/N82*O82-100,1)&gt;999,999,-999)))</f>
        <v>2.2999999999999998</v>
      </c>
      <c r="Q82" s="192"/>
      <c r="R82" s="427"/>
      <c r="S82" s="329"/>
      <c r="T82" s="192">
        <v>1547.6827988399998</v>
      </c>
      <c r="U82" s="427">
        <v>1999.51361101</v>
      </c>
      <c r="V82" s="329">
        <f t="shared" ref="V82:V93" si="81">IF(T82=0, "    ---- ", IF(ABS(ROUND(100/T82*U82-100,1))&lt;999,ROUND(100/T82*U82-100,1),IF(ROUND(100/T82*U82-100,1)&gt;999,999,-999)))</f>
        <v>29.2</v>
      </c>
      <c r="W82" s="192">
        <v>117827.82</v>
      </c>
      <c r="X82" s="427">
        <v>112327.4</v>
      </c>
      <c r="Y82" s="329">
        <f t="shared" si="50"/>
        <v>-4.7</v>
      </c>
      <c r="Z82" s="192"/>
      <c r="AA82" s="427"/>
      <c r="AB82" s="329"/>
      <c r="AC82" s="192">
        <v>3184.0991073800001</v>
      </c>
      <c r="AD82" s="427">
        <v>2698.3138460999999</v>
      </c>
      <c r="AE82" s="329">
        <f>IF(AC82=0, "    ---- ", IF(ABS(ROUND(100/AC82*AD82-100,1))&lt;999,ROUND(100/AC82*AD82-100,1),IF(ROUND(100/AC82*AD82-100,1)&gt;999,999,-999)))</f>
        <v>-15.3</v>
      </c>
      <c r="AF82" s="192">
        <v>51797.900999999998</v>
      </c>
      <c r="AG82" s="427">
        <v>51361.338000000003</v>
      </c>
      <c r="AH82" s="329">
        <f t="shared" si="52"/>
        <v>-0.8</v>
      </c>
      <c r="AI82" s="192">
        <v>151404</v>
      </c>
      <c r="AJ82" s="427">
        <v>143644</v>
      </c>
      <c r="AK82" s="329">
        <f t="shared" si="53"/>
        <v>-5.0999999999999996</v>
      </c>
      <c r="AL82" s="192"/>
      <c r="AM82" s="427"/>
      <c r="AN82" s="329"/>
      <c r="AO82" s="518">
        <f t="shared" ref="AO82:AP84" si="82">B82+E82+H82+K82+N82+T82+W82+Z82+AF82+AI82</f>
        <v>520879.73112583003</v>
      </c>
      <c r="AP82" s="518">
        <f t="shared" si="82"/>
        <v>503806.29585184995</v>
      </c>
      <c r="AQ82" s="329">
        <f t="shared" si="46"/>
        <v>-3.3</v>
      </c>
      <c r="AR82" s="518">
        <f t="shared" ref="AR82:AS83" si="83">B82+E82+H82+K82+N82+Q82+T82+W82+Z82+AC82+AF82+AI82+AL82</f>
        <v>524063.83023321006</v>
      </c>
      <c r="AS82" s="518">
        <f t="shared" si="83"/>
        <v>506504.60969794996</v>
      </c>
      <c r="AT82" s="428">
        <f t="shared" si="48"/>
        <v>-3.4</v>
      </c>
    </row>
    <row r="83" spans="1:46" s="440" customFormat="1" ht="20.100000000000001" customHeight="1" x14ac:dyDescent="0.3">
      <c r="A83" s="574" t="s">
        <v>382</v>
      </c>
      <c r="B83" s="192"/>
      <c r="C83" s="427"/>
      <c r="D83" s="329"/>
      <c r="E83" s="192"/>
      <c r="F83" s="427"/>
      <c r="G83" s="329"/>
      <c r="H83" s="192"/>
      <c r="I83" s="427"/>
      <c r="J83" s="329"/>
      <c r="K83" s="192"/>
      <c r="L83" s="427"/>
      <c r="M83" s="329"/>
      <c r="N83" s="192"/>
      <c r="O83" s="427"/>
      <c r="P83" s="329"/>
      <c r="Q83" s="192"/>
      <c r="R83" s="427"/>
      <c r="S83" s="329"/>
      <c r="T83" s="192">
        <v>126.951956</v>
      </c>
      <c r="U83" s="427">
        <v>36.583753999999999</v>
      </c>
      <c r="V83" s="329">
        <f t="shared" si="81"/>
        <v>-71.2</v>
      </c>
      <c r="W83" s="192"/>
      <c r="X83" s="427"/>
      <c r="Y83" s="329"/>
      <c r="Z83" s="192"/>
      <c r="AA83" s="427"/>
      <c r="AB83" s="329"/>
      <c r="AC83" s="192"/>
      <c r="AD83" s="427"/>
      <c r="AE83" s="329"/>
      <c r="AF83" s="192"/>
      <c r="AG83" s="427"/>
      <c r="AH83" s="329"/>
      <c r="AI83" s="192"/>
      <c r="AJ83" s="427"/>
      <c r="AK83" s="329"/>
      <c r="AL83" s="192"/>
      <c r="AM83" s="427"/>
      <c r="AN83" s="329"/>
      <c r="AO83" s="518">
        <f t="shared" si="82"/>
        <v>126.951956</v>
      </c>
      <c r="AP83" s="518">
        <f t="shared" si="82"/>
        <v>36.583753999999999</v>
      </c>
      <c r="AQ83" s="329">
        <f t="shared" si="46"/>
        <v>-71.2</v>
      </c>
      <c r="AR83" s="518">
        <f t="shared" si="83"/>
        <v>126.951956</v>
      </c>
      <c r="AS83" s="518">
        <f t="shared" si="83"/>
        <v>36.583753999999999</v>
      </c>
      <c r="AT83" s="428">
        <f t="shared" si="48"/>
        <v>-71.2</v>
      </c>
    </row>
    <row r="84" spans="1:46" s="440" customFormat="1" ht="20.100000000000001" customHeight="1" x14ac:dyDescent="0.3">
      <c r="A84" s="574" t="s">
        <v>421</v>
      </c>
      <c r="B84" s="192"/>
      <c r="C84" s="427"/>
      <c r="D84" s="329"/>
      <c r="E84" s="192"/>
      <c r="F84" s="427"/>
      <c r="G84" s="329"/>
      <c r="H84" s="192"/>
      <c r="I84" s="427"/>
      <c r="J84" s="329"/>
      <c r="K84" s="192"/>
      <c r="L84" s="427"/>
      <c r="M84" s="329"/>
      <c r="N84" s="192"/>
      <c r="O84" s="427"/>
      <c r="P84" s="329"/>
      <c r="Q84" s="192"/>
      <c r="R84" s="427"/>
      <c r="S84" s="329"/>
      <c r="T84" s="192"/>
      <c r="U84" s="427">
        <v>543.01997691999998</v>
      </c>
      <c r="V84" s="329" t="str">
        <f t="shared" si="81"/>
        <v xml:space="preserve">    ---- </v>
      </c>
      <c r="W84" s="192"/>
      <c r="X84" s="427"/>
      <c r="Y84" s="329"/>
      <c r="Z84" s="192"/>
      <c r="AA84" s="427"/>
      <c r="AB84" s="329"/>
      <c r="AC84" s="192"/>
      <c r="AD84" s="427"/>
      <c r="AE84" s="329"/>
      <c r="AF84" s="192"/>
      <c r="AG84" s="427"/>
      <c r="AH84" s="329"/>
      <c r="AI84" s="192"/>
      <c r="AJ84" s="427"/>
      <c r="AK84" s="329"/>
      <c r="AL84" s="192"/>
      <c r="AM84" s="427"/>
      <c r="AN84" s="329"/>
      <c r="AO84" s="518">
        <f t="shared" si="82"/>
        <v>0</v>
      </c>
      <c r="AP84" s="518">
        <f t="shared" si="82"/>
        <v>543.01997691999998</v>
      </c>
      <c r="AQ84" s="329" t="str">
        <f t="shared" ref="AQ84" si="84">IF(AO84=0, "    ---- ", IF(ABS(ROUND(100/AO84*AP84-100,1))&lt;999,ROUND(100/AO84*AP84-100,1),IF(ROUND(100/AO84*AP84-100,1)&gt;999,999,-999)))</f>
        <v xml:space="preserve">    ---- </v>
      </c>
      <c r="AR84" s="518">
        <f t="shared" ref="AR84" si="85">B84+E84+H84+K84+N84+Q84+T84+W84+Z84+AC84+AF84+AI84+AL84</f>
        <v>0</v>
      </c>
      <c r="AS84" s="518">
        <f t="shared" ref="AS84" si="86">C84+F84+I84+L84+O84+R84+U84+X84+AA84+AD84+AG84+AJ84+AM84</f>
        <v>543.01997691999998</v>
      </c>
      <c r="AT84" s="428" t="str">
        <f t="shared" ref="AT84" si="87">IF(AR84=0, "    ---- ", IF(ABS(ROUND(100/AR84*AS84-100,1))&lt;999,ROUND(100/AR84*AS84-100,1),IF(ROUND(100/AR84*AS84-100,1)&gt;999,999,-999)))</f>
        <v xml:space="preserve">    ---- </v>
      </c>
    </row>
    <row r="85" spans="1:46" s="440" customFormat="1" ht="20.100000000000001" customHeight="1" x14ac:dyDescent="0.3">
      <c r="A85" s="574" t="s">
        <v>422</v>
      </c>
      <c r="B85" s="584">
        <v>68.968000000000004</v>
      </c>
      <c r="C85" s="329">
        <v>57.1097362699999</v>
      </c>
      <c r="D85" s="329">
        <f>IF(B85=0, "    ---- ", IF(ABS(ROUND(100/B85*C85-100,1))&lt;999,ROUND(100/B85*C85-100,1),IF(ROUND(100/B85*C85-100,1)&gt;999,999,-999)))</f>
        <v>-17.2</v>
      </c>
      <c r="E85" s="584">
        <v>528.92972287999999</v>
      </c>
      <c r="F85" s="329">
        <v>541.61607374000005</v>
      </c>
      <c r="G85" s="329">
        <f t="shared" si="44"/>
        <v>2.4</v>
      </c>
      <c r="H85" s="584"/>
      <c r="I85" s="427"/>
      <c r="J85" s="329"/>
      <c r="K85" s="584"/>
      <c r="L85" s="329"/>
      <c r="M85" s="329"/>
      <c r="N85" s="584">
        <v>247.5</v>
      </c>
      <c r="O85" s="329">
        <v>267</v>
      </c>
      <c r="P85" s="329">
        <f>IF(N85=0, "    ---- ", IF(ABS(ROUND(100/N85*O85-100,1))&lt;999,ROUND(100/N85*O85-100,1),IF(ROUND(100/N85*O85-100,1)&gt;999,999,-999)))</f>
        <v>7.9</v>
      </c>
      <c r="Q85" s="584"/>
      <c r="R85" s="329"/>
      <c r="S85" s="329"/>
      <c r="T85" s="584">
        <v>413.39116192</v>
      </c>
      <c r="U85" s="329"/>
      <c r="V85" s="329">
        <f t="shared" si="81"/>
        <v>-100</v>
      </c>
      <c r="W85" s="584"/>
      <c r="X85" s="329"/>
      <c r="Y85" s="329"/>
      <c r="Z85" s="584"/>
      <c r="AA85" s="329"/>
      <c r="AB85" s="329"/>
      <c r="AC85" s="584"/>
      <c r="AD85" s="329"/>
      <c r="AE85" s="329"/>
      <c r="AF85" s="584">
        <v>696.43600000000004</v>
      </c>
      <c r="AG85" s="329">
        <v>620.92999999999995</v>
      </c>
      <c r="AH85" s="329">
        <f t="shared" si="52"/>
        <v>-10.8</v>
      </c>
      <c r="AI85" s="584"/>
      <c r="AJ85" s="329"/>
      <c r="AK85" s="329"/>
      <c r="AL85" s="584"/>
      <c r="AM85" s="329"/>
      <c r="AN85" s="329"/>
      <c r="AO85" s="518">
        <f t="shared" ref="AO85:AP91" si="88">B85+E85+H85+K85+N85+T85+W85+Z85+AF85+AI85</f>
        <v>1955.2248847999999</v>
      </c>
      <c r="AP85" s="518">
        <f t="shared" si="88"/>
        <v>1486.6558100099999</v>
      </c>
      <c r="AQ85" s="329">
        <f t="shared" si="46"/>
        <v>-24</v>
      </c>
      <c r="AR85" s="518">
        <f t="shared" ref="AR85:AS91" si="89">B85+E85+H85+K85+N85+Q85+T85+W85+Z85+AC85+AF85+AI85+AL85</f>
        <v>1955.2248847999999</v>
      </c>
      <c r="AS85" s="518">
        <f t="shared" si="89"/>
        <v>1486.6558100099999</v>
      </c>
      <c r="AT85" s="428">
        <f t="shared" si="48"/>
        <v>-24</v>
      </c>
    </row>
    <row r="86" spans="1:46" s="440" customFormat="1" ht="20.100000000000001" customHeight="1" x14ac:dyDescent="0.3">
      <c r="A86" s="574" t="s">
        <v>238</v>
      </c>
      <c r="B86" s="192"/>
      <c r="C86" s="427"/>
      <c r="D86" s="427"/>
      <c r="E86" s="192"/>
      <c r="F86" s="427"/>
      <c r="G86" s="427"/>
      <c r="H86" s="192"/>
      <c r="I86" s="329"/>
      <c r="J86" s="427"/>
      <c r="K86" s="192"/>
      <c r="L86" s="427"/>
      <c r="M86" s="427"/>
      <c r="N86" s="192"/>
      <c r="O86" s="427"/>
      <c r="P86" s="423"/>
      <c r="Q86" s="192"/>
      <c r="R86" s="427"/>
      <c r="S86" s="329"/>
      <c r="T86" s="192">
        <v>84.892944</v>
      </c>
      <c r="U86" s="427">
        <v>6.1357100000000004</v>
      </c>
      <c r="V86" s="329">
        <f t="shared" si="81"/>
        <v>-92.8</v>
      </c>
      <c r="W86" s="192"/>
      <c r="X86" s="427"/>
      <c r="Y86" s="329"/>
      <c r="Z86" s="192"/>
      <c r="AA86" s="427"/>
      <c r="AB86" s="329"/>
      <c r="AC86" s="192"/>
      <c r="AD86" s="427"/>
      <c r="AE86" s="427"/>
      <c r="AF86" s="192"/>
      <c r="AG86" s="427"/>
      <c r="AH86" s="329"/>
      <c r="AI86" s="192"/>
      <c r="AJ86" s="427"/>
      <c r="AK86" s="329"/>
      <c r="AL86" s="192"/>
      <c r="AM86" s="427"/>
      <c r="AN86" s="329"/>
      <c r="AO86" s="518">
        <f t="shared" si="88"/>
        <v>84.892944</v>
      </c>
      <c r="AP86" s="518">
        <f t="shared" si="88"/>
        <v>6.1357100000000004</v>
      </c>
      <c r="AQ86" s="329">
        <f t="shared" si="46"/>
        <v>-92.8</v>
      </c>
      <c r="AR86" s="518">
        <f t="shared" si="89"/>
        <v>84.892944</v>
      </c>
      <c r="AS86" s="518">
        <f t="shared" si="89"/>
        <v>6.1357100000000004</v>
      </c>
      <c r="AT86" s="428">
        <f t="shared" si="48"/>
        <v>-92.8</v>
      </c>
    </row>
    <row r="87" spans="1:46" s="440" customFormat="1" ht="20.100000000000001" customHeight="1" x14ac:dyDescent="0.3">
      <c r="A87" s="622" t="s">
        <v>241</v>
      </c>
      <c r="B87" s="192">
        <f>SUM(B82:B86)</f>
        <v>27529.055</v>
      </c>
      <c r="C87" s="427">
        <f>SUM(C82:C86)</f>
        <v>26046.630689799997</v>
      </c>
      <c r="D87" s="427">
        <f>IF(B87=0, "    ---- ", IF(ABS(ROUND(100/B87*C87-100,1))&lt;999,ROUND(100/B87*C87-100,1),IF(ROUND(100/B87*C87-100,1)&gt;999,999,-999)))</f>
        <v>-5.4</v>
      </c>
      <c r="E87" s="192">
        <f>SUM(E82:E86)</f>
        <v>131616.57004987003</v>
      </c>
      <c r="F87" s="427">
        <f>SUM(F82:F86)</f>
        <v>128365.13936104999</v>
      </c>
      <c r="G87" s="427">
        <f t="shared" si="44"/>
        <v>-2.5</v>
      </c>
      <c r="H87" s="192">
        <v>244.13756746999999</v>
      </c>
      <c r="I87" s="427">
        <f>SUM(I82:I86)</f>
        <v>0</v>
      </c>
      <c r="J87" s="427">
        <f>IF(H87=0, "    ---- ", IF(ABS(ROUND(100/H87*I87-100,1))&lt;999,ROUND(100/H87*I87-100,1),IF(ROUND(100/H87*I87-100,1)&gt;999,999,-999)))</f>
        <v>-100</v>
      </c>
      <c r="K87" s="192"/>
      <c r="L87" s="427"/>
      <c r="M87" s="427"/>
      <c r="N87" s="192">
        <f>SUM(N82:N86)</f>
        <v>40002.1</v>
      </c>
      <c r="O87" s="427">
        <f>SUM(O82:O86)</f>
        <v>40928</v>
      </c>
      <c r="P87" s="423">
        <f>IF(N87=0, "    ---- ", IF(ABS(ROUND(100/N87*O87-100,1))&lt;999,ROUND(100/N87*O87-100,1),IF(ROUND(100/N87*O87-100,1)&gt;999,999,-999)))</f>
        <v>2.2999999999999998</v>
      </c>
      <c r="Q87" s="192"/>
      <c r="R87" s="427"/>
      <c r="S87" s="329"/>
      <c r="T87" s="192">
        <v>2172.9188607599999</v>
      </c>
      <c r="U87" s="427">
        <v>2585.2530519299999</v>
      </c>
      <c r="V87" s="329">
        <f t="shared" si="81"/>
        <v>19</v>
      </c>
      <c r="W87" s="192">
        <f>SUM(W82:W86)</f>
        <v>117827.82</v>
      </c>
      <c r="X87" s="427">
        <f>SUM(X82:X86)</f>
        <v>112327.4</v>
      </c>
      <c r="Y87" s="329">
        <f t="shared" si="50"/>
        <v>-4.7</v>
      </c>
      <c r="Z87" s="192"/>
      <c r="AA87" s="427"/>
      <c r="AB87" s="329"/>
      <c r="AC87" s="192">
        <f>SUM(AC82:AC86)</f>
        <v>3184.0991073800001</v>
      </c>
      <c r="AD87" s="427">
        <f>SUM(AD82:AD86)</f>
        <v>2698.3138460999999</v>
      </c>
      <c r="AE87" s="427">
        <f>IF(AC87=0, "    ---- ", IF(ABS(ROUND(100/AC87*AD87-100,1))&lt;999,ROUND(100/AC87*AD87-100,1),IF(ROUND(100/AC87*AD87-100,1)&gt;999,999,-999)))</f>
        <v>-15.3</v>
      </c>
      <c r="AF87" s="192">
        <f>SUM(AF82:AF86)</f>
        <v>52494.337</v>
      </c>
      <c r="AG87" s="427">
        <f>SUM(AG82:AG86)</f>
        <v>51982.268000000004</v>
      </c>
      <c r="AH87" s="329">
        <f t="shared" si="52"/>
        <v>-1</v>
      </c>
      <c r="AI87" s="192">
        <f>SUM(AI82:AI86)</f>
        <v>151404</v>
      </c>
      <c r="AJ87" s="427">
        <f>SUM(AJ82:AJ86)</f>
        <v>143644</v>
      </c>
      <c r="AK87" s="329">
        <f t="shared" si="53"/>
        <v>-5.0999999999999996</v>
      </c>
      <c r="AL87" s="192"/>
      <c r="AM87" s="427"/>
      <c r="AN87" s="329"/>
      <c r="AO87" s="518">
        <f t="shared" si="88"/>
        <v>523290.93847810006</v>
      </c>
      <c r="AP87" s="518">
        <f t="shared" si="88"/>
        <v>505878.69110277999</v>
      </c>
      <c r="AQ87" s="329">
        <f t="shared" si="46"/>
        <v>-3.3</v>
      </c>
      <c r="AR87" s="518">
        <f t="shared" si="89"/>
        <v>526475.03758548014</v>
      </c>
      <c r="AS87" s="518">
        <f t="shared" si="89"/>
        <v>508577.00494888</v>
      </c>
      <c r="AT87" s="428">
        <f t="shared" si="48"/>
        <v>-3.4</v>
      </c>
    </row>
    <row r="88" spans="1:46" s="440" customFormat="1" ht="20.100000000000001" customHeight="1" x14ac:dyDescent="0.3">
      <c r="A88" s="574" t="s">
        <v>242</v>
      </c>
      <c r="B88" s="192">
        <v>55.145000000000003</v>
      </c>
      <c r="C88" s="427">
        <v>53.887164040000002</v>
      </c>
      <c r="D88" s="329">
        <f>IF(B88=0, "    ---- ", IF(ABS(ROUND(100/B88*C88-100,1))&lt;999,ROUND(100/B88*C88-100,1),IF(ROUND(100/B88*C88-100,1)&gt;999,999,-999)))</f>
        <v>-2.2999999999999998</v>
      </c>
      <c r="E88" s="192">
        <v>1970.8435600299999</v>
      </c>
      <c r="F88" s="427">
        <v>585.98280786999999</v>
      </c>
      <c r="G88" s="329">
        <f t="shared" si="44"/>
        <v>-70.3</v>
      </c>
      <c r="H88" s="192">
        <v>363.23492614000003</v>
      </c>
      <c r="I88" s="427">
        <v>310.76529083000003</v>
      </c>
      <c r="J88" s="329">
        <f>IF(H88=0, "    ---- ", IF(ABS(ROUND(100/H88*I88-100,1))&lt;999,ROUND(100/H88*I88-100,1),IF(ROUND(100/H88*I88-100,1)&gt;999,999,-999)))</f>
        <v>-14.4</v>
      </c>
      <c r="K88" s="192"/>
      <c r="L88" s="427"/>
      <c r="M88" s="329"/>
      <c r="N88" s="192">
        <v>64.8</v>
      </c>
      <c r="O88" s="427">
        <v>58</v>
      </c>
      <c r="P88" s="329">
        <f>IF(N88=0, "    ---- ", IF(ABS(ROUND(100/N88*O88-100,1))&lt;999,ROUND(100/N88*O88-100,1),IF(ROUND(100/N88*O88-100,1)&gt;999,999,-999)))</f>
        <v>-10.5</v>
      </c>
      <c r="Q88" s="192">
        <v>3.7862060099999999</v>
      </c>
      <c r="R88" s="427">
        <v>6.9094064700000004</v>
      </c>
      <c r="S88" s="329">
        <f>IF(Q88=0, "    ---- ", IF(ABS(ROUND(100/Q88*R88-100,1))&lt;999,ROUND(100/Q88*R88-100,1),IF(ROUND(100/Q88*R88-100,1)&gt;999,999,-999)))</f>
        <v>82.5</v>
      </c>
      <c r="T88" s="192">
        <v>1845.0561370200001</v>
      </c>
      <c r="U88" s="427">
        <v>1068.5717248400001</v>
      </c>
      <c r="V88" s="329">
        <f t="shared" si="81"/>
        <v>-42.1</v>
      </c>
      <c r="W88" s="192">
        <v>531.88</v>
      </c>
      <c r="X88" s="427">
        <v>407.58</v>
      </c>
      <c r="Y88" s="329">
        <f t="shared" si="50"/>
        <v>-23.4</v>
      </c>
      <c r="Z88" s="192">
        <f>873+304+58</f>
        <v>1235</v>
      </c>
      <c r="AA88" s="427">
        <f>599+611+57+1</f>
        <v>1268</v>
      </c>
      <c r="AB88" s="329">
        <f>IF(Z88=0, "    ---- ", IF(ABS(ROUND(100/Z88*AA88-100,1))&lt;999,ROUND(100/Z88*AA88-100,1),IF(ROUND(100/Z88*AA88-100,1)&gt;999,999,-999)))</f>
        <v>2.7</v>
      </c>
      <c r="AC88" s="192"/>
      <c r="AD88" s="427"/>
      <c r="AE88" s="329"/>
      <c r="AF88" s="192">
        <v>559.125</v>
      </c>
      <c r="AG88" s="427">
        <v>567.45799999999997</v>
      </c>
      <c r="AH88" s="329">
        <f t="shared" si="52"/>
        <v>1.5</v>
      </c>
      <c r="AI88" s="192">
        <v>7</v>
      </c>
      <c r="AJ88" s="427">
        <v>2</v>
      </c>
      <c r="AK88" s="329">
        <f t="shared" si="53"/>
        <v>-71.400000000000006</v>
      </c>
      <c r="AL88" s="192"/>
      <c r="AM88" s="427"/>
      <c r="AN88" s="329"/>
      <c r="AO88" s="518">
        <f t="shared" si="88"/>
        <v>6632.0846231900005</v>
      </c>
      <c r="AP88" s="518">
        <f t="shared" si="88"/>
        <v>4322.2449875800003</v>
      </c>
      <c r="AQ88" s="329">
        <f t="shared" si="46"/>
        <v>-34.799999999999997</v>
      </c>
      <c r="AR88" s="518">
        <f t="shared" si="89"/>
        <v>6635.8708292000001</v>
      </c>
      <c r="AS88" s="518">
        <f t="shared" si="89"/>
        <v>4329.1543940499996</v>
      </c>
      <c r="AT88" s="428">
        <f t="shared" si="48"/>
        <v>-34.799999999999997</v>
      </c>
    </row>
    <row r="89" spans="1:46" s="440" customFormat="1" ht="20.100000000000001" customHeight="1" x14ac:dyDescent="0.3">
      <c r="A89" s="574" t="s">
        <v>243</v>
      </c>
      <c r="B89" s="192"/>
      <c r="C89" s="427"/>
      <c r="D89" s="329"/>
      <c r="E89" s="192"/>
      <c r="F89" s="427"/>
      <c r="G89" s="329"/>
      <c r="H89" s="192">
        <v>96.701093919999977</v>
      </c>
      <c r="I89" s="427">
        <v>366.83817587999999</v>
      </c>
      <c r="J89" s="329">
        <f t="shared" ref="J89:J90" si="90">IF(H89=0, "    ---- ", IF(ABS(ROUND(100/H89*I89-100,1))&lt;999,ROUND(100/H89*I89-100,1),IF(ROUND(100/H89*I89-100,1)&gt;999,999,-999)))</f>
        <v>279.39999999999998</v>
      </c>
      <c r="K89" s="192"/>
      <c r="L89" s="427"/>
      <c r="M89" s="329"/>
      <c r="N89" s="192"/>
      <c r="O89" s="427"/>
      <c r="P89" s="329"/>
      <c r="Q89" s="192"/>
      <c r="R89" s="427"/>
      <c r="S89" s="329"/>
      <c r="T89" s="192"/>
      <c r="U89" s="427"/>
      <c r="V89" s="329"/>
      <c r="W89" s="192"/>
      <c r="X89" s="427"/>
      <c r="Y89" s="329"/>
      <c r="Z89" s="192"/>
      <c r="AA89" s="427"/>
      <c r="AB89" s="329"/>
      <c r="AC89" s="192"/>
      <c r="AD89" s="427"/>
      <c r="AE89" s="329"/>
      <c r="AF89" s="192">
        <v>5.2619999999999996</v>
      </c>
      <c r="AG89" s="427">
        <v>7.9569999999999999</v>
      </c>
      <c r="AH89" s="329">
        <f t="shared" si="52"/>
        <v>51.2</v>
      </c>
      <c r="AI89" s="192"/>
      <c r="AJ89" s="427"/>
      <c r="AK89" s="329"/>
      <c r="AL89" s="192"/>
      <c r="AM89" s="427"/>
      <c r="AN89" s="329"/>
      <c r="AO89" s="518">
        <f t="shared" si="88"/>
        <v>101.96309391999998</v>
      </c>
      <c r="AP89" s="518">
        <f t="shared" si="88"/>
        <v>374.79517587999999</v>
      </c>
      <c r="AQ89" s="329">
        <f t="shared" si="46"/>
        <v>267.60000000000002</v>
      </c>
      <c r="AR89" s="518">
        <f t="shared" si="89"/>
        <v>101.96309391999998</v>
      </c>
      <c r="AS89" s="518">
        <f t="shared" si="89"/>
        <v>374.79517587999999</v>
      </c>
      <c r="AT89" s="428">
        <f t="shared" si="48"/>
        <v>267.60000000000002</v>
      </c>
    </row>
    <row r="90" spans="1:46" s="440" customFormat="1" ht="20.100000000000001" customHeight="1" x14ac:dyDescent="0.3">
      <c r="A90" s="574" t="s">
        <v>244</v>
      </c>
      <c r="B90" s="192">
        <v>104.535</v>
      </c>
      <c r="C90" s="427">
        <v>603.94546326000204</v>
      </c>
      <c r="D90" s="427">
        <f>IF(B90=0, "    ---- ", IF(ABS(ROUND(100/B90*C90-100,1))&lt;999,ROUND(100/B90*C90-100,1),IF(ROUND(100/B90*C90-100,1)&gt;999,999,-999)))</f>
        <v>477.7</v>
      </c>
      <c r="E90" s="192">
        <v>3415.6312426499971</v>
      </c>
      <c r="F90" s="427">
        <v>7776.8000201500136</v>
      </c>
      <c r="G90" s="427">
        <f t="shared" si="44"/>
        <v>127.7</v>
      </c>
      <c r="H90" s="192">
        <v>-1.4775262499999999</v>
      </c>
      <c r="I90" s="427">
        <v>154.60385070000001</v>
      </c>
      <c r="J90" s="329">
        <f t="shared" si="90"/>
        <v>-999</v>
      </c>
      <c r="K90" s="192">
        <v>115.58744299999999</v>
      </c>
      <c r="L90" s="427">
        <v>75.481999999999999</v>
      </c>
      <c r="M90" s="427">
        <f>IF(K90=0, "    ---- ", IF(ABS(ROUND(100/K90*L90-100,1))&lt;999,ROUND(100/K90*L90-100,1),IF(ROUND(100/K90*L90-100,1)&gt;999,999,-999)))</f>
        <v>-34.700000000000003</v>
      </c>
      <c r="N90" s="192">
        <v>139.69999999999999</v>
      </c>
      <c r="O90" s="427">
        <v>156</v>
      </c>
      <c r="P90" s="423">
        <f>IF(N90=0, "    ---- ", IF(ABS(ROUND(100/N90*O90-100,1))&lt;999,ROUND(100/N90*O90-100,1),IF(ROUND(100/N90*O90-100,1)&gt;999,999,-999)))</f>
        <v>11.7</v>
      </c>
      <c r="Q90" s="192">
        <v>0.97277608999999998</v>
      </c>
      <c r="R90" s="427">
        <v>3.5551016099999999</v>
      </c>
      <c r="S90" s="329">
        <f>IF(Q90=0, "    ---- ", IF(ABS(ROUND(100/Q90*R90-100,1))&lt;999,ROUND(100/Q90*R90-100,1),IF(ROUND(100/Q90*R90-100,1)&gt;999,999,-999)))</f>
        <v>265.5</v>
      </c>
      <c r="T90" s="192">
        <v>12438.31096762</v>
      </c>
      <c r="U90" s="427">
        <v>30548.427658479999</v>
      </c>
      <c r="V90" s="329">
        <f t="shared" si="81"/>
        <v>145.6</v>
      </c>
      <c r="W90" s="192">
        <v>657.98</v>
      </c>
      <c r="X90" s="427">
        <v>1484.11</v>
      </c>
      <c r="Y90" s="329">
        <f t="shared" si="50"/>
        <v>125.6</v>
      </c>
      <c r="Z90" s="192"/>
      <c r="AA90" s="427"/>
      <c r="AB90" s="329"/>
      <c r="AC90" s="192">
        <v>14.67467832</v>
      </c>
      <c r="AD90" s="427">
        <v>10.840981429999999</v>
      </c>
      <c r="AE90" s="329">
        <f>IF(AC90=0, "    ---- ", IF(ABS(ROUND(100/AC90*AD90-100,1))&lt;999,ROUND(100/AC90*AD90-100,1),IF(ROUND(100/AC90*AD90-100,1)&gt;999,999,-999)))</f>
        <v>-26.1</v>
      </c>
      <c r="AF90" s="192">
        <v>881.572</v>
      </c>
      <c r="AG90" s="427">
        <v>2136.0790000000002</v>
      </c>
      <c r="AH90" s="329">
        <f t="shared" si="52"/>
        <v>142.30000000000001</v>
      </c>
      <c r="AI90" s="192">
        <v>9631</v>
      </c>
      <c r="AJ90" s="427">
        <v>14022</v>
      </c>
      <c r="AK90" s="329">
        <f t="shared" si="53"/>
        <v>45.6</v>
      </c>
      <c r="AL90" s="192"/>
      <c r="AM90" s="427">
        <v>6</v>
      </c>
      <c r="AN90" s="329" t="str">
        <f t="shared" ref="AN90" si="91">IF(AL90=0, "    ---- ", IF(ABS(ROUND(100/AL90*AM90-100,1))&lt;999,ROUND(100/AL90*AM90-100,1),IF(ROUND(100/AL90*AM90-100,1)&gt;999,999,-999)))</f>
        <v xml:space="preserve">    ---- </v>
      </c>
      <c r="AO90" s="518">
        <f t="shared" si="88"/>
        <v>27382.839127019997</v>
      </c>
      <c r="AP90" s="518">
        <f t="shared" si="88"/>
        <v>56957.447992590009</v>
      </c>
      <c r="AQ90" s="329">
        <f t="shared" si="46"/>
        <v>108</v>
      </c>
      <c r="AR90" s="518">
        <f t="shared" si="89"/>
        <v>27398.486581429996</v>
      </c>
      <c r="AS90" s="518">
        <f t="shared" si="89"/>
        <v>56977.844075630019</v>
      </c>
      <c r="AT90" s="428">
        <f t="shared" si="48"/>
        <v>108</v>
      </c>
    </row>
    <row r="91" spans="1:46" s="440" customFormat="1" ht="20.100000000000001" customHeight="1" x14ac:dyDescent="0.3">
      <c r="A91" s="574" t="s">
        <v>245</v>
      </c>
      <c r="B91" s="192">
        <v>39.316000000000003</v>
      </c>
      <c r="C91" s="427">
        <v>24.767217949999999</v>
      </c>
      <c r="D91" s="427">
        <f>IF(B91=0, "    ---- ", IF(ABS(ROUND(100/B91*C91-100,1))&lt;999,ROUND(100/B91*C91-100,1),IF(ROUND(100/B91*C91-100,1)&gt;999,999,-999)))</f>
        <v>-37</v>
      </c>
      <c r="E91" s="192">
        <v>221.16262409999999</v>
      </c>
      <c r="F91" s="427">
        <v>70.988611230000004</v>
      </c>
      <c r="G91" s="427">
        <f t="shared" si="44"/>
        <v>-67.900000000000006</v>
      </c>
      <c r="H91" s="192"/>
      <c r="I91" s="427"/>
      <c r="J91" s="427"/>
      <c r="K91" s="192">
        <v>16.684861000000001</v>
      </c>
      <c r="L91" s="427">
        <v>23.358000000000001</v>
      </c>
      <c r="M91" s="427">
        <f>IF(K91=0, "    ---- ", IF(ABS(ROUND(100/K91*L91-100,1))&lt;999,ROUND(100/K91*L91-100,1),IF(ROUND(100/K91*L91-100,1)&gt;999,999,-999)))</f>
        <v>40</v>
      </c>
      <c r="N91" s="192">
        <v>30.9</v>
      </c>
      <c r="O91" s="427">
        <v>23</v>
      </c>
      <c r="P91" s="329">
        <f>IF(N91=0, "    ---- ", IF(ABS(ROUND(100/N91*O91-100,1))&lt;999,ROUND(100/N91*O91-100,1),IF(ROUND(100/N91*O91-100,1)&gt;999,999,-999)))</f>
        <v>-25.6</v>
      </c>
      <c r="Q91" s="192"/>
      <c r="R91" s="427"/>
      <c r="S91" s="329"/>
      <c r="T91" s="192">
        <v>73.359974690000001</v>
      </c>
      <c r="U91" s="427">
        <v>80.650088370000006</v>
      </c>
      <c r="V91" s="329">
        <f t="shared" si="81"/>
        <v>9.9</v>
      </c>
      <c r="W91" s="192">
        <v>35.57</v>
      </c>
      <c r="X91" s="427">
        <v>46.15</v>
      </c>
      <c r="Y91" s="329">
        <f t="shared" si="50"/>
        <v>29.7</v>
      </c>
      <c r="Z91" s="192"/>
      <c r="AA91" s="427"/>
      <c r="AB91" s="329"/>
      <c r="AC91" s="192">
        <v>0.27811429999999998</v>
      </c>
      <c r="AD91" s="427"/>
      <c r="AE91" s="329">
        <f>IF(AC91=0, "    ---- ", IF(ABS(ROUND(100/AC91*AD91-100,1))&lt;999,ROUND(100/AC91*AD91-100,1),IF(ROUND(100/AC91*AD91-100,1)&gt;999,999,-999)))</f>
        <v>-100</v>
      </c>
      <c r="AF91" s="192">
        <v>36.026000000000003</v>
      </c>
      <c r="AG91" s="427">
        <v>34.256</v>
      </c>
      <c r="AH91" s="329">
        <f t="shared" si="52"/>
        <v>-4.9000000000000004</v>
      </c>
      <c r="AI91" s="192">
        <v>169</v>
      </c>
      <c r="AJ91" s="427">
        <v>391</v>
      </c>
      <c r="AK91" s="329">
        <f t="shared" si="53"/>
        <v>131.4</v>
      </c>
      <c r="AL91" s="192"/>
      <c r="AM91" s="427"/>
      <c r="AN91" s="329"/>
      <c r="AO91" s="518">
        <f t="shared" si="88"/>
        <v>622.01945978999993</v>
      </c>
      <c r="AP91" s="518">
        <f t="shared" si="88"/>
        <v>694.16991755000004</v>
      </c>
      <c r="AQ91" s="329">
        <f t="shared" si="46"/>
        <v>11.6</v>
      </c>
      <c r="AR91" s="518">
        <f t="shared" si="89"/>
        <v>622.29757409000001</v>
      </c>
      <c r="AS91" s="518">
        <f t="shared" si="89"/>
        <v>694.16991755000004</v>
      </c>
      <c r="AT91" s="428">
        <f t="shared" si="48"/>
        <v>11.5</v>
      </c>
    </row>
    <row r="92" spans="1:46" s="440" customFormat="1" ht="20.100000000000001" customHeight="1" x14ac:dyDescent="0.3">
      <c r="A92" s="574"/>
      <c r="B92" s="192"/>
      <c r="C92" s="427"/>
      <c r="D92" s="329"/>
      <c r="E92" s="192"/>
      <c r="F92" s="427"/>
      <c r="G92" s="329"/>
      <c r="H92" s="192"/>
      <c r="J92" s="329"/>
      <c r="K92" s="192"/>
      <c r="L92" s="427"/>
      <c r="M92" s="329"/>
      <c r="N92" s="192"/>
      <c r="O92" s="427"/>
      <c r="P92" s="329"/>
      <c r="Q92" s="192"/>
      <c r="R92" s="427"/>
      <c r="S92" s="329"/>
      <c r="T92" s="192"/>
      <c r="U92" s="427"/>
      <c r="V92" s="329"/>
      <c r="W92" s="192"/>
      <c r="X92" s="427"/>
      <c r="Y92" s="329"/>
      <c r="Z92" s="192"/>
      <c r="AA92" s="427"/>
      <c r="AB92" s="329"/>
      <c r="AC92" s="192"/>
      <c r="AD92" s="427"/>
      <c r="AE92" s="329"/>
      <c r="AF92" s="192"/>
      <c r="AG92" s="427"/>
      <c r="AH92" s="329"/>
      <c r="AI92" s="192"/>
      <c r="AJ92" s="427"/>
      <c r="AK92" s="329"/>
      <c r="AL92" s="192"/>
      <c r="AM92" s="427"/>
      <c r="AN92" s="329"/>
      <c r="AO92" s="423"/>
      <c r="AP92" s="423"/>
      <c r="AQ92" s="329"/>
      <c r="AR92" s="423"/>
      <c r="AS92" s="423"/>
      <c r="AT92" s="428"/>
    </row>
    <row r="93" spans="1:46" s="461" customFormat="1" ht="20.100000000000001" customHeight="1" x14ac:dyDescent="0.3">
      <c r="A93" s="593" t="s">
        <v>246</v>
      </c>
      <c r="B93" s="195">
        <f>SUM(B68+B69+B71+B80+B87+B88+B89+B90+B91)</f>
        <v>30185.067999999999</v>
      </c>
      <c r="C93" s="431">
        <f>SUM(C68+C69+C71+C80+C87+C88+C89+C90+C91)</f>
        <v>29297.584820390006</v>
      </c>
      <c r="D93" s="432">
        <f>IF(B93=0, "    ---- ", IF(ABS(ROUND(100/B93*C93-100,1))&lt;999,ROUND(100/B93*C93-100,1),IF(ROUND(100/B93*C93-100,1)&gt;999,999,-999)))</f>
        <v>-2.9</v>
      </c>
      <c r="E93" s="195">
        <f>SUM(E68+E69+E71+E80+E87+E88+E89+E90+E91)</f>
        <v>368989.75821954</v>
      </c>
      <c r="F93" s="431">
        <f>SUM(F68+F69+F71+F80+F87+F88+F89+F90+F91)</f>
        <v>360740.82455015002</v>
      </c>
      <c r="G93" s="432">
        <f t="shared" si="44"/>
        <v>-2.2000000000000002</v>
      </c>
      <c r="H93" s="195">
        <f>SUM(H68+H69+H71+H80+H87+H88+H89+H90+H91)</f>
        <v>11627.505634629999</v>
      </c>
      <c r="I93" s="431">
        <f>SUM(I68+I69+I71+I80+I87+I88+I89+I90+I91)</f>
        <v>12018.02277731</v>
      </c>
      <c r="J93" s="432">
        <f>IF(H93=0, "    ---- ", IF(ABS(ROUND(100/H93*I93-100,1))&lt;999,ROUND(100/H93*I93-100,1),IF(ROUND(100/H93*I93-100,1)&gt;999,999,-999)))</f>
        <v>3.4</v>
      </c>
      <c r="K93" s="195">
        <f>SUM(K68+K69+K71+K80+K87+K88+K89+K90+K91)</f>
        <v>1992.6730959999998</v>
      </c>
      <c r="L93" s="431">
        <f>SUM(L68+L69+L71+L80+L87+L88+L89+L90+L91)</f>
        <v>2135.6650000000004</v>
      </c>
      <c r="M93" s="432">
        <f>IF(K93=0, "    ---- ", IF(ABS(ROUND(100/K93*L93-100,1))&lt;999,ROUND(100/K93*L93-100,1),IF(ROUND(100/K93*L93-100,1)&gt;999,999,-999)))</f>
        <v>7.2</v>
      </c>
      <c r="N93" s="195">
        <f>SUM(N68+N69+N71+N80+N87+N88+N89+N90+N91)</f>
        <v>49801.3</v>
      </c>
      <c r="O93" s="431">
        <f>SUM(O68+O69+O71+O80+O87+O88+O89+O90+O91)</f>
        <v>51329</v>
      </c>
      <c r="P93" s="432">
        <f>IF(N93=0, "    ---- ", IF(ABS(ROUND(100/N93*O93-100,1))&lt;999,ROUND(100/N93*O93-100,1),IF(ROUND(100/N93*O93-100,1)&gt;999,999,-999)))</f>
        <v>3.1</v>
      </c>
      <c r="Q93" s="195">
        <f>SUM(Q68+Q69+Q71+Q80+Q87+Q88+Q89+Q90+Q91)</f>
        <v>161.35311762999999</v>
      </c>
      <c r="R93" s="431">
        <f>SUM(R68+R69+R71+R80+R87+R88+R89+R90+R91)</f>
        <v>158.94991403</v>
      </c>
      <c r="S93" s="432">
        <f>IF(Q93=0, "    ---- ", IF(ABS(ROUND(100/Q93*R93-100,1))&lt;999,ROUND(100/Q93*R93-100,1),IF(ROUND(100/Q93*R93-100,1)&gt;999,999,-999)))</f>
        <v>-1.5</v>
      </c>
      <c r="T93" s="195">
        <v>694522.36689616006</v>
      </c>
      <c r="U93" s="431">
        <v>720770.63887605001</v>
      </c>
      <c r="V93" s="432">
        <f t="shared" si="81"/>
        <v>3.8</v>
      </c>
      <c r="W93" s="195">
        <f>SUM(W68+W69+W71+W80+W87+W88+W89+W90+W91)</f>
        <v>185981.68100000001</v>
      </c>
      <c r="X93" s="431">
        <f>SUM(X68+X69+X71+X80+X87+X88+X89+X90+X91)</f>
        <v>181082.79999999996</v>
      </c>
      <c r="Y93" s="432">
        <f t="shared" si="50"/>
        <v>-2.6</v>
      </c>
      <c r="Z93" s="195">
        <f>SUM(Z68+Z69+Z71+Z80+Z87+Z88+Z89+Z90+Z91)</f>
        <v>122402</v>
      </c>
      <c r="AA93" s="431">
        <f>SUM(AA68+AA69+AA71+AA80+AA87+AA88+AA89+AA90+AA91)</f>
        <v>123845</v>
      </c>
      <c r="AB93" s="432">
        <f>IF(Z93=0, "    ---- ", IF(ABS(ROUND(100/Z93*AA93-100,1))&lt;999,ROUND(100/Z93*AA93-100,1),IF(ROUND(100/Z93*AA93-100,1)&gt;999,999,-999)))</f>
        <v>1.2</v>
      </c>
      <c r="AC93" s="195">
        <f>SUM(AC68+AC69+AC71+AC80+AC87+AC88+AC89+AC90+AC91)</f>
        <v>3286.8092732</v>
      </c>
      <c r="AD93" s="431">
        <f>SUM(AD68+AD69+AD71+AD80+AD87+AD88+AD89+AD90+AD91)</f>
        <v>2805.6437457099996</v>
      </c>
      <c r="AE93" s="432">
        <f>IF(AC93=0, "    ---- ", IF(ABS(ROUND(100/AC93*AD93-100,1))&lt;999,ROUND(100/AC93*AD93-100,1),IF(ROUND(100/AC93*AD93-100,1)&gt;999,999,-999)))</f>
        <v>-14.6</v>
      </c>
      <c r="AF93" s="195">
        <f>SUM(AF68+AF69+AF71+AF80+AF87+AF88+AF89+AF90+AF91)</f>
        <v>83377.442654950006</v>
      </c>
      <c r="AG93" s="431">
        <f>SUM(AG68+AG69+AG71+AG80+AG87+AG88+AG89+AG90+AG91)</f>
        <v>82977.411302809996</v>
      </c>
      <c r="AH93" s="432">
        <f t="shared" si="52"/>
        <v>-0.5</v>
      </c>
      <c r="AI93" s="195">
        <f>SUM(AI68+AI69+AI71+AI80+AI87+AI88+AI89+AI90+AI91)</f>
        <v>404495</v>
      </c>
      <c r="AJ93" s="431">
        <f>SUM(AJ68+AJ69+AJ71+AJ80+AJ87+AJ88+AJ89+AJ90+AJ91)</f>
        <v>398483</v>
      </c>
      <c r="AK93" s="432">
        <f t="shared" si="53"/>
        <v>-1.5</v>
      </c>
      <c r="AL93" s="195"/>
      <c r="AM93" s="431">
        <f>SUM(AM68+AM69+AM71+AM80+AM87+AM88+AM89+AM90+AM91)</f>
        <v>11</v>
      </c>
      <c r="AN93" s="432" t="str">
        <f t="shared" ref="AN93" si="92">IF(AL93=0, "    ---- ", IF(ABS(ROUND(100/AL93*AM93-100,1))&lt;999,ROUND(100/AL93*AM93-100,1),IF(ROUND(100/AL93*AM93-100,1)&gt;999,999,-999)))</f>
        <v xml:space="preserve">    ---- </v>
      </c>
      <c r="AO93" s="654">
        <f t="shared" ref="AO93:AP93" si="93">B93+E93+H93+K93+N93+T93+W93+Z93+AF93+AI93</f>
        <v>1953374.7955012801</v>
      </c>
      <c r="AP93" s="654">
        <f t="shared" si="93"/>
        <v>1962679.9473267102</v>
      </c>
      <c r="AQ93" s="432">
        <f t="shared" si="46"/>
        <v>0.5</v>
      </c>
      <c r="AR93" s="654">
        <f t="shared" ref="AR93:AS93" si="94">B93+E93+H93+K93+N93+Q93+T93+W93+Z93+AC93+AF93+AI93+AL93</f>
        <v>1956822.9578921103</v>
      </c>
      <c r="AS93" s="431">
        <f t="shared" si="94"/>
        <v>1965655.5409864499</v>
      </c>
      <c r="AT93" s="433">
        <f t="shared" si="48"/>
        <v>0.5</v>
      </c>
    </row>
    <row r="94" spans="1:46" ht="18.75" customHeight="1" x14ac:dyDescent="0.3">
      <c r="A94" s="438" t="s">
        <v>247</v>
      </c>
      <c r="B94" s="438"/>
      <c r="T94" s="438"/>
      <c r="X94" s="625"/>
      <c r="Y94" s="625"/>
      <c r="Z94" s="625"/>
      <c r="AA94" s="625"/>
      <c r="AB94" s="625"/>
      <c r="AC94" s="625"/>
      <c r="AD94" s="625"/>
      <c r="AE94" s="625"/>
      <c r="AF94" s="438"/>
      <c r="AI94" s="438"/>
      <c r="AL94" s="438"/>
    </row>
    <row r="95" spans="1:46" ht="18.75" customHeight="1" x14ac:dyDescent="0.3">
      <c r="A95" s="438" t="s">
        <v>248</v>
      </c>
      <c r="T95" s="438"/>
      <c r="X95" s="625"/>
      <c r="Y95" s="625"/>
      <c r="Z95" s="625"/>
      <c r="AA95" s="625"/>
      <c r="AB95" s="625"/>
      <c r="AC95" s="625"/>
      <c r="AD95" s="625"/>
      <c r="AE95" s="625"/>
      <c r="AF95" s="438"/>
      <c r="AI95" s="438"/>
      <c r="AL95" s="438"/>
    </row>
    <row r="96" spans="1:46" s="441" customFormat="1" ht="18.75" customHeight="1" x14ac:dyDescent="0.3">
      <c r="A96" s="438" t="s">
        <v>249</v>
      </c>
      <c r="Y96" s="626"/>
      <c r="Z96" s="626"/>
      <c r="AA96" s="626"/>
      <c r="AB96" s="626"/>
      <c r="AC96" s="626"/>
      <c r="AD96" s="626"/>
      <c r="AE96" s="626"/>
    </row>
    <row r="97" spans="20:21" s="441" customFormat="1" ht="18.75" x14ac:dyDescent="0.3"/>
    <row r="98" spans="20:21" s="441" customFormat="1" ht="18.75" x14ac:dyDescent="0.3"/>
    <row r="99" spans="20:21" s="441" customFormat="1" ht="18.75" x14ac:dyDescent="0.3"/>
    <row r="100" spans="20:21" s="441" customFormat="1" ht="18.75" x14ac:dyDescent="0.3"/>
    <row r="101" spans="20:21" s="441" customFormat="1" ht="18.75" x14ac:dyDescent="0.3"/>
    <row r="102" spans="20:21" s="441" customFormat="1" ht="18.75" x14ac:dyDescent="0.3"/>
    <row r="103" spans="20:21" s="441" customFormat="1" ht="18.75" x14ac:dyDescent="0.3"/>
    <row r="104" spans="20:21" s="441" customFormat="1" ht="18.75" x14ac:dyDescent="0.3">
      <c r="T104" s="438"/>
      <c r="U104" s="438"/>
    </row>
    <row r="105" spans="20:21" s="441" customFormat="1" ht="18.75" x14ac:dyDescent="0.3">
      <c r="T105" s="438"/>
      <c r="U105" s="438"/>
    </row>
    <row r="106" spans="20:21" s="441" customFormat="1" ht="18.75" x14ac:dyDescent="0.3">
      <c r="T106" s="438"/>
      <c r="U106" s="438"/>
    </row>
    <row r="107" spans="20:21" s="441" customFormat="1" ht="18.75" x14ac:dyDescent="0.3">
      <c r="T107" s="438"/>
      <c r="U107" s="438"/>
    </row>
    <row r="108" spans="20:21" s="441" customFormat="1" ht="18.75" x14ac:dyDescent="0.3">
      <c r="T108" s="438"/>
      <c r="U108" s="438"/>
    </row>
    <row r="109" spans="20:21" s="441" customFormat="1" ht="18.75" x14ac:dyDescent="0.3">
      <c r="T109" s="438"/>
      <c r="U109" s="438"/>
    </row>
    <row r="110" spans="20:21" s="441" customFormat="1" ht="18.75" x14ac:dyDescent="0.3">
      <c r="T110" s="438"/>
      <c r="U110" s="438"/>
    </row>
    <row r="111" spans="20:21" s="463" customFormat="1" ht="15.75" x14ac:dyDescent="0.25">
      <c r="T111" s="462"/>
      <c r="U111" s="462"/>
    </row>
    <row r="112" spans="20:21" s="463" customFormat="1" ht="15.75" x14ac:dyDescent="0.25">
      <c r="T112" s="462"/>
      <c r="U112" s="462"/>
    </row>
    <row r="113" spans="20:21" x14ac:dyDescent="0.2">
      <c r="T113" s="440"/>
      <c r="U113" s="440"/>
    </row>
    <row r="114" spans="20:21" x14ac:dyDescent="0.2">
      <c r="T114" s="440"/>
      <c r="U114" s="440"/>
    </row>
    <row r="115" spans="20:21" x14ac:dyDescent="0.2">
      <c r="T115" s="440"/>
      <c r="U115" s="440"/>
    </row>
    <row r="116" spans="20:21" x14ac:dyDescent="0.2">
      <c r="T116" s="440"/>
      <c r="U116" s="440"/>
    </row>
    <row r="117" spans="20:21" x14ac:dyDescent="0.2">
      <c r="T117" s="440"/>
      <c r="U117" s="440"/>
    </row>
    <row r="118" spans="20:21" x14ac:dyDescent="0.2">
      <c r="T118" s="440"/>
      <c r="U118" s="440"/>
    </row>
    <row r="119" spans="20:21" x14ac:dyDescent="0.2">
      <c r="T119" s="440"/>
      <c r="U119" s="440"/>
    </row>
    <row r="120" spans="20:21" x14ac:dyDescent="0.2">
      <c r="T120" s="440"/>
      <c r="U120" s="440"/>
    </row>
    <row r="121" spans="20:21" x14ac:dyDescent="0.2">
      <c r="T121" s="440"/>
      <c r="U121" s="440"/>
    </row>
    <row r="122" spans="20:21" x14ac:dyDescent="0.2">
      <c r="T122" s="440"/>
      <c r="U122" s="440"/>
    </row>
    <row r="123" spans="20:21" x14ac:dyDescent="0.2">
      <c r="T123" s="440"/>
      <c r="U123" s="440"/>
    </row>
    <row r="124" spans="20:21" x14ac:dyDescent="0.2">
      <c r="T124" s="440"/>
      <c r="U124" s="440"/>
    </row>
    <row r="125" spans="20:21" x14ac:dyDescent="0.2">
      <c r="T125" s="440"/>
      <c r="U125" s="440"/>
    </row>
    <row r="126" spans="20:21" x14ac:dyDescent="0.2">
      <c r="T126" s="440"/>
      <c r="U126" s="440"/>
    </row>
    <row r="127" spans="20:21" x14ac:dyDescent="0.2">
      <c r="T127" s="440"/>
      <c r="U127" s="440"/>
    </row>
    <row r="128" spans="20:21" x14ac:dyDescent="0.2">
      <c r="T128" s="440"/>
      <c r="U128" s="440"/>
    </row>
    <row r="129" spans="20:21" x14ac:dyDescent="0.2">
      <c r="T129" s="440"/>
      <c r="U129" s="440"/>
    </row>
    <row r="130" spans="20:21" x14ac:dyDescent="0.2">
      <c r="T130" s="440"/>
      <c r="U130" s="440"/>
    </row>
  </sheetData>
  <mergeCells count="32">
    <mergeCell ref="BC5:BE5"/>
    <mergeCell ref="Z5:AB5"/>
    <mergeCell ref="AI5:AK5"/>
    <mergeCell ref="AO5:AQ5"/>
    <mergeCell ref="H6:J6"/>
    <mergeCell ref="K6:M6"/>
    <mergeCell ref="N6:P6"/>
    <mergeCell ref="H5:J5"/>
    <mergeCell ref="K5:M5"/>
    <mergeCell ref="N5:P5"/>
    <mergeCell ref="BC6:BE6"/>
    <mergeCell ref="AF5:AH5"/>
    <mergeCell ref="AI6:AK6"/>
    <mergeCell ref="AO6:AQ6"/>
    <mergeCell ref="AF6:AH6"/>
    <mergeCell ref="AZ5:BB5"/>
    <mergeCell ref="AZ6:BB6"/>
    <mergeCell ref="AL5:AN5"/>
    <mergeCell ref="AL6:AN6"/>
    <mergeCell ref="AR5:AT5"/>
    <mergeCell ref="AR6:AT6"/>
    <mergeCell ref="B5:D5"/>
    <mergeCell ref="E5:G5"/>
    <mergeCell ref="AW5:AY5"/>
    <mergeCell ref="B6:D6"/>
    <mergeCell ref="E6:G6"/>
    <mergeCell ref="AW6:AY6"/>
    <mergeCell ref="Q6:S6"/>
    <mergeCell ref="T6:V6"/>
    <mergeCell ref="W6:Y6"/>
    <mergeCell ref="Z6:AB6"/>
    <mergeCell ref="AC6:AE6"/>
  </mergeCells>
  <conditionalFormatting sqref="AF35">
    <cfRule type="expression" dxfId="166" priority="338">
      <formula>#REF! ="35≠36+38"</formula>
    </cfRule>
  </conditionalFormatting>
  <conditionalFormatting sqref="AF39">
    <cfRule type="expression" dxfId="165" priority="339">
      <formula>#REF! ="39≠40+41+42+43+44"</formula>
    </cfRule>
  </conditionalFormatting>
  <conditionalFormatting sqref="AF45">
    <cfRule type="expression" dxfId="164" priority="340">
      <formula>#REF! ="45≠33+34+35+39"</formula>
    </cfRule>
  </conditionalFormatting>
  <conditionalFormatting sqref="AF50">
    <cfRule type="expression" dxfId="163" priority="341">
      <formula>#REF! ="50≠51+53"</formula>
    </cfRule>
  </conditionalFormatting>
  <conditionalFormatting sqref="AF54">
    <cfRule type="expression" dxfId="162" priority="342">
      <formula>#REF! ="54≠55+56+57+58+59"</formula>
    </cfRule>
  </conditionalFormatting>
  <conditionalFormatting sqref="AF60">
    <cfRule type="expression" dxfId="161" priority="343">
      <formula>#REF! ="60≠48+49+50+54"</formula>
    </cfRule>
  </conditionalFormatting>
  <conditionalFormatting sqref="AF62">
    <cfRule type="expression" dxfId="160" priority="344">
      <formula>#REF! ="62≠45+46+60+61"</formula>
    </cfRule>
  </conditionalFormatting>
  <conditionalFormatting sqref="AF64">
    <cfRule type="expression" dxfId="159" priority="345">
      <formula>#REF! ="64≠29+62"</formula>
    </cfRule>
  </conditionalFormatting>
  <conditionalFormatting sqref="AF80">
    <cfRule type="expression" dxfId="158" priority="346">
      <formula>#REF! ="80≠73+74+75+76+77+78+79"</formula>
    </cfRule>
  </conditionalFormatting>
  <conditionalFormatting sqref="AF87">
    <cfRule type="expression" dxfId="157" priority="347">
      <formula>#REF! ="88≠82+83+84+85+86+87"</formula>
    </cfRule>
  </conditionalFormatting>
  <conditionalFormatting sqref="AF93">
    <cfRule type="expression" dxfId="156" priority="348">
      <formula>#REF! = "64≠94"</formula>
    </cfRule>
  </conditionalFormatting>
  <conditionalFormatting sqref="AF93">
    <cfRule type="expression" dxfId="155" priority="349">
      <formula>#REF! = "94≠68+69+71+80+88+89+90+91+92"</formula>
    </cfRule>
  </conditionalFormatting>
  <conditionalFormatting sqref="W35">
    <cfRule type="expression" dxfId="154" priority="314">
      <formula>#REF! ="35≠36+38"</formula>
    </cfRule>
  </conditionalFormatting>
  <conditionalFormatting sqref="W39">
    <cfRule type="expression" dxfId="153" priority="315">
      <formula>#REF! ="39≠40+41+42+43+44"</formula>
    </cfRule>
  </conditionalFormatting>
  <conditionalFormatting sqref="W45">
    <cfRule type="expression" dxfId="152" priority="316">
      <formula>#REF! ="45≠33+34+35+39"</formula>
    </cfRule>
  </conditionalFormatting>
  <conditionalFormatting sqref="W50">
    <cfRule type="expression" dxfId="151" priority="317">
      <formula>#REF! ="50≠51+53"</formula>
    </cfRule>
  </conditionalFormatting>
  <conditionalFormatting sqref="W54">
    <cfRule type="expression" dxfId="150" priority="318">
      <formula>#REF! ="54≠55+56+57+58+59"</formula>
    </cfRule>
  </conditionalFormatting>
  <conditionalFormatting sqref="W60">
    <cfRule type="expression" dxfId="149" priority="319">
      <formula>#REF! ="60≠48+49+50+54"</formula>
    </cfRule>
  </conditionalFormatting>
  <conditionalFormatting sqref="W62">
    <cfRule type="expression" dxfId="148" priority="320">
      <formula>#REF! ="62≠45+46+60+61"</formula>
    </cfRule>
  </conditionalFormatting>
  <conditionalFormatting sqref="W64">
    <cfRule type="expression" dxfId="147" priority="321">
      <formula>#REF! ="64≠29+62"</formula>
    </cfRule>
  </conditionalFormatting>
  <conditionalFormatting sqref="W80">
    <cfRule type="expression" dxfId="146" priority="322">
      <formula>#REF! ="80≠73+74+75+76+77+78+79"</formula>
    </cfRule>
  </conditionalFormatting>
  <conditionalFormatting sqref="W87">
    <cfRule type="expression" dxfId="145" priority="323">
      <formula>#REF! ="88≠82+83+84+85+86+87"</formula>
    </cfRule>
  </conditionalFormatting>
  <conditionalFormatting sqref="W93">
    <cfRule type="expression" dxfId="144" priority="324">
      <formula>#REF! = "64≠94"</formula>
    </cfRule>
  </conditionalFormatting>
  <conditionalFormatting sqref="W93">
    <cfRule type="expression" dxfId="143" priority="325">
      <formula>#REF! = "94≠68+69+71+80+88+89+90+91+92"</formula>
    </cfRule>
  </conditionalFormatting>
  <conditionalFormatting sqref="H35">
    <cfRule type="expression" dxfId="142" priority="300">
      <formula>#REF! ="35≠36+38"</formula>
    </cfRule>
  </conditionalFormatting>
  <conditionalFormatting sqref="H39">
    <cfRule type="expression" dxfId="141" priority="301">
      <formula>#REF! ="39≠40+41+42+43+44"</formula>
    </cfRule>
  </conditionalFormatting>
  <conditionalFormatting sqref="H45">
    <cfRule type="expression" dxfId="140" priority="302">
      <formula>#REF! ="45≠33+34+35+39"</formula>
    </cfRule>
  </conditionalFormatting>
  <conditionalFormatting sqref="H50">
    <cfRule type="expression" dxfId="139" priority="303">
      <formula>#REF! ="50≠51+53"</formula>
    </cfRule>
  </conditionalFormatting>
  <conditionalFormatting sqref="H54">
    <cfRule type="expression" dxfId="138" priority="304">
      <formula>#REF! ="54≠55+56+57+58+59"</formula>
    </cfRule>
  </conditionalFormatting>
  <conditionalFormatting sqref="H60">
    <cfRule type="expression" dxfId="137" priority="305">
      <formula>#REF! ="60≠48+49+50+54"</formula>
    </cfRule>
  </conditionalFormatting>
  <conditionalFormatting sqref="H62">
    <cfRule type="expression" dxfId="136" priority="306">
      <formula>#REF! ="62≠45+46+60+61"</formula>
    </cfRule>
  </conditionalFormatting>
  <conditionalFormatting sqref="H64">
    <cfRule type="expression" dxfId="135" priority="307">
      <formula>#REF! ="64≠29+62"</formula>
    </cfRule>
  </conditionalFormatting>
  <conditionalFormatting sqref="H80">
    <cfRule type="expression" dxfId="134" priority="308">
      <formula>#REF! ="80≠73+74+75+76+77+78+79"</formula>
    </cfRule>
  </conditionalFormatting>
  <conditionalFormatting sqref="H87">
    <cfRule type="expression" dxfId="133" priority="309">
      <formula>#REF! ="88≠82+83+84+85+86+87"</formula>
    </cfRule>
  </conditionalFormatting>
  <conditionalFormatting sqref="H93">
    <cfRule type="expression" dxfId="132" priority="310">
      <formula>#REF! = "64≠94"</formula>
    </cfRule>
  </conditionalFormatting>
  <conditionalFormatting sqref="H93">
    <cfRule type="expression" dxfId="131" priority="311">
      <formula>#REF! = "94≠68+69+71+80+88+89+90+91+92"</formula>
    </cfRule>
  </conditionalFormatting>
  <conditionalFormatting sqref="N35">
    <cfRule type="expression" dxfId="130" priority="264">
      <formula>#REF! ="35≠36+38"</formula>
    </cfRule>
  </conditionalFormatting>
  <conditionalFormatting sqref="N39">
    <cfRule type="expression" dxfId="129" priority="265">
      <formula>#REF! ="39≠40+41+42+43+44"</formula>
    </cfRule>
  </conditionalFormatting>
  <conditionalFormatting sqref="N45">
    <cfRule type="expression" dxfId="128" priority="266">
      <formula>#REF! ="45≠33+34+35+39"</formula>
    </cfRule>
  </conditionalFormatting>
  <conditionalFormatting sqref="N50">
    <cfRule type="expression" dxfId="127" priority="267">
      <formula>#REF! ="50≠51+53"</formula>
    </cfRule>
  </conditionalFormatting>
  <conditionalFormatting sqref="N54">
    <cfRule type="expression" dxfId="126" priority="268">
      <formula>#REF! ="54≠55+56+57+58+59"</formula>
    </cfRule>
  </conditionalFormatting>
  <conditionalFormatting sqref="N60">
    <cfRule type="expression" dxfId="125" priority="269">
      <formula>#REF! ="60≠48+49+50+54"</formula>
    </cfRule>
  </conditionalFormatting>
  <conditionalFormatting sqref="N62">
    <cfRule type="expression" dxfId="124" priority="270">
      <formula>#REF! ="62≠45+46+60+61"</formula>
    </cfRule>
  </conditionalFormatting>
  <conditionalFormatting sqref="N64">
    <cfRule type="expression" dxfId="123" priority="271">
      <formula>#REF! ="64≠29+62"</formula>
    </cfRule>
  </conditionalFormatting>
  <conditionalFormatting sqref="N80">
    <cfRule type="expression" dxfId="122" priority="272">
      <formula>#REF! ="80≠73+74+75+76+77+78+79"</formula>
    </cfRule>
  </conditionalFormatting>
  <conditionalFormatting sqref="N87">
    <cfRule type="expression" dxfId="121" priority="273">
      <formula>#REF! ="88≠82+83+84+85+86+87"</formula>
    </cfRule>
  </conditionalFormatting>
  <conditionalFormatting sqref="N93">
    <cfRule type="expression" dxfId="120" priority="274">
      <formula>#REF! = "64≠94"</formula>
    </cfRule>
  </conditionalFormatting>
  <conditionalFormatting sqref="N93">
    <cfRule type="expression" dxfId="119" priority="275">
      <formula>#REF! = "94≠68+69+71+80+88+89+90+91+92"</formula>
    </cfRule>
  </conditionalFormatting>
  <conditionalFormatting sqref="Q35">
    <cfRule type="expression" dxfId="118" priority="240">
      <formula>#REF! ="35≠36+38"</formula>
    </cfRule>
  </conditionalFormatting>
  <conditionalFormatting sqref="Q39">
    <cfRule type="expression" dxfId="117" priority="241">
      <formula>#REF! ="39≠40+41+42+43+44"</formula>
    </cfRule>
  </conditionalFormatting>
  <conditionalFormatting sqref="Q45">
    <cfRule type="expression" dxfId="116" priority="242">
      <formula>#REF! ="45≠33+34+35+39"</formula>
    </cfRule>
  </conditionalFormatting>
  <conditionalFormatting sqref="Q50">
    <cfRule type="expression" dxfId="115" priority="243">
      <formula>#REF! ="50≠51+53"</formula>
    </cfRule>
  </conditionalFormatting>
  <conditionalFormatting sqref="Q54">
    <cfRule type="expression" dxfId="114" priority="244">
      <formula>#REF! ="54≠55+56+57+58+59"</formula>
    </cfRule>
  </conditionalFormatting>
  <conditionalFormatting sqref="Q60">
    <cfRule type="expression" dxfId="113" priority="245">
      <formula>#REF! ="60≠48+49+50+54"</formula>
    </cfRule>
  </conditionalFormatting>
  <conditionalFormatting sqref="Q62">
    <cfRule type="expression" dxfId="112" priority="246">
      <formula>#REF! ="62≠45+46+60+61"</formula>
    </cfRule>
  </conditionalFormatting>
  <conditionalFormatting sqref="Q64">
    <cfRule type="expression" dxfId="111" priority="247">
      <formula>#REF! ="64≠29+62"</formula>
    </cfRule>
  </conditionalFormatting>
  <conditionalFormatting sqref="Q80">
    <cfRule type="expression" dxfId="110" priority="248">
      <formula>#REF! ="80≠73+74+75+76+77+78+79"</formula>
    </cfRule>
  </conditionalFormatting>
  <conditionalFormatting sqref="Q87">
    <cfRule type="expression" dxfId="109" priority="249">
      <formula>#REF! ="88≠82+83+84+85+86+87"</formula>
    </cfRule>
  </conditionalFormatting>
  <conditionalFormatting sqref="Q93">
    <cfRule type="expression" dxfId="108" priority="250">
      <formula>#REF! = "64≠94"</formula>
    </cfRule>
  </conditionalFormatting>
  <conditionalFormatting sqref="Q93">
    <cfRule type="expression" dxfId="107" priority="251">
      <formula>#REF! = "94≠68+69+71+80+88+89+90+91+92"</formula>
    </cfRule>
  </conditionalFormatting>
  <conditionalFormatting sqref="AC35">
    <cfRule type="expression" dxfId="106" priority="192">
      <formula>#REF! ="35≠36+38"</formula>
    </cfRule>
  </conditionalFormatting>
  <conditionalFormatting sqref="AC39">
    <cfRule type="expression" dxfId="105" priority="193">
      <formula>#REF! ="39≠40+41+42+43+44"</formula>
    </cfRule>
  </conditionalFormatting>
  <conditionalFormatting sqref="AC45">
    <cfRule type="expression" dxfId="104" priority="194">
      <formula>#REF! ="45≠33+34+35+39"</formula>
    </cfRule>
  </conditionalFormatting>
  <conditionalFormatting sqref="AC50">
    <cfRule type="expression" dxfId="103" priority="195">
      <formula>#REF! ="50≠51+53"</formula>
    </cfRule>
  </conditionalFormatting>
  <conditionalFormatting sqref="AC54">
    <cfRule type="expression" dxfId="102" priority="196">
      <formula>#REF! ="54≠55+56+57+58+59"</formula>
    </cfRule>
  </conditionalFormatting>
  <conditionalFormatting sqref="AC60">
    <cfRule type="expression" dxfId="101" priority="197">
      <formula>#REF! ="60≠48+49+50+54"</formula>
    </cfRule>
  </conditionalFormatting>
  <conditionalFormatting sqref="AC62">
    <cfRule type="expression" dxfId="100" priority="198">
      <formula>#REF! ="62≠45+46+60+61"</formula>
    </cfRule>
  </conditionalFormatting>
  <conditionalFormatting sqref="AC64">
    <cfRule type="expression" dxfId="99" priority="199">
      <formula>#REF! ="64≠29+62"</formula>
    </cfRule>
  </conditionalFormatting>
  <conditionalFormatting sqref="AC80">
    <cfRule type="expression" dxfId="98" priority="200">
      <formula>#REF! ="80≠73+74+75+76+77+78+79"</formula>
    </cfRule>
  </conditionalFormatting>
  <conditionalFormatting sqref="AC87">
    <cfRule type="expression" dxfId="97" priority="201">
      <formula>#REF! ="88≠82+83+84+85+86+87"</formula>
    </cfRule>
  </conditionalFormatting>
  <conditionalFormatting sqref="AC93">
    <cfRule type="expression" dxfId="96" priority="202">
      <formula>#REF! = "64≠94"</formula>
    </cfRule>
  </conditionalFormatting>
  <conditionalFormatting sqref="AC93">
    <cfRule type="expression" dxfId="95" priority="203">
      <formula>#REF! = "94≠68+69+71+80+88+89+90+91+92"</formula>
    </cfRule>
  </conditionalFormatting>
  <conditionalFormatting sqref="Z35">
    <cfRule type="expression" dxfId="94" priority="168">
      <formula>#REF! ="35≠36+38"</formula>
    </cfRule>
  </conditionalFormatting>
  <conditionalFormatting sqref="Z39">
    <cfRule type="expression" dxfId="93" priority="169">
      <formula>#REF! ="39≠40+41+42+43+44"</formula>
    </cfRule>
  </conditionalFormatting>
  <conditionalFormatting sqref="Z45">
    <cfRule type="expression" dxfId="92" priority="170">
      <formula>#REF! ="45≠33+34+35+39"</formula>
    </cfRule>
  </conditionalFormatting>
  <conditionalFormatting sqref="Z50">
    <cfRule type="expression" dxfId="91" priority="171">
      <formula>#REF! ="50≠51+53"</formula>
    </cfRule>
  </conditionalFormatting>
  <conditionalFormatting sqref="Z54">
    <cfRule type="expression" dxfId="90" priority="172">
      <formula>#REF! ="54≠55+56+57+58+59"</formula>
    </cfRule>
  </conditionalFormatting>
  <conditionalFormatting sqref="Z60">
    <cfRule type="expression" dxfId="89" priority="173">
      <formula>#REF! ="60≠48+49+50+54"</formula>
    </cfRule>
  </conditionalFormatting>
  <conditionalFormatting sqref="Z62">
    <cfRule type="expression" dxfId="88" priority="174">
      <formula>#REF! ="62≠45+46+60+61"</formula>
    </cfRule>
  </conditionalFormatting>
  <conditionalFormatting sqref="Z64">
    <cfRule type="expression" dxfId="87" priority="175">
      <formula>#REF! ="64≠29+62"</formula>
    </cfRule>
  </conditionalFormatting>
  <conditionalFormatting sqref="Z80">
    <cfRule type="expression" dxfId="86" priority="176">
      <formula>#REF! ="80≠73+74+75+76+77+78+79"</formula>
    </cfRule>
  </conditionalFormatting>
  <conditionalFormatting sqref="Z87">
    <cfRule type="expression" dxfId="85" priority="177">
      <formula>#REF! ="88≠82+83+84+85+86+87"</formula>
    </cfRule>
  </conditionalFormatting>
  <conditionalFormatting sqref="Z93">
    <cfRule type="expression" dxfId="84" priority="178">
      <formula>#REF! = "64≠94"</formula>
    </cfRule>
  </conditionalFormatting>
  <conditionalFormatting sqref="Z93">
    <cfRule type="expression" dxfId="83" priority="179">
      <formula>#REF! = "94≠68+69+71+80+88+89+90+91+92"</formula>
    </cfRule>
  </conditionalFormatting>
  <conditionalFormatting sqref="AI35">
    <cfRule type="expression" dxfId="82" priority="153">
      <formula>#REF! ="35≠36+38"</formula>
    </cfRule>
  </conditionalFormatting>
  <conditionalFormatting sqref="AI39">
    <cfRule type="expression" dxfId="81" priority="154">
      <formula>#REF! ="39≠40+41+42+43+44"</formula>
    </cfRule>
  </conditionalFormatting>
  <conditionalFormatting sqref="AI45">
    <cfRule type="expression" dxfId="80" priority="155">
      <formula>#REF! ="45≠33+34+35+39"</formula>
    </cfRule>
  </conditionalFormatting>
  <conditionalFormatting sqref="AI50">
    <cfRule type="expression" dxfId="79" priority="156">
      <formula>#REF! ="50≠51+53"</formula>
    </cfRule>
  </conditionalFormatting>
  <conditionalFormatting sqref="AI54">
    <cfRule type="expression" dxfId="78" priority="157">
      <formula>#REF! ="54≠55+56+57+58+59"</formula>
    </cfRule>
  </conditionalFormatting>
  <conditionalFormatting sqref="AI60">
    <cfRule type="expression" dxfId="77" priority="158">
      <formula>#REF! ="60≠48+49+50+54"</formula>
    </cfRule>
  </conditionalFormatting>
  <conditionalFormatting sqref="AI62">
    <cfRule type="expression" dxfId="76" priority="159">
      <formula>#REF! ="62≠45+46+60+61"</formula>
    </cfRule>
  </conditionalFormatting>
  <conditionalFormatting sqref="AI64">
    <cfRule type="expression" dxfId="75" priority="160">
      <formula>#REF! ="64≠29+62"</formula>
    </cfRule>
  </conditionalFormatting>
  <conditionalFormatting sqref="AI80">
    <cfRule type="expression" dxfId="74" priority="161">
      <formula>#REF! ="80≠73+74+75+76+77+78+79"</formula>
    </cfRule>
  </conditionalFormatting>
  <conditionalFormatting sqref="AI87">
    <cfRule type="expression" dxfId="73" priority="162">
      <formula>#REF! ="88≠82+83+84+85+86+87"</formula>
    </cfRule>
  </conditionalFormatting>
  <conditionalFormatting sqref="AI93">
    <cfRule type="expression" dxfId="72" priority="163">
      <formula>#REF! = "64≠94"</formula>
    </cfRule>
  </conditionalFormatting>
  <conditionalFormatting sqref="AI93">
    <cfRule type="expression" dxfId="71" priority="164">
      <formula>#REF! = "94≠68+69+71+80+88+89+90+91+92"</formula>
    </cfRule>
  </conditionalFormatting>
  <conditionalFormatting sqref="AL93">
    <cfRule type="expression" dxfId="70" priority="121">
      <formula>#REF! = "64≠94"</formula>
    </cfRule>
  </conditionalFormatting>
  <conditionalFormatting sqref="AL93">
    <cfRule type="expression" dxfId="69" priority="122">
      <formula>#REF! = "94≠68+69+71+80+88+89+90+91+92"</formula>
    </cfRule>
  </conditionalFormatting>
  <conditionalFormatting sqref="AL35">
    <cfRule type="expression" dxfId="68" priority="123">
      <formula>#REF! ="35≠36+38"</formula>
    </cfRule>
  </conditionalFormatting>
  <conditionalFormatting sqref="AL39">
    <cfRule type="expression" dxfId="67" priority="124">
      <formula>#REF! ="39≠40+41+42+43+44"</formula>
    </cfRule>
  </conditionalFormatting>
  <conditionalFormatting sqref="AL45">
    <cfRule type="expression" dxfId="66" priority="125">
      <formula>#REF! ="45≠33+34+35+39"</formula>
    </cfRule>
  </conditionalFormatting>
  <conditionalFormatting sqref="AL50">
    <cfRule type="expression" dxfId="65" priority="126">
      <formula>#REF! ="50≠51+53"</formula>
    </cfRule>
  </conditionalFormatting>
  <conditionalFormatting sqref="AL54">
    <cfRule type="expression" dxfId="64" priority="127">
      <formula>#REF! ="54≠55+56+57+58+59"</formula>
    </cfRule>
  </conditionalFormatting>
  <conditionalFormatting sqref="AL60">
    <cfRule type="expression" dxfId="63" priority="128">
      <formula>#REF! ="60≠48+49+50+54"</formula>
    </cfRule>
  </conditionalFormatting>
  <conditionalFormatting sqref="AL62">
    <cfRule type="expression" dxfId="62" priority="129">
      <formula>#REF! ="62≠45+46+60+61"</formula>
    </cfRule>
  </conditionalFormatting>
  <conditionalFormatting sqref="AL80">
    <cfRule type="expression" dxfId="61" priority="130">
      <formula>#REF! ="80≠73+74+75+76+77+78+79"</formula>
    </cfRule>
  </conditionalFormatting>
  <conditionalFormatting sqref="AL87">
    <cfRule type="expression" dxfId="60" priority="131">
      <formula>#REF! ="88≠82+83+84+85+86+87"</formula>
    </cfRule>
  </conditionalFormatting>
  <conditionalFormatting sqref="E35">
    <cfRule type="expression" dxfId="59" priority="72">
      <formula>#REF! ="35≠36+38"</formula>
    </cfRule>
  </conditionalFormatting>
  <conditionalFormatting sqref="E39">
    <cfRule type="expression" dxfId="58" priority="73">
      <formula>#REF! ="39≠40+41+42+43+44"</formula>
    </cfRule>
  </conditionalFormatting>
  <conditionalFormatting sqref="E45">
    <cfRule type="expression" dxfId="57" priority="74">
      <formula>#REF! ="45≠33+34+35+39"</formula>
    </cfRule>
  </conditionalFormatting>
  <conditionalFormatting sqref="E50">
    <cfRule type="expression" dxfId="56" priority="75">
      <formula>#REF! ="50≠51+53"</formula>
    </cfRule>
  </conditionalFormatting>
  <conditionalFormatting sqref="E54">
    <cfRule type="expression" dxfId="55" priority="76">
      <formula>#REF! ="54≠55+56+57+58+59"</formula>
    </cfRule>
  </conditionalFormatting>
  <conditionalFormatting sqref="E60">
    <cfRule type="expression" dxfId="54" priority="77">
      <formula>#REF! ="60≠48+49+50+54"</formula>
    </cfRule>
  </conditionalFormatting>
  <conditionalFormatting sqref="E62">
    <cfRule type="expression" dxfId="53" priority="78">
      <formula>#REF! ="62≠45+46+60+61"</formula>
    </cfRule>
  </conditionalFormatting>
  <conditionalFormatting sqref="E64">
    <cfRule type="expression" dxfId="52" priority="79">
      <formula>#REF! ="64≠29+62"</formula>
    </cfRule>
  </conditionalFormatting>
  <conditionalFormatting sqref="E80">
    <cfRule type="expression" dxfId="51" priority="80">
      <formula>#REF! ="80≠73+74+75+76+77+78+79"</formula>
    </cfRule>
  </conditionalFormatting>
  <conditionalFormatting sqref="E87">
    <cfRule type="expression" dxfId="50" priority="81">
      <formula>#REF! ="88≠82+83+84+85+86+87"</formula>
    </cfRule>
  </conditionalFormatting>
  <conditionalFormatting sqref="E93">
    <cfRule type="expression" dxfId="49" priority="82">
      <formula>#REF! = "64≠94"</formula>
    </cfRule>
  </conditionalFormatting>
  <conditionalFormatting sqref="E93">
    <cfRule type="expression" dxfId="48" priority="83">
      <formula>#REF! = "94≠68+69+71+80+88+89+90+91+92"</formula>
    </cfRule>
  </conditionalFormatting>
  <conditionalFormatting sqref="K35">
    <cfRule type="expression" dxfId="47" priority="48">
      <formula>#REF! ="35≠36+38"</formula>
    </cfRule>
  </conditionalFormatting>
  <conditionalFormatting sqref="K39">
    <cfRule type="expression" dxfId="46" priority="49">
      <formula>#REF! ="39≠40+41+42+43+44"</formula>
    </cfRule>
  </conditionalFormatting>
  <conditionalFormatting sqref="K45">
    <cfRule type="expression" dxfId="45" priority="50">
      <formula>#REF! ="45≠33+34+35+39"</formula>
    </cfRule>
  </conditionalFormatting>
  <conditionalFormatting sqref="K50">
    <cfRule type="expression" dxfId="44" priority="51">
      <formula>#REF! ="50≠51+53"</formula>
    </cfRule>
  </conditionalFormatting>
  <conditionalFormatting sqref="K54">
    <cfRule type="expression" dxfId="43" priority="52">
      <formula>#REF! ="54≠55+56+57+58+59"</formula>
    </cfRule>
  </conditionalFormatting>
  <conditionalFormatting sqref="K60">
    <cfRule type="expression" dxfId="42" priority="53">
      <formula>#REF! ="60≠48+49+50+54"</formula>
    </cfRule>
  </conditionalFormatting>
  <conditionalFormatting sqref="K62">
    <cfRule type="expression" dxfId="41" priority="54">
      <formula>#REF! ="62≠45+46+60+61"</formula>
    </cfRule>
  </conditionalFormatting>
  <conditionalFormatting sqref="K64">
    <cfRule type="expression" dxfId="40" priority="55">
      <formula>#REF! ="64≠29+62"</formula>
    </cfRule>
  </conditionalFormatting>
  <conditionalFormatting sqref="K80">
    <cfRule type="expression" dxfId="39" priority="56">
      <formula>#REF! ="80≠73+74+75+76+77+78+79"</formula>
    </cfRule>
  </conditionalFormatting>
  <conditionalFormatting sqref="K87">
    <cfRule type="expression" dxfId="38" priority="57">
      <formula>#REF! ="88≠82+83+84+85+86+87"</formula>
    </cfRule>
  </conditionalFormatting>
  <conditionalFormatting sqref="K93">
    <cfRule type="expression" dxfId="37" priority="58">
      <formula>#REF! = "64≠94"</formula>
    </cfRule>
  </conditionalFormatting>
  <conditionalFormatting sqref="K93">
    <cfRule type="expression" dxfId="36" priority="59">
      <formula>#REF! = "94≠68+69+71+80+88+89+90+91+92"</formula>
    </cfRule>
  </conditionalFormatting>
  <conditionalFormatting sqref="B35">
    <cfRule type="expression" dxfId="35" priority="25">
      <formula>#REF! ="35≠36+38"</formula>
    </cfRule>
  </conditionalFormatting>
  <conditionalFormatting sqref="B39">
    <cfRule type="expression" dxfId="34" priority="26">
      <formula>#REF! ="39≠40+41+42+43+44"</formula>
    </cfRule>
  </conditionalFormatting>
  <conditionalFormatting sqref="B45">
    <cfRule type="expression" dxfId="33" priority="27">
      <formula>#REF! ="45≠33+34+35+39"</formula>
    </cfRule>
  </conditionalFormatting>
  <conditionalFormatting sqref="B50">
    <cfRule type="expression" dxfId="32" priority="28">
      <formula>#REF! ="50≠51+53"</formula>
    </cfRule>
  </conditionalFormatting>
  <conditionalFormatting sqref="B54">
    <cfRule type="expression" dxfId="31" priority="29">
      <formula>#REF! ="54≠55+56+57+58+59"</formula>
    </cfRule>
  </conditionalFormatting>
  <conditionalFormatting sqref="B60">
    <cfRule type="expression" dxfId="30" priority="30">
      <formula>#REF! ="60≠48+49+50+54"</formula>
    </cfRule>
  </conditionalFormatting>
  <conditionalFormatting sqref="B62">
    <cfRule type="expression" dxfId="29" priority="31">
      <formula>#REF! ="62≠45+46+60+61"</formula>
    </cfRule>
  </conditionalFormatting>
  <conditionalFormatting sqref="B64">
    <cfRule type="expression" dxfId="28" priority="32">
      <formula>#REF! ="64≠29+62"</formula>
    </cfRule>
  </conditionalFormatting>
  <conditionalFormatting sqref="B80">
    <cfRule type="expression" dxfId="27" priority="33">
      <formula>#REF! ="80≠73+74+75+76+77+78+79"</formula>
    </cfRule>
  </conditionalFormatting>
  <conditionalFormatting sqref="B87">
    <cfRule type="expression" dxfId="26" priority="34">
      <formula>#REF! ="88≠82+83+84+85+86+87"</formula>
    </cfRule>
  </conditionalFormatting>
  <conditionalFormatting sqref="B93">
    <cfRule type="expression" dxfId="25" priority="35">
      <formula>#REF! = "64≠94"</formula>
    </cfRule>
  </conditionalFormatting>
  <conditionalFormatting sqref="B93">
    <cfRule type="expression" dxfId="24" priority="36">
      <formula>#REF! = "94≠68+69+71+80+88+89+90+91+92"</formula>
    </cfRule>
  </conditionalFormatting>
  <conditionalFormatting sqref="T35">
    <cfRule type="expression" dxfId="23" priority="1">
      <formula>#REF! ="35≠36+38"</formula>
    </cfRule>
  </conditionalFormatting>
  <conditionalFormatting sqref="T39">
    <cfRule type="expression" dxfId="22" priority="2">
      <formula>#REF! ="39≠40+41+42+43+44"</formula>
    </cfRule>
  </conditionalFormatting>
  <conditionalFormatting sqref="T45">
    <cfRule type="expression" dxfId="21" priority="3">
      <formula>#REF! ="45≠33+34+35+39"</formula>
    </cfRule>
  </conditionalFormatting>
  <conditionalFormatting sqref="T50">
    <cfRule type="expression" dxfId="20" priority="4">
      <formula>#REF! ="50≠51+53"</formula>
    </cfRule>
  </conditionalFormatting>
  <conditionalFormatting sqref="T54">
    <cfRule type="expression" dxfId="19" priority="5">
      <formula>#REF! ="54≠55+56+57+58+59"</formula>
    </cfRule>
  </conditionalFormatting>
  <conditionalFormatting sqref="T60">
    <cfRule type="expression" dxfId="18" priority="6">
      <formula>#REF! ="60≠48+49+50+54"</formula>
    </cfRule>
  </conditionalFormatting>
  <conditionalFormatting sqref="T62">
    <cfRule type="expression" dxfId="17" priority="7">
      <formula>#REF! ="62≠45+46+60+61"</formula>
    </cfRule>
  </conditionalFormatting>
  <conditionalFormatting sqref="T64">
    <cfRule type="expression" dxfId="16" priority="8">
      <formula>#REF! ="64≠29+62"</formula>
    </cfRule>
  </conditionalFormatting>
  <conditionalFormatting sqref="T80">
    <cfRule type="expression" dxfId="15" priority="9">
      <formula>#REF! ="80≠73+74+75+76+77+78+79"</formula>
    </cfRule>
  </conditionalFormatting>
  <conditionalFormatting sqref="T87">
    <cfRule type="expression" dxfId="14" priority="10">
      <formula>#REF! ="88≠82+83+84+85+86+87"</formula>
    </cfRule>
  </conditionalFormatting>
  <conditionalFormatting sqref="T93">
    <cfRule type="expression" dxfId="13" priority="11">
      <formula>#REF! = "64≠94"</formula>
    </cfRule>
  </conditionalFormatting>
  <conditionalFormatting sqref="T93">
    <cfRule type="expression" dxfId="12" priority="12">
      <formula>#REF! = "94≠68+69+71+80+88+89+90+91+92"</formula>
    </cfRule>
  </conditionalFormatting>
  <conditionalFormatting sqref="AG35 X35 I35 O35 R35 AD35 AA35 AJ35 AM35 F35 L35 C35 U35">
    <cfRule type="expression" dxfId="11" priority="367">
      <formula>#REF! ="35≠36+38"</formula>
    </cfRule>
  </conditionalFormatting>
  <conditionalFormatting sqref="AG39 X39 I39 O39 R39 AD39 AA39 AJ39 AM39 F39 L39 C39 U39">
    <cfRule type="expression" dxfId="10" priority="368">
      <formula>#REF! ="39≠40+41+42+43+44"</formula>
    </cfRule>
  </conditionalFormatting>
  <conditionalFormatting sqref="AG45 X45 I45 O45 R45 AD45 AA45 AJ45 AM45 F45 L45 C45 U45">
    <cfRule type="expression" dxfId="9" priority="369">
      <formula>#REF! ="45≠33+34+35+39"</formula>
    </cfRule>
  </conditionalFormatting>
  <conditionalFormatting sqref="AG50 X50 I50 O50 R50 AD50 AA50 AJ50 AM50 F50 L50 C50 U50">
    <cfRule type="expression" dxfId="8" priority="370">
      <formula>#REF! ="50≠51+53"</formula>
    </cfRule>
  </conditionalFormatting>
  <conditionalFormatting sqref="AG54 X54 I54 O54 R54 AD54 AA54 AJ54 AM54 F54 L54 C54 U54">
    <cfRule type="expression" dxfId="7" priority="371">
      <formula>#REF! ="54≠55+56+57+58+59"</formula>
    </cfRule>
  </conditionalFormatting>
  <conditionalFormatting sqref="AG60 X60 I60 O60 R60 AD60 AA60 AJ60 AM60 F60 L60 C60 U60">
    <cfRule type="expression" dxfId="6" priority="372">
      <formula>#REF! ="60≠48+49+50+54"</formula>
    </cfRule>
  </conditionalFormatting>
  <conditionalFormatting sqref="AG62 X62 I62 O62 R62 AD62 AA62 AJ62 AM62 F62 L62 C62 U62">
    <cfRule type="expression" dxfId="5" priority="373">
      <formula>#REF! ="62≠45+46+60+61"</formula>
    </cfRule>
  </conditionalFormatting>
  <conditionalFormatting sqref="AG64 X64 I64 O64 R64 AD64 AA64 AJ64 AL64:AM64 F64 L64 C64 U64">
    <cfRule type="expression" dxfId="4" priority="374">
      <formula>#REF! ="64≠29+62"</formula>
    </cfRule>
  </conditionalFormatting>
  <conditionalFormatting sqref="AG80 X80 I80:I81 O80 R80 AD80 AA80 AJ80 AM80 F80 L80 U80">
    <cfRule type="expression" dxfId="3" priority="375">
      <formula>#REF! ="80≠73+74+75+76+77+78+79"</formula>
    </cfRule>
  </conditionalFormatting>
  <conditionalFormatting sqref="AG87 X87 I89 I87 O87 R87 AD87 AA87 AJ87 AM87 F87 L87 C87 U87">
    <cfRule type="expression" dxfId="2" priority="376">
      <formula>#REF! ="88≠82+83+84+85+86+87"</formula>
    </cfRule>
  </conditionalFormatting>
  <conditionalFormatting sqref="AG93 X93 I93 O93 R93 AD93 AA93 AJ93 AM93 F93 L93 C93 U93">
    <cfRule type="expression" dxfId="1" priority="377">
      <formula>#REF! = "64≠94"</formula>
    </cfRule>
  </conditionalFormatting>
  <conditionalFormatting sqref="AG93 X93 I93 O93 R93 AD93 AA93 AJ93 AM93 F93 L93 C93 U93">
    <cfRule type="expression" dxfId="0" priority="378">
      <formula>#REF! = "94≠68+69+71+80+88+89+90+91+92"</formula>
    </cfRule>
  </conditionalFormatting>
  <hyperlinks>
    <hyperlink ref="B1" location="Innhold!A1" display="Tilbake"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49ECC-34D8-449C-A45F-BABDDACF2022}">
  <dimension ref="A1:AV20"/>
  <sheetViews>
    <sheetView showGridLines="0" zoomScale="70" zoomScaleNormal="70" workbookViewId="0">
      <pane xSplit="1" ySplit="8" topLeftCell="B9" activePane="bottomRight" state="frozen"/>
      <selection pane="topRight" activeCell="B1" sqref="B1"/>
      <selection pane="bottomLeft" activeCell="A9" sqref="A9"/>
      <selection pane="bottomRight" activeCell="A4" sqref="A4"/>
    </sheetView>
  </sheetViews>
  <sheetFormatPr baseColWidth="10" defaultColWidth="11.42578125" defaultRowHeight="12.75" x14ac:dyDescent="0.2"/>
  <cols>
    <col min="1" max="1" width="62" style="521" customWidth="1"/>
    <col min="2" max="34" width="11.7109375" style="521" customWidth="1"/>
    <col min="35" max="250" width="11.42578125" style="521"/>
    <col min="251" max="251" width="62" style="521" customWidth="1"/>
    <col min="252" max="287" width="11.7109375" style="521" customWidth="1"/>
    <col min="288" max="506" width="11.42578125" style="521"/>
    <col min="507" max="507" width="62" style="521" customWidth="1"/>
    <col min="508" max="543" width="11.7109375" style="521" customWidth="1"/>
    <col min="544" max="762" width="11.42578125" style="521"/>
    <col min="763" max="763" width="62" style="521" customWidth="1"/>
    <col min="764" max="799" width="11.7109375" style="521" customWidth="1"/>
    <col min="800" max="1018" width="11.42578125" style="521"/>
    <col min="1019" max="1019" width="62" style="521" customWidth="1"/>
    <col min="1020" max="1055" width="11.7109375" style="521" customWidth="1"/>
    <col min="1056" max="1274" width="11.42578125" style="521"/>
    <col min="1275" max="1275" width="62" style="521" customWidth="1"/>
    <col min="1276" max="1311" width="11.7109375" style="521" customWidth="1"/>
    <col min="1312" max="1530" width="11.42578125" style="521"/>
    <col min="1531" max="1531" width="62" style="521" customWidth="1"/>
    <col min="1532" max="1567" width="11.7109375" style="521" customWidth="1"/>
    <col min="1568" max="1786" width="11.42578125" style="521"/>
    <col min="1787" max="1787" width="62" style="521" customWidth="1"/>
    <col min="1788" max="1823" width="11.7109375" style="521" customWidth="1"/>
    <col min="1824" max="2042" width="11.42578125" style="521"/>
    <col min="2043" max="2043" width="62" style="521" customWidth="1"/>
    <col min="2044" max="2079" width="11.7109375" style="521" customWidth="1"/>
    <col min="2080" max="2298" width="11.42578125" style="521"/>
    <col min="2299" max="2299" width="62" style="521" customWidth="1"/>
    <col min="2300" max="2335" width="11.7109375" style="521" customWidth="1"/>
    <col min="2336" max="2554" width="11.42578125" style="521"/>
    <col min="2555" max="2555" width="62" style="521" customWidth="1"/>
    <col min="2556" max="2591" width="11.7109375" style="521" customWidth="1"/>
    <col min="2592" max="2810" width="11.42578125" style="521"/>
    <col min="2811" max="2811" width="62" style="521" customWidth="1"/>
    <col min="2812" max="2847" width="11.7109375" style="521" customWidth="1"/>
    <col min="2848" max="3066" width="11.42578125" style="521"/>
    <col min="3067" max="3067" width="62" style="521" customWidth="1"/>
    <col min="3068" max="3103" width="11.7109375" style="521" customWidth="1"/>
    <col min="3104" max="3322" width="11.42578125" style="521"/>
    <col min="3323" max="3323" width="62" style="521" customWidth="1"/>
    <col min="3324" max="3359" width="11.7109375" style="521" customWidth="1"/>
    <col min="3360" max="3578" width="11.42578125" style="521"/>
    <col min="3579" max="3579" width="62" style="521" customWidth="1"/>
    <col min="3580" max="3615" width="11.7109375" style="521" customWidth="1"/>
    <col min="3616" max="3834" width="11.42578125" style="521"/>
    <col min="3835" max="3835" width="62" style="521" customWidth="1"/>
    <col min="3836" max="3871" width="11.7109375" style="521" customWidth="1"/>
    <col min="3872" max="4090" width="11.42578125" style="521"/>
    <col min="4091" max="4091" width="62" style="521" customWidth="1"/>
    <col min="4092" max="4127" width="11.7109375" style="521" customWidth="1"/>
    <col min="4128" max="4346" width="11.42578125" style="521"/>
    <col min="4347" max="4347" width="62" style="521" customWidth="1"/>
    <col min="4348" max="4383" width="11.7109375" style="521" customWidth="1"/>
    <col min="4384" max="4602" width="11.42578125" style="521"/>
    <col min="4603" max="4603" width="62" style="521" customWidth="1"/>
    <col min="4604" max="4639" width="11.7109375" style="521" customWidth="1"/>
    <col min="4640" max="4858" width="11.42578125" style="521"/>
    <col min="4859" max="4859" width="62" style="521" customWidth="1"/>
    <col min="4860" max="4895" width="11.7109375" style="521" customWidth="1"/>
    <col min="4896" max="5114" width="11.42578125" style="521"/>
    <col min="5115" max="5115" width="62" style="521" customWidth="1"/>
    <col min="5116" max="5151" width="11.7109375" style="521" customWidth="1"/>
    <col min="5152" max="5370" width="11.42578125" style="521"/>
    <col min="5371" max="5371" width="62" style="521" customWidth="1"/>
    <col min="5372" max="5407" width="11.7109375" style="521" customWidth="1"/>
    <col min="5408" max="5626" width="11.42578125" style="521"/>
    <col min="5627" max="5627" width="62" style="521" customWidth="1"/>
    <col min="5628" max="5663" width="11.7109375" style="521" customWidth="1"/>
    <col min="5664" max="5882" width="11.42578125" style="521"/>
    <col min="5883" max="5883" width="62" style="521" customWidth="1"/>
    <col min="5884" max="5919" width="11.7109375" style="521" customWidth="1"/>
    <col min="5920" max="6138" width="11.42578125" style="521"/>
    <col min="6139" max="6139" width="62" style="521" customWidth="1"/>
    <col min="6140" max="6175" width="11.7109375" style="521" customWidth="1"/>
    <col min="6176" max="6394" width="11.42578125" style="521"/>
    <col min="6395" max="6395" width="62" style="521" customWidth="1"/>
    <col min="6396" max="6431" width="11.7109375" style="521" customWidth="1"/>
    <col min="6432" max="6650" width="11.42578125" style="521"/>
    <col min="6651" max="6651" width="62" style="521" customWidth="1"/>
    <col min="6652" max="6687" width="11.7109375" style="521" customWidth="1"/>
    <col min="6688" max="6906" width="11.42578125" style="521"/>
    <col min="6907" max="6907" width="62" style="521" customWidth="1"/>
    <col min="6908" max="6943" width="11.7109375" style="521" customWidth="1"/>
    <col min="6944" max="7162" width="11.42578125" style="521"/>
    <col min="7163" max="7163" width="62" style="521" customWidth="1"/>
    <col min="7164" max="7199" width="11.7109375" style="521" customWidth="1"/>
    <col min="7200" max="7418" width="11.42578125" style="521"/>
    <col min="7419" max="7419" width="62" style="521" customWidth="1"/>
    <col min="7420" max="7455" width="11.7109375" style="521" customWidth="1"/>
    <col min="7456" max="7674" width="11.42578125" style="521"/>
    <col min="7675" max="7675" width="62" style="521" customWidth="1"/>
    <col min="7676" max="7711" width="11.7109375" style="521" customWidth="1"/>
    <col min="7712" max="7930" width="11.42578125" style="521"/>
    <col min="7931" max="7931" width="62" style="521" customWidth="1"/>
    <col min="7932" max="7967" width="11.7109375" style="521" customWidth="1"/>
    <col min="7968" max="8186" width="11.42578125" style="521"/>
    <col min="8187" max="8187" width="62" style="521" customWidth="1"/>
    <col min="8188" max="8223" width="11.7109375" style="521" customWidth="1"/>
    <col min="8224" max="8442" width="11.42578125" style="521"/>
    <col min="8443" max="8443" width="62" style="521" customWidth="1"/>
    <col min="8444" max="8479" width="11.7109375" style="521" customWidth="1"/>
    <col min="8480" max="8698" width="11.42578125" style="521"/>
    <col min="8699" max="8699" width="62" style="521" customWidth="1"/>
    <col min="8700" max="8735" width="11.7109375" style="521" customWidth="1"/>
    <col min="8736" max="8954" width="11.42578125" style="521"/>
    <col min="8955" max="8955" width="62" style="521" customWidth="1"/>
    <col min="8956" max="8991" width="11.7109375" style="521" customWidth="1"/>
    <col min="8992" max="9210" width="11.42578125" style="521"/>
    <col min="9211" max="9211" width="62" style="521" customWidth="1"/>
    <col min="9212" max="9247" width="11.7109375" style="521" customWidth="1"/>
    <col min="9248" max="9466" width="11.42578125" style="521"/>
    <col min="9467" max="9467" width="62" style="521" customWidth="1"/>
    <col min="9468" max="9503" width="11.7109375" style="521" customWidth="1"/>
    <col min="9504" max="9722" width="11.42578125" style="521"/>
    <col min="9723" max="9723" width="62" style="521" customWidth="1"/>
    <col min="9724" max="9759" width="11.7109375" style="521" customWidth="1"/>
    <col min="9760" max="9978" width="11.42578125" style="521"/>
    <col min="9979" max="9979" width="62" style="521" customWidth="1"/>
    <col min="9980" max="10015" width="11.7109375" style="521" customWidth="1"/>
    <col min="10016" max="10234" width="11.42578125" style="521"/>
    <col min="10235" max="10235" width="62" style="521" customWidth="1"/>
    <col min="10236" max="10271" width="11.7109375" style="521" customWidth="1"/>
    <col min="10272" max="10490" width="11.42578125" style="521"/>
    <col min="10491" max="10491" width="62" style="521" customWidth="1"/>
    <col min="10492" max="10527" width="11.7109375" style="521" customWidth="1"/>
    <col min="10528" max="10746" width="11.42578125" style="521"/>
    <col min="10747" max="10747" width="62" style="521" customWidth="1"/>
    <col min="10748" max="10783" width="11.7109375" style="521" customWidth="1"/>
    <col min="10784" max="11002" width="11.42578125" style="521"/>
    <col min="11003" max="11003" width="62" style="521" customWidth="1"/>
    <col min="11004" max="11039" width="11.7109375" style="521" customWidth="1"/>
    <col min="11040" max="11258" width="11.42578125" style="521"/>
    <col min="11259" max="11259" width="62" style="521" customWidth="1"/>
    <col min="11260" max="11295" width="11.7109375" style="521" customWidth="1"/>
    <col min="11296" max="11514" width="11.42578125" style="521"/>
    <col min="11515" max="11515" width="62" style="521" customWidth="1"/>
    <col min="11516" max="11551" width="11.7109375" style="521" customWidth="1"/>
    <col min="11552" max="11770" width="11.42578125" style="521"/>
    <col min="11771" max="11771" width="62" style="521" customWidth="1"/>
    <col min="11772" max="11807" width="11.7109375" style="521" customWidth="1"/>
    <col min="11808" max="12026" width="11.42578125" style="521"/>
    <col min="12027" max="12027" width="62" style="521" customWidth="1"/>
    <col min="12028" max="12063" width="11.7109375" style="521" customWidth="1"/>
    <col min="12064" max="12282" width="11.42578125" style="521"/>
    <col min="12283" max="12283" width="62" style="521" customWidth="1"/>
    <col min="12284" max="12319" width="11.7109375" style="521" customWidth="1"/>
    <col min="12320" max="12538" width="11.42578125" style="521"/>
    <col min="12539" max="12539" width="62" style="521" customWidth="1"/>
    <col min="12540" max="12575" width="11.7109375" style="521" customWidth="1"/>
    <col min="12576" max="12794" width="11.42578125" style="521"/>
    <col min="12795" max="12795" width="62" style="521" customWidth="1"/>
    <col min="12796" max="12831" width="11.7109375" style="521" customWidth="1"/>
    <col min="12832" max="13050" width="11.42578125" style="521"/>
    <col min="13051" max="13051" width="62" style="521" customWidth="1"/>
    <col min="13052" max="13087" width="11.7109375" style="521" customWidth="1"/>
    <col min="13088" max="13306" width="11.42578125" style="521"/>
    <col min="13307" max="13307" width="62" style="521" customWidth="1"/>
    <col min="13308" max="13343" width="11.7109375" style="521" customWidth="1"/>
    <col min="13344" max="13562" width="11.42578125" style="521"/>
    <col min="13563" max="13563" width="62" style="521" customWidth="1"/>
    <col min="13564" max="13599" width="11.7109375" style="521" customWidth="1"/>
    <col min="13600" max="13818" width="11.42578125" style="521"/>
    <col min="13819" max="13819" width="62" style="521" customWidth="1"/>
    <col min="13820" max="13855" width="11.7109375" style="521" customWidth="1"/>
    <col min="13856" max="14074" width="11.42578125" style="521"/>
    <col min="14075" max="14075" width="62" style="521" customWidth="1"/>
    <col min="14076" max="14111" width="11.7109375" style="521" customWidth="1"/>
    <col min="14112" max="14330" width="11.42578125" style="521"/>
    <col min="14331" max="14331" width="62" style="521" customWidth="1"/>
    <col min="14332" max="14367" width="11.7109375" style="521" customWidth="1"/>
    <col min="14368" max="14586" width="11.42578125" style="521"/>
    <col min="14587" max="14587" width="62" style="521" customWidth="1"/>
    <col min="14588" max="14623" width="11.7109375" style="521" customWidth="1"/>
    <col min="14624" max="14842" width="11.42578125" style="521"/>
    <col min="14843" max="14843" width="62" style="521" customWidth="1"/>
    <col min="14844" max="14879" width="11.7109375" style="521" customWidth="1"/>
    <col min="14880" max="15098" width="11.42578125" style="521"/>
    <col min="15099" max="15099" width="62" style="521" customWidth="1"/>
    <col min="15100" max="15135" width="11.7109375" style="521" customWidth="1"/>
    <col min="15136" max="15354" width="11.42578125" style="521"/>
    <col min="15355" max="15355" width="62" style="521" customWidth="1"/>
    <col min="15356" max="15391" width="11.7109375" style="521" customWidth="1"/>
    <col min="15392" max="15610" width="11.42578125" style="521"/>
    <col min="15611" max="15611" width="62" style="521" customWidth="1"/>
    <col min="15612" max="15647" width="11.7109375" style="521" customWidth="1"/>
    <col min="15648" max="15866" width="11.42578125" style="521"/>
    <col min="15867" max="15867" width="62" style="521" customWidth="1"/>
    <col min="15868" max="15903" width="11.7109375" style="521" customWidth="1"/>
    <col min="15904" max="16122" width="11.42578125" style="521"/>
    <col min="16123" max="16123" width="62" style="521" customWidth="1"/>
    <col min="16124" max="16159" width="11.7109375" style="521" customWidth="1"/>
    <col min="16160" max="16384" width="11.42578125" style="521"/>
  </cols>
  <sheetData>
    <row r="1" spans="1:48" ht="20.25" x14ac:dyDescent="0.3">
      <c r="A1" s="519" t="s">
        <v>169</v>
      </c>
      <c r="B1" s="520" t="s">
        <v>52</v>
      </c>
    </row>
    <row r="2" spans="1:48" ht="20.25" x14ac:dyDescent="0.3">
      <c r="A2" s="519" t="s">
        <v>264</v>
      </c>
    </row>
    <row r="3" spans="1:48" ht="18.75" x14ac:dyDescent="0.3">
      <c r="A3" s="522" t="s">
        <v>324</v>
      </c>
    </row>
    <row r="4" spans="1:48" ht="18.75" x14ac:dyDescent="0.3">
      <c r="A4" s="523" t="s">
        <v>427</v>
      </c>
      <c r="B4" s="524"/>
      <c r="C4" s="525"/>
      <c r="D4" s="526"/>
      <c r="E4" s="524"/>
      <c r="F4" s="525"/>
      <c r="G4" s="526"/>
      <c r="H4" s="525"/>
      <c r="I4" s="525"/>
      <c r="J4" s="526"/>
      <c r="K4" s="525"/>
      <c r="L4" s="525"/>
      <c r="M4" s="526"/>
      <c r="N4" s="524"/>
      <c r="O4" s="525"/>
      <c r="P4" s="526"/>
      <c r="Q4" s="524"/>
      <c r="R4" s="525"/>
      <c r="S4" s="526"/>
      <c r="T4" s="524"/>
      <c r="U4" s="525"/>
      <c r="V4" s="526"/>
      <c r="W4" s="524"/>
      <c r="X4" s="525"/>
      <c r="Y4" s="526"/>
      <c r="Z4" s="524"/>
      <c r="AA4" s="525"/>
      <c r="AB4" s="526"/>
      <c r="AC4" s="524"/>
      <c r="AD4" s="525"/>
      <c r="AE4" s="526"/>
      <c r="AF4" s="524"/>
      <c r="AG4" s="527"/>
      <c r="AH4" s="526"/>
      <c r="AI4" s="528"/>
      <c r="AJ4" s="528"/>
      <c r="AK4" s="528"/>
      <c r="AL4" s="528"/>
      <c r="AM4" s="528"/>
      <c r="AN4" s="528"/>
      <c r="AO4" s="528"/>
      <c r="AP4" s="528"/>
      <c r="AQ4" s="528"/>
      <c r="AR4" s="528"/>
      <c r="AS4" s="528"/>
      <c r="AT4" s="528"/>
      <c r="AU4" s="528"/>
      <c r="AV4" s="528"/>
    </row>
    <row r="5" spans="1:48" ht="18.75" x14ac:dyDescent="0.3">
      <c r="A5" s="529"/>
      <c r="B5" s="717" t="s">
        <v>425</v>
      </c>
      <c r="C5" s="718"/>
      <c r="D5" s="719"/>
      <c r="E5" s="742" t="s">
        <v>172</v>
      </c>
      <c r="F5" s="743"/>
      <c r="G5" s="744"/>
      <c r="H5" s="635"/>
      <c r="I5" s="635"/>
      <c r="J5" s="636"/>
      <c r="K5" s="742" t="s">
        <v>173</v>
      </c>
      <c r="L5" s="743"/>
      <c r="M5" s="744"/>
      <c r="N5" s="742" t="s">
        <v>174</v>
      </c>
      <c r="O5" s="743"/>
      <c r="P5" s="744"/>
      <c r="Q5" s="665" t="s">
        <v>175</v>
      </c>
      <c r="R5" s="666"/>
      <c r="S5" s="667"/>
      <c r="T5" s="634"/>
      <c r="U5" s="635"/>
      <c r="V5" s="636"/>
      <c r="W5" s="742" t="s">
        <v>176</v>
      </c>
      <c r="X5" s="743"/>
      <c r="Y5" s="744"/>
      <c r="Z5" s="736" t="s">
        <v>66</v>
      </c>
      <c r="AA5" s="737"/>
      <c r="AB5" s="738"/>
      <c r="AC5" s="742" t="s">
        <v>71</v>
      </c>
      <c r="AD5" s="743"/>
      <c r="AE5" s="744"/>
      <c r="AF5" s="752" t="s">
        <v>282</v>
      </c>
      <c r="AG5" s="753"/>
      <c r="AH5" s="754"/>
      <c r="AI5" s="559"/>
      <c r="AJ5" s="559"/>
      <c r="AK5" s="748"/>
      <c r="AL5" s="748"/>
      <c r="AM5" s="748"/>
      <c r="AN5" s="748"/>
      <c r="AO5" s="748"/>
      <c r="AP5" s="748"/>
      <c r="AQ5" s="748"/>
      <c r="AR5" s="748"/>
      <c r="AS5" s="748"/>
      <c r="AT5" s="748"/>
      <c r="AU5" s="748"/>
      <c r="AV5" s="748"/>
    </row>
    <row r="6" spans="1:48" ht="18.75" x14ac:dyDescent="0.3">
      <c r="A6" s="531"/>
      <c r="B6" s="720" t="s">
        <v>179</v>
      </c>
      <c r="C6" s="721"/>
      <c r="D6" s="722"/>
      <c r="E6" s="745" t="s">
        <v>178</v>
      </c>
      <c r="F6" s="746"/>
      <c r="G6" s="747"/>
      <c r="H6" s="745" t="s">
        <v>387</v>
      </c>
      <c r="I6" s="746"/>
      <c r="J6" s="747"/>
      <c r="K6" s="745" t="s">
        <v>178</v>
      </c>
      <c r="L6" s="746"/>
      <c r="M6" s="747"/>
      <c r="N6" s="745" t="s">
        <v>179</v>
      </c>
      <c r="O6" s="746"/>
      <c r="P6" s="747"/>
      <c r="Q6" s="745" t="s">
        <v>62</v>
      </c>
      <c r="R6" s="746"/>
      <c r="S6" s="747"/>
      <c r="T6" s="745" t="s">
        <v>64</v>
      </c>
      <c r="U6" s="746"/>
      <c r="V6" s="747"/>
      <c r="W6" s="745" t="s">
        <v>177</v>
      </c>
      <c r="X6" s="746"/>
      <c r="Y6" s="747"/>
      <c r="Z6" s="739" t="s">
        <v>401</v>
      </c>
      <c r="AA6" s="740"/>
      <c r="AB6" s="741"/>
      <c r="AC6" s="745" t="s">
        <v>178</v>
      </c>
      <c r="AD6" s="746"/>
      <c r="AE6" s="747"/>
      <c r="AF6" s="749" t="s">
        <v>283</v>
      </c>
      <c r="AG6" s="750"/>
      <c r="AH6" s="751"/>
      <c r="AI6" s="559"/>
      <c r="AJ6" s="559"/>
      <c r="AK6" s="748"/>
      <c r="AL6" s="748"/>
      <c r="AM6" s="748"/>
      <c r="AN6" s="748"/>
      <c r="AO6" s="748"/>
      <c r="AP6" s="748"/>
      <c r="AQ6" s="748"/>
      <c r="AR6" s="748"/>
      <c r="AS6" s="748"/>
      <c r="AT6" s="748"/>
      <c r="AU6" s="748"/>
      <c r="AV6" s="748"/>
    </row>
    <row r="7" spans="1:48" ht="18.75" x14ac:dyDescent="0.3">
      <c r="A7" s="531"/>
      <c r="B7" s="532"/>
      <c r="C7" s="532"/>
      <c r="D7" s="533" t="s">
        <v>79</v>
      </c>
      <c r="E7" s="532"/>
      <c r="F7" s="532"/>
      <c r="G7" s="533" t="s">
        <v>79</v>
      </c>
      <c r="H7" s="532"/>
      <c r="I7" s="532"/>
      <c r="J7" s="533" t="s">
        <v>79</v>
      </c>
      <c r="K7" s="532"/>
      <c r="L7" s="532"/>
      <c r="M7" s="533" t="s">
        <v>79</v>
      </c>
      <c r="N7" s="532"/>
      <c r="O7" s="532"/>
      <c r="P7" s="533" t="s">
        <v>79</v>
      </c>
      <c r="Q7" s="532"/>
      <c r="R7" s="532"/>
      <c r="S7" s="533" t="s">
        <v>79</v>
      </c>
      <c r="T7" s="532"/>
      <c r="U7" s="532"/>
      <c r="V7" s="533" t="s">
        <v>79</v>
      </c>
      <c r="W7" s="532"/>
      <c r="X7" s="532"/>
      <c r="Y7" s="533" t="s">
        <v>79</v>
      </c>
      <c r="Z7" s="532"/>
      <c r="AA7" s="532"/>
      <c r="AB7" s="533" t="s">
        <v>79</v>
      </c>
      <c r="AC7" s="532"/>
      <c r="AD7" s="532"/>
      <c r="AE7" s="533" t="s">
        <v>79</v>
      </c>
      <c r="AF7" s="532"/>
      <c r="AG7" s="532"/>
      <c r="AH7" s="533" t="s">
        <v>79</v>
      </c>
      <c r="AI7" s="559"/>
      <c r="AJ7" s="559"/>
      <c r="AK7" s="530"/>
      <c r="AL7" s="530"/>
      <c r="AM7" s="530"/>
      <c r="AN7" s="530"/>
      <c r="AO7" s="530"/>
      <c r="AP7" s="530"/>
      <c r="AQ7" s="530"/>
      <c r="AR7" s="530"/>
      <c r="AS7" s="530"/>
      <c r="AT7" s="530"/>
      <c r="AU7" s="530"/>
      <c r="AV7" s="530"/>
    </row>
    <row r="8" spans="1:48" ht="15.75" x14ac:dyDescent="0.25">
      <c r="A8" s="534" t="s">
        <v>285</v>
      </c>
      <c r="B8" s="535">
        <v>2021</v>
      </c>
      <c r="C8" s="535">
        <v>2022</v>
      </c>
      <c r="D8" s="536" t="s">
        <v>81</v>
      </c>
      <c r="E8" s="535">
        <f t="shared" ref="E8" si="0">$B$8</f>
        <v>2021</v>
      </c>
      <c r="F8" s="535">
        <f t="shared" ref="F8" si="1">$C$8</f>
        <v>2022</v>
      </c>
      <c r="G8" s="536" t="s">
        <v>81</v>
      </c>
      <c r="H8" s="535">
        <f t="shared" ref="H8" si="2">$B$8</f>
        <v>2021</v>
      </c>
      <c r="I8" s="535">
        <f t="shared" ref="I8" si="3">$C$8</f>
        <v>2022</v>
      </c>
      <c r="J8" s="536" t="s">
        <v>81</v>
      </c>
      <c r="K8" s="535">
        <f t="shared" ref="K8" si="4">$B$8</f>
        <v>2021</v>
      </c>
      <c r="L8" s="535">
        <f t="shared" ref="L8" si="5">$C$8</f>
        <v>2022</v>
      </c>
      <c r="M8" s="536" t="s">
        <v>81</v>
      </c>
      <c r="N8" s="535">
        <f t="shared" ref="N8" si="6">$B$8</f>
        <v>2021</v>
      </c>
      <c r="O8" s="535">
        <f t="shared" ref="O8" si="7">$C$8</f>
        <v>2022</v>
      </c>
      <c r="P8" s="536" t="s">
        <v>81</v>
      </c>
      <c r="Q8" s="535">
        <f t="shared" ref="Q8" si="8">$B$8</f>
        <v>2021</v>
      </c>
      <c r="R8" s="535">
        <f t="shared" ref="R8" si="9">$C$8</f>
        <v>2022</v>
      </c>
      <c r="S8" s="536" t="s">
        <v>81</v>
      </c>
      <c r="T8" s="535">
        <f t="shared" ref="T8" si="10">$B$8</f>
        <v>2021</v>
      </c>
      <c r="U8" s="535">
        <f t="shared" ref="U8" si="11">$C$8</f>
        <v>2022</v>
      </c>
      <c r="V8" s="536" t="s">
        <v>81</v>
      </c>
      <c r="W8" s="535">
        <f t="shared" ref="W8" si="12">$B$8</f>
        <v>2021</v>
      </c>
      <c r="X8" s="535">
        <f t="shared" ref="X8" si="13">$C$8</f>
        <v>2022</v>
      </c>
      <c r="Y8" s="536" t="s">
        <v>81</v>
      </c>
      <c r="Z8" s="535">
        <f t="shared" ref="Z8" si="14">$B$8</f>
        <v>2021</v>
      </c>
      <c r="AA8" s="535">
        <f t="shared" ref="AA8" si="15">$C$8</f>
        <v>2022</v>
      </c>
      <c r="AB8" s="536" t="s">
        <v>81</v>
      </c>
      <c r="AC8" s="535">
        <f t="shared" ref="AC8" si="16">$B$8</f>
        <v>2021</v>
      </c>
      <c r="AD8" s="535">
        <f t="shared" ref="AD8" si="17">$C$8</f>
        <v>2022</v>
      </c>
      <c r="AE8" s="536" t="s">
        <v>81</v>
      </c>
      <c r="AF8" s="535">
        <f t="shared" ref="AF8" si="18">$B$8</f>
        <v>2021</v>
      </c>
      <c r="AG8" s="535">
        <f t="shared" ref="AG8" si="19">$C$8</f>
        <v>2022</v>
      </c>
      <c r="AH8" s="536" t="s">
        <v>81</v>
      </c>
      <c r="AI8" s="538"/>
      <c r="AJ8" s="537"/>
      <c r="AK8" s="538"/>
      <c r="AL8" s="538"/>
      <c r="AM8" s="537"/>
      <c r="AN8" s="538"/>
      <c r="AO8" s="538"/>
      <c r="AP8" s="537"/>
      <c r="AQ8" s="538"/>
      <c r="AR8" s="538"/>
      <c r="AS8" s="537"/>
      <c r="AT8" s="538"/>
      <c r="AU8" s="538"/>
      <c r="AV8" s="537"/>
    </row>
    <row r="9" spans="1:48" s="507" customFormat="1" ht="18.75" x14ac:dyDescent="0.3">
      <c r="A9" s="539"/>
      <c r="B9" s="540"/>
      <c r="C9" s="540"/>
      <c r="D9" s="540"/>
      <c r="E9" s="546"/>
      <c r="F9" s="546"/>
      <c r="G9" s="546"/>
      <c r="H9" s="546"/>
      <c r="I9" s="546"/>
      <c r="J9" s="546"/>
      <c r="K9" s="546"/>
      <c r="L9" s="546"/>
      <c r="M9" s="546"/>
      <c r="N9" s="546"/>
      <c r="O9" s="546"/>
      <c r="P9" s="546"/>
      <c r="Q9" s="546"/>
      <c r="R9" s="546"/>
      <c r="S9" s="546"/>
      <c r="T9" s="508"/>
      <c r="U9" s="508"/>
      <c r="V9" s="546"/>
      <c r="W9" s="546"/>
      <c r="X9" s="546"/>
      <c r="Y9" s="546"/>
      <c r="Z9" s="552"/>
      <c r="AA9" s="546"/>
      <c r="AB9" s="546"/>
      <c r="AC9" s="546"/>
      <c r="AD9" s="546"/>
      <c r="AE9" s="546"/>
      <c r="AF9" s="540"/>
      <c r="AG9" s="540"/>
      <c r="AH9" s="540"/>
    </row>
    <row r="10" spans="1:48" s="507" customFormat="1" ht="18.75" x14ac:dyDescent="0.3">
      <c r="A10" s="541" t="s">
        <v>388</v>
      </c>
      <c r="B10" s="546"/>
      <c r="C10" s="546"/>
      <c r="D10" s="546"/>
      <c r="E10" s="546"/>
      <c r="F10" s="546"/>
      <c r="G10" s="546"/>
      <c r="H10" s="546"/>
      <c r="I10" s="546"/>
      <c r="J10" s="546"/>
      <c r="K10" s="546"/>
      <c r="L10" s="546"/>
      <c r="M10" s="546"/>
      <c r="N10" s="546"/>
      <c r="O10" s="546"/>
      <c r="P10" s="546"/>
      <c r="Q10" s="546"/>
      <c r="R10" s="546"/>
      <c r="S10" s="546"/>
      <c r="T10" s="508"/>
      <c r="U10" s="508"/>
      <c r="V10" s="546"/>
      <c r="W10" s="508"/>
      <c r="X10" s="508"/>
      <c r="Y10" s="546"/>
      <c r="Z10" s="508"/>
      <c r="AA10" s="508"/>
      <c r="AB10" s="546"/>
      <c r="AC10" s="508"/>
      <c r="AD10" s="508"/>
      <c r="AE10" s="546"/>
      <c r="AF10" s="546"/>
      <c r="AG10" s="546"/>
      <c r="AH10" s="547"/>
    </row>
    <row r="11" spans="1:48" ht="22.5" x14ac:dyDescent="0.3">
      <c r="A11" s="541" t="s">
        <v>389</v>
      </c>
      <c r="B11" s="546">
        <v>1.49</v>
      </c>
      <c r="C11" s="546">
        <v>-2.08</v>
      </c>
      <c r="D11" s="547"/>
      <c r="E11" s="546">
        <v>3.67</v>
      </c>
      <c r="F11" s="546">
        <v>1.4224981944600099</v>
      </c>
      <c r="G11" s="547"/>
      <c r="H11" s="546">
        <v>1.69</v>
      </c>
      <c r="I11" s="546">
        <v>0.48</v>
      </c>
      <c r="J11" s="547"/>
      <c r="K11" s="546"/>
      <c r="L11" s="546"/>
      <c r="M11" s="546"/>
      <c r="N11" s="546">
        <v>2.81</v>
      </c>
      <c r="O11" s="546">
        <v>1.37</v>
      </c>
      <c r="P11" s="546"/>
      <c r="Q11" s="546">
        <v>3.5199069775318614</v>
      </c>
      <c r="R11" s="546">
        <v>-2.6477417808863479</v>
      </c>
      <c r="S11" s="547"/>
      <c r="T11" s="508">
        <v>4.9000000000000004</v>
      </c>
      <c r="U11" s="508">
        <v>3.1</v>
      </c>
      <c r="V11" s="546"/>
      <c r="W11" s="508">
        <v>5.81</v>
      </c>
      <c r="X11" s="508"/>
      <c r="Y11" s="546"/>
      <c r="Z11" s="508">
        <v>4.4288527969126701</v>
      </c>
      <c r="AA11" s="508">
        <v>0.29229221035898001</v>
      </c>
      <c r="AB11" s="546"/>
      <c r="AC11" s="508">
        <v>3.17</v>
      </c>
      <c r="AD11" s="508">
        <v>0.52</v>
      </c>
      <c r="AE11" s="546"/>
      <c r="AF11" s="547"/>
      <c r="AG11" s="547"/>
      <c r="AH11" s="547"/>
    </row>
    <row r="12" spans="1:48" ht="18.75" x14ac:dyDescent="0.3">
      <c r="A12" s="541" t="s">
        <v>390</v>
      </c>
      <c r="B12" s="546">
        <v>0.81</v>
      </c>
      <c r="C12" s="546">
        <v>-6.1</v>
      </c>
      <c r="D12" s="547"/>
      <c r="E12" s="546">
        <v>3.24</v>
      </c>
      <c r="F12" s="546">
        <v>-0.19612590096197399</v>
      </c>
      <c r="G12" s="547"/>
      <c r="H12" s="546">
        <v>0.95</v>
      </c>
      <c r="I12" s="546">
        <v>-2.5099999999999998</v>
      </c>
      <c r="J12" s="547"/>
      <c r="K12" s="546"/>
      <c r="L12" s="546"/>
      <c r="M12" s="546"/>
      <c r="N12" s="546">
        <v>2.96</v>
      </c>
      <c r="O12" s="546">
        <v>1.22</v>
      </c>
      <c r="P12" s="546"/>
      <c r="Q12" s="546">
        <v>5.5843051024210055</v>
      </c>
      <c r="R12" s="546">
        <v>-5.8731450233747378</v>
      </c>
      <c r="S12" s="547"/>
      <c r="T12" s="508">
        <v>5.8</v>
      </c>
      <c r="U12" s="508">
        <v>0.3</v>
      </c>
      <c r="V12" s="546"/>
      <c r="W12" s="508">
        <v>3.54</v>
      </c>
      <c r="X12" s="508">
        <v>-3.37</v>
      </c>
      <c r="Y12" s="546"/>
      <c r="Z12" s="508">
        <v>5.9483041100312199</v>
      </c>
      <c r="AA12" s="508">
        <v>-3.66577631520645</v>
      </c>
      <c r="AB12" s="546"/>
      <c r="AC12" s="508">
        <v>2.3199999999999998</v>
      </c>
      <c r="AD12" s="508">
        <v>-2.13</v>
      </c>
      <c r="AE12" s="546"/>
      <c r="AF12" s="547"/>
      <c r="AG12" s="547"/>
      <c r="AH12" s="547"/>
    </row>
    <row r="13" spans="1:48" ht="18.75" x14ac:dyDescent="0.3">
      <c r="A13" s="541"/>
      <c r="B13" s="546"/>
      <c r="C13" s="546"/>
      <c r="D13" s="546"/>
      <c r="E13" s="546"/>
      <c r="F13" s="546"/>
      <c r="G13" s="546"/>
      <c r="H13" s="546"/>
      <c r="I13" s="546"/>
      <c r="J13" s="546"/>
      <c r="K13" s="546"/>
      <c r="L13" s="546"/>
      <c r="M13" s="546"/>
      <c r="N13" s="546"/>
      <c r="O13" s="546"/>
      <c r="P13" s="546"/>
      <c r="Q13" s="546"/>
      <c r="R13" s="546"/>
      <c r="S13" s="546"/>
      <c r="T13" s="508"/>
      <c r="U13" s="508"/>
      <c r="V13" s="546"/>
      <c r="W13" s="508"/>
      <c r="X13" s="508"/>
      <c r="Y13" s="546"/>
      <c r="Z13" s="508"/>
      <c r="AA13" s="508"/>
      <c r="AB13" s="546"/>
      <c r="AC13" s="508"/>
      <c r="AD13" s="508"/>
      <c r="AE13" s="546"/>
      <c r="AF13" s="546"/>
      <c r="AG13" s="546"/>
      <c r="AH13" s="546"/>
    </row>
    <row r="14" spans="1:48" ht="18.75" x14ac:dyDescent="0.3">
      <c r="A14" s="541" t="s">
        <v>391</v>
      </c>
      <c r="B14" s="546"/>
      <c r="C14" s="546"/>
      <c r="D14" s="547"/>
      <c r="E14" s="546">
        <v>25.120999999999999</v>
      </c>
      <c r="F14" s="546">
        <v>16.748102079702502</v>
      </c>
      <c r="G14" s="547">
        <f>IF(E14=0, "    ---- ", IF(ABS(ROUND(100/E14*F14-100,1))&lt;999,ROUND(100/E14*F14-100,1),IF(ROUND(100/E14*F14-100,1)&gt;999,999,-999)))</f>
        <v>-33.299999999999997</v>
      </c>
      <c r="H14" s="546">
        <v>47.95</v>
      </c>
      <c r="I14" s="546">
        <v>40.29</v>
      </c>
      <c r="J14" s="547">
        <f>IF(H14=0, "    ---- ", IF(ABS(ROUND(100/H14*I14-100,1))&lt;999,ROUND(100/H14*I14-100,1),IF(ROUND(100/H14*I14-100,1)&gt;999,999,-999)))</f>
        <v>-16</v>
      </c>
      <c r="K14" s="546">
        <v>43.3</v>
      </c>
      <c r="L14" s="546">
        <v>38.200000000000003</v>
      </c>
      <c r="M14" s="547">
        <f>IF(K14=0, "    ---- ", IF(ABS(ROUND(100/K14*L14-100,1))&lt;999,ROUND(100/K14*L14-100,1),IF(ROUND(100/K14*L14-100,1)&gt;999,999,-999)))</f>
        <v>-11.8</v>
      </c>
      <c r="N14" s="546">
        <v>20.25</v>
      </c>
      <c r="O14" s="546">
        <v>9.0500000000000007</v>
      </c>
      <c r="P14" s="547">
        <f>IF(N14=0, "    ---- ", IF(ABS(ROUND(100/N14*O14-100,1))&lt;999,ROUND(100/N14*O14-100,1),IF(ROUND(100/N14*O14-100,1)&gt;999,999,-999)))</f>
        <v>-55.3</v>
      </c>
      <c r="Q14" s="546">
        <v>27.824245126915386</v>
      </c>
      <c r="R14" s="546">
        <v>20.186262191855899</v>
      </c>
      <c r="S14" s="547">
        <f>IF(Q14=0, "    ---- ", IF(ABS(ROUND(100/Q14*R14-100,1))&lt;999,ROUND(100/Q14*R14-100,1),IF(ROUND(100/Q14*R14-100,1)&gt;999,999,-999)))</f>
        <v>-27.5</v>
      </c>
      <c r="T14" s="508">
        <v>38.200000000000003</v>
      </c>
      <c r="U14" s="508">
        <v>29.8</v>
      </c>
      <c r="V14" s="547">
        <f>IF(T14=0, "    ---- ", IF(ABS(ROUND(100/T14*U14-100,1))&lt;999,ROUND(100/T14*U14-100,1),IF(ROUND(100/T14*U14-100,1)&gt;999,999,-999)))</f>
        <v>-22</v>
      </c>
      <c r="W14" s="546">
        <f>(1430+9640+1240+7898+18175+641)/(71279+5388+366)*100</f>
        <v>50.658808562564097</v>
      </c>
      <c r="X14" s="546">
        <f>(1430+9983+1240+24635-1842)/(77308+7448+389+146)*100</f>
        <v>41.558898359733149</v>
      </c>
      <c r="Y14" s="547">
        <f>IF(W14=0, "    ---- ", IF(ABS(ROUND(100/W14*X14-100,1))&lt;999,ROUND(100/W14*X14-100,1),IF(ROUND(100/W14*X14-100,1)&gt;999,999,-999)))</f>
        <v>-18</v>
      </c>
      <c r="Z14" s="508">
        <v>44.2780040059965</v>
      </c>
      <c r="AA14" s="508">
        <f>('[2]Tabell 6'!AG68+'[2]Tabell 6'!AG71+'[2]Tabell 6'!AG74+'[2]Tabell 6'!AG75+'[2]Tabell 6'!AG78-511.248)/('[2]Tabell 6'!AG80)*100</f>
        <v>34.479290236927795</v>
      </c>
      <c r="AB14" s="547">
        <f>IF(Z14=0, "    ---- ", IF(ABS(ROUND(100/Z14*AA14-100,1))&lt;999,ROUND(100/Z14*AA14-100,1),IF(ROUND(100/Z14*AA14-100,1)&gt;999,999,-999)))</f>
        <v>-22.1</v>
      </c>
      <c r="AC14" s="508">
        <v>26.8</v>
      </c>
      <c r="AD14" s="508">
        <v>18.899999999999999</v>
      </c>
      <c r="AE14" s="547">
        <f>IF(AC14=0, "    ---- ", IF(ABS(ROUND(100/AC14*AD14-100,1))&lt;999,ROUND(100/AC14*AD14-100,1),IF(ROUND(100/AC14*AD14-100,1)&gt;999,999,-999)))</f>
        <v>-29.5</v>
      </c>
      <c r="AF14" s="547"/>
      <c r="AG14" s="547"/>
      <c r="AH14" s="547"/>
    </row>
    <row r="15" spans="1:48" ht="18.75" x14ac:dyDescent="0.3">
      <c r="A15" s="541"/>
      <c r="B15" s="546"/>
      <c r="C15" s="546"/>
      <c r="D15" s="546"/>
      <c r="E15" s="546"/>
      <c r="F15" s="546"/>
      <c r="G15" s="546"/>
      <c r="H15" s="546"/>
      <c r="I15" s="546"/>
      <c r="J15" s="546"/>
      <c r="K15" s="546"/>
      <c r="L15" s="546"/>
      <c r="M15" s="546"/>
      <c r="N15" s="546"/>
      <c r="O15" s="546"/>
      <c r="P15" s="546"/>
      <c r="Q15" s="546"/>
      <c r="R15" s="546"/>
      <c r="S15" s="546"/>
      <c r="T15" s="508"/>
      <c r="U15" s="508"/>
      <c r="V15" s="546"/>
      <c r="W15" s="508"/>
      <c r="X15" s="647" t="s">
        <v>426</v>
      </c>
      <c r="Y15" s="546"/>
      <c r="Z15" s="508"/>
      <c r="AA15" s="508"/>
      <c r="AB15" s="546"/>
      <c r="AC15" s="508"/>
      <c r="AD15" s="508"/>
      <c r="AE15" s="546"/>
      <c r="AF15" s="546"/>
      <c r="AG15" s="546"/>
      <c r="AH15" s="546"/>
    </row>
    <row r="16" spans="1:48" ht="18.75" x14ac:dyDescent="0.3">
      <c r="A16" s="541" t="s">
        <v>333</v>
      </c>
      <c r="B16" s="547">
        <v>60.634999999999998</v>
      </c>
      <c r="C16" s="547"/>
      <c r="D16" s="547">
        <f>IF(B16=0, "    ---- ", IF(ABS(ROUND(100/B16*C16-100,1))&lt;999,ROUND(100/B16*C16-100,1),IF(ROUND(100/B16*C16-100,1)&gt;999,999,-999)))</f>
        <v>-100</v>
      </c>
      <c r="E16" s="547">
        <v>1822.068</v>
      </c>
      <c r="F16" s="547"/>
      <c r="G16" s="547">
        <f>IF(E16=0, "    ---- ", IF(ABS(ROUND(100/E16*F16-100,1))&lt;999,ROUND(100/E16*F16-100,1),IF(ROUND(100/E16*F16-100,1)&gt;999,999,-999)))</f>
        <v>-100</v>
      </c>
      <c r="H16" s="547"/>
      <c r="I16" s="547"/>
      <c r="J16" s="547"/>
      <c r="K16" s="547"/>
      <c r="L16" s="547"/>
      <c r="M16" s="547"/>
      <c r="N16" s="547">
        <v>12.8</v>
      </c>
      <c r="O16" s="547">
        <v>0</v>
      </c>
      <c r="P16" s="547">
        <f>IF(N16=0, "    ---- ", IF(ABS(ROUND(100/N16*O16-100,1))&lt;999,ROUND(100/N16*O16-100,1),IF(ROUND(100/N16*O16-100,1)&gt;999,999,-999)))</f>
        <v>-100</v>
      </c>
      <c r="Q16" s="547">
        <v>68620.313370999997</v>
      </c>
      <c r="R16" s="547">
        <v>97984.670942919998</v>
      </c>
      <c r="S16" s="547">
        <f>IF(Q16=0, "    ---- ", IF(ABS(ROUND(100/Q16*R16-100,1))&lt;999,ROUND(100/Q16*R16-100,1),IF(ROUND(100/Q16*R16-100,1)&gt;999,999,-999)))</f>
        <v>42.8</v>
      </c>
      <c r="T16" s="509">
        <v>2935</v>
      </c>
      <c r="U16" s="509">
        <v>1897</v>
      </c>
      <c r="V16" s="547">
        <f>IF(T16=0, "    ---- ", IF(ABS(ROUND(100/T16*U16-100,1))&lt;999,ROUND(100/T16*U16-100,1),IF(ROUND(100/T16*U16-100,1)&gt;999,999,-999)))</f>
        <v>-35.4</v>
      </c>
      <c r="W16" s="509">
        <v>18175</v>
      </c>
      <c r="X16" s="509">
        <v>0</v>
      </c>
      <c r="Y16" s="547">
        <f>IF(W16=0, "    ---- ", IF(ABS(ROUND(100/W16*X16-100,1))&lt;999,ROUND(100/W16*X16-100,1),IF(ROUND(100/W16*X16-100,1)&gt;999,999,-999)))</f>
        <v>-100</v>
      </c>
      <c r="Z16" s="427">
        <v>2861.8960000000002</v>
      </c>
      <c r="AA16" s="427">
        <v>1859.2809999999999</v>
      </c>
      <c r="AB16" s="547">
        <f>IF(Z16=0, "    ---- ", IF(ABS(ROUND(100/Z16*AA16-100,1))&lt;999,ROUND(100/Z16*AA16-100,1),IF(ROUND(100/Z16*AA16-100,1)&gt;999,999,-999)))</f>
        <v>-35</v>
      </c>
      <c r="AC16" s="509">
        <v>5692</v>
      </c>
      <c r="AD16" s="509">
        <v>361</v>
      </c>
      <c r="AE16" s="547">
        <f>IF(AC16=0, "    ---- ", IF(ABS(ROUND(100/AC16*AD16-100,1))&lt;999,ROUND(100/AC16*AD16-100,1),IF(ROUND(100/AC16*AD16-100,1)&gt;999,999,-999)))</f>
        <v>-93.7</v>
      </c>
      <c r="AF16" s="547">
        <f>B16+E16+H16+K16+N16+Q16+T16+W16+Z16+AC16</f>
        <v>100179.71237099999</v>
      </c>
      <c r="AG16" s="547">
        <f>C16+F16+I16+L16+O16+R16+U16+X16+AA16+AD16</f>
        <v>102101.95194292</v>
      </c>
      <c r="AH16" s="547">
        <f>IF(AF16=0, "    ---- ", IF(ABS(ROUND(100/AF16*AG16-100,1))&lt;999,ROUND(100/AF16*AG16-100,1),IF(ROUND(100/AF16*AG16-100,1)&gt;999,999,-999)))</f>
        <v>1.9</v>
      </c>
    </row>
    <row r="17" spans="1:34" ht="18.75" x14ac:dyDescent="0.3">
      <c r="A17" s="541"/>
      <c r="B17" s="547"/>
      <c r="C17" s="547"/>
      <c r="D17" s="547"/>
      <c r="E17" s="547"/>
      <c r="F17" s="547"/>
      <c r="G17" s="547"/>
      <c r="H17" s="547"/>
      <c r="I17" s="547"/>
      <c r="J17" s="547"/>
      <c r="K17" s="547"/>
      <c r="L17" s="547"/>
      <c r="M17" s="547"/>
      <c r="N17" s="547"/>
      <c r="O17" s="547"/>
      <c r="P17" s="547"/>
      <c r="Q17" s="547"/>
      <c r="R17" s="547"/>
      <c r="S17" s="547"/>
      <c r="T17" s="509"/>
      <c r="U17" s="509"/>
      <c r="V17" s="547"/>
      <c r="W17" s="509"/>
      <c r="X17" s="509"/>
      <c r="Y17" s="547"/>
      <c r="Z17" s="518"/>
      <c r="AA17" s="518"/>
      <c r="AB17" s="547"/>
      <c r="AC17" s="509"/>
      <c r="AD17" s="509"/>
      <c r="AE17" s="547"/>
      <c r="AF17" s="547"/>
      <c r="AG17" s="547"/>
      <c r="AH17" s="547"/>
    </row>
    <row r="18" spans="1:34" ht="18.75" x14ac:dyDescent="0.3">
      <c r="A18" s="541" t="s">
        <v>423</v>
      </c>
      <c r="B18" s="547"/>
      <c r="C18" s="547"/>
      <c r="D18" s="547"/>
      <c r="E18" s="547"/>
      <c r="F18" s="547"/>
      <c r="G18" s="547"/>
      <c r="H18" s="547"/>
      <c r="I18" s="547"/>
      <c r="J18" s="547"/>
      <c r="K18" s="547"/>
      <c r="L18" s="547"/>
      <c r="M18" s="547"/>
      <c r="N18" s="547"/>
      <c r="O18" s="547"/>
      <c r="P18" s="547"/>
      <c r="Q18" s="547"/>
      <c r="R18" s="547"/>
      <c r="S18" s="547"/>
      <c r="T18" s="509"/>
      <c r="U18" s="509"/>
      <c r="V18" s="547"/>
      <c r="W18" s="509"/>
      <c r="X18" s="509">
        <v>54635</v>
      </c>
      <c r="Y18" s="547" t="str">
        <f>IF(W18=0, "    ---- ", IF(ABS(ROUND(100/W18*X18-100,1))&lt;999,ROUND(100/W18*X18-100,1),IF(ROUND(100/W18*X18-100,1)&gt;999,999,-999)))</f>
        <v xml:space="preserve">    ---- </v>
      </c>
      <c r="Z18" s="518"/>
      <c r="AA18" s="509"/>
      <c r="AB18" s="547"/>
      <c r="AC18" s="509"/>
      <c r="AD18" s="509">
        <v>1047</v>
      </c>
      <c r="AE18" s="547"/>
      <c r="AF18" s="547">
        <f>B18+E18+H18+K18+N18+Q18+T18+W18+Z18+AC18</f>
        <v>0</v>
      </c>
      <c r="AG18" s="547">
        <f>C18+F18+I18+L18+O18+R18+U18+X18+AA18+AD18</f>
        <v>55682</v>
      </c>
      <c r="AH18" s="547" t="str">
        <f>IF(AF18=0, "    ---- ", IF(ABS(ROUND(100/AF18*AG18-100,1))&lt;999,ROUND(100/AF18*AG18-100,1),IF(ROUND(100/AF18*AG18-100,1)&gt;999,999,-999)))</f>
        <v xml:space="preserve">    ---- </v>
      </c>
    </row>
    <row r="19" spans="1:34" ht="18.75" x14ac:dyDescent="0.3">
      <c r="A19" s="541"/>
      <c r="B19" s="547"/>
      <c r="C19" s="547"/>
      <c r="D19" s="547"/>
      <c r="E19" s="547"/>
      <c r="F19" s="547"/>
      <c r="G19" s="547"/>
      <c r="H19" s="547"/>
      <c r="I19" s="547"/>
      <c r="J19" s="547"/>
      <c r="K19" s="547"/>
      <c r="L19" s="547"/>
      <c r="M19" s="547"/>
      <c r="N19" s="547"/>
      <c r="O19" s="547"/>
      <c r="P19" s="547"/>
      <c r="Q19" s="547"/>
      <c r="R19" s="547"/>
      <c r="S19" s="547"/>
      <c r="T19" s="509"/>
      <c r="U19" s="509"/>
      <c r="V19" s="547"/>
      <c r="W19" s="509"/>
      <c r="X19" s="509"/>
      <c r="Y19" s="547"/>
      <c r="Z19" s="509"/>
      <c r="AA19" s="509"/>
      <c r="AB19" s="547"/>
      <c r="AC19" s="509"/>
      <c r="AD19" s="509"/>
      <c r="AE19" s="547"/>
      <c r="AF19" s="547"/>
      <c r="AG19" s="547"/>
      <c r="AH19" s="547"/>
    </row>
    <row r="20" spans="1:34" ht="18.75" x14ac:dyDescent="0.3">
      <c r="A20" s="542" t="s">
        <v>392</v>
      </c>
      <c r="B20" s="548"/>
      <c r="C20" s="548"/>
      <c r="D20" s="548"/>
      <c r="E20" s="548">
        <v>4832.1800961500003</v>
      </c>
      <c r="F20" s="548">
        <v>-6991.0053133399897</v>
      </c>
      <c r="G20" s="548">
        <f>IF(E20=0, "    ---- ", IF(ABS(ROUND(100/E20*F20-100,1))&lt;999,ROUND(100/E20*F20-100,1),IF(ROUND(100/E20*F20-100,1)&gt;999,999,-999)))</f>
        <v>-244.7</v>
      </c>
      <c r="H20" s="550">
        <v>3.9</v>
      </c>
      <c r="I20" s="550">
        <v>-24</v>
      </c>
      <c r="J20" s="548">
        <f>IF(H20=0, "    ---- ", IF(ABS(ROUND(100/H20*I20-100,1))&lt;999,ROUND(100/H20*I20-100,1),IF(ROUND(100/H20*I20-100,1)&gt;999,999,-999)))</f>
        <v>-715.4</v>
      </c>
      <c r="K20" s="548"/>
      <c r="L20" s="548"/>
      <c r="M20" s="548"/>
      <c r="N20" s="548">
        <v>1.8</v>
      </c>
      <c r="O20" s="548">
        <v>-26</v>
      </c>
      <c r="P20" s="548"/>
      <c r="Q20" s="548">
        <v>717.35900000000004</v>
      </c>
      <c r="R20" s="548">
        <v>-1261</v>
      </c>
      <c r="S20" s="548">
        <f>IF(Q20=0, "    ---- ", IF(ABS(ROUND(100/Q20*R20-100,1))&lt;999,ROUND(100/Q20*R20-100,1),IF(ROUND(100/Q20*R20-100,1)&gt;999,999,-999)))</f>
        <v>-275.8</v>
      </c>
      <c r="T20" s="510">
        <v>1426</v>
      </c>
      <c r="U20" s="510">
        <v>-3056</v>
      </c>
      <c r="V20" s="548"/>
      <c r="W20" s="510">
        <v>641</v>
      </c>
      <c r="X20" s="510">
        <v>-1842</v>
      </c>
      <c r="Y20" s="548"/>
      <c r="Z20" s="510">
        <v>59.939</v>
      </c>
      <c r="AA20" s="510">
        <v>-82</v>
      </c>
      <c r="AB20" s="548"/>
      <c r="AC20" s="510">
        <v>4840</v>
      </c>
      <c r="AD20" s="510">
        <v>-13247</v>
      </c>
      <c r="AE20" s="548"/>
      <c r="AF20" s="548">
        <f>B20+E20+H20+K20+N20+Q20+T20+W20+Z20+AC20</f>
        <v>12522.178096150001</v>
      </c>
      <c r="AG20" s="548">
        <f>C20+F20+I20+L20+O20+R20+U20+X20+AA20+AD20</f>
        <v>-26529.005313339989</v>
      </c>
      <c r="AH20" s="548">
        <f>IF(AF20=0, "    ---- ", IF(ABS(ROUND(100/AF20*AG20-100,1))&lt;999,ROUND(100/AF20*AG20-100,1),IF(ROUND(100/AF20*AG20-100,1)&gt;999,999,-999)))</f>
        <v>-311.89999999999998</v>
      </c>
    </row>
  </sheetData>
  <protectedRanges>
    <protectedRange sqref="R9:R10" name="Område1_13_2_1_1"/>
    <protectedRange sqref="R11:R20" name="Område1_3_1_2_1"/>
    <protectedRange sqref="Q9:Q10" name="Område1_13_2_1_1_1"/>
    <protectedRange sqref="Q11:Q20" name="Område1_3_1_2_1_1"/>
    <protectedRange sqref="AA9:AA20" name="Område1_11_1_1_1_2"/>
    <protectedRange sqref="Z9:Z20" name="Område1_11_1_1_1_1_1"/>
    <protectedRange sqref="U9:U10" name="Område1_13_3_1_1_2"/>
    <protectedRange sqref="U11:U20" name="Område1_5_1_2_1_2"/>
    <protectedRange sqref="T9:T10" name="Område1_13_3_1_1_1_1"/>
    <protectedRange sqref="T11:T20" name="Område1_5_1_2_1_1_1"/>
    <protectedRange sqref="I9:I10" name="Område1_13_5_2_2"/>
    <protectedRange sqref="I11:I20" name="Område1_2_1_2_2_2"/>
    <protectedRange sqref="H9:H10" name="Område1_13_5_2_1_1"/>
    <protectedRange sqref="H11:H20" name="Område1_2_1_2_2_1_1"/>
    <protectedRange sqref="O9:O13 O15:O20" name="Område1_9_6_1"/>
    <protectedRange sqref="O14" name="Område1_4_2_6_1"/>
    <protectedRange sqref="N9:N13 N15:N20" name="Område1_9_6_1_1_1_1"/>
    <protectedRange sqref="N14" name="Område1_4_2_6_1_1_1_1"/>
    <protectedRange sqref="X9:X10" name="Område1_13_4_1_1_2"/>
    <protectedRange sqref="X11:X13 X15:X20" name="Område1_6_1_2_1_2"/>
    <protectedRange sqref="W9:W10" name="Område1_13_4_1_1_1_1"/>
    <protectedRange sqref="W11:W13 W15:W20" name="Område1_6_1_2_1_1_1"/>
    <protectedRange sqref="W14:X14" name="Område1_4_2_1_1"/>
    <protectedRange sqref="AD9:AD10" name="Område1_10_1_1_1"/>
    <protectedRange sqref="AD19" name="Område1_8_1_1_1_1"/>
    <protectedRange sqref="AC9:AC10" name="Område1_10_1_1_1_1_2"/>
    <protectedRange sqref="AD11:AD18" name="Område1_8_1_1_1_1_1_2"/>
    <protectedRange sqref="AD20" name="Område1_8_1_1_1_1_2"/>
    <protectedRange sqref="F9:F10" name="Område1_13_5_1_1"/>
    <protectedRange sqref="F11:F20" name="Område1_2_1_2_1_1"/>
    <protectedRange sqref="E9:E10" name="Område1_13_5_1_1_1"/>
    <protectedRange sqref="E11:E20" name="Område1_2_1_2_1_1_1"/>
    <protectedRange sqref="L9:L13 L15:L20" name="Område1_13_1_1_1_2"/>
    <protectedRange sqref="L14" name="Område1_4_1_2_1_2"/>
    <protectedRange sqref="K9:K13 K15:K20" name="Område1_13_1_1_1_1_1"/>
    <protectedRange sqref="K14" name="Område1_4_1_2_1_1_1"/>
    <protectedRange sqref="C9:C10 C18:C20" name="Område1_12_1_1_1_2"/>
    <protectedRange sqref="C11:C17" name="Område1_1_1_1_1_1_2"/>
    <protectedRange sqref="B9:B10 B19:B20" name="Område1_12_1_1_1_1_1"/>
    <protectedRange sqref="B11:B18" name="Område1_1_1_1_1_1_1_1"/>
  </protectedRanges>
  <mergeCells count="27">
    <mergeCell ref="B5:D5"/>
    <mergeCell ref="E5:G5"/>
    <mergeCell ref="K5:M5"/>
    <mergeCell ref="B6:D6"/>
    <mergeCell ref="E6:G6"/>
    <mergeCell ref="H6:J6"/>
    <mergeCell ref="K6:M6"/>
    <mergeCell ref="AN5:AP5"/>
    <mergeCell ref="AQ5:AS5"/>
    <mergeCell ref="AT5:AV5"/>
    <mergeCell ref="AK5:AM5"/>
    <mergeCell ref="AC6:AE6"/>
    <mergeCell ref="AF6:AH6"/>
    <mergeCell ref="AC5:AE5"/>
    <mergeCell ref="AF5:AH5"/>
    <mergeCell ref="AK6:AM6"/>
    <mergeCell ref="AN6:AP6"/>
    <mergeCell ref="AQ6:AS6"/>
    <mergeCell ref="AT6:AV6"/>
    <mergeCell ref="N5:P5"/>
    <mergeCell ref="T6:V6"/>
    <mergeCell ref="W6:Y6"/>
    <mergeCell ref="Z6:AB6"/>
    <mergeCell ref="Q6:S6"/>
    <mergeCell ref="W5:Y5"/>
    <mergeCell ref="Z5:AB5"/>
    <mergeCell ref="N6:P6"/>
  </mergeCells>
  <hyperlinks>
    <hyperlink ref="B1" location="Innhold!A1" display="Tilbake" xr:uid="{10497701-2AA6-4565-8F01-4AFD14AEF8BE}"/>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9"/>
  <dimension ref="A2:Q65"/>
  <sheetViews>
    <sheetView showGridLines="0" zoomScale="90" zoomScaleNormal="90" workbookViewId="0">
      <selection activeCell="A4" sqref="A4"/>
    </sheetView>
  </sheetViews>
  <sheetFormatPr baseColWidth="10" defaultColWidth="11.42578125" defaultRowHeight="12.75" x14ac:dyDescent="0.2"/>
  <cols>
    <col min="1" max="1" width="66.28515625" style="1" customWidth="1"/>
    <col min="2" max="2" width="4.28515625" style="48" customWidth="1"/>
    <col min="3" max="3" width="105.28515625" style="1" customWidth="1"/>
    <col min="4" max="8" width="12.7109375" style="1" customWidth="1"/>
    <col min="9" max="257" width="11.42578125" style="1"/>
    <col min="258" max="258" width="2.7109375" style="1" customWidth="1"/>
    <col min="259" max="259" width="176.7109375" style="1" customWidth="1"/>
    <col min="260" max="260" width="11.42578125" style="1"/>
    <col min="261" max="261" width="176.7109375" style="1" customWidth="1"/>
    <col min="262" max="262" width="11.42578125" style="1"/>
    <col min="263" max="263" width="88.7109375" style="1" customWidth="1"/>
    <col min="264" max="513" width="11.42578125" style="1"/>
    <col min="514" max="514" width="2.7109375" style="1" customWidth="1"/>
    <col min="515" max="515" width="176.7109375" style="1" customWidth="1"/>
    <col min="516" max="516" width="11.42578125" style="1"/>
    <col min="517" max="517" width="176.7109375" style="1" customWidth="1"/>
    <col min="518" max="518" width="11.42578125" style="1"/>
    <col min="519" max="519" width="88.7109375" style="1" customWidth="1"/>
    <col min="520" max="769" width="11.42578125" style="1"/>
    <col min="770" max="770" width="2.7109375" style="1" customWidth="1"/>
    <col min="771" max="771" width="176.7109375" style="1" customWidth="1"/>
    <col min="772" max="772" width="11.42578125" style="1"/>
    <col min="773" max="773" width="176.7109375" style="1" customWidth="1"/>
    <col min="774" max="774" width="11.42578125" style="1"/>
    <col min="775" max="775" width="88.7109375" style="1" customWidth="1"/>
    <col min="776" max="1025" width="11.42578125" style="1"/>
    <col min="1026" max="1026" width="2.7109375" style="1" customWidth="1"/>
    <col min="1027" max="1027" width="176.7109375" style="1" customWidth="1"/>
    <col min="1028" max="1028" width="11.42578125" style="1"/>
    <col min="1029" max="1029" width="176.7109375" style="1" customWidth="1"/>
    <col min="1030" max="1030" width="11.42578125" style="1"/>
    <col min="1031" max="1031" width="88.7109375" style="1" customWidth="1"/>
    <col min="1032" max="1281" width="11.42578125" style="1"/>
    <col min="1282" max="1282" width="2.7109375" style="1" customWidth="1"/>
    <col min="1283" max="1283" width="176.7109375" style="1" customWidth="1"/>
    <col min="1284" max="1284" width="11.42578125" style="1"/>
    <col min="1285" max="1285" width="176.7109375" style="1" customWidth="1"/>
    <col min="1286" max="1286" width="11.42578125" style="1"/>
    <col min="1287" max="1287" width="88.7109375" style="1" customWidth="1"/>
    <col min="1288" max="1537" width="11.42578125" style="1"/>
    <col min="1538" max="1538" width="2.7109375" style="1" customWidth="1"/>
    <col min="1539" max="1539" width="176.7109375" style="1" customWidth="1"/>
    <col min="1540" max="1540" width="11.42578125" style="1"/>
    <col min="1541" max="1541" width="176.7109375" style="1" customWidth="1"/>
    <col min="1542" max="1542" width="11.42578125" style="1"/>
    <col min="1543" max="1543" width="88.7109375" style="1" customWidth="1"/>
    <col min="1544" max="1793" width="11.42578125" style="1"/>
    <col min="1794" max="1794" width="2.7109375" style="1" customWidth="1"/>
    <col min="1795" max="1795" width="176.7109375" style="1" customWidth="1"/>
    <col min="1796" max="1796" width="11.42578125" style="1"/>
    <col min="1797" max="1797" width="176.7109375" style="1" customWidth="1"/>
    <col min="1798" max="1798" width="11.42578125" style="1"/>
    <col min="1799" max="1799" width="88.7109375" style="1" customWidth="1"/>
    <col min="1800" max="2049" width="11.42578125" style="1"/>
    <col min="2050" max="2050" width="2.7109375" style="1" customWidth="1"/>
    <col min="2051" max="2051" width="176.7109375" style="1" customWidth="1"/>
    <col min="2052" max="2052" width="11.42578125" style="1"/>
    <col min="2053" max="2053" width="176.7109375" style="1" customWidth="1"/>
    <col min="2054" max="2054" width="11.42578125" style="1"/>
    <col min="2055" max="2055" width="88.7109375" style="1" customWidth="1"/>
    <col min="2056" max="2305" width="11.42578125" style="1"/>
    <col min="2306" max="2306" width="2.7109375" style="1" customWidth="1"/>
    <col min="2307" max="2307" width="176.7109375" style="1" customWidth="1"/>
    <col min="2308" max="2308" width="11.42578125" style="1"/>
    <col min="2309" max="2309" width="176.7109375" style="1" customWidth="1"/>
    <col min="2310" max="2310" width="11.42578125" style="1"/>
    <col min="2311" max="2311" width="88.7109375" style="1" customWidth="1"/>
    <col min="2312" max="2561" width="11.42578125" style="1"/>
    <col min="2562" max="2562" width="2.7109375" style="1" customWidth="1"/>
    <col min="2563" max="2563" width="176.7109375" style="1" customWidth="1"/>
    <col min="2564" max="2564" width="11.42578125" style="1"/>
    <col min="2565" max="2565" width="176.7109375" style="1" customWidth="1"/>
    <col min="2566" max="2566" width="11.42578125" style="1"/>
    <col min="2567" max="2567" width="88.7109375" style="1" customWidth="1"/>
    <col min="2568" max="2817" width="11.42578125" style="1"/>
    <col min="2818" max="2818" width="2.7109375" style="1" customWidth="1"/>
    <col min="2819" max="2819" width="176.7109375" style="1" customWidth="1"/>
    <col min="2820" max="2820" width="11.42578125" style="1"/>
    <col min="2821" max="2821" width="176.7109375" style="1" customWidth="1"/>
    <col min="2822" max="2822" width="11.42578125" style="1"/>
    <col min="2823" max="2823" width="88.7109375" style="1" customWidth="1"/>
    <col min="2824" max="3073" width="11.42578125" style="1"/>
    <col min="3074" max="3074" width="2.7109375" style="1" customWidth="1"/>
    <col min="3075" max="3075" width="176.7109375" style="1" customWidth="1"/>
    <col min="3076" max="3076" width="11.42578125" style="1"/>
    <col min="3077" max="3077" width="176.7109375" style="1" customWidth="1"/>
    <col min="3078" max="3078" width="11.42578125" style="1"/>
    <col min="3079" max="3079" width="88.7109375" style="1" customWidth="1"/>
    <col min="3080" max="3329" width="11.42578125" style="1"/>
    <col min="3330" max="3330" width="2.7109375" style="1" customWidth="1"/>
    <col min="3331" max="3331" width="176.7109375" style="1" customWidth="1"/>
    <col min="3332" max="3332" width="11.42578125" style="1"/>
    <col min="3333" max="3333" width="176.7109375" style="1" customWidth="1"/>
    <col min="3334" max="3334" width="11.42578125" style="1"/>
    <col min="3335" max="3335" width="88.7109375" style="1" customWidth="1"/>
    <col min="3336" max="3585" width="11.42578125" style="1"/>
    <col min="3586" max="3586" width="2.7109375" style="1" customWidth="1"/>
    <col min="3587" max="3587" width="176.7109375" style="1" customWidth="1"/>
    <col min="3588" max="3588" width="11.42578125" style="1"/>
    <col min="3589" max="3589" width="176.7109375" style="1" customWidth="1"/>
    <col min="3590" max="3590" width="11.42578125" style="1"/>
    <col min="3591" max="3591" width="88.7109375" style="1" customWidth="1"/>
    <col min="3592" max="3841" width="11.42578125" style="1"/>
    <col min="3842" max="3842" width="2.7109375" style="1" customWidth="1"/>
    <col min="3843" max="3843" width="176.7109375" style="1" customWidth="1"/>
    <col min="3844" max="3844" width="11.42578125" style="1"/>
    <col min="3845" max="3845" width="176.7109375" style="1" customWidth="1"/>
    <col min="3846" max="3846" width="11.42578125" style="1"/>
    <col min="3847" max="3847" width="88.7109375" style="1" customWidth="1"/>
    <col min="3848" max="4097" width="11.42578125" style="1"/>
    <col min="4098" max="4098" width="2.7109375" style="1" customWidth="1"/>
    <col min="4099" max="4099" width="176.7109375" style="1" customWidth="1"/>
    <col min="4100" max="4100" width="11.42578125" style="1"/>
    <col min="4101" max="4101" width="176.7109375" style="1" customWidth="1"/>
    <col min="4102" max="4102" width="11.42578125" style="1"/>
    <col min="4103" max="4103" width="88.7109375" style="1" customWidth="1"/>
    <col min="4104" max="4353" width="11.42578125" style="1"/>
    <col min="4354" max="4354" width="2.7109375" style="1" customWidth="1"/>
    <col min="4355" max="4355" width="176.7109375" style="1" customWidth="1"/>
    <col min="4356" max="4356" width="11.42578125" style="1"/>
    <col min="4357" max="4357" width="176.7109375" style="1" customWidth="1"/>
    <col min="4358" max="4358" width="11.42578125" style="1"/>
    <col min="4359" max="4359" width="88.7109375" style="1" customWidth="1"/>
    <col min="4360" max="4609" width="11.42578125" style="1"/>
    <col min="4610" max="4610" width="2.7109375" style="1" customWidth="1"/>
    <col min="4611" max="4611" width="176.7109375" style="1" customWidth="1"/>
    <col min="4612" max="4612" width="11.42578125" style="1"/>
    <col min="4613" max="4613" width="176.7109375" style="1" customWidth="1"/>
    <col min="4614" max="4614" width="11.42578125" style="1"/>
    <col min="4615" max="4615" width="88.7109375" style="1" customWidth="1"/>
    <col min="4616" max="4865" width="11.42578125" style="1"/>
    <col min="4866" max="4866" width="2.7109375" style="1" customWidth="1"/>
    <col min="4867" max="4867" width="176.7109375" style="1" customWidth="1"/>
    <col min="4868" max="4868" width="11.42578125" style="1"/>
    <col min="4869" max="4869" width="176.7109375" style="1" customWidth="1"/>
    <col min="4870" max="4870" width="11.42578125" style="1"/>
    <col min="4871" max="4871" width="88.7109375" style="1" customWidth="1"/>
    <col min="4872" max="5121" width="11.42578125" style="1"/>
    <col min="5122" max="5122" width="2.7109375" style="1" customWidth="1"/>
    <col min="5123" max="5123" width="176.7109375" style="1" customWidth="1"/>
    <col min="5124" max="5124" width="11.42578125" style="1"/>
    <col min="5125" max="5125" width="176.7109375" style="1" customWidth="1"/>
    <col min="5126" max="5126" width="11.42578125" style="1"/>
    <col min="5127" max="5127" width="88.7109375" style="1" customWidth="1"/>
    <col min="5128" max="5377" width="11.42578125" style="1"/>
    <col min="5378" max="5378" width="2.7109375" style="1" customWidth="1"/>
    <col min="5379" max="5379" width="176.7109375" style="1" customWidth="1"/>
    <col min="5380" max="5380" width="11.42578125" style="1"/>
    <col min="5381" max="5381" width="176.7109375" style="1" customWidth="1"/>
    <col min="5382" max="5382" width="11.42578125" style="1"/>
    <col min="5383" max="5383" width="88.7109375" style="1" customWidth="1"/>
    <col min="5384" max="5633" width="11.42578125" style="1"/>
    <col min="5634" max="5634" width="2.7109375" style="1" customWidth="1"/>
    <col min="5635" max="5635" width="176.7109375" style="1" customWidth="1"/>
    <col min="5636" max="5636" width="11.42578125" style="1"/>
    <col min="5637" max="5637" width="176.7109375" style="1" customWidth="1"/>
    <col min="5638" max="5638" width="11.42578125" style="1"/>
    <col min="5639" max="5639" width="88.7109375" style="1" customWidth="1"/>
    <col min="5640" max="5889" width="11.42578125" style="1"/>
    <col min="5890" max="5890" width="2.7109375" style="1" customWidth="1"/>
    <col min="5891" max="5891" width="176.7109375" style="1" customWidth="1"/>
    <col min="5892" max="5892" width="11.42578125" style="1"/>
    <col min="5893" max="5893" width="176.7109375" style="1" customWidth="1"/>
    <col min="5894" max="5894" width="11.42578125" style="1"/>
    <col min="5895" max="5895" width="88.7109375" style="1" customWidth="1"/>
    <col min="5896" max="6145" width="11.42578125" style="1"/>
    <col min="6146" max="6146" width="2.7109375" style="1" customWidth="1"/>
    <col min="6147" max="6147" width="176.7109375" style="1" customWidth="1"/>
    <col min="6148" max="6148" width="11.42578125" style="1"/>
    <col min="6149" max="6149" width="176.7109375" style="1" customWidth="1"/>
    <col min="6150" max="6150" width="11.42578125" style="1"/>
    <col min="6151" max="6151" width="88.7109375" style="1" customWidth="1"/>
    <col min="6152" max="6401" width="11.42578125" style="1"/>
    <col min="6402" max="6402" width="2.7109375" style="1" customWidth="1"/>
    <col min="6403" max="6403" width="176.7109375" style="1" customWidth="1"/>
    <col min="6404" max="6404" width="11.42578125" style="1"/>
    <col min="6405" max="6405" width="176.7109375" style="1" customWidth="1"/>
    <col min="6406" max="6406" width="11.42578125" style="1"/>
    <col min="6407" max="6407" width="88.7109375" style="1" customWidth="1"/>
    <col min="6408" max="6657" width="11.42578125" style="1"/>
    <col min="6658" max="6658" width="2.7109375" style="1" customWidth="1"/>
    <col min="6659" max="6659" width="176.7109375" style="1" customWidth="1"/>
    <col min="6660" max="6660" width="11.42578125" style="1"/>
    <col min="6661" max="6661" width="176.7109375" style="1" customWidth="1"/>
    <col min="6662" max="6662" width="11.42578125" style="1"/>
    <col min="6663" max="6663" width="88.7109375" style="1" customWidth="1"/>
    <col min="6664" max="6913" width="11.42578125" style="1"/>
    <col min="6914" max="6914" width="2.7109375" style="1" customWidth="1"/>
    <col min="6915" max="6915" width="176.7109375" style="1" customWidth="1"/>
    <col min="6916" max="6916" width="11.42578125" style="1"/>
    <col min="6917" max="6917" width="176.7109375" style="1" customWidth="1"/>
    <col min="6918" max="6918" width="11.42578125" style="1"/>
    <col min="6919" max="6919" width="88.7109375" style="1" customWidth="1"/>
    <col min="6920" max="7169" width="11.42578125" style="1"/>
    <col min="7170" max="7170" width="2.7109375" style="1" customWidth="1"/>
    <col min="7171" max="7171" width="176.7109375" style="1" customWidth="1"/>
    <col min="7172" max="7172" width="11.42578125" style="1"/>
    <col min="7173" max="7173" width="176.7109375" style="1" customWidth="1"/>
    <col min="7174" max="7174" width="11.42578125" style="1"/>
    <col min="7175" max="7175" width="88.7109375" style="1" customWidth="1"/>
    <col min="7176" max="7425" width="11.42578125" style="1"/>
    <col min="7426" max="7426" width="2.7109375" style="1" customWidth="1"/>
    <col min="7427" max="7427" width="176.7109375" style="1" customWidth="1"/>
    <col min="7428" max="7428" width="11.42578125" style="1"/>
    <col min="7429" max="7429" width="176.7109375" style="1" customWidth="1"/>
    <col min="7430" max="7430" width="11.42578125" style="1"/>
    <col min="7431" max="7431" width="88.7109375" style="1" customWidth="1"/>
    <col min="7432" max="7681" width="11.42578125" style="1"/>
    <col min="7682" max="7682" width="2.7109375" style="1" customWidth="1"/>
    <col min="7683" max="7683" width="176.7109375" style="1" customWidth="1"/>
    <col min="7684" max="7684" width="11.42578125" style="1"/>
    <col min="7685" max="7685" width="176.7109375" style="1" customWidth="1"/>
    <col min="7686" max="7686" width="11.42578125" style="1"/>
    <col min="7687" max="7687" width="88.7109375" style="1" customWidth="1"/>
    <col min="7688" max="7937" width="11.42578125" style="1"/>
    <col min="7938" max="7938" width="2.7109375" style="1" customWidth="1"/>
    <col min="7939" max="7939" width="176.7109375" style="1" customWidth="1"/>
    <col min="7940" max="7940" width="11.42578125" style="1"/>
    <col min="7941" max="7941" width="176.7109375" style="1" customWidth="1"/>
    <col min="7942" max="7942" width="11.42578125" style="1"/>
    <col min="7943" max="7943" width="88.7109375" style="1" customWidth="1"/>
    <col min="7944" max="8193" width="11.42578125" style="1"/>
    <col min="8194" max="8194" width="2.7109375" style="1" customWidth="1"/>
    <col min="8195" max="8195" width="176.7109375" style="1" customWidth="1"/>
    <col min="8196" max="8196" width="11.42578125" style="1"/>
    <col min="8197" max="8197" width="176.7109375" style="1" customWidth="1"/>
    <col min="8198" max="8198" width="11.42578125" style="1"/>
    <col min="8199" max="8199" width="88.7109375" style="1" customWidth="1"/>
    <col min="8200" max="8449" width="11.42578125" style="1"/>
    <col min="8450" max="8450" width="2.7109375" style="1" customWidth="1"/>
    <col min="8451" max="8451" width="176.7109375" style="1" customWidth="1"/>
    <col min="8452" max="8452" width="11.42578125" style="1"/>
    <col min="8453" max="8453" width="176.7109375" style="1" customWidth="1"/>
    <col min="8454" max="8454" width="11.42578125" style="1"/>
    <col min="8455" max="8455" width="88.7109375" style="1" customWidth="1"/>
    <col min="8456" max="8705" width="11.42578125" style="1"/>
    <col min="8706" max="8706" width="2.7109375" style="1" customWidth="1"/>
    <col min="8707" max="8707" width="176.7109375" style="1" customWidth="1"/>
    <col min="8708" max="8708" width="11.42578125" style="1"/>
    <col min="8709" max="8709" width="176.7109375" style="1" customWidth="1"/>
    <col min="8710" max="8710" width="11.42578125" style="1"/>
    <col min="8711" max="8711" width="88.7109375" style="1" customWidth="1"/>
    <col min="8712" max="8961" width="11.42578125" style="1"/>
    <col min="8962" max="8962" width="2.7109375" style="1" customWidth="1"/>
    <col min="8963" max="8963" width="176.7109375" style="1" customWidth="1"/>
    <col min="8964" max="8964" width="11.42578125" style="1"/>
    <col min="8965" max="8965" width="176.7109375" style="1" customWidth="1"/>
    <col min="8966" max="8966" width="11.42578125" style="1"/>
    <col min="8967" max="8967" width="88.7109375" style="1" customWidth="1"/>
    <col min="8968" max="9217" width="11.42578125" style="1"/>
    <col min="9218" max="9218" width="2.7109375" style="1" customWidth="1"/>
    <col min="9219" max="9219" width="176.7109375" style="1" customWidth="1"/>
    <col min="9220" max="9220" width="11.42578125" style="1"/>
    <col min="9221" max="9221" width="176.7109375" style="1" customWidth="1"/>
    <col min="9222" max="9222" width="11.42578125" style="1"/>
    <col min="9223" max="9223" width="88.7109375" style="1" customWidth="1"/>
    <col min="9224" max="9473" width="11.42578125" style="1"/>
    <col min="9474" max="9474" width="2.7109375" style="1" customWidth="1"/>
    <col min="9475" max="9475" width="176.7109375" style="1" customWidth="1"/>
    <col min="9476" max="9476" width="11.42578125" style="1"/>
    <col min="9477" max="9477" width="176.7109375" style="1" customWidth="1"/>
    <col min="9478" max="9478" width="11.42578125" style="1"/>
    <col min="9479" max="9479" width="88.7109375" style="1" customWidth="1"/>
    <col min="9480" max="9729" width="11.42578125" style="1"/>
    <col min="9730" max="9730" width="2.7109375" style="1" customWidth="1"/>
    <col min="9731" max="9731" width="176.7109375" style="1" customWidth="1"/>
    <col min="9732" max="9732" width="11.42578125" style="1"/>
    <col min="9733" max="9733" width="176.7109375" style="1" customWidth="1"/>
    <col min="9734" max="9734" width="11.42578125" style="1"/>
    <col min="9735" max="9735" width="88.7109375" style="1" customWidth="1"/>
    <col min="9736" max="9985" width="11.42578125" style="1"/>
    <col min="9986" max="9986" width="2.7109375" style="1" customWidth="1"/>
    <col min="9987" max="9987" width="176.7109375" style="1" customWidth="1"/>
    <col min="9988" max="9988" width="11.42578125" style="1"/>
    <col min="9989" max="9989" width="176.7109375" style="1" customWidth="1"/>
    <col min="9990" max="9990" width="11.42578125" style="1"/>
    <col min="9991" max="9991" width="88.7109375" style="1" customWidth="1"/>
    <col min="9992" max="10241" width="11.42578125" style="1"/>
    <col min="10242" max="10242" width="2.7109375" style="1" customWidth="1"/>
    <col min="10243" max="10243" width="176.7109375" style="1" customWidth="1"/>
    <col min="10244" max="10244" width="11.42578125" style="1"/>
    <col min="10245" max="10245" width="176.7109375" style="1" customWidth="1"/>
    <col min="10246" max="10246" width="11.42578125" style="1"/>
    <col min="10247" max="10247" width="88.7109375" style="1" customWidth="1"/>
    <col min="10248" max="10497" width="11.42578125" style="1"/>
    <col min="10498" max="10498" width="2.7109375" style="1" customWidth="1"/>
    <col min="10499" max="10499" width="176.7109375" style="1" customWidth="1"/>
    <col min="10500" max="10500" width="11.42578125" style="1"/>
    <col min="10501" max="10501" width="176.7109375" style="1" customWidth="1"/>
    <col min="10502" max="10502" width="11.42578125" style="1"/>
    <col min="10503" max="10503" width="88.7109375" style="1" customWidth="1"/>
    <col min="10504" max="10753" width="11.42578125" style="1"/>
    <col min="10754" max="10754" width="2.7109375" style="1" customWidth="1"/>
    <col min="10755" max="10755" width="176.7109375" style="1" customWidth="1"/>
    <col min="10756" max="10756" width="11.42578125" style="1"/>
    <col min="10757" max="10757" width="176.7109375" style="1" customWidth="1"/>
    <col min="10758" max="10758" width="11.42578125" style="1"/>
    <col min="10759" max="10759" width="88.7109375" style="1" customWidth="1"/>
    <col min="10760" max="11009" width="11.42578125" style="1"/>
    <col min="11010" max="11010" width="2.7109375" style="1" customWidth="1"/>
    <col min="11011" max="11011" width="176.7109375" style="1" customWidth="1"/>
    <col min="11012" max="11012" width="11.42578125" style="1"/>
    <col min="11013" max="11013" width="176.7109375" style="1" customWidth="1"/>
    <col min="11014" max="11014" width="11.42578125" style="1"/>
    <col min="11015" max="11015" width="88.7109375" style="1" customWidth="1"/>
    <col min="11016" max="11265" width="11.42578125" style="1"/>
    <col min="11266" max="11266" width="2.7109375" style="1" customWidth="1"/>
    <col min="11267" max="11267" width="176.7109375" style="1" customWidth="1"/>
    <col min="11268" max="11268" width="11.42578125" style="1"/>
    <col min="11269" max="11269" width="176.7109375" style="1" customWidth="1"/>
    <col min="11270" max="11270" width="11.42578125" style="1"/>
    <col min="11271" max="11271" width="88.7109375" style="1" customWidth="1"/>
    <col min="11272" max="11521" width="11.42578125" style="1"/>
    <col min="11522" max="11522" width="2.7109375" style="1" customWidth="1"/>
    <col min="11523" max="11523" width="176.7109375" style="1" customWidth="1"/>
    <col min="11524" max="11524" width="11.42578125" style="1"/>
    <col min="11525" max="11525" width="176.7109375" style="1" customWidth="1"/>
    <col min="11526" max="11526" width="11.42578125" style="1"/>
    <col min="11527" max="11527" width="88.7109375" style="1" customWidth="1"/>
    <col min="11528" max="11777" width="11.42578125" style="1"/>
    <col min="11778" max="11778" width="2.7109375" style="1" customWidth="1"/>
    <col min="11779" max="11779" width="176.7109375" style="1" customWidth="1"/>
    <col min="11780" max="11780" width="11.42578125" style="1"/>
    <col min="11781" max="11781" width="176.7109375" style="1" customWidth="1"/>
    <col min="11782" max="11782" width="11.42578125" style="1"/>
    <col min="11783" max="11783" width="88.7109375" style="1" customWidth="1"/>
    <col min="11784" max="12033" width="11.42578125" style="1"/>
    <col min="12034" max="12034" width="2.7109375" style="1" customWidth="1"/>
    <col min="12035" max="12035" width="176.7109375" style="1" customWidth="1"/>
    <col min="12036" max="12036" width="11.42578125" style="1"/>
    <col min="12037" max="12037" width="176.7109375" style="1" customWidth="1"/>
    <col min="12038" max="12038" width="11.42578125" style="1"/>
    <col min="12039" max="12039" width="88.7109375" style="1" customWidth="1"/>
    <col min="12040" max="12289" width="11.42578125" style="1"/>
    <col min="12290" max="12290" width="2.7109375" style="1" customWidth="1"/>
    <col min="12291" max="12291" width="176.7109375" style="1" customWidth="1"/>
    <col min="12292" max="12292" width="11.42578125" style="1"/>
    <col min="12293" max="12293" width="176.7109375" style="1" customWidth="1"/>
    <col min="12294" max="12294" width="11.42578125" style="1"/>
    <col min="12295" max="12295" width="88.7109375" style="1" customWidth="1"/>
    <col min="12296" max="12545" width="11.42578125" style="1"/>
    <col min="12546" max="12546" width="2.7109375" style="1" customWidth="1"/>
    <col min="12547" max="12547" width="176.7109375" style="1" customWidth="1"/>
    <col min="12548" max="12548" width="11.42578125" style="1"/>
    <col min="12549" max="12549" width="176.7109375" style="1" customWidth="1"/>
    <col min="12550" max="12550" width="11.42578125" style="1"/>
    <col min="12551" max="12551" width="88.7109375" style="1" customWidth="1"/>
    <col min="12552" max="12801" width="11.42578125" style="1"/>
    <col min="12802" max="12802" width="2.7109375" style="1" customWidth="1"/>
    <col min="12803" max="12803" width="176.7109375" style="1" customWidth="1"/>
    <col min="12804" max="12804" width="11.42578125" style="1"/>
    <col min="12805" max="12805" width="176.7109375" style="1" customWidth="1"/>
    <col min="12806" max="12806" width="11.42578125" style="1"/>
    <col min="12807" max="12807" width="88.7109375" style="1" customWidth="1"/>
    <col min="12808" max="13057" width="11.42578125" style="1"/>
    <col min="13058" max="13058" width="2.7109375" style="1" customWidth="1"/>
    <col min="13059" max="13059" width="176.7109375" style="1" customWidth="1"/>
    <col min="13060" max="13060" width="11.42578125" style="1"/>
    <col min="13061" max="13061" width="176.7109375" style="1" customWidth="1"/>
    <col min="13062" max="13062" width="11.42578125" style="1"/>
    <col min="13063" max="13063" width="88.7109375" style="1" customWidth="1"/>
    <col min="13064" max="13313" width="11.42578125" style="1"/>
    <col min="13314" max="13314" width="2.7109375" style="1" customWidth="1"/>
    <col min="13315" max="13315" width="176.7109375" style="1" customWidth="1"/>
    <col min="13316" max="13316" width="11.42578125" style="1"/>
    <col min="13317" max="13317" width="176.7109375" style="1" customWidth="1"/>
    <col min="13318" max="13318" width="11.42578125" style="1"/>
    <col min="13319" max="13319" width="88.7109375" style="1" customWidth="1"/>
    <col min="13320" max="13569" width="11.42578125" style="1"/>
    <col min="13570" max="13570" width="2.7109375" style="1" customWidth="1"/>
    <col min="13571" max="13571" width="176.7109375" style="1" customWidth="1"/>
    <col min="13572" max="13572" width="11.42578125" style="1"/>
    <col min="13573" max="13573" width="176.7109375" style="1" customWidth="1"/>
    <col min="13574" max="13574" width="11.42578125" style="1"/>
    <col min="13575" max="13575" width="88.7109375" style="1" customWidth="1"/>
    <col min="13576" max="13825" width="11.42578125" style="1"/>
    <col min="13826" max="13826" width="2.7109375" style="1" customWidth="1"/>
    <col min="13827" max="13827" width="176.7109375" style="1" customWidth="1"/>
    <col min="13828" max="13828" width="11.42578125" style="1"/>
    <col min="13829" max="13829" width="176.7109375" style="1" customWidth="1"/>
    <col min="13830" max="13830" width="11.42578125" style="1"/>
    <col min="13831" max="13831" width="88.7109375" style="1" customWidth="1"/>
    <col min="13832" max="14081" width="11.42578125" style="1"/>
    <col min="14082" max="14082" width="2.7109375" style="1" customWidth="1"/>
    <col min="14083" max="14083" width="176.7109375" style="1" customWidth="1"/>
    <col min="14084" max="14084" width="11.42578125" style="1"/>
    <col min="14085" max="14085" width="176.7109375" style="1" customWidth="1"/>
    <col min="14086" max="14086" width="11.42578125" style="1"/>
    <col min="14087" max="14087" width="88.7109375" style="1" customWidth="1"/>
    <col min="14088" max="14337" width="11.42578125" style="1"/>
    <col min="14338" max="14338" width="2.7109375" style="1" customWidth="1"/>
    <col min="14339" max="14339" width="176.7109375" style="1" customWidth="1"/>
    <col min="14340" max="14340" width="11.42578125" style="1"/>
    <col min="14341" max="14341" width="176.7109375" style="1" customWidth="1"/>
    <col min="14342" max="14342" width="11.42578125" style="1"/>
    <col min="14343" max="14343" width="88.7109375" style="1" customWidth="1"/>
    <col min="14344" max="14593" width="11.42578125" style="1"/>
    <col min="14594" max="14594" width="2.7109375" style="1" customWidth="1"/>
    <col min="14595" max="14595" width="176.7109375" style="1" customWidth="1"/>
    <col min="14596" max="14596" width="11.42578125" style="1"/>
    <col min="14597" max="14597" width="176.7109375" style="1" customWidth="1"/>
    <col min="14598" max="14598" width="11.42578125" style="1"/>
    <col min="14599" max="14599" width="88.7109375" style="1" customWidth="1"/>
    <col min="14600" max="14849" width="11.42578125" style="1"/>
    <col min="14850" max="14850" width="2.7109375" style="1" customWidth="1"/>
    <col min="14851" max="14851" width="176.7109375" style="1" customWidth="1"/>
    <col min="14852" max="14852" width="11.42578125" style="1"/>
    <col min="14853" max="14853" width="176.7109375" style="1" customWidth="1"/>
    <col min="14854" max="14854" width="11.42578125" style="1"/>
    <col min="14855" max="14855" width="88.7109375" style="1" customWidth="1"/>
    <col min="14856" max="15105" width="11.42578125" style="1"/>
    <col min="15106" max="15106" width="2.7109375" style="1" customWidth="1"/>
    <col min="15107" max="15107" width="176.7109375" style="1" customWidth="1"/>
    <col min="15108" max="15108" width="11.42578125" style="1"/>
    <col min="15109" max="15109" width="176.7109375" style="1" customWidth="1"/>
    <col min="15110" max="15110" width="11.42578125" style="1"/>
    <col min="15111" max="15111" width="88.7109375" style="1" customWidth="1"/>
    <col min="15112" max="15361" width="11.42578125" style="1"/>
    <col min="15362" max="15362" width="2.7109375" style="1" customWidth="1"/>
    <col min="15363" max="15363" width="176.7109375" style="1" customWidth="1"/>
    <col min="15364" max="15364" width="11.42578125" style="1"/>
    <col min="15365" max="15365" width="176.7109375" style="1" customWidth="1"/>
    <col min="15366" max="15366" width="11.42578125" style="1"/>
    <col min="15367" max="15367" width="88.7109375" style="1" customWidth="1"/>
    <col min="15368" max="15617" width="11.42578125" style="1"/>
    <col min="15618" max="15618" width="2.7109375" style="1" customWidth="1"/>
    <col min="15619" max="15619" width="176.7109375" style="1" customWidth="1"/>
    <col min="15620" max="15620" width="11.42578125" style="1"/>
    <col min="15621" max="15621" width="176.7109375" style="1" customWidth="1"/>
    <col min="15622" max="15622" width="11.42578125" style="1"/>
    <col min="15623" max="15623" width="88.7109375" style="1" customWidth="1"/>
    <col min="15624" max="15873" width="11.42578125" style="1"/>
    <col min="15874" max="15874" width="2.7109375" style="1" customWidth="1"/>
    <col min="15875" max="15875" width="176.7109375" style="1" customWidth="1"/>
    <col min="15876" max="15876" width="11.42578125" style="1"/>
    <col min="15877" max="15877" width="176.7109375" style="1" customWidth="1"/>
    <col min="15878" max="15878" width="11.42578125" style="1"/>
    <col min="15879" max="15879" width="88.7109375" style="1" customWidth="1"/>
    <col min="15880" max="16129" width="11.42578125" style="1"/>
    <col min="16130" max="16130" width="2.7109375" style="1" customWidth="1"/>
    <col min="16131" max="16131" width="176.7109375" style="1" customWidth="1"/>
    <col min="16132" max="16132" width="11.42578125" style="1"/>
    <col min="16133" max="16133" width="176.7109375" style="1" customWidth="1"/>
    <col min="16134" max="16134" width="11.42578125" style="1"/>
    <col min="16135" max="16135" width="88.7109375" style="1" customWidth="1"/>
    <col min="16136" max="16384" width="11.42578125" style="1"/>
  </cols>
  <sheetData>
    <row r="2" spans="1:17" x14ac:dyDescent="0.2">
      <c r="C2" s="321"/>
      <c r="D2" s="321"/>
      <c r="E2" s="321"/>
    </row>
    <row r="3" spans="1:17" x14ac:dyDescent="0.2">
      <c r="A3" s="41" t="s">
        <v>51</v>
      </c>
    </row>
    <row r="4" spans="1:17" x14ac:dyDescent="0.2">
      <c r="C4" s="321"/>
      <c r="D4" s="321"/>
      <c r="E4" s="321"/>
      <c r="F4" s="321"/>
      <c r="G4" s="321"/>
      <c r="H4" s="321"/>
      <c r="I4" s="321"/>
      <c r="J4" s="321"/>
      <c r="K4" s="321"/>
    </row>
    <row r="6" spans="1:17" ht="15.75" x14ac:dyDescent="0.25">
      <c r="C6" s="328" t="s">
        <v>16</v>
      </c>
      <c r="D6" s="3"/>
      <c r="E6" s="328"/>
    </row>
    <row r="7" spans="1:17" ht="18.75" customHeight="1" x14ac:dyDescent="0.2">
      <c r="C7" s="3"/>
      <c r="D7" s="3"/>
      <c r="E7" s="48"/>
    </row>
    <row r="8" spans="1:17" ht="15.75" x14ac:dyDescent="0.25">
      <c r="B8" s="322">
        <v>1</v>
      </c>
      <c r="C8" s="323" t="s">
        <v>338</v>
      </c>
      <c r="E8" s="332"/>
    </row>
    <row r="9" spans="1:17" ht="31.5" x14ac:dyDescent="0.2">
      <c r="B9" s="322">
        <v>2</v>
      </c>
      <c r="C9" s="325" t="s">
        <v>272</v>
      </c>
      <c r="E9" s="8"/>
      <c r="Q9" s="3"/>
    </row>
    <row r="10" spans="1:17" ht="47.25" x14ac:dyDescent="0.2">
      <c r="B10" s="322">
        <v>3</v>
      </c>
      <c r="C10" s="323" t="s">
        <v>273</v>
      </c>
      <c r="E10" s="8"/>
    </row>
    <row r="11" spans="1:17" ht="47.25" x14ac:dyDescent="0.2">
      <c r="B11" s="322">
        <v>4</v>
      </c>
      <c r="C11" s="325" t="s">
        <v>274</v>
      </c>
      <c r="E11" s="8"/>
    </row>
    <row r="12" spans="1:17" ht="31.5" x14ac:dyDescent="0.2">
      <c r="B12" s="322">
        <v>5</v>
      </c>
      <c r="C12" s="323" t="s">
        <v>21</v>
      </c>
      <c r="E12" s="3"/>
    </row>
    <row r="13" spans="1:17" ht="15.75" x14ac:dyDescent="0.2">
      <c r="B13" s="322">
        <v>6</v>
      </c>
      <c r="C13" s="323" t="s">
        <v>339</v>
      </c>
      <c r="E13" s="3"/>
    </row>
    <row r="14" spans="1:17" ht="15.75" x14ac:dyDescent="0.2">
      <c r="B14" s="322">
        <v>7</v>
      </c>
      <c r="C14" s="323" t="s">
        <v>17</v>
      </c>
    </row>
    <row r="15" spans="1:17" ht="18.75" customHeight="1" x14ac:dyDescent="0.2">
      <c r="B15" s="322">
        <v>8</v>
      </c>
      <c r="C15" s="323" t="s">
        <v>18</v>
      </c>
    </row>
    <row r="16" spans="1:17" ht="18.75" customHeight="1" x14ac:dyDescent="0.2">
      <c r="B16" s="322">
        <v>9</v>
      </c>
      <c r="C16" s="323" t="s">
        <v>22</v>
      </c>
    </row>
    <row r="17" spans="2:9" ht="63" x14ac:dyDescent="0.25">
      <c r="B17" s="322">
        <v>10</v>
      </c>
      <c r="C17" s="323" t="s">
        <v>348</v>
      </c>
      <c r="E17" s="328"/>
    </row>
    <row r="18" spans="2:9" ht="15.75" x14ac:dyDescent="0.2">
      <c r="B18" s="322">
        <v>11</v>
      </c>
      <c r="C18" s="323" t="s">
        <v>19</v>
      </c>
      <c r="E18" s="8"/>
    </row>
    <row r="19" spans="2:9" ht="15.75" x14ac:dyDescent="0.2">
      <c r="B19" s="322">
        <v>12</v>
      </c>
      <c r="C19" s="323" t="s">
        <v>276</v>
      </c>
      <c r="E19" s="8"/>
    </row>
    <row r="20" spans="2:9" ht="15.75" x14ac:dyDescent="0.2">
      <c r="B20" s="322">
        <v>13</v>
      </c>
      <c r="C20" s="323" t="s">
        <v>20</v>
      </c>
      <c r="E20" s="3"/>
    </row>
    <row r="21" spans="2:9" ht="47.25" x14ac:dyDescent="0.2">
      <c r="B21" s="322">
        <v>14</v>
      </c>
      <c r="C21" s="323" t="s">
        <v>277</v>
      </c>
      <c r="E21" s="333"/>
    </row>
    <row r="22" spans="2:9" ht="31.5" x14ac:dyDescent="0.2">
      <c r="B22" s="322">
        <v>15</v>
      </c>
      <c r="C22" s="325" t="s">
        <v>327</v>
      </c>
      <c r="E22" s="3"/>
    </row>
    <row r="23" spans="2:9" ht="15.75" x14ac:dyDescent="0.25">
      <c r="B23" s="322">
        <v>16</v>
      </c>
      <c r="C23" s="327" t="s">
        <v>275</v>
      </c>
      <c r="D23" s="326"/>
      <c r="E23" s="321"/>
      <c r="F23" s="326"/>
      <c r="G23" s="2"/>
      <c r="H23" s="2"/>
      <c r="I23" s="2"/>
    </row>
    <row r="24" spans="2:9" ht="18.75" customHeight="1" x14ac:dyDescent="0.25">
      <c r="B24" s="324">
        <v>17</v>
      </c>
      <c r="C24" s="327" t="s">
        <v>278</v>
      </c>
    </row>
    <row r="25" spans="2:9" ht="18.75" customHeight="1" x14ac:dyDescent="0.2">
      <c r="B25" s="572">
        <v>18</v>
      </c>
      <c r="C25" s="755" t="s">
        <v>407</v>
      </c>
    </row>
    <row r="26" spans="2:9" ht="18.75" customHeight="1" x14ac:dyDescent="0.25">
      <c r="B26" s="573"/>
      <c r="C26" s="755"/>
    </row>
    <row r="27" spans="2:9" ht="18.75" customHeight="1" x14ac:dyDescent="0.2">
      <c r="C27" s="330"/>
    </row>
    <row r="28" spans="2:9" ht="18.75" customHeight="1" x14ac:dyDescent="0.2">
      <c r="C28" s="330"/>
    </row>
    <row r="29" spans="2:9" ht="18.75" customHeight="1" x14ac:dyDescent="0.2">
      <c r="C29" s="330"/>
    </row>
    <row r="31" spans="2:9" ht="18.75" customHeight="1" x14ac:dyDescent="0.2"/>
    <row r="32" spans="2:9" ht="18.75" customHeight="1" x14ac:dyDescent="0.2"/>
    <row r="33" spans="1:14" ht="18.75" customHeight="1" x14ac:dyDescent="0.2"/>
    <row r="34" spans="1:14" ht="18.75" customHeight="1" x14ac:dyDescent="0.2"/>
    <row r="35" spans="1:14" ht="18.75" customHeight="1" x14ac:dyDescent="0.2"/>
    <row r="36" spans="1:14" ht="18.75" customHeight="1" x14ac:dyDescent="0.2"/>
    <row r="37" spans="1:14" ht="18.75" customHeight="1" x14ac:dyDescent="0.2">
      <c r="D37" s="3"/>
      <c r="E37" s="3"/>
      <c r="F37" s="3"/>
      <c r="G37" s="3"/>
      <c r="H37" s="3"/>
      <c r="I37" s="3"/>
      <c r="J37" s="3"/>
      <c r="K37" s="3"/>
      <c r="L37" s="3"/>
      <c r="M37" s="3"/>
      <c r="N37" s="3"/>
    </row>
    <row r="38" spans="1:14" ht="18.75" customHeight="1" x14ac:dyDescent="0.2">
      <c r="D38" s="3"/>
      <c r="E38" s="3"/>
      <c r="F38" s="3"/>
      <c r="G38" s="3"/>
      <c r="H38" s="3"/>
      <c r="I38" s="3"/>
      <c r="J38" s="3"/>
      <c r="K38" s="3"/>
      <c r="L38" s="3"/>
      <c r="M38" s="3"/>
      <c r="N38" s="3"/>
    </row>
    <row r="39" spans="1:14" ht="18.75" customHeight="1" x14ac:dyDescent="0.2">
      <c r="A39" s="4"/>
      <c r="D39" s="3"/>
      <c r="E39" s="3"/>
      <c r="F39" s="3"/>
      <c r="G39" s="3"/>
      <c r="H39" s="3"/>
      <c r="I39" s="3"/>
      <c r="J39" s="3"/>
      <c r="K39" s="3"/>
      <c r="L39" s="3"/>
      <c r="M39" s="3"/>
      <c r="N39" s="3"/>
    </row>
    <row r="40" spans="1:14" ht="18.75" customHeight="1" x14ac:dyDescent="0.2">
      <c r="A40" s="4"/>
      <c r="B40" s="8"/>
      <c r="D40" s="3"/>
      <c r="E40" s="3"/>
      <c r="F40" s="3"/>
      <c r="G40" s="3"/>
      <c r="H40" s="3"/>
      <c r="I40" s="3"/>
      <c r="J40" s="3"/>
      <c r="K40" s="3"/>
      <c r="L40" s="3"/>
      <c r="M40" s="3"/>
      <c r="N40" s="3"/>
    </row>
    <row r="41" spans="1:14" ht="18.75" customHeight="1" x14ac:dyDescent="0.2">
      <c r="A41" s="4"/>
      <c r="B41" s="8"/>
      <c r="D41" s="3"/>
      <c r="E41" s="3"/>
      <c r="F41" s="3"/>
      <c r="G41" s="3"/>
      <c r="H41" s="3"/>
      <c r="I41" s="3"/>
      <c r="J41" s="3"/>
      <c r="K41" s="3"/>
      <c r="L41" s="3"/>
      <c r="M41" s="3"/>
      <c r="N41" s="3"/>
    </row>
    <row r="42" spans="1:14" ht="18.75" customHeight="1" x14ac:dyDescent="0.2">
      <c r="A42" s="4"/>
      <c r="B42" s="8"/>
      <c r="C42" s="4"/>
      <c r="D42" s="3"/>
      <c r="E42" s="3"/>
      <c r="F42" s="3"/>
      <c r="G42" s="3"/>
      <c r="H42" s="3"/>
      <c r="I42" s="3"/>
      <c r="J42" s="3"/>
      <c r="K42" s="3"/>
      <c r="L42" s="3"/>
      <c r="M42" s="3"/>
      <c r="N42" s="3"/>
    </row>
    <row r="43" spans="1:14" ht="18.75" customHeight="1" x14ac:dyDescent="0.2">
      <c r="A43" s="4"/>
      <c r="B43" s="331"/>
      <c r="D43" s="3"/>
      <c r="E43" s="3"/>
      <c r="F43" s="3"/>
      <c r="G43" s="3"/>
      <c r="H43" s="3"/>
      <c r="I43" s="3"/>
      <c r="J43" s="3"/>
      <c r="K43" s="3"/>
      <c r="L43" s="3"/>
      <c r="M43" s="3"/>
      <c r="N43" s="3"/>
    </row>
    <row r="44" spans="1:14" ht="18.75" customHeight="1" x14ac:dyDescent="0.2">
      <c r="B44" s="8"/>
      <c r="D44" s="3"/>
      <c r="E44" s="3"/>
      <c r="F44" s="3"/>
      <c r="G44" s="3"/>
      <c r="H44" s="3"/>
      <c r="I44" s="3"/>
      <c r="J44" s="3"/>
      <c r="K44" s="3"/>
      <c r="L44" s="3"/>
      <c r="M44" s="3"/>
      <c r="N44" s="3"/>
    </row>
    <row r="45" spans="1:14" ht="18.75" customHeight="1" x14ac:dyDescent="0.2">
      <c r="B45" s="8"/>
      <c r="D45" s="3"/>
      <c r="E45" s="3"/>
      <c r="F45" s="3"/>
      <c r="G45" s="3"/>
      <c r="H45" s="3"/>
      <c r="I45" s="3"/>
      <c r="J45" s="3"/>
      <c r="K45" s="3"/>
      <c r="L45" s="3"/>
      <c r="M45" s="3"/>
      <c r="N45" s="3"/>
    </row>
    <row r="46" spans="1:14" ht="18.75" customHeight="1" x14ac:dyDescent="0.2">
      <c r="D46" s="3"/>
      <c r="E46" s="3"/>
      <c r="F46" s="3"/>
      <c r="G46" s="3"/>
      <c r="H46" s="3"/>
      <c r="I46" s="3"/>
      <c r="J46" s="3"/>
      <c r="K46" s="3"/>
      <c r="L46" s="3"/>
      <c r="M46" s="3"/>
      <c r="N46" s="3"/>
    </row>
    <row r="47" spans="1:14" ht="18.75" customHeight="1" x14ac:dyDescent="0.2">
      <c r="D47" s="3"/>
      <c r="E47" s="3"/>
      <c r="F47" s="3"/>
      <c r="G47" s="3"/>
      <c r="H47" s="3"/>
      <c r="I47" s="3"/>
      <c r="J47" s="3"/>
      <c r="K47" s="3"/>
      <c r="L47" s="3"/>
      <c r="M47" s="3"/>
      <c r="N47" s="3"/>
    </row>
    <row r="48" spans="1:14" ht="18.75" customHeight="1" x14ac:dyDescent="0.2">
      <c r="D48" s="3"/>
      <c r="E48" s="3"/>
      <c r="F48" s="3"/>
      <c r="G48" s="3"/>
      <c r="H48" s="3"/>
      <c r="I48" s="3"/>
      <c r="J48" s="3"/>
      <c r="K48" s="3"/>
      <c r="L48" s="3"/>
      <c r="M48" s="3"/>
      <c r="N48" s="3"/>
    </row>
    <row r="49" spans="4:14" ht="18.75" customHeight="1" x14ac:dyDescent="0.2">
      <c r="D49" s="3"/>
      <c r="E49" s="3"/>
      <c r="F49" s="3"/>
      <c r="G49" s="3"/>
      <c r="H49" s="3"/>
      <c r="I49" s="3"/>
      <c r="J49" s="3"/>
      <c r="K49" s="3"/>
      <c r="L49" s="3"/>
      <c r="M49" s="3"/>
      <c r="N49" s="3"/>
    </row>
    <row r="50" spans="4:14" ht="18.75" customHeight="1" x14ac:dyDescent="0.2">
      <c r="D50" s="321"/>
      <c r="E50" s="321"/>
      <c r="F50" s="321"/>
      <c r="G50" s="321"/>
      <c r="H50" s="321"/>
      <c r="I50" s="321"/>
      <c r="J50" s="321"/>
      <c r="K50" s="321"/>
      <c r="L50" s="321"/>
      <c r="M50" s="321"/>
      <c r="N50" s="321"/>
    </row>
    <row r="51" spans="4:14" ht="18.75" customHeight="1" x14ac:dyDescent="0.2"/>
    <row r="52" spans="4:14" ht="18.75" customHeight="1" x14ac:dyDescent="0.2"/>
    <row r="53" spans="4:14" ht="18.75" customHeight="1" x14ac:dyDescent="0.2"/>
    <row r="54" spans="4:14" ht="18.75" customHeight="1" x14ac:dyDescent="0.2"/>
    <row r="55" spans="4:14" ht="18.75" customHeight="1" x14ac:dyDescent="0.2"/>
    <row r="56" spans="4:14" ht="18.75" customHeight="1" x14ac:dyDescent="0.2"/>
    <row r="57" spans="4:14" ht="18.75" customHeight="1" x14ac:dyDescent="0.2"/>
    <row r="58" spans="4:14" ht="18.75" customHeight="1" x14ac:dyDescent="0.2"/>
    <row r="59" spans="4:14" ht="18.75" customHeight="1" x14ac:dyDescent="0.2"/>
    <row r="60" spans="4:14" ht="18.75" customHeight="1" x14ac:dyDescent="0.2"/>
    <row r="61" spans="4:14" ht="18.75" customHeight="1" x14ac:dyDescent="0.2"/>
    <row r="62" spans="4:14" ht="18.75" customHeight="1" x14ac:dyDescent="0.2"/>
    <row r="63" spans="4:14" ht="18.75" customHeight="1" x14ac:dyDescent="0.2"/>
    <row r="64" spans="4:14" ht="18.75" customHeight="1" x14ac:dyDescent="0.2"/>
    <row r="65" ht="18.75" customHeight="1" x14ac:dyDescent="0.2"/>
  </sheetData>
  <sortState xmlns:xlrd2="http://schemas.microsoft.com/office/spreadsheetml/2017/richdata2" ref="B5:E41">
    <sortCondition ref="B5:B41"/>
  </sortState>
  <mergeCells count="1">
    <mergeCell ref="C25:C26"/>
  </mergeCells>
  <pageMargins left="0.78740157480314965" right="0.78740157480314965" top="0.98425196850393704" bottom="0.98425196850393704" header="0.51181102362204722" footer="0.51181102362204722"/>
  <pageSetup paperSize="9" scale="65" fitToWidth="3" orientation="portrait" r:id="rId1"/>
  <headerFooter alignWithMargins="0"/>
  <colBreaks count="2" manualBreakCount="2">
    <brk id="1" max="42" man="1"/>
    <brk id="3" min="4" max="5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IF115"/>
  <sheetViews>
    <sheetView showGridLines="0" showZeros="0" zoomScale="70" zoomScaleNormal="70" workbookViewId="0">
      <pane xSplit="1" ySplit="7" topLeftCell="B23" activePane="bottomRight" state="frozen"/>
      <selection pane="topRight" activeCell="B1" sqref="B1"/>
      <selection pane="bottomLeft" activeCell="A8" sqref="A8"/>
      <selection pane="bottomRight" activeCell="A5" sqref="A5"/>
    </sheetView>
  </sheetViews>
  <sheetFormatPr baseColWidth="10" defaultColWidth="11.42578125" defaultRowHeight="12.75" x14ac:dyDescent="0.2"/>
  <cols>
    <col min="1" max="1" width="49" style="85" customWidth="1"/>
    <col min="2" max="3" width="15.7109375" style="85" customWidth="1"/>
    <col min="4" max="4" width="8.7109375" style="85" customWidth="1"/>
    <col min="5" max="5" width="12.140625" style="85" bestFit="1" customWidth="1"/>
    <col min="6" max="6" width="4.7109375" style="85" customWidth="1"/>
    <col min="7" max="7" width="18.42578125" style="85" customWidth="1"/>
    <col min="8" max="8" width="17.7109375" style="85" customWidth="1"/>
    <col min="9" max="9" width="8.7109375" style="85" customWidth="1"/>
    <col min="10" max="10" width="12.140625" style="85" bestFit="1" customWidth="1"/>
    <col min="11" max="11" width="13.42578125" style="85" hidden="1" customWidth="1"/>
    <col min="12" max="12" width="14.7109375" style="184" hidden="1" customWidth="1"/>
    <col min="13" max="13" width="13.7109375" style="184" hidden="1" customWidth="1"/>
    <col min="14" max="15" width="15.7109375" style="184" hidden="1" customWidth="1"/>
    <col min="16" max="16" width="11.42578125" style="85" hidden="1" customWidth="1"/>
    <col min="17" max="19" width="11.42578125" style="85" customWidth="1"/>
    <col min="20" max="16384" width="11.42578125" style="85"/>
  </cols>
  <sheetData>
    <row r="1" spans="1:16" ht="20.25" x14ac:dyDescent="0.3">
      <c r="A1" s="78" t="s">
        <v>75</v>
      </c>
      <c r="B1" s="71" t="s">
        <v>52</v>
      </c>
      <c r="C1" s="72"/>
      <c r="D1" s="72"/>
      <c r="E1" s="72"/>
      <c r="F1" s="72"/>
      <c r="G1" s="72"/>
      <c r="H1" s="72"/>
      <c r="I1" s="72"/>
      <c r="J1" s="72"/>
      <c r="K1" s="72"/>
    </row>
    <row r="2" spans="1:16" ht="20.25" x14ac:dyDescent="0.3">
      <c r="A2" s="78" t="s">
        <v>76</v>
      </c>
      <c r="B2" s="72"/>
      <c r="C2" s="72"/>
      <c r="D2" s="72"/>
      <c r="E2" s="72"/>
      <c r="F2" s="72"/>
      <c r="G2" s="72"/>
      <c r="H2" s="72"/>
      <c r="I2" s="72"/>
      <c r="J2" s="72"/>
      <c r="K2" s="72"/>
    </row>
    <row r="3" spans="1:16" ht="18.75" x14ac:dyDescent="0.3">
      <c r="A3" s="685" t="s">
        <v>77</v>
      </c>
      <c r="B3" s="685"/>
      <c r="C3" s="72"/>
      <c r="D3" s="72"/>
      <c r="E3" s="72"/>
      <c r="F3" s="72"/>
      <c r="G3" s="72"/>
      <c r="H3" s="72"/>
      <c r="I3" s="72"/>
      <c r="J3" s="72"/>
      <c r="K3" s="72"/>
    </row>
    <row r="4" spans="1:16" ht="18.75" x14ac:dyDescent="0.3">
      <c r="A4" s="80" t="s">
        <v>427</v>
      </c>
      <c r="B4" s="81"/>
      <c r="C4" s="82"/>
      <c r="D4" s="82"/>
      <c r="E4" s="83"/>
      <c r="F4" s="84"/>
      <c r="G4" s="81"/>
      <c r="H4" s="82"/>
      <c r="I4" s="82"/>
      <c r="J4" s="83"/>
      <c r="K4" s="110"/>
      <c r="L4" s="207"/>
      <c r="M4" s="208"/>
      <c r="N4" s="209"/>
      <c r="O4" s="208"/>
    </row>
    <row r="5" spans="1:16" ht="22.5" x14ac:dyDescent="0.3">
      <c r="A5" s="86"/>
      <c r="B5" s="686" t="s">
        <v>78</v>
      </c>
      <c r="C5" s="687"/>
      <c r="D5" s="687"/>
      <c r="E5" s="688"/>
      <c r="F5" s="88"/>
      <c r="G5" s="686" t="s">
        <v>378</v>
      </c>
      <c r="H5" s="687"/>
      <c r="I5" s="687"/>
      <c r="J5" s="688"/>
      <c r="K5" s="87"/>
      <c r="L5" s="689" t="s">
        <v>134</v>
      </c>
      <c r="M5" s="684"/>
      <c r="N5" s="683" t="s">
        <v>135</v>
      </c>
      <c r="O5" s="684"/>
    </row>
    <row r="6" spans="1:16" ht="18.75" x14ac:dyDescent="0.3">
      <c r="A6" s="89"/>
      <c r="B6" s="90"/>
      <c r="C6" s="91"/>
      <c r="D6" s="91" t="s">
        <v>79</v>
      </c>
      <c r="E6" s="92" t="s">
        <v>29</v>
      </c>
      <c r="F6" s="93"/>
      <c r="G6" s="90"/>
      <c r="H6" s="91"/>
      <c r="I6" s="91" t="s">
        <v>79</v>
      </c>
      <c r="J6" s="92" t="s">
        <v>29</v>
      </c>
      <c r="K6" s="98"/>
      <c r="L6" s="210"/>
      <c r="M6" s="211"/>
      <c r="N6" s="212"/>
      <c r="O6" s="211"/>
    </row>
    <row r="7" spans="1:16" ht="15.75" x14ac:dyDescent="0.25">
      <c r="A7" s="94" t="s">
        <v>80</v>
      </c>
      <c r="B7" s="95">
        <v>2021</v>
      </c>
      <c r="C7" s="95">
        <v>2022</v>
      </c>
      <c r="D7" s="96" t="s">
        <v>81</v>
      </c>
      <c r="E7" s="97" t="s">
        <v>30</v>
      </c>
      <c r="F7" s="93"/>
      <c r="G7" s="95">
        <v>2021</v>
      </c>
      <c r="H7" s="95">
        <v>2022</v>
      </c>
      <c r="I7" s="96" t="s">
        <v>81</v>
      </c>
      <c r="J7" s="97" t="s">
        <v>30</v>
      </c>
      <c r="K7" s="98"/>
      <c r="L7" s="213">
        <v>2015</v>
      </c>
      <c r="M7" s="214">
        <v>2016</v>
      </c>
      <c r="N7" s="215">
        <v>2015</v>
      </c>
      <c r="O7" s="214">
        <v>2016</v>
      </c>
      <c r="P7" s="85" t="s">
        <v>138</v>
      </c>
    </row>
    <row r="8" spans="1:16" ht="18.75" x14ac:dyDescent="0.3">
      <c r="A8" s="99" t="s">
        <v>0</v>
      </c>
      <c r="B8" s="127"/>
      <c r="C8" s="101"/>
      <c r="D8" s="102"/>
      <c r="E8" s="395"/>
      <c r="F8" s="173"/>
      <c r="G8" s="127"/>
      <c r="H8" s="127"/>
      <c r="I8" s="101"/>
      <c r="J8" s="395"/>
      <c r="K8" s="137"/>
      <c r="L8" s="216" t="s">
        <v>0</v>
      </c>
      <c r="M8" s="217"/>
      <c r="N8" s="218"/>
      <c r="O8" s="217"/>
      <c r="P8" s="85" t="s">
        <v>146</v>
      </c>
    </row>
    <row r="9" spans="1:16" ht="18.75" x14ac:dyDescent="0.3">
      <c r="A9" s="189" t="s">
        <v>398</v>
      </c>
      <c r="B9" s="173">
        <f>'Codan Forsikring'!B7+'Codan Forsikring'!B22+'Codan Forsikring'!B36+'Codan Forsikring'!B47+'Codan Forsikring'!B66+'Codan Forsikring'!B134</f>
        <v>73022</v>
      </c>
      <c r="C9" s="173">
        <f>'Codan Forsikring'!C7+'Codan Forsikring'!C22+'Codan Forsikring'!C36+'Codan Forsikring'!C47+'Codan Forsikring'!C66+'Codan Forsikring'!C134</f>
        <v>0</v>
      </c>
      <c r="D9" s="102">
        <f t="shared" ref="D9" si="0">IF(B9=0, "    ---- ", IF(ABS(ROUND(100/B9*C9-100,1))&lt;999,ROUND(100/B9*C9-100,1),IF(ROUND(100/B9*C9-100,1)&gt;999,999,-999)))</f>
        <v>-100</v>
      </c>
      <c r="E9" s="395">
        <f t="shared" ref="E9:E33" si="1">100/C$34*C9</f>
        <v>0</v>
      </c>
      <c r="F9" s="101"/>
      <c r="G9" s="173">
        <f>'Codan Forsikring'!B10+'Codan Forsikring'!B29+'Codan Forsikring'!B37+'Codan Forsikring'!B87+'Codan Forsikring'!B135</f>
        <v>0</v>
      </c>
      <c r="H9" s="173">
        <f>'Codan Forsikring'!C10+'Codan Forsikring'!C29+'Codan Forsikring'!C37+'Codan Forsikring'!C87+'Codan Forsikring'!C135</f>
        <v>0</v>
      </c>
      <c r="I9" s="102"/>
      <c r="J9" s="395">
        <f>100/H$34*H9</f>
        <v>0</v>
      </c>
      <c r="K9" s="137"/>
      <c r="L9" s="216"/>
      <c r="M9" s="217"/>
      <c r="N9" s="219"/>
      <c r="O9" s="217"/>
    </row>
    <row r="10" spans="1:16" ht="18.75" x14ac:dyDescent="0.3">
      <c r="A10" s="189" t="s">
        <v>437</v>
      </c>
      <c r="B10" s="173">
        <f>'Storebrand Danica P'!B7+'Storebrand Danica P'!B22+'Storebrand Danica P'!B36+'Storebrand Danica P'!B47+'Storebrand Danica P'!B66+'Storebrand Danica P'!B134</f>
        <v>325384.08600000001</v>
      </c>
      <c r="C10" s="173">
        <f>'Storebrand Danica P'!C7+'Storebrand Danica P'!C22+'Storebrand Danica P'!C36+'Storebrand Danica P'!C47+'Storebrand Danica P'!C66+'Storebrand Danica P'!C134</f>
        <v>337291.24852000002</v>
      </c>
      <c r="D10" s="102">
        <f t="shared" ref="D10:D32" si="2">IF(B10=0, "    ---- ", IF(ABS(ROUND(100/B10*C10-100,1))&lt;999,ROUND(100/B10*C10-100,1),IF(ROUND(100/B10*C10-100,1)&gt;999,999,-999)))</f>
        <v>3.7</v>
      </c>
      <c r="E10" s="395">
        <f t="shared" si="1"/>
        <v>0.51982084741571943</v>
      </c>
      <c r="F10" s="101"/>
      <c r="G10" s="173">
        <f>'Storebrand Danica P'!B10+'Storebrand Danica P'!B29+'Storebrand Danica P'!B37+'Storebrand Danica P'!B87+'Storebrand Danica P'!B135</f>
        <v>1370247.2149999999</v>
      </c>
      <c r="H10" s="173">
        <f>'Storebrand Danica P'!C10+'Storebrand Danica P'!C29+'Storebrand Danica P'!C37+'Storebrand Danica P'!C87+'Storebrand Danica P'!C135</f>
        <v>1511060.2339999999</v>
      </c>
      <c r="I10" s="102">
        <f t="shared" ref="I10:I29" si="3">IF(G10=0, "    ---- ", IF(ABS(ROUND(100/G10*H10-100,1))&lt;999,ROUND(100/G10*H10-100,1),IF(ROUND(100/G10*H10-100,1)&gt;999,999,-999)))</f>
        <v>10.3</v>
      </c>
      <c r="J10" s="395">
        <f>100/H$34*H10</f>
        <v>0.1252418393761629</v>
      </c>
      <c r="K10" s="203" t="s">
        <v>142</v>
      </c>
      <c r="L10" s="219" t="e">
        <f ca="1">INDIRECT("'" &amp;#REF! &amp; "'!" &amp; $P$7)</f>
        <v>#REF!</v>
      </c>
      <c r="M10" s="217" t="e">
        <f ca="1">INDIRECT("'" &amp;#REF! &amp; "'!" &amp; $P$8)</f>
        <v>#REF!</v>
      </c>
      <c r="N10" s="219" t="e">
        <f ca="1">INDIRECT("'" &amp;#REF! &amp; "'!" &amp; $P$10)</f>
        <v>#REF!</v>
      </c>
      <c r="O10" s="217" t="e">
        <f ca="1">INDIRECT("'" &amp;#REF! &amp; "'!" &amp; $P$11)</f>
        <v>#REF!</v>
      </c>
      <c r="P10" s="85" t="s">
        <v>149</v>
      </c>
    </row>
    <row r="11" spans="1:16" ht="18.75" x14ac:dyDescent="0.3">
      <c r="A11" s="189" t="s">
        <v>82</v>
      </c>
      <c r="B11" s="173">
        <f>'DNB Livsforsikring'!B7+'DNB Livsforsikring'!B22+'DNB Livsforsikring'!B36+'DNB Livsforsikring'!B47+'DNB Livsforsikring'!B66+'DNB Livsforsikring'!B134</f>
        <v>2650494.3509999998</v>
      </c>
      <c r="C11" s="173">
        <f>'DNB Livsforsikring'!C7+'DNB Livsforsikring'!C22+'DNB Livsforsikring'!C36+'DNB Livsforsikring'!C47+'DNB Livsforsikring'!C66+'DNB Livsforsikring'!C134</f>
        <v>2702411</v>
      </c>
      <c r="D11" s="102">
        <f t="shared" si="2"/>
        <v>2</v>
      </c>
      <c r="E11" s="395">
        <f t="shared" si="1"/>
        <v>4.1648562844412629</v>
      </c>
      <c r="F11" s="101"/>
      <c r="G11" s="173">
        <f>'DNB Livsforsikring'!B10+'DNB Livsforsikring'!B29+'DNB Livsforsikring'!B37+'DNB Livsforsikring'!B87+'DNB Livsforsikring'!B135</f>
        <v>194803582.38699999</v>
      </c>
      <c r="H11" s="173">
        <f>'DNB Livsforsikring'!C10+'DNB Livsforsikring'!C29+'DNB Livsforsikring'!C37+'DNB Livsforsikring'!C87+'DNB Livsforsikring'!C135</f>
        <v>189898877.81169999</v>
      </c>
      <c r="I11" s="102">
        <f t="shared" si="3"/>
        <v>-2.5</v>
      </c>
      <c r="J11" s="395">
        <f t="shared" ref="J11:J33" si="4">100/H$34*H11</f>
        <v>15.739468366293144</v>
      </c>
      <c r="K11" s="204" t="s">
        <v>143</v>
      </c>
      <c r="L11" s="219" t="e">
        <f ca="1">INDIRECT("'" &amp; $A10 &amp; "'!" &amp; $P$7)</f>
        <v>#REF!</v>
      </c>
      <c r="M11" s="217" t="e">
        <f ca="1">INDIRECT("'" &amp; $A10 &amp; "'!" &amp; $P$8)</f>
        <v>#REF!</v>
      </c>
      <c r="N11" s="219" t="e">
        <f ca="1">INDIRECT("'" &amp; $A10 &amp; "'!" &amp; $P$10)</f>
        <v>#REF!</v>
      </c>
      <c r="O11" s="217" t="e">
        <f ca="1">INDIRECT("'" &amp; $A10 &amp; "'!" &amp; $P$11)</f>
        <v>#REF!</v>
      </c>
      <c r="P11" s="85" t="s">
        <v>154</v>
      </c>
    </row>
    <row r="12" spans="1:16" ht="18.75" x14ac:dyDescent="0.3">
      <c r="A12" s="189" t="s">
        <v>83</v>
      </c>
      <c r="B12" s="173">
        <f>'Eika Forsikring AS'!B7+'Eika Forsikring AS'!B22+'Eika Forsikring AS'!B36+'Eika Forsikring AS'!B47+'Eika Forsikring AS'!B66+'Eika Forsikring AS'!B134</f>
        <v>291419</v>
      </c>
      <c r="C12" s="173">
        <f>'Eika Forsikring AS'!C7+'Eika Forsikring AS'!C22+'Eika Forsikring AS'!C36+'Eika Forsikring AS'!C47+'Eika Forsikring AS'!C66+'Eika Forsikring AS'!C134</f>
        <v>335934</v>
      </c>
      <c r="D12" s="102">
        <f t="shared" si="2"/>
        <v>15.3</v>
      </c>
      <c r="E12" s="395">
        <f t="shared" si="1"/>
        <v>0.5177291059936816</v>
      </c>
      <c r="F12" s="101"/>
      <c r="G12" s="173">
        <f>'Eika Forsikring AS'!B10+'Eika Forsikring AS'!B29+'Eika Forsikring AS'!B37+'Eika Forsikring AS'!B87+'Eika Forsikring AS'!B135</f>
        <v>0</v>
      </c>
      <c r="H12" s="173">
        <f>'Eika Forsikring AS'!C10+'Eika Forsikring AS'!C29+'Eika Forsikring AS'!C37+'Eika Forsikring AS'!C87+'Eika Forsikring AS'!C135</f>
        <v>0</v>
      </c>
      <c r="I12" s="102"/>
      <c r="J12" s="395">
        <f t="shared" si="4"/>
        <v>0</v>
      </c>
      <c r="K12" s="85" t="s">
        <v>136</v>
      </c>
      <c r="L12" s="219">
        <f ca="1">INDIRECT("'" &amp; $A11 &amp; "'!" &amp; $P$7)</f>
        <v>0</v>
      </c>
      <c r="M12" s="217">
        <f ca="1">INDIRECT("'" &amp; $A11 &amp; "'!" &amp; $P$8)</f>
        <v>0</v>
      </c>
      <c r="N12" s="219">
        <f ca="1">INDIRECT("'" &amp; $A11 &amp; "'!" &amp; $P$10)</f>
        <v>0</v>
      </c>
      <c r="O12" s="217">
        <f ca="1">INDIRECT("'" &amp; $A11 &amp; "'!" &amp; $P$11)</f>
        <v>0</v>
      </c>
    </row>
    <row r="13" spans="1:16" ht="18.75" x14ac:dyDescent="0.3">
      <c r="A13" s="189" t="s">
        <v>399</v>
      </c>
      <c r="B13" s="173">
        <f>'Euro Accident'!B7+'Euro Accident'!B22+'Euro Accident'!B36+'Euro Accident'!B47+'Euro Accident'!B66+'Euro Accident'!B134</f>
        <v>10359.611999999999</v>
      </c>
      <c r="C13" s="173">
        <f>'Euro Accident'!C7+'Euro Accident'!C22+'Euro Accident'!C36+'Euro Accident'!C47+'Euro Accident'!C66+'Euro Accident'!C134</f>
        <v>26920</v>
      </c>
      <c r="D13" s="102">
        <f t="shared" ref="D13" si="5">IF(B13=0, "    ---- ", IF(ABS(ROUND(100/B13*C13-100,1))&lt;999,ROUND(100/B13*C13-100,1),IF(ROUND(100/B13*C13-100,1)&gt;999,999,-999)))</f>
        <v>159.9</v>
      </c>
      <c r="E13" s="395">
        <f t="shared" si="1"/>
        <v>4.1488112347514421E-2</v>
      </c>
      <c r="F13" s="101"/>
      <c r="G13" s="173">
        <f>'Euro Accident'!B10+'Euro Accident'!B29+'Euro Accident'!B37+'Euro Accident'!B87+'Euro Accident'!B135</f>
        <v>0</v>
      </c>
      <c r="H13" s="173">
        <f>'Euro Accident'!C10+'Euro Accident'!C29+'Euro Accident'!C37+'Euro Accident'!C87+'Euro Accident'!C135</f>
        <v>0</v>
      </c>
      <c r="I13" s="102"/>
      <c r="J13" s="395">
        <f t="shared" si="4"/>
        <v>0</v>
      </c>
      <c r="L13" s="219"/>
      <c r="M13" s="217"/>
      <c r="N13" s="219"/>
      <c r="O13" s="217"/>
    </row>
    <row r="14" spans="1:16" ht="18.75" x14ac:dyDescent="0.3">
      <c r="A14" s="106" t="s">
        <v>383</v>
      </c>
      <c r="B14" s="173">
        <f>'Fremtind Livsforsikring'!B7+'Fremtind Livsforsikring'!B22+'Fremtind Livsforsikring'!B36+'Fremtind Livsforsikring'!B47+'Fremtind Livsforsikring'!B66+'Fremtind Livsforsikring'!B134</f>
        <v>2307250.8282099999</v>
      </c>
      <c r="C14" s="173">
        <f>'Fremtind Livsforsikring'!C7+'Fremtind Livsforsikring'!C22+'Fremtind Livsforsikring'!C36+'Fremtind Livsforsikring'!C47+'Fremtind Livsforsikring'!C66+'Fremtind Livsforsikring'!C134</f>
        <v>2472117.6320799999</v>
      </c>
      <c r="D14" s="102">
        <f t="shared" si="2"/>
        <v>7.1</v>
      </c>
      <c r="E14" s="395">
        <f t="shared" si="1"/>
        <v>3.8099366291235643</v>
      </c>
      <c r="F14" s="101"/>
      <c r="G14" s="173">
        <f>'Fremtind Livsforsikring'!B10+'Fremtind Livsforsikring'!B29+'Fremtind Livsforsikring'!B37+'Fremtind Livsforsikring'!B87+'Fremtind Livsforsikring'!B135</f>
        <v>4152805.49841</v>
      </c>
      <c r="H14" s="173">
        <f>'Fremtind Livsforsikring'!C10+'Fremtind Livsforsikring'!C29+'Fremtind Livsforsikring'!C37+'Fremtind Livsforsikring'!C87+'Fremtind Livsforsikring'!C135</f>
        <v>4663711.9526500003</v>
      </c>
      <c r="I14" s="102">
        <f t="shared" si="3"/>
        <v>12.3</v>
      </c>
      <c r="J14" s="395">
        <f t="shared" si="4"/>
        <v>0.38654439454362771</v>
      </c>
      <c r="K14" s="85" t="s">
        <v>144</v>
      </c>
      <c r="L14" s="219">
        <f ca="1">INDIRECT("'" &amp; $A12 &amp; "'!" &amp; $P$7)</f>
        <v>0</v>
      </c>
      <c r="M14" s="217">
        <f ca="1">INDIRECT("'" &amp; $A12 &amp; "'!" &amp; $P$8)</f>
        <v>0</v>
      </c>
      <c r="N14" s="219">
        <f ca="1">INDIRECT("'" &amp; $A12 &amp; "'!" &amp; $P$10)</f>
        <v>0</v>
      </c>
      <c r="O14" s="217">
        <f ca="1">INDIRECT("'" &amp; $A12 &amp; "'!" &amp; $P$11)</f>
        <v>0</v>
      </c>
    </row>
    <row r="15" spans="1:16" ht="18.75" x14ac:dyDescent="0.3">
      <c r="A15" s="189" t="s">
        <v>84</v>
      </c>
      <c r="B15" s="174">
        <f>'Frende Livsforsikring'!B7+'Frende Livsforsikring'!B22+'Frende Livsforsikring'!B36+'Frende Livsforsikring'!B47+'Frende Livsforsikring'!B66+'Frende Livsforsikring'!B134</f>
        <v>459364</v>
      </c>
      <c r="C15" s="174">
        <f>'Frende Livsforsikring'!C7+'Frende Livsforsikring'!C22+'Frende Livsforsikring'!C36+'Frende Livsforsikring'!C47+'Frende Livsforsikring'!C66+'Frende Livsforsikring'!C134</f>
        <v>507793</v>
      </c>
      <c r="D15" s="102">
        <f t="shared" si="2"/>
        <v>10.5</v>
      </c>
      <c r="E15" s="395">
        <f t="shared" si="1"/>
        <v>0.78259186602085395</v>
      </c>
      <c r="F15" s="101"/>
      <c r="G15" s="173">
        <f>'Frende Livsforsikring'!B10+'Frende Livsforsikring'!B29+'Frende Livsforsikring'!B37+'Frende Livsforsikring'!B87+'Frende Livsforsikring'!B135</f>
        <v>1050664</v>
      </c>
      <c r="H15" s="173">
        <f>'Frende Livsforsikring'!C10+'Frende Livsforsikring'!C29+'Frende Livsforsikring'!C37+'Frende Livsforsikring'!C87+'Frende Livsforsikring'!C135</f>
        <v>1264435</v>
      </c>
      <c r="I15" s="102">
        <f t="shared" si="3"/>
        <v>20.3</v>
      </c>
      <c r="J15" s="395">
        <f t="shared" si="4"/>
        <v>0.10480069662901244</v>
      </c>
      <c r="L15" s="219"/>
      <c r="M15" s="217"/>
      <c r="N15" s="219"/>
      <c r="O15" s="217"/>
    </row>
    <row r="16" spans="1:16" ht="18.75" x14ac:dyDescent="0.3">
      <c r="A16" s="189" t="s">
        <v>85</v>
      </c>
      <c r="B16" s="173">
        <f>'Frende Skadeforsikring'!B7+'Frende Skadeforsikring'!B22+'Frende Skadeforsikring'!B36+'Frende Skadeforsikring'!B47+'Frende Skadeforsikring'!B66+'Frende Skadeforsikring'!B134</f>
        <v>5330.2790000000005</v>
      </c>
      <c r="C16" s="173">
        <f>'Frende Skadeforsikring'!C7+'Frende Skadeforsikring'!C22+'Frende Skadeforsikring'!C36+'Frende Skadeforsikring'!C47+'Frende Skadeforsikring'!C66+'Frende Skadeforsikring'!C134</f>
        <v>6370.085</v>
      </c>
      <c r="D16" s="102">
        <f t="shared" si="2"/>
        <v>19.5</v>
      </c>
      <c r="E16" s="395">
        <f t="shared" si="1"/>
        <v>9.8173403470734177E-3</v>
      </c>
      <c r="F16" s="101"/>
      <c r="G16" s="173">
        <f>'Frende Skadeforsikring'!B10+'Frende Skadeforsikring'!B29+'Frende Skadeforsikring'!B37+'Frende Skadeforsikring'!B87+'Frende Skadeforsikring'!B135</f>
        <v>0</v>
      </c>
      <c r="H16" s="173">
        <f>'Frende Skadeforsikring'!C10+'Frende Skadeforsikring'!C29+'Frende Skadeforsikring'!C37+'Frende Skadeforsikring'!C87+'Frende Skadeforsikring'!C135</f>
        <v>0</v>
      </c>
      <c r="I16" s="102"/>
      <c r="J16" s="395">
        <f t="shared" si="4"/>
        <v>0</v>
      </c>
      <c r="K16" s="85" t="s">
        <v>137</v>
      </c>
      <c r="L16" s="219">
        <f t="shared" ref="L16:L32" ca="1" si="6">INDIRECT("'" &amp; $A15 &amp; "'!" &amp; $P$7)</f>
        <v>0</v>
      </c>
      <c r="M16" s="217">
        <f t="shared" ref="M16:M32" ca="1" si="7">INDIRECT("'" &amp; $A15 &amp; "'!" &amp; $P$8)</f>
        <v>0</v>
      </c>
      <c r="N16" s="219">
        <f t="shared" ref="N16:N32" ca="1" si="8">INDIRECT("'" &amp; $A15 &amp; "'!" &amp; $P$10)</f>
        <v>0</v>
      </c>
      <c r="O16" s="217">
        <f t="shared" ref="O16:O32" ca="1" si="9">INDIRECT("'" &amp; $A15 &amp; "'!" &amp; $P$11)</f>
        <v>0</v>
      </c>
    </row>
    <row r="17" spans="1:18" ht="18.75" x14ac:dyDescent="0.3">
      <c r="A17" s="189" t="s">
        <v>86</v>
      </c>
      <c r="B17" s="173">
        <f>'Gjensidige Forsikring'!B7+'Gjensidige Forsikring'!B22+'Gjensidige Forsikring'!B36+'Gjensidige Forsikring'!B47+'Gjensidige Forsikring'!B66+'Gjensidige Forsikring'!B134</f>
        <v>1671885.9509999999</v>
      </c>
      <c r="C17" s="173">
        <f>'Gjensidige Forsikring'!C7+'Gjensidige Forsikring'!C22+'Gjensidige Forsikring'!C36+'Gjensidige Forsikring'!C47+'Gjensidige Forsikring'!C66+'Gjensidige Forsikring'!C134</f>
        <v>1802206.75</v>
      </c>
      <c r="D17" s="102">
        <f t="shared" si="2"/>
        <v>7.8</v>
      </c>
      <c r="E17" s="395">
        <f t="shared" si="1"/>
        <v>2.7774946551801203</v>
      </c>
      <c r="F17" s="101"/>
      <c r="G17" s="173">
        <f>'Gjensidige Forsikring'!B10+'Gjensidige Forsikring'!B29+'Gjensidige Forsikring'!B37+'Gjensidige Forsikring'!B87+'Gjensidige Forsikring'!B135</f>
        <v>0</v>
      </c>
      <c r="H17" s="173">
        <f>'Gjensidige Forsikring'!C10+'Gjensidige Forsikring'!C29+'Gjensidige Forsikring'!C37+'Gjensidige Forsikring'!C87+'Gjensidige Forsikring'!C135</f>
        <v>0</v>
      </c>
      <c r="I17" s="102"/>
      <c r="J17" s="395">
        <f t="shared" si="4"/>
        <v>0</v>
      </c>
      <c r="K17" s="85" t="s">
        <v>145</v>
      </c>
      <c r="L17" s="219">
        <f t="shared" ca="1" si="6"/>
        <v>0</v>
      </c>
      <c r="M17" s="217">
        <f t="shared" ca="1" si="7"/>
        <v>0</v>
      </c>
      <c r="N17" s="219">
        <f t="shared" ca="1" si="8"/>
        <v>0</v>
      </c>
      <c r="O17" s="217">
        <f t="shared" ca="1" si="9"/>
        <v>0</v>
      </c>
    </row>
    <row r="18" spans="1:18" ht="18.75" x14ac:dyDescent="0.3">
      <c r="A18" s="189" t="s">
        <v>87</v>
      </c>
      <c r="B18" s="173">
        <f>'Gjensidige Pensjon'!B7+'Gjensidige Pensjon'!B22+'Gjensidige Pensjon'!B36+'Gjensidige Pensjon'!B47+'Gjensidige Pensjon'!B66+'Gjensidige Pensjon'!B134</f>
        <v>556509.5</v>
      </c>
      <c r="C18" s="173">
        <f>'Gjensidige Pensjon'!C7+'Gjensidige Pensjon'!C22+'Gjensidige Pensjon'!C36+'Gjensidige Pensjon'!C47+'Gjensidige Pensjon'!C66+'Gjensidige Pensjon'!C134</f>
        <v>625492</v>
      </c>
      <c r="D18" s="102">
        <f t="shared" si="2"/>
        <v>12.4</v>
      </c>
      <c r="E18" s="395">
        <f t="shared" si="1"/>
        <v>0.96398522914084284</v>
      </c>
      <c r="F18" s="101"/>
      <c r="G18" s="173">
        <f>'Gjensidige Pensjon'!B10+'Gjensidige Pensjon'!B29+'Gjensidige Pensjon'!B37+'Gjensidige Pensjon'!B87+'Gjensidige Pensjon'!B135</f>
        <v>8107520.2000000002</v>
      </c>
      <c r="H18" s="173">
        <f>'Gjensidige Pensjon'!C10+'Gjensidige Pensjon'!C29+'Gjensidige Pensjon'!C37+'Gjensidige Pensjon'!C87+'Gjensidige Pensjon'!C135</f>
        <v>8716977</v>
      </c>
      <c r="I18" s="102">
        <f t="shared" si="3"/>
        <v>7.5</v>
      </c>
      <c r="J18" s="395">
        <f t="shared" si="4"/>
        <v>0.72249286210764407</v>
      </c>
      <c r="K18" s="85" t="s">
        <v>138</v>
      </c>
      <c r="L18" s="219">
        <f t="shared" ca="1" si="6"/>
        <v>0</v>
      </c>
      <c r="M18" s="217">
        <f t="shared" ca="1" si="7"/>
        <v>0</v>
      </c>
      <c r="N18" s="219">
        <f t="shared" ca="1" si="8"/>
        <v>0</v>
      </c>
      <c r="O18" s="217">
        <f t="shared" ca="1" si="9"/>
        <v>0</v>
      </c>
    </row>
    <row r="19" spans="1:18" ht="18.75" x14ac:dyDescent="0.3">
      <c r="A19" s="189" t="s">
        <v>88</v>
      </c>
      <c r="B19" s="173">
        <f>'Handelsbanken Liv'!B7+'Handelsbanken Liv'!B22+'Handelsbanken Liv'!B36+'Handelsbanken Liv'!B47+'Handelsbanken Liv'!B66+'Handelsbanken Liv'!B134</f>
        <v>26025.308660000002</v>
      </c>
      <c r="C19" s="173">
        <f>'Handelsbanken Liv'!C7+'Handelsbanken Liv'!C22+'Handelsbanken Liv'!C36+'Handelsbanken Liv'!C47+'Handelsbanken Liv'!C66+'Handelsbanken Liv'!C134</f>
        <v>37716.661089999994</v>
      </c>
      <c r="D19" s="102">
        <f t="shared" si="2"/>
        <v>44.9</v>
      </c>
      <c r="E19" s="395">
        <f t="shared" si="1"/>
        <v>5.8127528702639132E-2</v>
      </c>
      <c r="F19" s="101"/>
      <c r="G19" s="173">
        <f>'Handelsbanken Liv'!B10+'Handelsbanken Liv'!B29+'Handelsbanken Liv'!B37+'Handelsbanken Liv'!B87+'Handelsbanken Liv'!B135</f>
        <v>21229.507515466838</v>
      </c>
      <c r="H19" s="173">
        <f>'Handelsbanken Liv'!C10+'Handelsbanken Liv'!C29+'Handelsbanken Liv'!C37+'Handelsbanken Liv'!C87+'Handelsbanken Liv'!C135</f>
        <v>1519.5954100000001</v>
      </c>
      <c r="I19" s="102">
        <f t="shared" si="3"/>
        <v>-92.8</v>
      </c>
      <c r="J19" s="395">
        <f t="shared" si="4"/>
        <v>1.2594926394970859E-4</v>
      </c>
      <c r="K19" s="85" t="s">
        <v>146</v>
      </c>
      <c r="L19" s="219">
        <f t="shared" ca="1" si="6"/>
        <v>0</v>
      </c>
      <c r="M19" s="217">
        <f t="shared" ca="1" si="7"/>
        <v>0</v>
      </c>
      <c r="N19" s="219">
        <f t="shared" ca="1" si="8"/>
        <v>0</v>
      </c>
      <c r="O19" s="217">
        <f t="shared" ca="1" si="9"/>
        <v>0</v>
      </c>
    </row>
    <row r="20" spans="1:18" ht="18.75" x14ac:dyDescent="0.3">
      <c r="A20" s="189" t="s">
        <v>89</v>
      </c>
      <c r="B20" s="173">
        <f>'If Skadeforsikring NUF'!B7+'If Skadeforsikring NUF'!B22+'If Skadeforsikring NUF'!B36+'If Skadeforsikring NUF'!B47+'If Skadeforsikring NUF'!B66+'If Skadeforsikring NUF'!B134</f>
        <v>416726.04218554404</v>
      </c>
      <c r="C20" s="173">
        <f>'If Skadeforsikring NUF'!C7+'If Skadeforsikring NUF'!C22+'If Skadeforsikring NUF'!C36+'If Skadeforsikring NUF'!C47+'If Skadeforsikring NUF'!C66+'If Skadeforsikring NUF'!C134</f>
        <v>461957.49523765099</v>
      </c>
      <c r="D20" s="102">
        <f t="shared" si="2"/>
        <v>10.9</v>
      </c>
      <c r="E20" s="395">
        <f t="shared" si="1"/>
        <v>0.71195187452436925</v>
      </c>
      <c r="F20" s="101"/>
      <c r="G20" s="173">
        <f>'If Skadeforsikring NUF'!B10+'If Skadeforsikring NUF'!B29+'If Skadeforsikring NUF'!B37+'If Skadeforsikring NUF'!B87+'If Skadeforsikring NUF'!B135</f>
        <v>0</v>
      </c>
      <c r="H20" s="173">
        <f>'If Skadeforsikring NUF'!C10+'If Skadeforsikring NUF'!C29+'If Skadeforsikring NUF'!C37+'If Skadeforsikring NUF'!C87+'If Skadeforsikring NUF'!C135</f>
        <v>0</v>
      </c>
      <c r="I20" s="102"/>
      <c r="J20" s="395">
        <f t="shared" si="4"/>
        <v>0</v>
      </c>
      <c r="K20" s="137"/>
      <c r="L20" s="219">
        <f t="shared" ca="1" si="6"/>
        <v>0</v>
      </c>
      <c r="M20" s="217">
        <f t="shared" ca="1" si="7"/>
        <v>0</v>
      </c>
      <c r="N20" s="219">
        <f t="shared" ca="1" si="8"/>
        <v>0</v>
      </c>
      <c r="O20" s="217">
        <f t="shared" ca="1" si="9"/>
        <v>0</v>
      </c>
    </row>
    <row r="21" spans="1:18" ht="18.75" x14ac:dyDescent="0.3">
      <c r="A21" s="189" t="s">
        <v>62</v>
      </c>
      <c r="B21" s="173">
        <f>KLP!B7+KLP!B22+KLP!B36+KLP!B47+KLP!B66+KLP!B134</f>
        <v>41046577.107529998</v>
      </c>
      <c r="C21" s="173">
        <f>KLP!C7+KLP!C22+KLP!C36+KLP!C47+KLP!C66+KLP!C134</f>
        <v>40116042.616570003</v>
      </c>
      <c r="D21" s="102">
        <f t="shared" si="2"/>
        <v>-2.2999999999999998</v>
      </c>
      <c r="E21" s="395">
        <f t="shared" si="1"/>
        <v>61.825367125331823</v>
      </c>
      <c r="F21" s="101"/>
      <c r="G21" s="173">
        <f>KLP!B10+KLP!B29+KLP!B37+KLP!B87+KLP!B135</f>
        <v>563319210.35183001</v>
      </c>
      <c r="H21" s="173">
        <f>KLP!C10+KLP!C29+KLP!C37+KLP!C87+KLP!C135</f>
        <v>639219292.35275996</v>
      </c>
      <c r="I21" s="102">
        <f t="shared" si="3"/>
        <v>13.5</v>
      </c>
      <c r="J21" s="395">
        <f t="shared" si="4"/>
        <v>52.980680807849836</v>
      </c>
      <c r="K21" s="137"/>
      <c r="L21" s="219" t="e">
        <f ca="1">INDIRECT("'" &amp;#REF! &amp; "'!" &amp; $P$7)</f>
        <v>#REF!</v>
      </c>
      <c r="M21" s="217" t="e">
        <f ca="1">INDIRECT("'" &amp;#REF! &amp; "'!" &amp; $P$8)</f>
        <v>#REF!</v>
      </c>
      <c r="N21" s="219" t="e">
        <f ca="1">INDIRECT("'" &amp;#REF! &amp; "'!" &amp; $P$10)</f>
        <v>#REF!</v>
      </c>
      <c r="O21" s="217" t="e">
        <f ca="1">INDIRECT("'" &amp;#REF! &amp; "'!" &amp; $P$11)</f>
        <v>#REF!</v>
      </c>
    </row>
    <row r="22" spans="1:18" ht="18.75" x14ac:dyDescent="0.3">
      <c r="A22" s="106" t="s">
        <v>90</v>
      </c>
      <c r="B22" s="173">
        <f>'KLP Skadeforsikring AS'!B7+'KLP Skadeforsikring AS'!B22+'KLP Skadeforsikring AS'!B36+'KLP Skadeforsikring AS'!B47+'KLP Skadeforsikring AS'!B66+'KLP Skadeforsikring AS'!B134</f>
        <v>233574.45626000001</v>
      </c>
      <c r="C22" s="173">
        <f>'KLP Skadeforsikring AS'!C7+'KLP Skadeforsikring AS'!C22+'KLP Skadeforsikring AS'!C36+'KLP Skadeforsikring AS'!C47+'KLP Skadeforsikring AS'!C66+'KLP Skadeforsikring AS'!C134</f>
        <v>293311.63199999998</v>
      </c>
      <c r="D22" s="102">
        <f t="shared" si="2"/>
        <v>25.6</v>
      </c>
      <c r="E22" s="395">
        <f t="shared" si="1"/>
        <v>0.4520410825129571</v>
      </c>
      <c r="F22" s="101"/>
      <c r="G22" s="173">
        <f>'KLP Skadeforsikring AS'!B10+'KLP Skadeforsikring AS'!B29+'KLP Skadeforsikring AS'!B37+'KLP Skadeforsikring AS'!B87+'KLP Skadeforsikring AS'!B135</f>
        <v>69834.292576000007</v>
      </c>
      <c r="H22" s="173">
        <f>'KLP Skadeforsikring AS'!C10+'KLP Skadeforsikring AS'!C29+'KLP Skadeforsikring AS'!C37+'KLP Skadeforsikring AS'!C87+'KLP Skadeforsikring AS'!C135</f>
        <v>99044.30799999999</v>
      </c>
      <c r="I22" s="102">
        <f t="shared" si="3"/>
        <v>41.8</v>
      </c>
      <c r="J22" s="395">
        <f t="shared" si="4"/>
        <v>8.2091309363774879E-3</v>
      </c>
      <c r="K22" s="137"/>
      <c r="L22" s="219">
        <f ca="1">INDIRECT("'" &amp; $A33 &amp; "'!" &amp; $P$7)</f>
        <v>0</v>
      </c>
      <c r="M22" s="217">
        <f ca="1">INDIRECT("'" &amp; $A33 &amp; "'!" &amp; $P$8)</f>
        <v>0</v>
      </c>
      <c r="N22" s="219">
        <f ca="1">INDIRECT("'" &amp; $A33 &amp; "'!" &amp; $P$10)</f>
        <v>0</v>
      </c>
      <c r="O22" s="217">
        <f ca="1">INDIRECT("'" &amp; $A33 &amp; "'!" &amp; $P$11)</f>
        <v>0</v>
      </c>
    </row>
    <row r="23" spans="1:18" ht="18.75" x14ac:dyDescent="0.3">
      <c r="A23" s="106" t="s">
        <v>393</v>
      </c>
      <c r="B23" s="173">
        <f>'Landkreditt Forsikring'!B7+'Landkreditt Forsikring'!B22+'Landkreditt Forsikring'!B36+'Landkreditt Forsikring'!B47+'Landkreditt Forsikring'!B66+'Landkreditt Forsikring'!B134</f>
        <v>41337</v>
      </c>
      <c r="C23" s="173">
        <f>'Landkreditt Forsikring'!C7+'Landkreditt Forsikring'!C22+'Landkreditt Forsikring'!C36+'Landkreditt Forsikring'!C47+'Landkreditt Forsikring'!C66+'Landkreditt Forsikring'!C134</f>
        <v>28431</v>
      </c>
      <c r="D23" s="102">
        <f t="shared" si="2"/>
        <v>-31.2</v>
      </c>
      <c r="E23" s="395">
        <f t="shared" si="1"/>
        <v>4.381680988678241E-2</v>
      </c>
      <c r="F23" s="101"/>
      <c r="G23" s="173">
        <f>'Landkreditt Forsikring'!B10+'Landkreditt Forsikring'!B29+'Landkreditt Forsikring'!B37+'Landkreditt Forsikring'!B87+'Landkreditt Forsikring'!B135</f>
        <v>0</v>
      </c>
      <c r="H23" s="173">
        <f>'Landkreditt Forsikring'!C10+'Landkreditt Forsikring'!C29+'Landkreditt Forsikring'!C37+'Landkreditt Forsikring'!C87+'Landkreditt Forsikring'!C135</f>
        <v>0</v>
      </c>
      <c r="I23" s="102"/>
      <c r="J23" s="395">
        <f t="shared" si="4"/>
        <v>0</v>
      </c>
      <c r="K23" s="137"/>
      <c r="L23" s="219">
        <f t="shared" ca="1" si="6"/>
        <v>0</v>
      </c>
      <c r="M23" s="217">
        <f t="shared" ca="1" si="7"/>
        <v>0</v>
      </c>
      <c r="N23" s="219">
        <f t="shared" ca="1" si="8"/>
        <v>0</v>
      </c>
      <c r="O23" s="217">
        <f t="shared" ca="1" si="9"/>
        <v>0</v>
      </c>
    </row>
    <row r="24" spans="1:18" ht="18.75" x14ac:dyDescent="0.3">
      <c r="A24" s="106" t="s">
        <v>403</v>
      </c>
      <c r="B24" s="173">
        <f>'Ly Forsikring'!B7+'Ly Forsikring'!B22+'Ly Forsikring'!B36+'Ly Forsikring'!B47+'Ly Forsikring'!B66+'Ly Forsikring'!B134</f>
        <v>0</v>
      </c>
      <c r="C24" s="173">
        <f>'Ly Forsikring'!C7+'Ly Forsikring'!C22+'Ly Forsikring'!C36+'Ly Forsikring'!C47+'Ly Forsikring'!C66+'Ly Forsikring'!C134</f>
        <v>16353.946</v>
      </c>
      <c r="D24" s="102" t="str">
        <f t="shared" ref="D24" si="10">IF(B24=0, "    ---- ", IF(ABS(ROUND(100/B24*C24-100,1))&lt;999,ROUND(100/B24*C24-100,1),IF(ROUND(100/B24*C24-100,1)&gt;999,999,-999)))</f>
        <v xml:space="preserve">    ---- </v>
      </c>
      <c r="E24" s="395">
        <f t="shared" si="1"/>
        <v>2.5204099144620507E-2</v>
      </c>
      <c r="F24" s="101"/>
      <c r="G24" s="173">
        <f>'Ly Forsikring'!B10+'Ly Forsikring'!B29+'Ly Forsikring'!B37+'Ly Forsikring'!B87+'Ly Forsikring'!B135</f>
        <v>0</v>
      </c>
      <c r="H24" s="173">
        <f>'Ly Forsikring'!C10+'Ly Forsikring'!C29+'Ly Forsikring'!C37+'Ly Forsikring'!C87+'Ly Forsikring'!C135</f>
        <v>0</v>
      </c>
      <c r="I24" s="102"/>
      <c r="J24" s="395">
        <f t="shared" si="4"/>
        <v>0</v>
      </c>
      <c r="K24" s="137"/>
      <c r="L24" s="219"/>
      <c r="M24" s="217"/>
      <c r="N24" s="219"/>
      <c r="O24" s="217"/>
    </row>
    <row r="25" spans="1:18" ht="18.75" x14ac:dyDescent="0.3">
      <c r="A25" s="106" t="s">
        <v>91</v>
      </c>
      <c r="B25" s="173">
        <f>'Nordea Liv '!B7+'Nordea Liv '!B22+'Nordea Liv '!B36+'Nordea Liv '!B47+'Nordea Liv '!B66+'Nordea Liv '!B134</f>
        <v>1318287.2052763819</v>
      </c>
      <c r="C25" s="173">
        <f>'Nordea Liv '!C7+'Nordea Liv '!C22+'Nordea Liv '!C36+'Nordea Liv '!C47+'Nordea Liv '!C66+'Nordea Liv '!C134</f>
        <v>1272563.1350929129</v>
      </c>
      <c r="D25" s="102">
        <f t="shared" si="2"/>
        <v>-3.5</v>
      </c>
      <c r="E25" s="395">
        <f t="shared" si="1"/>
        <v>1.9612274263759264</v>
      </c>
      <c r="F25" s="101"/>
      <c r="G25" s="174">
        <f>'Nordea Liv '!B10+'Nordea Liv '!B29+'Nordea Liv '!B37+'Nordea Liv '!B87+'Nordea Liv '!B135</f>
        <v>55059961.000022039</v>
      </c>
      <c r="H25" s="174">
        <f>'Nordea Liv '!C10+'Nordea Liv '!C29+'Nordea Liv '!C37+'Nordea Liv '!C87+'Nordea Liv '!C135</f>
        <v>54880190.000008784</v>
      </c>
      <c r="I25" s="102">
        <f t="shared" si="3"/>
        <v>-0.3</v>
      </c>
      <c r="J25" s="395">
        <f t="shared" si="4"/>
        <v>4.548657814069907</v>
      </c>
      <c r="K25" s="137"/>
      <c r="L25" s="219">
        <f ca="1">INDIRECT("'" &amp; $A23 &amp; "'!" &amp; $P$7)</f>
        <v>0</v>
      </c>
      <c r="M25" s="217">
        <f ca="1">INDIRECT("'" &amp; $A23 &amp; "'!" &amp; $P$8)</f>
        <v>0</v>
      </c>
      <c r="N25" s="219">
        <f ca="1">INDIRECT("'" &amp; $A23 &amp; "'!" &amp; $P$10)</f>
        <v>0</v>
      </c>
      <c r="O25" s="217">
        <f ca="1">INDIRECT("'" &amp; $A23 &amp; "'!" &amp; $P$11)</f>
        <v>0</v>
      </c>
    </row>
    <row r="26" spans="1:18" ht="18.75" x14ac:dyDescent="0.3">
      <c r="A26" s="106" t="s">
        <v>92</v>
      </c>
      <c r="B26" s="173">
        <f>'Oslo Pensjonsforsikring'!B7+'Oslo Pensjonsforsikring'!B22+'Oslo Pensjonsforsikring'!B36+'Oslo Pensjonsforsikring'!B47+'Oslo Pensjonsforsikring'!B66+'Oslo Pensjonsforsikring'!B134</f>
        <v>6050567</v>
      </c>
      <c r="C26" s="173">
        <f>'Oslo Pensjonsforsikring'!C7+'Oslo Pensjonsforsikring'!C22+'Oslo Pensjonsforsikring'!C36+'Oslo Pensjonsforsikring'!C47+'Oslo Pensjonsforsikring'!C66+'Oslo Pensjonsforsikring'!C134</f>
        <v>7048000</v>
      </c>
      <c r="D26" s="102">
        <f t="shared" si="2"/>
        <v>16.5</v>
      </c>
      <c r="E26" s="395">
        <f t="shared" si="1"/>
        <v>10.862117972707342</v>
      </c>
      <c r="F26" s="101"/>
      <c r="G26" s="173">
        <f>'Oslo Pensjonsforsikring'!B10+'Oslo Pensjonsforsikring'!B29+'Oslo Pensjonsforsikring'!B37+'Oslo Pensjonsforsikring'!B87+'Oslo Pensjonsforsikring'!B135</f>
        <v>90681751</v>
      </c>
      <c r="H26" s="173">
        <f>'Oslo Pensjonsforsikring'!C10+'Oslo Pensjonsforsikring'!C29+'Oslo Pensjonsforsikring'!C37+'Oslo Pensjonsforsikring'!C87+'Oslo Pensjonsforsikring'!C135</f>
        <v>85289000</v>
      </c>
      <c r="I26" s="102">
        <f t="shared" si="3"/>
        <v>-5.9</v>
      </c>
      <c r="J26" s="395">
        <f t="shared" si="4"/>
        <v>7.0690439720443061</v>
      </c>
      <c r="K26" s="137"/>
      <c r="L26" s="219">
        <f t="shared" ca="1" si="6"/>
        <v>0</v>
      </c>
      <c r="M26" s="217">
        <f t="shared" ca="1" si="7"/>
        <v>0</v>
      </c>
      <c r="N26" s="219">
        <f t="shared" ca="1" si="8"/>
        <v>0</v>
      </c>
      <c r="O26" s="217">
        <f t="shared" ca="1" si="9"/>
        <v>0</v>
      </c>
    </row>
    <row r="27" spans="1:18" ht="18.75" x14ac:dyDescent="0.3">
      <c r="A27" s="106" t="s">
        <v>349</v>
      </c>
      <c r="B27" s="173">
        <f>'Protector Forsikring'!B7+'Protector Forsikring'!B22+'Protector Forsikring'!B36+'Protector Forsikring'!B47+'Protector Forsikring'!B66+'Protector Forsikring'!B134</f>
        <v>313745.28546748857</v>
      </c>
      <c r="C27" s="173">
        <f>'Protector Forsikring'!C7+'Protector Forsikring'!C22+'Protector Forsikring'!C36+'Protector Forsikring'!C47+'Protector Forsikring'!C66+'Protector Forsikring'!C134</f>
        <v>338102.51378736005</v>
      </c>
      <c r="D27" s="102">
        <f t="shared" si="2"/>
        <v>7.8</v>
      </c>
      <c r="E27" s="395">
        <f t="shared" si="1"/>
        <v>0.52107113956118267</v>
      </c>
      <c r="F27" s="101"/>
      <c r="G27" s="173">
        <f>'Protector Forsikring'!B10+'Protector Forsikring'!B29+'Protector Forsikring'!B37+'Protector Forsikring'!B87+'Protector Forsikring'!B135</f>
        <v>0</v>
      </c>
      <c r="H27" s="173">
        <f>'Protector Forsikring'!C10+'Protector Forsikring'!C29+'Protector Forsikring'!C37+'Protector Forsikring'!C87+'Protector Forsikring'!C135</f>
        <v>0</v>
      </c>
      <c r="I27" s="102"/>
      <c r="J27" s="395">
        <f t="shared" si="4"/>
        <v>0</v>
      </c>
      <c r="K27" s="137"/>
      <c r="L27" s="219">
        <f t="shared" ca="1" si="6"/>
        <v>0</v>
      </c>
      <c r="M27" s="217">
        <f t="shared" ca="1" si="7"/>
        <v>0</v>
      </c>
      <c r="N27" s="219">
        <f t="shared" ca="1" si="8"/>
        <v>0</v>
      </c>
      <c r="O27" s="217">
        <f t="shared" ca="1" si="9"/>
        <v>0</v>
      </c>
    </row>
    <row r="28" spans="1:18" ht="18.75" x14ac:dyDescent="0.3">
      <c r="A28" s="189" t="s">
        <v>402</v>
      </c>
      <c r="B28" s="173">
        <f>'Sparebank 1'!B7+'Sparebank 1'!B22+'Sparebank 1'!B36+'Sparebank 1'!B47+'Sparebank 1'!B66+'Sparebank 1'!B134</f>
        <v>631024.44908000005</v>
      </c>
      <c r="C28" s="173">
        <f>'Sparebank 1'!C7+'Sparebank 1'!C22+'Sparebank 1'!C36+'Sparebank 1'!C47+'Sparebank 1'!C66+'Sparebank 1'!C134</f>
        <v>621880.97281000006</v>
      </c>
      <c r="D28" s="102">
        <f t="shared" si="2"/>
        <v>-1.4</v>
      </c>
      <c r="E28" s="395">
        <f t="shared" si="1"/>
        <v>0.95842004705508332</v>
      </c>
      <c r="F28" s="101"/>
      <c r="G28" s="173">
        <f>'Sparebank 1'!B10+'Sparebank 1'!B29+'Sparebank 1'!B37+'Sparebank 1'!B87+'Sparebank 1'!B135</f>
        <v>19914575.502730001</v>
      </c>
      <c r="H28" s="173">
        <f>'Sparebank 1'!C10+'Sparebank 1'!C29+'Sparebank 1'!C37+'Sparebank 1'!C87+'Sparebank 1'!C135</f>
        <v>20801168.00575</v>
      </c>
      <c r="I28" s="102">
        <f t="shared" si="3"/>
        <v>4.5</v>
      </c>
      <c r="J28" s="395">
        <f t="shared" si="4"/>
        <v>1.7240719354492129</v>
      </c>
      <c r="K28" s="137"/>
      <c r="L28" s="219">
        <f t="shared" ca="1" si="6"/>
        <v>0</v>
      </c>
      <c r="M28" s="217">
        <f t="shared" ca="1" si="7"/>
        <v>0</v>
      </c>
      <c r="N28" s="219">
        <f t="shared" ca="1" si="8"/>
        <v>0</v>
      </c>
      <c r="O28" s="217">
        <f t="shared" ca="1" si="9"/>
        <v>0</v>
      </c>
    </row>
    <row r="29" spans="1:18" ht="18.75" x14ac:dyDescent="0.3">
      <c r="A29" s="106" t="s">
        <v>93</v>
      </c>
      <c r="B29" s="173">
        <f>'Storebrand Livsforsikring'!B7+'Storebrand Livsforsikring'!B22+'Storebrand Livsforsikring'!B36+'Storebrand Livsforsikring'!B47+'Storebrand Livsforsikring'!B66+'Storebrand Livsforsikring'!B134</f>
        <v>4839592.9589999998</v>
      </c>
      <c r="C29" s="173">
        <f>'Storebrand Livsforsikring'!C7+'Storebrand Livsforsikring'!C22+'Storebrand Livsforsikring'!C36+'Storebrand Livsforsikring'!C47+'Storebrand Livsforsikring'!C66+'Storebrand Livsforsikring'!C134</f>
        <v>5192979.767</v>
      </c>
      <c r="D29" s="102">
        <f t="shared" si="2"/>
        <v>7.3</v>
      </c>
      <c r="E29" s="395">
        <f t="shared" si="1"/>
        <v>8.0032291230187695</v>
      </c>
      <c r="F29" s="101"/>
      <c r="G29" s="173">
        <f>'Storebrand Livsforsikring'!B10+'Storebrand Livsforsikring'!B29+'Storebrand Livsforsikring'!B37+'Storebrand Livsforsikring'!B87+'Storebrand Livsforsikring'!B135</f>
        <v>193217678.72999999</v>
      </c>
      <c r="H29" s="173">
        <f>'Storebrand Livsforsikring'!C10+'Storebrand Livsforsikring'!C29+'Storebrand Livsforsikring'!C37+'Storebrand Livsforsikring'!C87+'Storebrand Livsforsikring'!C135</f>
        <v>200165633.33700004</v>
      </c>
      <c r="I29" s="102">
        <f t="shared" si="3"/>
        <v>3.6</v>
      </c>
      <c r="J29" s="395">
        <f t="shared" si="4"/>
        <v>16.590412172159962</v>
      </c>
      <c r="K29" s="137"/>
      <c r="L29" s="219" t="e">
        <f t="shared" ca="1" si="6"/>
        <v>#REF!</v>
      </c>
      <c r="M29" s="217" t="e">
        <f t="shared" ca="1" si="7"/>
        <v>#REF!</v>
      </c>
      <c r="N29" s="219" t="e">
        <f t="shared" ca="1" si="8"/>
        <v>#REF!</v>
      </c>
      <c r="O29" s="217" t="e">
        <f t="shared" ca="1" si="9"/>
        <v>#REF!</v>
      </c>
    </row>
    <row r="30" spans="1:18" ht="18.75" x14ac:dyDescent="0.3">
      <c r="A30" s="106" t="s">
        <v>94</v>
      </c>
      <c r="B30" s="173">
        <f>'Telenor Forsikring'!B7+'Telenor Forsikring'!B22+'Telenor Forsikring'!B36+'Telenor Forsikring'!B47+'Telenor Forsikring'!B66+'Telenor Forsikring'!B134</f>
        <v>1014</v>
      </c>
      <c r="C30" s="173">
        <f>'Telenor Forsikring'!C7+'Telenor Forsikring'!C22+'Telenor Forsikring'!C36+'Telenor Forsikring'!C47+'Telenor Forsikring'!C66+'Telenor Forsikring'!C134</f>
        <v>0</v>
      </c>
      <c r="D30" s="102">
        <f t="shared" si="2"/>
        <v>-100</v>
      </c>
      <c r="E30" s="395">
        <f t="shared" si="1"/>
        <v>0</v>
      </c>
      <c r="F30" s="101"/>
      <c r="G30" s="173">
        <f>'Telenor Forsikring'!B10+'Telenor Forsikring'!B29+'Telenor Forsikring'!B37+'Telenor Forsikring'!B87+'Telenor Forsikring'!B135</f>
        <v>0</v>
      </c>
      <c r="H30" s="173">
        <f>'Telenor Forsikring'!C10+'Telenor Forsikring'!C29+'Telenor Forsikring'!C37+'Telenor Forsikring'!C87+'Telenor Forsikring'!C135</f>
        <v>0</v>
      </c>
      <c r="I30" s="102"/>
      <c r="J30" s="395">
        <f t="shared" si="4"/>
        <v>0</v>
      </c>
      <c r="K30" s="137"/>
      <c r="L30" s="219">
        <f t="shared" ca="1" si="6"/>
        <v>0</v>
      </c>
      <c r="M30" s="217">
        <f t="shared" ca="1" si="7"/>
        <v>0</v>
      </c>
      <c r="N30" s="219">
        <f t="shared" ca="1" si="8"/>
        <v>0</v>
      </c>
      <c r="O30" s="217">
        <f t="shared" ca="1" si="9"/>
        <v>0</v>
      </c>
      <c r="R30" s="551"/>
    </row>
    <row r="31" spans="1:18" ht="18.75" x14ac:dyDescent="0.3">
      <c r="A31" s="106" t="s">
        <v>95</v>
      </c>
      <c r="B31" s="173">
        <f>'Tryg Forsikring'!B7+'Tryg Forsikring'!B22+'Tryg Forsikring'!B36+'Tryg Forsikring'!B47+'Tryg Forsikring'!B66+'Tryg Forsikring'!B134</f>
        <v>566035.48</v>
      </c>
      <c r="C31" s="173">
        <f>'Tryg Forsikring'!C7+'Tryg Forsikring'!C22+'Tryg Forsikring'!C36+'Tryg Forsikring'!C47+'Tryg Forsikring'!C66+'Tryg Forsikring'!C134</f>
        <v>636479</v>
      </c>
      <c r="D31" s="102">
        <f t="shared" si="2"/>
        <v>12.4</v>
      </c>
      <c r="E31" s="395">
        <f t="shared" si="1"/>
        <v>0.980917988812542</v>
      </c>
      <c r="F31" s="101"/>
      <c r="G31" s="669"/>
      <c r="I31" s="102"/>
      <c r="J31" s="395">
        <f t="shared" si="4"/>
        <v>0</v>
      </c>
      <c r="K31" s="203"/>
      <c r="L31" s="219">
        <f t="shared" ca="1" si="6"/>
        <v>0</v>
      </c>
      <c r="M31" s="217">
        <f t="shared" ca="1" si="7"/>
        <v>0</v>
      </c>
      <c r="N31" s="219">
        <f t="shared" ca="1" si="8"/>
        <v>0</v>
      </c>
      <c r="O31" s="217">
        <f t="shared" ca="1" si="9"/>
        <v>0</v>
      </c>
    </row>
    <row r="32" spans="1:18" ht="18.75" x14ac:dyDescent="0.3">
      <c r="A32" s="189" t="s">
        <v>396</v>
      </c>
      <c r="B32" s="173">
        <f>'WaterCircles F'!B7+'WaterCircles F'!B22+'WaterCircles F'!B36+'WaterCircles F'!B47+'WaterCircles F'!B66+'WaterCircles F'!B136</f>
        <v>1806</v>
      </c>
      <c r="C32" s="173">
        <f>'WaterCircles F'!C7+'WaterCircles F'!C22+'WaterCircles F'!C36+'WaterCircles F'!C47+'WaterCircles F'!C66+'WaterCircles F'!C136</f>
        <v>2123</v>
      </c>
      <c r="D32" s="102">
        <f t="shared" si="2"/>
        <v>17.600000000000001</v>
      </c>
      <c r="E32" s="395">
        <f t="shared" si="1"/>
        <v>3.2718893950138602E-3</v>
      </c>
      <c r="F32" s="189"/>
      <c r="G32" s="101">
        <f>'WaterCircles F'!B10+'WaterCircles F'!B29+'WaterCircles F'!B37+'WaterCircles F'!B87+'WaterCircles F'!B135</f>
        <v>0</v>
      </c>
      <c r="H32" s="101">
        <f>'WaterCircles F'!C10+'WaterCircles F'!C29+'WaterCircles F'!C37+'WaterCircles F'!C87+'WaterCircles F'!C135</f>
        <v>0</v>
      </c>
      <c r="I32" s="102"/>
      <c r="J32" s="395">
        <f t="shared" si="4"/>
        <v>0</v>
      </c>
      <c r="K32" s="203"/>
      <c r="L32" s="219">
        <f t="shared" ca="1" si="6"/>
        <v>0</v>
      </c>
      <c r="M32" s="217">
        <f t="shared" ca="1" si="7"/>
        <v>0</v>
      </c>
      <c r="N32" s="219">
        <f t="shared" ca="1" si="8"/>
        <v>0</v>
      </c>
      <c r="O32" s="217">
        <f t="shared" ca="1" si="9"/>
        <v>0</v>
      </c>
    </row>
    <row r="33" spans="1:21" ht="18.75" x14ac:dyDescent="0.3">
      <c r="A33" s="106" t="s">
        <v>404</v>
      </c>
      <c r="B33" s="173">
        <f>'Youplus Livsforsikring'!B7+'Youplus Livsforsikring'!B22+'Youplus Livsforsikring'!B36+'Youplus Livsforsikring'!B47+'Youplus Livsforsikring'!B66+'Youplus Livsforsikring'!B134</f>
        <v>0</v>
      </c>
      <c r="C33" s="173">
        <f>'Youplus Livsforsikring'!C7+'Youplus Livsforsikring'!C22+'Youplus Livsforsikring'!C36+'Youplus Livsforsikring'!C47+'Youplus Livsforsikring'!C66+'Youplus Livsforsikring'!C134</f>
        <v>3579</v>
      </c>
      <c r="D33" s="102" t="str">
        <f>IF(B33=0, "    ---- ", IF(ABS(ROUND(100/B33*C33-100,1))&lt;999,ROUND(100/B33*C33-100,1),IF(ROUND(100/B33*C33-100,1)&gt;999,999,-999)))</f>
        <v xml:space="preserve">    ---- </v>
      </c>
      <c r="E33" s="395">
        <f t="shared" si="1"/>
        <v>5.5158229603177603E-3</v>
      </c>
      <c r="F33" s="101"/>
      <c r="G33" s="173">
        <f>'Youplus Livsforsikring'!B10+'Youplus Livsforsikring'!B29+'Youplus Livsforsikring'!B37+'Youplus Livsforsikring'!B87+'Youplus Livsforsikring'!B135</f>
        <v>0</v>
      </c>
      <c r="H33" s="173">
        <f>'Youplus Livsforsikring'!C10+'Youplus Livsforsikring'!C29+'Youplus Livsforsikring'!C37+'Youplus Livsforsikring'!C87+'Youplus Livsforsikring'!C135</f>
        <v>3017</v>
      </c>
      <c r="I33" s="102" t="str">
        <f>IF(G33=0, "    ---- ", IF(ABS(ROUND(100/G33*H33-100,1))&lt;999,ROUND(100/G33*H33-100,1),IF(ROUND(100/G33*H33-100,1)&gt;999,999,-999)))</f>
        <v xml:space="preserve">    ---- </v>
      </c>
      <c r="J33" s="395">
        <f t="shared" si="4"/>
        <v>2.5005927685466675E-4</v>
      </c>
      <c r="K33" s="137"/>
      <c r="L33" s="219">
        <f ca="1">INDIRECT("'" &amp; $A21 &amp; "'!" &amp; $P$7)</f>
        <v>0</v>
      </c>
      <c r="M33" s="217">
        <f ca="1">INDIRECT("'" &amp; $A21 &amp; "'!" &amp; $P$8)</f>
        <v>0</v>
      </c>
      <c r="N33" s="219">
        <f ca="1">INDIRECT("'" &amp; $A21 &amp; "'!" &amp; $P$10)</f>
        <v>0</v>
      </c>
      <c r="O33" s="217">
        <f ca="1">INDIRECT("'" &amp; $A21 &amp; "'!" &amp; $P$11)</f>
        <v>0</v>
      </c>
    </row>
    <row r="34" spans="1:21" s="109" customFormat="1" ht="18.75" x14ac:dyDescent="0.3">
      <c r="A34" s="135" t="s">
        <v>96</v>
      </c>
      <c r="B34" s="175">
        <f>SUM(B9:B33)</f>
        <v>63837331.900669411</v>
      </c>
      <c r="C34" s="238">
        <f>SUM(C9:C33)</f>
        <v>64886056.455187924</v>
      </c>
      <c r="D34" s="102">
        <f t="shared" ref="D34" si="11">IF(B34=0, "    ---- ", IF(ABS(ROUND(100/B34*C34-100,1))&lt;999,ROUND(100/B34*C34-100,1),IF(ROUND(100/B34*C34-100,1)&gt;999,999,-999)))</f>
        <v>1.6</v>
      </c>
      <c r="E34" s="396">
        <f>SUM(E9:E33)</f>
        <v>99.999999999999986</v>
      </c>
      <c r="F34" s="107"/>
      <c r="G34" s="175">
        <f>SUM(G9:G33)</f>
        <v>1131769059.6850834</v>
      </c>
      <c r="H34" s="175">
        <f>SUM(H9:H33)</f>
        <v>1206513926.5972788</v>
      </c>
      <c r="I34" s="102">
        <f t="shared" ref="I34" si="12">IF(G34=0, "    ---- ", IF(ABS(ROUND(100/G34*H34-100,1))&lt;999,ROUND(100/G34*H34-100,1),IF(ROUND(100/G34*H34-100,1)&gt;999,999,-999)))</f>
        <v>6.6</v>
      </c>
      <c r="J34" s="396">
        <f>SUM(J9:J33)</f>
        <v>100</v>
      </c>
      <c r="K34" s="205"/>
      <c r="L34" s="219" t="e">
        <f ca="1">SUM(L10:L32)</f>
        <v>#REF!</v>
      </c>
      <c r="M34" s="217" t="e">
        <f ca="1">SUM(M10:M32)</f>
        <v>#REF!</v>
      </c>
      <c r="N34" s="219" t="e">
        <f ca="1">SUM(N10:N32)</f>
        <v>#REF!</v>
      </c>
      <c r="O34" s="217" t="e">
        <f ca="1">SUM(O10:O32)</f>
        <v>#REF!</v>
      </c>
      <c r="U34" s="201"/>
    </row>
    <row r="35" spans="1:21" ht="18.75" x14ac:dyDescent="0.3">
      <c r="A35" s="84"/>
      <c r="B35" s="173"/>
      <c r="C35" s="137"/>
      <c r="D35" s="102"/>
      <c r="E35" s="395"/>
      <c r="F35" s="101"/>
      <c r="G35" s="173"/>
      <c r="H35" s="101"/>
      <c r="I35" s="102"/>
      <c r="J35" s="395"/>
      <c r="K35" s="203"/>
      <c r="L35" s="216" t="s">
        <v>1</v>
      </c>
      <c r="M35" s="217"/>
      <c r="N35" s="219"/>
      <c r="O35" s="217"/>
    </row>
    <row r="36" spans="1:21" ht="18.75" x14ac:dyDescent="0.3">
      <c r="A36" s="99" t="s">
        <v>1</v>
      </c>
      <c r="B36" s="173"/>
      <c r="C36" s="137"/>
      <c r="D36" s="102"/>
      <c r="E36" s="395"/>
      <c r="F36" s="101"/>
      <c r="G36" s="173"/>
      <c r="H36" s="101"/>
      <c r="I36" s="102"/>
      <c r="J36" s="395"/>
      <c r="K36" s="203"/>
      <c r="L36" s="220">
        <v>2015</v>
      </c>
      <c r="M36" s="221">
        <v>2016</v>
      </c>
      <c r="N36" s="220">
        <v>2015</v>
      </c>
      <c r="O36" s="221">
        <v>2016</v>
      </c>
      <c r="P36" s="85" t="s">
        <v>150</v>
      </c>
    </row>
    <row r="37" spans="1:21" ht="18.75" x14ac:dyDescent="0.3">
      <c r="A37" s="189" t="s">
        <v>437</v>
      </c>
      <c r="B37" s="128">
        <f>'Storebrand Danica P'!F7+'Storebrand Danica P'!F22+'Storebrand Danica P'!F66+'Storebrand Danica P'!F134</f>
        <v>1727762.4669999999</v>
      </c>
      <c r="C37" s="128">
        <f>'Storebrand Danica P'!G7+'Storebrand Danica P'!G22+'Storebrand Danica P'!G66+'Storebrand Danica P'!G134</f>
        <v>1811787.2900899998</v>
      </c>
      <c r="D37" s="102">
        <f t="shared" ref="D37:D46" si="13">IF(B37=0, "    ---- ", IF(ABS(ROUND(100/B37*C37-100,1))&lt;999,ROUND(100/B37*C37-100,1),IF(ROUND(100/B37*C37-100,1)&gt;999,999,-999)))</f>
        <v>4.9000000000000004</v>
      </c>
      <c r="E37" s="395">
        <f t="shared" ref="E37:E45" si="14">100/C$46*C37</f>
        <v>4.5807738930969242</v>
      </c>
      <c r="F37" s="101"/>
      <c r="G37" s="173">
        <f>'Storebrand Danica P'!F10+'Storebrand Danica P'!F29+'Storebrand Danica P'!F87+'Storebrand Danica P'!F135</f>
        <v>27529054.677000001</v>
      </c>
      <c r="H37" s="173">
        <f>'Storebrand Danica P'!G10+'Storebrand Danica P'!G29+'Storebrand Danica P'!G87+'Storebrand Danica P'!G135</f>
        <v>26046630.689800002</v>
      </c>
      <c r="I37" s="102">
        <f t="shared" ref="I37:I46" si="15">IF(G37=0, "    ---- ", IF(ABS(ROUND(100/G37*H37-100,1))&lt;999,ROUND(100/G37*H37-100,1),IF(ROUND(100/G37*H37-100,1)&gt;999,999,-999)))</f>
        <v>-5.4</v>
      </c>
      <c r="J37" s="395">
        <f t="shared" ref="J37:J45" si="16">100/H$46*H37</f>
        <v>5.1217829819566312</v>
      </c>
      <c r="K37" s="203" t="s">
        <v>139</v>
      </c>
      <c r="L37" s="219" t="e">
        <f t="shared" ref="L37:L45" ca="1" si="17">INDIRECT("'" &amp; $A37 &amp; "'!" &amp; $P$36)</f>
        <v>#REF!</v>
      </c>
      <c r="M37" s="217" t="e">
        <f t="shared" ref="M37:M45" ca="1" si="18">INDIRECT("'" &amp; $A37 &amp; "'!" &amp; $P$37)</f>
        <v>#REF!</v>
      </c>
      <c r="N37" s="219" t="e">
        <f t="shared" ref="N37:N45" ca="1" si="19">INDIRECT("'" &amp; $A37 &amp; "'!" &amp; $P$38)</f>
        <v>#REF!</v>
      </c>
      <c r="O37" s="217" t="e">
        <f ca="1">INDIRECT("'"&amp;$A37&amp;"'!"&amp;$P$39)</f>
        <v>#REF!</v>
      </c>
      <c r="P37" s="85" t="s">
        <v>152</v>
      </c>
    </row>
    <row r="38" spans="1:21" ht="18.75" x14ac:dyDescent="0.3">
      <c r="A38" s="84" t="s">
        <v>82</v>
      </c>
      <c r="B38" s="128">
        <f>'DNB Livsforsikring'!F7+'DNB Livsforsikring'!F22+'DNB Livsforsikring'!F66+'DNB Livsforsikring'!F134</f>
        <v>8603889.4309999999</v>
      </c>
      <c r="C38" s="128">
        <f>'DNB Livsforsikring'!G7+'DNB Livsforsikring'!G22+'DNB Livsforsikring'!G66+'DNB Livsforsikring'!G134</f>
        <v>9504232</v>
      </c>
      <c r="D38" s="102">
        <f t="shared" si="13"/>
        <v>10.5</v>
      </c>
      <c r="E38" s="395">
        <f t="shared" si="14"/>
        <v>24.029718089795018</v>
      </c>
      <c r="F38" s="101"/>
      <c r="G38" s="173">
        <f>'DNB Livsforsikring'!F10+'DNB Livsforsikring'!F29+'DNB Livsforsikring'!F87+'DNB Livsforsikring'!F135</f>
        <v>131616569.77000001</v>
      </c>
      <c r="H38" s="173">
        <f>'DNB Livsforsikring'!G10+'DNB Livsforsikring'!G29+'DNB Livsforsikring'!G87+'DNB Livsforsikring'!G135</f>
        <v>128365139</v>
      </c>
      <c r="I38" s="102">
        <f t="shared" si="15"/>
        <v>-2.5</v>
      </c>
      <c r="J38" s="395">
        <f t="shared" si="16"/>
        <v>25.241590447403308</v>
      </c>
      <c r="K38" s="85" t="s">
        <v>147</v>
      </c>
      <c r="L38" s="219">
        <f t="shared" ca="1" si="17"/>
        <v>0</v>
      </c>
      <c r="M38" s="217">
        <f t="shared" ca="1" si="18"/>
        <v>0</v>
      </c>
      <c r="N38" s="219">
        <f t="shared" ca="1" si="19"/>
        <v>0</v>
      </c>
      <c r="O38" s="217">
        <f ca="1">INDIRECT("'"&amp;$A38&amp;"'!"&amp;$P$39)</f>
        <v>0</v>
      </c>
      <c r="P38" s="85" t="s">
        <v>151</v>
      </c>
    </row>
    <row r="39" spans="1:21" ht="18.75" x14ac:dyDescent="0.3">
      <c r="A39" s="105" t="s">
        <v>84</v>
      </c>
      <c r="B39" s="128">
        <f>'Frende Livsforsikring'!F7+'Frende Livsforsikring'!F22+'Frende Livsforsikring'!F66+'Frende Livsforsikring'!F134</f>
        <v>0</v>
      </c>
      <c r="C39" s="128">
        <f>'Frende Livsforsikring'!G7+'Frende Livsforsikring'!G22+'Frende Livsforsikring'!G66+'Frende Livsforsikring'!G134</f>
        <v>0</v>
      </c>
      <c r="D39" s="102"/>
      <c r="E39" s="395">
        <f t="shared" si="14"/>
        <v>0</v>
      </c>
      <c r="F39" s="101"/>
      <c r="G39" s="173">
        <f>'Frende Livsforsikring'!F10+'Frende Livsforsikring'!F29+'Frende Livsforsikring'!F87+'Frende Livsforsikring'!F135</f>
        <v>0</v>
      </c>
      <c r="H39" s="173">
        <f>'Frende Livsforsikring'!G10+'Frende Livsforsikring'!G29+'Frende Livsforsikring'!G87+'Frende Livsforsikring'!G135</f>
        <v>0</v>
      </c>
      <c r="I39" s="102"/>
      <c r="J39" s="395">
        <f t="shared" si="16"/>
        <v>0</v>
      </c>
      <c r="K39" s="85" t="s">
        <v>140</v>
      </c>
      <c r="L39" s="219">
        <f t="shared" ca="1" si="17"/>
        <v>0</v>
      </c>
      <c r="M39" s="217">
        <f t="shared" ca="1" si="18"/>
        <v>0</v>
      </c>
      <c r="N39" s="219">
        <f t="shared" ca="1" si="19"/>
        <v>0</v>
      </c>
      <c r="O39" s="217">
        <f t="shared" ref="O39:O45" ca="1" si="20">INDIRECT("'"&amp;$A39&amp;"'!"&amp;$P$39)</f>
        <v>0</v>
      </c>
      <c r="P39" s="85" t="s">
        <v>153</v>
      </c>
    </row>
    <row r="40" spans="1:21" ht="18.75" x14ac:dyDescent="0.3">
      <c r="A40" s="105" t="s">
        <v>87</v>
      </c>
      <c r="B40" s="128">
        <f>'Gjensidige Pensjon'!F7+'Gjensidige Pensjon'!F22+'Gjensidige Pensjon'!F66+'Gjensidige Pensjon'!F134</f>
        <v>2707157.7600000002</v>
      </c>
      <c r="C40" s="128">
        <f>'Gjensidige Pensjon'!G7+'Gjensidige Pensjon'!G22+'Gjensidige Pensjon'!G66+'Gjensidige Pensjon'!G134</f>
        <v>3199959</v>
      </c>
      <c r="D40" s="102">
        <f t="shared" si="13"/>
        <v>18.2</v>
      </c>
      <c r="E40" s="395">
        <f t="shared" si="14"/>
        <v>8.0905130124035676</v>
      </c>
      <c r="F40" s="101"/>
      <c r="G40" s="173">
        <f>'Gjensidige Pensjon'!F10+'Gjensidige Pensjon'!F29+'Gjensidige Pensjon'!F87+'Gjensidige Pensjon'!F135</f>
        <v>40002105.299999997</v>
      </c>
      <c r="H40" s="173">
        <f>'Gjensidige Pensjon'!G10+'Gjensidige Pensjon'!G29+'Gjensidige Pensjon'!G87+'Gjensidige Pensjon'!G135</f>
        <v>40928356</v>
      </c>
      <c r="I40" s="102">
        <f t="shared" si="15"/>
        <v>2.2999999999999998</v>
      </c>
      <c r="J40" s="395">
        <f t="shared" si="16"/>
        <v>8.0481103194031665</v>
      </c>
      <c r="K40" s="85" t="s">
        <v>148</v>
      </c>
      <c r="L40" s="219">
        <f t="shared" ca="1" si="17"/>
        <v>0</v>
      </c>
      <c r="M40" s="217">
        <f t="shared" ca="1" si="18"/>
        <v>0</v>
      </c>
      <c r="N40" s="219">
        <f t="shared" ca="1" si="19"/>
        <v>0</v>
      </c>
      <c r="O40" s="217">
        <f t="shared" ca="1" si="20"/>
        <v>0</v>
      </c>
    </row>
    <row r="41" spans="1:21" ht="18.75" x14ac:dyDescent="0.3">
      <c r="A41" s="105" t="s">
        <v>62</v>
      </c>
      <c r="B41" s="128">
        <f>KLP!F7+KLP!F22+KLP!F66+KLP!F134</f>
        <v>116273.039</v>
      </c>
      <c r="C41" s="128">
        <f>KLP!G7+KLP!G22+KLP!G66+KLP!G134</f>
        <v>131709.47200000001</v>
      </c>
      <c r="D41" s="102">
        <f t="shared" si="13"/>
        <v>13.3</v>
      </c>
      <c r="E41" s="395">
        <f t="shared" si="14"/>
        <v>0.33300339069119428</v>
      </c>
      <c r="F41" s="101"/>
      <c r="G41" s="173">
        <f>KLP!F10+KLP!F29+KLP!F87+KLP!F135</f>
        <v>2172918.8607600001</v>
      </c>
      <c r="H41" s="173">
        <f>KLP!G10+KLP!G29+KLP!G87+KLP!G135</f>
        <v>2548669.2979299999</v>
      </c>
      <c r="I41" s="102">
        <f t="shared" si="15"/>
        <v>17.3</v>
      </c>
      <c r="J41" s="395">
        <f t="shared" si="16"/>
        <v>0.50116773997510322</v>
      </c>
      <c r="K41" s="85" t="s">
        <v>141</v>
      </c>
      <c r="L41" s="219">
        <f t="shared" ca="1" si="17"/>
        <v>0</v>
      </c>
      <c r="M41" s="217">
        <f t="shared" ca="1" si="18"/>
        <v>0</v>
      </c>
      <c r="N41" s="219">
        <f t="shared" ca="1" si="19"/>
        <v>0</v>
      </c>
      <c r="O41" s="217">
        <f t="shared" ca="1" si="20"/>
        <v>0</v>
      </c>
    </row>
    <row r="42" spans="1:21" ht="18.75" x14ac:dyDescent="0.3">
      <c r="A42" s="105" t="s">
        <v>91</v>
      </c>
      <c r="B42" s="128">
        <f>'Nordea Liv '!F7+'Nordea Liv '!F22+'Nordea Liv '!F66+'Nordea Liv '!F134</f>
        <v>13080796.69379</v>
      </c>
      <c r="C42" s="128">
        <f>'Nordea Liv '!G7+'Nordea Liv '!G22+'Nordea Liv '!G66+'Nordea Liv '!G134</f>
        <v>10389567.608209999</v>
      </c>
      <c r="D42" s="102">
        <f t="shared" si="13"/>
        <v>-20.6</v>
      </c>
      <c r="E42" s="395">
        <f t="shared" si="14"/>
        <v>26.268127787721532</v>
      </c>
      <c r="F42" s="101"/>
      <c r="G42" s="173">
        <f>'Nordea Liv '!F10+'Nordea Liv '!F29+'Nordea Liv '!F87+'Nordea Liv '!F135</f>
        <v>117827820</v>
      </c>
      <c r="H42" s="173">
        <f>'Nordea Liv '!G10+'Nordea Liv '!G29+'Nordea Liv '!G87+'Nordea Liv '!G135</f>
        <v>112327400</v>
      </c>
      <c r="I42" s="102">
        <f t="shared" si="15"/>
        <v>-4.7</v>
      </c>
      <c r="J42" s="395">
        <f t="shared" si="16"/>
        <v>22.087945753103966</v>
      </c>
      <c r="K42" s="203"/>
      <c r="L42" s="219">
        <f t="shared" ca="1" si="17"/>
        <v>0</v>
      </c>
      <c r="M42" s="217">
        <f t="shared" ca="1" si="18"/>
        <v>0</v>
      </c>
      <c r="N42" s="219">
        <f t="shared" ca="1" si="19"/>
        <v>0</v>
      </c>
      <c r="O42" s="217">
        <f t="shared" ca="1" si="20"/>
        <v>0</v>
      </c>
    </row>
    <row r="43" spans="1:21" ht="18.75" x14ac:dyDescent="0.3">
      <c r="A43" s="105" t="s">
        <v>70</v>
      </c>
      <c r="B43" s="128">
        <f>'SHB Liv'!F7+'SHB Liv'!F22+'SHB Liv'!F66+'SHB Liv'!F134</f>
        <v>118580.72222</v>
      </c>
      <c r="C43" s="128">
        <f>'SHB Liv'!G7+'SHB Liv'!G22+'SHB Liv'!G66+'SHB Liv'!G134</f>
        <v>82933.019990000015</v>
      </c>
      <c r="D43" s="102">
        <f t="shared" si="13"/>
        <v>-30.1</v>
      </c>
      <c r="E43" s="395">
        <f t="shared" si="14"/>
        <v>0.20968102322155388</v>
      </c>
      <c r="F43" s="101"/>
      <c r="G43" s="173">
        <f>'SHB Liv'!F10+'SHB Liv'!F29+'SHB Liv'!F87+'SHB Liv'!F135</f>
        <v>3184098.7069999999</v>
      </c>
      <c r="H43" s="173">
        <f>'SHB Liv'!G10+'SHB Liv'!G29+'SHB Liv'!G87+'SHB Liv'!G135</f>
        <v>2698313.8461000002</v>
      </c>
      <c r="I43" s="102">
        <f t="shared" si="15"/>
        <v>-15.3</v>
      </c>
      <c r="J43" s="395">
        <f t="shared" si="16"/>
        <v>0.5305936918107792</v>
      </c>
      <c r="K43" s="203"/>
      <c r="L43" s="219">
        <f t="shared" ca="1" si="17"/>
        <v>0</v>
      </c>
      <c r="M43" s="217">
        <f t="shared" ca="1" si="18"/>
        <v>0</v>
      </c>
      <c r="N43" s="219">
        <f t="shared" ca="1" si="19"/>
        <v>0</v>
      </c>
      <c r="O43" s="217">
        <f t="shared" ca="1" si="20"/>
        <v>0</v>
      </c>
    </row>
    <row r="44" spans="1:21" ht="18.75" x14ac:dyDescent="0.3">
      <c r="A44" s="84" t="s">
        <v>402</v>
      </c>
      <c r="B44" s="128">
        <f>'Sparebank 1'!F7+'Sparebank 1'!F22+'Sparebank 1'!F66+'Sparebank 1'!F134</f>
        <v>4053690.9884699997</v>
      </c>
      <c r="C44" s="128">
        <f>'Sparebank 1'!G7+'Sparebank 1'!G22+'Sparebank 1'!G66+'Sparebank 1'!G134</f>
        <v>4592774.7892099991</v>
      </c>
      <c r="D44" s="102">
        <f t="shared" si="13"/>
        <v>13.3</v>
      </c>
      <c r="E44" s="395">
        <f t="shared" si="14"/>
        <v>11.611993839653117</v>
      </c>
      <c r="F44" s="101"/>
      <c r="G44" s="173">
        <f>'Sparebank 1'!F10+'Sparebank 1'!F29+'Sparebank 1'!F87+'Sparebank 1'!F135</f>
        <v>52494337.715269998</v>
      </c>
      <c r="H44" s="173">
        <f>'Sparebank 1'!G10+'Sparebank 1'!G29+'Sparebank 1'!G87+'Sparebank 1'!G135</f>
        <v>51982267.810209997</v>
      </c>
      <c r="I44" s="102">
        <f t="shared" si="15"/>
        <v>-1</v>
      </c>
      <c r="J44" s="395">
        <f t="shared" si="16"/>
        <v>10.221740301255444</v>
      </c>
      <c r="K44" s="137"/>
      <c r="L44" s="219" t="e">
        <f t="shared" ca="1" si="17"/>
        <v>#REF!</v>
      </c>
      <c r="M44" s="217" t="e">
        <f t="shared" ca="1" si="18"/>
        <v>#REF!</v>
      </c>
      <c r="N44" s="219" t="e">
        <f t="shared" ca="1" si="19"/>
        <v>#REF!</v>
      </c>
      <c r="O44" s="217" t="e">
        <f t="shared" ca="1" si="20"/>
        <v>#REF!</v>
      </c>
    </row>
    <row r="45" spans="1:21" ht="18.75" x14ac:dyDescent="0.3">
      <c r="A45" s="84" t="s">
        <v>93</v>
      </c>
      <c r="B45" s="128">
        <f>'Storebrand Livsforsikring'!F7+'Storebrand Livsforsikring'!F22+'Storebrand Livsforsikring'!F66+'Storebrand Livsforsikring'!F134</f>
        <v>9785506.8489999995</v>
      </c>
      <c r="C45" s="128">
        <f>'Storebrand Livsforsikring'!G7+'Storebrand Livsforsikring'!G22+'Storebrand Livsforsikring'!G66+'Storebrand Livsforsikring'!G134</f>
        <v>9839028.0860000011</v>
      </c>
      <c r="D45" s="102">
        <f t="shared" si="13"/>
        <v>0.5</v>
      </c>
      <c r="E45" s="395">
        <f t="shared" si="14"/>
        <v>24.876188963417086</v>
      </c>
      <c r="F45" s="101"/>
      <c r="G45" s="173">
        <f>'Storebrand Livsforsikring'!F10+'Storebrand Livsforsikring'!F29+'Storebrand Livsforsikring'!F87+'Storebrand Livsforsikring'!F135</f>
        <v>151409583.368</v>
      </c>
      <c r="H45" s="173">
        <f>'Storebrand Livsforsikring'!G10+'Storebrand Livsforsikring'!G29+'Storebrand Livsforsikring'!G87+'Storebrand Livsforsikring'!G135</f>
        <v>143649383.581</v>
      </c>
      <c r="I45" s="102">
        <f t="shared" si="15"/>
        <v>-5.0999999999999996</v>
      </c>
      <c r="J45" s="395">
        <f t="shared" si="16"/>
        <v>28.247068765091612</v>
      </c>
      <c r="K45" s="137"/>
      <c r="L45" s="219">
        <f t="shared" ca="1" si="17"/>
        <v>0</v>
      </c>
      <c r="M45" s="217">
        <f t="shared" ca="1" si="18"/>
        <v>0</v>
      </c>
      <c r="N45" s="219">
        <f t="shared" ca="1" si="19"/>
        <v>0</v>
      </c>
      <c r="O45" s="217">
        <f t="shared" ca="1" si="20"/>
        <v>0</v>
      </c>
    </row>
    <row r="46" spans="1:21" s="109" customFormat="1" ht="18.75" x14ac:dyDescent="0.3">
      <c r="A46" s="99" t="s">
        <v>97</v>
      </c>
      <c r="B46" s="238">
        <f>SUM(B37:B45)</f>
        <v>40193657.950479999</v>
      </c>
      <c r="C46" s="238">
        <f>SUM(C37:C45)</f>
        <v>39551991.265500002</v>
      </c>
      <c r="D46" s="102">
        <f t="shared" si="13"/>
        <v>-1.6</v>
      </c>
      <c r="E46" s="396">
        <f>SUM(E37:E45)</f>
        <v>100</v>
      </c>
      <c r="F46" s="107"/>
      <c r="G46" s="175">
        <f>SUM(G37:G45)</f>
        <v>526236488.39803004</v>
      </c>
      <c r="H46" s="175">
        <f>SUM(H37:H45)</f>
        <v>508546160.22503996</v>
      </c>
      <c r="I46" s="102">
        <f t="shared" si="15"/>
        <v>-3.4</v>
      </c>
      <c r="J46" s="396">
        <f>SUM(J37:J45)</f>
        <v>100.00000000000001</v>
      </c>
      <c r="K46" s="137"/>
      <c r="L46" s="219" t="e">
        <f ca="1">SUM(L37:L45)</f>
        <v>#REF!</v>
      </c>
      <c r="M46" s="217" t="e">
        <f ca="1">SUM(M37:M45)</f>
        <v>#REF!</v>
      </c>
      <c r="N46" s="219" t="e">
        <f ca="1">SUM(N37:N45)</f>
        <v>#REF!</v>
      </c>
      <c r="O46" s="217" t="e">
        <f ca="1">SUM(O37:O45)</f>
        <v>#REF!</v>
      </c>
    </row>
    <row r="47" spans="1:21" ht="18.75" x14ac:dyDescent="0.3">
      <c r="A47" s="99"/>
      <c r="B47" s="128"/>
      <c r="C47" s="107"/>
      <c r="D47" s="108"/>
      <c r="E47" s="395"/>
      <c r="F47" s="107"/>
      <c r="G47" s="175"/>
      <c r="H47" s="107"/>
      <c r="I47" s="108"/>
      <c r="J47" s="396"/>
      <c r="K47" s="137"/>
      <c r="L47" s="216" t="s">
        <v>98</v>
      </c>
      <c r="M47" s="222"/>
      <c r="N47" s="223"/>
      <c r="O47" s="222"/>
    </row>
    <row r="48" spans="1:21" ht="18.75" x14ac:dyDescent="0.3">
      <c r="A48" s="84"/>
      <c r="B48" s="128"/>
      <c r="C48" s="101"/>
      <c r="D48" s="102"/>
      <c r="E48" s="395"/>
      <c r="F48" s="101"/>
      <c r="G48" s="173"/>
      <c r="H48" s="101"/>
      <c r="I48" s="102"/>
      <c r="J48" s="395"/>
      <c r="K48" s="137"/>
      <c r="L48" s="220">
        <v>2015</v>
      </c>
      <c r="M48" s="221">
        <v>2016</v>
      </c>
      <c r="N48" s="220">
        <v>2015</v>
      </c>
      <c r="O48" s="221">
        <v>2016</v>
      </c>
    </row>
    <row r="49" spans="1:20" ht="18.75" x14ac:dyDescent="0.3">
      <c r="A49" s="99" t="s">
        <v>98</v>
      </c>
      <c r="B49" s="128"/>
      <c r="C49" s="101"/>
      <c r="D49" s="102"/>
      <c r="E49" s="395"/>
      <c r="F49" s="101"/>
      <c r="G49" s="173"/>
      <c r="H49" s="101"/>
      <c r="I49" s="102"/>
      <c r="J49" s="395"/>
      <c r="K49" s="137"/>
      <c r="L49" s="219"/>
      <c r="M49" s="217"/>
      <c r="N49" s="219"/>
      <c r="O49" s="217"/>
      <c r="P49" s="203"/>
      <c r="Q49" s="203"/>
      <c r="R49" s="203"/>
      <c r="S49" s="178"/>
      <c r="T49" s="137"/>
    </row>
    <row r="50" spans="1:20" ht="18.75" x14ac:dyDescent="0.3">
      <c r="A50" s="84" t="s">
        <v>398</v>
      </c>
      <c r="B50" s="128">
        <f>B9</f>
        <v>73022</v>
      </c>
      <c r="C50" s="128">
        <f>C9</f>
        <v>0</v>
      </c>
      <c r="D50" s="102">
        <f t="shared" ref="D50" si="21">IF(B50=0, "    ---- ", IF(ABS(ROUND(100/B50*C50-100,1))&lt;999,ROUND(100/B50*C50-100,1),IF(ROUND(100/B50*C50-100,1)&gt;999,999,-999)))</f>
        <v>-100</v>
      </c>
      <c r="E50" s="395">
        <f t="shared" ref="E50:E73" si="22">100/C$76*C50</f>
        <v>0</v>
      </c>
      <c r="F50" s="101"/>
      <c r="G50" s="173">
        <f>G9</f>
        <v>0</v>
      </c>
      <c r="H50" s="173">
        <f>H9</f>
        <v>0</v>
      </c>
      <c r="I50" s="102"/>
      <c r="J50" s="395">
        <f t="shared" ref="J50:J73" si="23">100/H$76*H50</f>
        <v>0</v>
      </c>
      <c r="K50" s="137"/>
      <c r="L50" s="219" t="e">
        <f ca="1">L10</f>
        <v>#REF!</v>
      </c>
      <c r="M50" s="224" t="e">
        <f ca="1">M10</f>
        <v>#REF!</v>
      </c>
      <c r="N50" s="219" t="e">
        <f ca="1">N10</f>
        <v>#REF!</v>
      </c>
      <c r="O50" s="224" t="e">
        <f ca="1">O10</f>
        <v>#REF!</v>
      </c>
      <c r="P50" s="203"/>
      <c r="Q50" s="203"/>
      <c r="R50" s="203"/>
      <c r="S50" s="178"/>
      <c r="T50" s="137"/>
    </row>
    <row r="51" spans="1:20" ht="18.75" x14ac:dyDescent="0.3">
      <c r="A51" s="189" t="s">
        <v>437</v>
      </c>
      <c r="B51" s="128">
        <f>B10+B37</f>
        <v>2053146.5529999998</v>
      </c>
      <c r="C51" s="101">
        <f>C10+C37</f>
        <v>2149078.5386099997</v>
      </c>
      <c r="D51" s="102">
        <f t="shared" ref="D51:D74" si="24">IF(B51=0, "    ---- ", IF(ABS(ROUND(100/B51*C51-100,1))&lt;999,ROUND(100/B51*C51-100,1),IF(ROUND(100/B51*C51-100,1)&gt;999,999,-999)))</f>
        <v>4.7</v>
      </c>
      <c r="E51" s="395">
        <f t="shared" si="22"/>
        <v>2.0577544156680876</v>
      </c>
      <c r="F51" s="101"/>
      <c r="G51" s="173">
        <f>G10+G37</f>
        <v>28899301.892000001</v>
      </c>
      <c r="H51" s="173">
        <f>H10+H37</f>
        <v>27557690.923800003</v>
      </c>
      <c r="I51" s="102">
        <f t="shared" ref="I51:I71" si="25">IF(G51=0, "    ---- ", IF(ABS(ROUND(100/G51*H51-100,1))&lt;999,ROUND(100/G51*H51-100,1),IF(ROUND(100/G51*H51-100,1)&gt;999,999,-999)))</f>
        <v>-4.5999999999999996</v>
      </c>
      <c r="J51" s="395">
        <f t="shared" si="23"/>
        <v>1.6068061483991027</v>
      </c>
      <c r="K51" s="137"/>
      <c r="L51" s="219" t="e">
        <f ca="1">L11+L37</f>
        <v>#REF!</v>
      </c>
      <c r="M51" s="217" t="e">
        <f ca="1">M11+M37</f>
        <v>#REF!</v>
      </c>
      <c r="N51" s="219" t="e">
        <f ca="1">N11+N37</f>
        <v>#REF!</v>
      </c>
      <c r="O51" s="217" t="e">
        <f ca="1">O11+O37</f>
        <v>#REF!</v>
      </c>
      <c r="P51" s="203"/>
      <c r="Q51" s="203"/>
      <c r="R51" s="203"/>
      <c r="S51" s="178"/>
      <c r="T51" s="137"/>
    </row>
    <row r="52" spans="1:20" ht="18.75" x14ac:dyDescent="0.3">
      <c r="A52" s="84" t="s">
        <v>82</v>
      </c>
      <c r="B52" s="128">
        <f>B11+B38</f>
        <v>11254383.782</v>
      </c>
      <c r="C52" s="101">
        <f>+C11+C38</f>
        <v>12206643</v>
      </c>
      <c r="D52" s="102">
        <f t="shared" si="24"/>
        <v>8.5</v>
      </c>
      <c r="E52" s="395">
        <f t="shared" si="22"/>
        <v>11.687927212739361</v>
      </c>
      <c r="F52" s="101"/>
      <c r="G52" s="173">
        <f>+G11+G38</f>
        <v>326420152.15700001</v>
      </c>
      <c r="H52" s="173">
        <f>+H11+H38</f>
        <v>318264016.81169999</v>
      </c>
      <c r="I52" s="102">
        <f t="shared" si="25"/>
        <v>-2.5</v>
      </c>
      <c r="J52" s="395">
        <f t="shared" si="23"/>
        <v>18.557018454168738</v>
      </c>
      <c r="K52" s="137"/>
      <c r="L52" s="219">
        <f ca="1">L12+L38</f>
        <v>0</v>
      </c>
      <c r="M52" s="217">
        <f ca="1">+M12+M38</f>
        <v>0</v>
      </c>
      <c r="N52" s="219">
        <f ca="1">+N12+N38</f>
        <v>0</v>
      </c>
      <c r="O52" s="217">
        <f ca="1">+O12+O38</f>
        <v>0</v>
      </c>
      <c r="P52" s="203"/>
      <c r="Q52" s="203"/>
      <c r="R52" s="203"/>
      <c r="S52" s="178"/>
      <c r="T52" s="137"/>
    </row>
    <row r="53" spans="1:20" ht="18.75" x14ac:dyDescent="0.3">
      <c r="A53" s="84" t="s">
        <v>83</v>
      </c>
      <c r="B53" s="128">
        <f t="shared" ref="B53:C55" si="26">B12</f>
        <v>291419</v>
      </c>
      <c r="C53" s="101">
        <f t="shared" si="26"/>
        <v>335934</v>
      </c>
      <c r="D53" s="102">
        <f t="shared" si="24"/>
        <v>15.3</v>
      </c>
      <c r="E53" s="395">
        <f t="shared" si="22"/>
        <v>0.32165863622655172</v>
      </c>
      <c r="F53" s="101"/>
      <c r="G53" s="173">
        <f t="shared" ref="G53:H55" si="27">G12</f>
        <v>0</v>
      </c>
      <c r="H53" s="173">
        <f t="shared" si="27"/>
        <v>0</v>
      </c>
      <c r="I53" s="102"/>
      <c r="J53" s="395">
        <f t="shared" si="23"/>
        <v>0</v>
      </c>
      <c r="K53" s="137"/>
      <c r="L53" s="219">
        <f ca="1">L14</f>
        <v>0</v>
      </c>
      <c r="M53" s="217">
        <f ca="1">M14</f>
        <v>0</v>
      </c>
      <c r="N53" s="219">
        <f ca="1">N14</f>
        <v>0</v>
      </c>
      <c r="O53" s="217">
        <f ca="1">+O14+O39</f>
        <v>0</v>
      </c>
      <c r="P53" s="203"/>
      <c r="Q53" s="203"/>
      <c r="R53" s="203"/>
      <c r="S53" s="178"/>
      <c r="T53" s="137"/>
    </row>
    <row r="54" spans="1:20" ht="18.75" x14ac:dyDescent="0.3">
      <c r="A54" s="84" t="s">
        <v>399</v>
      </c>
      <c r="B54" s="128">
        <f t="shared" si="26"/>
        <v>10359.611999999999</v>
      </c>
      <c r="C54" s="128">
        <f t="shared" si="26"/>
        <v>26920</v>
      </c>
      <c r="D54" s="102">
        <f t="shared" ref="D54" si="28">IF(B54=0, "    ---- ", IF(ABS(ROUND(100/B54*C54-100,1))&lt;999,ROUND(100/B54*C54-100,1),IF(ROUND(100/B54*C54-100,1)&gt;999,999,-999)))</f>
        <v>159.9</v>
      </c>
      <c r="E54" s="395">
        <f t="shared" si="22"/>
        <v>2.5776046744952201E-2</v>
      </c>
      <c r="F54" s="101"/>
      <c r="G54" s="173">
        <f t="shared" si="27"/>
        <v>0</v>
      </c>
      <c r="H54" s="173">
        <f t="shared" si="27"/>
        <v>0</v>
      </c>
      <c r="I54" s="102"/>
      <c r="J54" s="395">
        <f t="shared" si="23"/>
        <v>0</v>
      </c>
      <c r="K54" s="137"/>
      <c r="L54" s="219"/>
      <c r="M54" s="217"/>
      <c r="N54" s="219"/>
      <c r="O54" s="217"/>
      <c r="P54" s="203"/>
      <c r="Q54" s="203"/>
      <c r="R54" s="203"/>
      <c r="S54" s="178"/>
      <c r="T54" s="137"/>
    </row>
    <row r="55" spans="1:20" ht="18.75" x14ac:dyDescent="0.3">
      <c r="A55" s="105" t="s">
        <v>383</v>
      </c>
      <c r="B55" s="128">
        <f t="shared" si="26"/>
        <v>2307250.8282099999</v>
      </c>
      <c r="C55" s="128">
        <f t="shared" si="26"/>
        <v>2472117.6320799999</v>
      </c>
      <c r="D55" s="102">
        <f t="shared" ref="D55" si="29">IF(B55=0, "    ---- ", IF(ABS(ROUND(100/B55*C55-100,1))&lt;999,ROUND(100/B55*C55-100,1),IF(ROUND(100/B55*C55-100,1)&gt;999,999,-999)))</f>
        <v>7.1</v>
      </c>
      <c r="E55" s="395">
        <f t="shared" si="22"/>
        <v>2.3670661086000973</v>
      </c>
      <c r="F55" s="101"/>
      <c r="G55" s="173">
        <f t="shared" si="27"/>
        <v>4152805.49841</v>
      </c>
      <c r="H55" s="173">
        <f t="shared" si="27"/>
        <v>4663711.9526500003</v>
      </c>
      <c r="I55" s="102">
        <f t="shared" ref="I55" si="30">IF(G55=0, "    ---- ", IF(ABS(ROUND(100/G55*H55-100,1))&lt;999,ROUND(100/G55*H55-100,1),IF(ROUND(100/G55*H55-100,1)&gt;999,999,-999)))</f>
        <v>12.3</v>
      </c>
      <c r="J55" s="395">
        <f t="shared" si="23"/>
        <v>0.2719270297573641</v>
      </c>
      <c r="K55" s="137"/>
      <c r="L55" s="219"/>
      <c r="M55" s="217"/>
      <c r="N55" s="219"/>
      <c r="O55" s="217"/>
      <c r="P55" s="203"/>
      <c r="Q55" s="203"/>
      <c r="R55" s="203"/>
      <c r="S55" s="178"/>
      <c r="T55" s="137"/>
    </row>
    <row r="56" spans="1:20" ht="18.75" x14ac:dyDescent="0.3">
      <c r="A56" s="105" t="s">
        <v>84</v>
      </c>
      <c r="B56" s="128">
        <f>B15+B39</f>
        <v>459364</v>
      </c>
      <c r="C56" s="103">
        <f>C15+C39</f>
        <v>507793</v>
      </c>
      <c r="D56" s="104">
        <f t="shared" si="24"/>
        <v>10.5</v>
      </c>
      <c r="E56" s="397">
        <f t="shared" si="22"/>
        <v>0.48621456555570253</v>
      </c>
      <c r="F56" s="103"/>
      <c r="G56" s="174">
        <f>G15+G39</f>
        <v>1050664</v>
      </c>
      <c r="H56" s="174">
        <f>H15+H39</f>
        <v>1264435</v>
      </c>
      <c r="I56" s="102">
        <f t="shared" si="25"/>
        <v>20.3</v>
      </c>
      <c r="J56" s="395">
        <f t="shared" si="23"/>
        <v>7.3725405291353879E-2</v>
      </c>
      <c r="K56" s="137"/>
      <c r="L56" s="219">
        <f ca="1">L16+L39</f>
        <v>0</v>
      </c>
      <c r="M56" s="217">
        <f ca="1">M16+M39</f>
        <v>0</v>
      </c>
      <c r="N56" s="219">
        <f ca="1">N16+N39</f>
        <v>0</v>
      </c>
      <c r="O56" s="217">
        <f ca="1">O16+O39</f>
        <v>0</v>
      </c>
      <c r="P56" s="206"/>
      <c r="Q56" s="206"/>
      <c r="R56" s="206"/>
      <c r="S56" s="178"/>
      <c r="T56" s="137"/>
    </row>
    <row r="57" spans="1:20" ht="18.75" x14ac:dyDescent="0.3">
      <c r="A57" s="105" t="s">
        <v>85</v>
      </c>
      <c r="B57" s="128">
        <f>B16</f>
        <v>5330.2790000000005</v>
      </c>
      <c r="C57" s="103">
        <f>C16</f>
        <v>6370.085</v>
      </c>
      <c r="D57" s="104">
        <f t="shared" si="24"/>
        <v>19.5</v>
      </c>
      <c r="E57" s="397">
        <f t="shared" si="22"/>
        <v>6.0993911117874751E-3</v>
      </c>
      <c r="F57" s="103"/>
      <c r="G57" s="174">
        <f>G16</f>
        <v>0</v>
      </c>
      <c r="H57" s="174">
        <f>H16</f>
        <v>0</v>
      </c>
      <c r="I57" s="102"/>
      <c r="J57" s="395">
        <f t="shared" si="23"/>
        <v>0</v>
      </c>
      <c r="K57" s="137"/>
      <c r="L57" s="219">
        <f ca="1">L17</f>
        <v>0</v>
      </c>
      <c r="M57" s="217">
        <f ca="1">M17</f>
        <v>0</v>
      </c>
      <c r="N57" s="219">
        <f ca="1">N17</f>
        <v>0</v>
      </c>
      <c r="O57" s="217">
        <f ca="1">O17</f>
        <v>0</v>
      </c>
      <c r="P57" s="206"/>
      <c r="Q57" s="206"/>
      <c r="R57" s="206"/>
      <c r="S57" s="178"/>
      <c r="T57" s="137"/>
    </row>
    <row r="58" spans="1:20" ht="18.75" x14ac:dyDescent="0.3">
      <c r="A58" s="84" t="s">
        <v>86</v>
      </c>
      <c r="B58" s="101">
        <f>B17</f>
        <v>1671885.9509999999</v>
      </c>
      <c r="C58" s="101">
        <f>+C17</f>
        <v>1802206.75</v>
      </c>
      <c r="D58" s="102">
        <f t="shared" si="24"/>
        <v>7.8</v>
      </c>
      <c r="E58" s="395">
        <f t="shared" si="22"/>
        <v>1.7256227872239369</v>
      </c>
      <c r="F58" s="101"/>
      <c r="G58" s="173">
        <f>+G17</f>
        <v>0</v>
      </c>
      <c r="H58" s="173">
        <f>+H17</f>
        <v>0</v>
      </c>
      <c r="I58" s="102"/>
      <c r="J58" s="395">
        <f t="shared" si="23"/>
        <v>0</v>
      </c>
      <c r="K58" s="137"/>
      <c r="L58" s="219">
        <f ca="1">L18</f>
        <v>0</v>
      </c>
      <c r="M58" s="217">
        <f ca="1">+M18</f>
        <v>0</v>
      </c>
      <c r="N58" s="219">
        <f ca="1">+N18</f>
        <v>0</v>
      </c>
      <c r="O58" s="217">
        <f ca="1">+O18</f>
        <v>0</v>
      </c>
      <c r="P58" s="203"/>
      <c r="Q58" s="203"/>
      <c r="R58" s="203"/>
      <c r="S58" s="178"/>
      <c r="T58" s="137"/>
    </row>
    <row r="59" spans="1:20" ht="18.75" x14ac:dyDescent="0.3">
      <c r="A59" s="84" t="s">
        <v>87</v>
      </c>
      <c r="B59" s="101">
        <f>B18+B40</f>
        <v>3263667.2600000002</v>
      </c>
      <c r="C59" s="101">
        <f>C18+C40</f>
        <v>3825451</v>
      </c>
      <c r="D59" s="102">
        <f t="shared" si="24"/>
        <v>17.2</v>
      </c>
      <c r="E59" s="395">
        <f t="shared" si="22"/>
        <v>3.6628901856063947</v>
      </c>
      <c r="F59" s="101"/>
      <c r="G59" s="173">
        <f>G18+G40</f>
        <v>48109625.5</v>
      </c>
      <c r="H59" s="173">
        <f>H18+H40</f>
        <v>49645333</v>
      </c>
      <c r="I59" s="102">
        <f t="shared" si="25"/>
        <v>3.2</v>
      </c>
      <c r="J59" s="395">
        <f t="shared" si="23"/>
        <v>2.8946701856949746</v>
      </c>
      <c r="K59" s="137"/>
      <c r="L59" s="219">
        <f ca="1">L19+L40</f>
        <v>0</v>
      </c>
      <c r="M59" s="217">
        <f ca="1">M19+M40</f>
        <v>0</v>
      </c>
      <c r="N59" s="219">
        <f ca="1">N19+N40</f>
        <v>0</v>
      </c>
      <c r="O59" s="217">
        <f ca="1">O19+O40</f>
        <v>0</v>
      </c>
      <c r="P59" s="203"/>
      <c r="Q59" s="203"/>
      <c r="R59" s="203"/>
      <c r="S59" s="178"/>
      <c r="T59" s="137"/>
    </row>
    <row r="60" spans="1:20" ht="18.75" x14ac:dyDescent="0.3">
      <c r="A60" s="84" t="s">
        <v>88</v>
      </c>
      <c r="B60" s="101">
        <f>B19</f>
        <v>26025.308660000002</v>
      </c>
      <c r="C60" s="101">
        <f>+C19</f>
        <v>37716.661089999994</v>
      </c>
      <c r="D60" s="102">
        <f t="shared" si="24"/>
        <v>44.9</v>
      </c>
      <c r="E60" s="395">
        <f t="shared" si="22"/>
        <v>3.6113908592843968E-2</v>
      </c>
      <c r="F60" s="101"/>
      <c r="G60" s="173">
        <f>+G19</f>
        <v>21229.507515466838</v>
      </c>
      <c r="H60" s="173">
        <f>+H19</f>
        <v>1519.5954100000001</v>
      </c>
      <c r="I60" s="102">
        <f t="shared" si="25"/>
        <v>-92.8</v>
      </c>
      <c r="J60" s="395">
        <f t="shared" si="23"/>
        <v>8.8603042055250821E-5</v>
      </c>
      <c r="K60" s="137"/>
      <c r="L60" s="219">
        <f ca="1">L20</f>
        <v>0</v>
      </c>
      <c r="M60" s="217">
        <f ca="1">+M20</f>
        <v>0</v>
      </c>
      <c r="N60" s="219">
        <f ca="1">+N20</f>
        <v>0</v>
      </c>
      <c r="O60" s="217">
        <f ca="1">+O20</f>
        <v>0</v>
      </c>
      <c r="P60" s="203"/>
      <c r="Q60" s="203"/>
      <c r="R60" s="203"/>
      <c r="S60" s="178"/>
      <c r="T60" s="137"/>
    </row>
    <row r="61" spans="1:20" ht="18.75" x14ac:dyDescent="0.3">
      <c r="A61" s="84" t="s">
        <v>89</v>
      </c>
      <c r="B61" s="101">
        <f>B20</f>
        <v>416726.04218554404</v>
      </c>
      <c r="C61" s="101">
        <f>+C20</f>
        <v>461957.49523765099</v>
      </c>
      <c r="D61" s="102">
        <f t="shared" si="24"/>
        <v>10.9</v>
      </c>
      <c r="E61" s="395">
        <f t="shared" si="22"/>
        <v>0.44232681988955147</v>
      </c>
      <c r="F61" s="101"/>
      <c r="G61" s="173">
        <f>+G20</f>
        <v>0</v>
      </c>
      <c r="H61" s="173">
        <f>+H20</f>
        <v>0</v>
      </c>
      <c r="I61" s="102"/>
      <c r="J61" s="395">
        <f t="shared" si="23"/>
        <v>0</v>
      </c>
      <c r="K61" s="137"/>
      <c r="L61" s="219" t="e">
        <f>#REF!</f>
        <v>#REF!</v>
      </c>
      <c r="M61" s="217" t="e">
        <f>+#REF!</f>
        <v>#REF!</v>
      </c>
      <c r="N61" s="219" t="e">
        <f>+#REF!</f>
        <v>#REF!</v>
      </c>
      <c r="O61" s="217" t="e">
        <f>+#REF!</f>
        <v>#REF!</v>
      </c>
      <c r="P61" s="203"/>
      <c r="Q61" s="203"/>
      <c r="R61" s="203"/>
      <c r="S61" s="178"/>
      <c r="T61" s="137"/>
    </row>
    <row r="62" spans="1:20" ht="18.75" x14ac:dyDescent="0.3">
      <c r="A62" s="84" t="s">
        <v>62</v>
      </c>
      <c r="B62" s="103">
        <f>B21+B41</f>
        <v>41162850.146529995</v>
      </c>
      <c r="C62" s="103">
        <f>C21+C41</f>
        <v>40247752.088570006</v>
      </c>
      <c r="D62" s="104">
        <f t="shared" si="24"/>
        <v>-2.2000000000000002</v>
      </c>
      <c r="E62" s="397">
        <f t="shared" si="22"/>
        <v>38.537442021330911</v>
      </c>
      <c r="F62" s="103"/>
      <c r="G62" s="174">
        <f>G21+G41</f>
        <v>565492129.21258998</v>
      </c>
      <c r="H62" s="174">
        <f>H21+H41</f>
        <v>641767961.65068996</v>
      </c>
      <c r="I62" s="102">
        <f t="shared" si="25"/>
        <v>13.5</v>
      </c>
      <c r="J62" s="395">
        <f t="shared" si="23"/>
        <v>37.419561365909018</v>
      </c>
      <c r="K62" s="137"/>
      <c r="L62" s="219">
        <f ca="1">L33+L41</f>
        <v>0</v>
      </c>
      <c r="M62" s="217">
        <f ca="1">M33+M41</f>
        <v>0</v>
      </c>
      <c r="N62" s="219">
        <f ca="1">N33+N41</f>
        <v>0</v>
      </c>
      <c r="O62" s="217">
        <f ca="1">O33+O41</f>
        <v>0</v>
      </c>
      <c r="P62" s="206"/>
      <c r="Q62" s="206"/>
      <c r="R62" s="206"/>
      <c r="S62" s="178"/>
      <c r="T62" s="137"/>
    </row>
    <row r="63" spans="1:20" ht="18.75" x14ac:dyDescent="0.3">
      <c r="A63" s="84" t="s">
        <v>90</v>
      </c>
      <c r="B63" s="101">
        <f t="shared" ref="B63:C65" si="31">B22</f>
        <v>233574.45626000001</v>
      </c>
      <c r="C63" s="101">
        <f t="shared" si="31"/>
        <v>293311.63199999998</v>
      </c>
      <c r="D63" s="102">
        <f t="shared" si="24"/>
        <v>25.6</v>
      </c>
      <c r="E63" s="395">
        <f t="shared" si="22"/>
        <v>0.28084748652563957</v>
      </c>
      <c r="F63" s="101"/>
      <c r="G63" s="173">
        <f t="shared" ref="G63:H65" si="32">G22</f>
        <v>69834.292576000007</v>
      </c>
      <c r="H63" s="173">
        <f t="shared" si="32"/>
        <v>99044.30799999999</v>
      </c>
      <c r="I63" s="102">
        <f t="shared" si="25"/>
        <v>41.8</v>
      </c>
      <c r="J63" s="395">
        <f t="shared" si="23"/>
        <v>5.7749759767023873E-3</v>
      </c>
      <c r="K63" s="137"/>
      <c r="L63" s="219">
        <f ca="1">L23</f>
        <v>0</v>
      </c>
      <c r="M63" s="217">
        <f ca="1">M23</f>
        <v>0</v>
      </c>
      <c r="N63" s="219">
        <f ca="1">N23</f>
        <v>0</v>
      </c>
      <c r="O63" s="217">
        <f ca="1">O23</f>
        <v>0</v>
      </c>
      <c r="P63" s="203"/>
      <c r="Q63" s="203"/>
      <c r="R63" s="203"/>
      <c r="S63" s="178"/>
      <c r="T63" s="137"/>
    </row>
    <row r="64" spans="1:20" ht="18.75" x14ac:dyDescent="0.3">
      <c r="A64" s="106" t="s">
        <v>393</v>
      </c>
      <c r="B64" s="101">
        <f t="shared" si="31"/>
        <v>41337</v>
      </c>
      <c r="C64" s="101">
        <f t="shared" si="31"/>
        <v>28431</v>
      </c>
      <c r="D64" s="102">
        <f t="shared" si="24"/>
        <v>-31.2</v>
      </c>
      <c r="E64" s="395">
        <f t="shared" si="22"/>
        <v>2.7222837481639523E-2</v>
      </c>
      <c r="F64" s="101"/>
      <c r="G64" s="173">
        <f t="shared" si="32"/>
        <v>0</v>
      </c>
      <c r="H64" s="173">
        <f t="shared" si="32"/>
        <v>0</v>
      </c>
      <c r="I64" s="102"/>
      <c r="J64" s="395">
        <f t="shared" si="23"/>
        <v>0</v>
      </c>
      <c r="K64" s="137"/>
      <c r="L64" s="219">
        <f ca="1">L25</f>
        <v>0</v>
      </c>
      <c r="M64" s="217">
        <f ca="1">M25</f>
        <v>0</v>
      </c>
      <c r="N64" s="219">
        <f ca="1">N25</f>
        <v>0</v>
      </c>
      <c r="O64" s="217">
        <f ca="1">O25</f>
        <v>0</v>
      </c>
      <c r="P64" s="203"/>
      <c r="Q64" s="203"/>
      <c r="R64" s="203"/>
      <c r="S64" s="178"/>
      <c r="T64" s="137"/>
    </row>
    <row r="65" spans="1:240" ht="18.75" x14ac:dyDescent="0.3">
      <c r="A65" s="106" t="s">
        <v>403</v>
      </c>
      <c r="B65" s="101">
        <f t="shared" si="31"/>
        <v>0</v>
      </c>
      <c r="C65" s="101">
        <f t="shared" si="31"/>
        <v>16353.946</v>
      </c>
      <c r="D65" s="102" t="str">
        <f t="shared" ref="D65" si="33">IF(B65=0, "    ---- ", IF(ABS(ROUND(100/B65*C65-100,1))&lt;999,ROUND(100/B65*C65-100,1),IF(ROUND(100/B65*C65-100,1)&gt;999,999,-999)))</f>
        <v xml:space="preserve">    ---- </v>
      </c>
      <c r="E65" s="395">
        <f t="shared" si="22"/>
        <v>1.5658992442809213E-2</v>
      </c>
      <c r="F65" s="101"/>
      <c r="G65" s="173">
        <f t="shared" si="32"/>
        <v>0</v>
      </c>
      <c r="H65" s="173">
        <f t="shared" si="32"/>
        <v>0</v>
      </c>
      <c r="I65" s="102"/>
      <c r="J65" s="395">
        <f t="shared" si="23"/>
        <v>0</v>
      </c>
      <c r="K65" s="137"/>
      <c r="L65" s="219"/>
      <c r="M65" s="217"/>
      <c r="N65" s="219"/>
      <c r="O65" s="217"/>
      <c r="P65" s="203"/>
      <c r="Q65" s="203"/>
      <c r="R65" s="203"/>
      <c r="S65" s="178"/>
      <c r="T65" s="137"/>
    </row>
    <row r="66" spans="1:240" ht="18.75" x14ac:dyDescent="0.3">
      <c r="A66" s="105" t="s">
        <v>64</v>
      </c>
      <c r="B66" s="101">
        <f>B25+B42</f>
        <v>14399083.899066381</v>
      </c>
      <c r="C66" s="101">
        <f>+C25+C42</f>
        <v>11662130.743302912</v>
      </c>
      <c r="D66" s="102">
        <f t="shared" si="24"/>
        <v>-19</v>
      </c>
      <c r="E66" s="395">
        <f t="shared" si="22"/>
        <v>11.166553758734027</v>
      </c>
      <c r="F66" s="101"/>
      <c r="G66" s="173">
        <f>+G25+G42</f>
        <v>172887781.00002205</v>
      </c>
      <c r="H66" s="173">
        <f>+H25+H42</f>
        <v>167207590.00000879</v>
      </c>
      <c r="I66" s="102">
        <f t="shared" si="25"/>
        <v>-3.3</v>
      </c>
      <c r="J66" s="395">
        <f t="shared" si="23"/>
        <v>9.7493721231547514</v>
      </c>
      <c r="K66" s="137"/>
      <c r="L66" s="219">
        <f ca="1">L26+L42</f>
        <v>0</v>
      </c>
      <c r="M66" s="217">
        <f ca="1">+M26+M42</f>
        <v>0</v>
      </c>
      <c r="N66" s="219">
        <f ca="1">+N26+N42</f>
        <v>0</v>
      </c>
      <c r="O66" s="217">
        <f ca="1">+O26+O42</f>
        <v>0</v>
      </c>
      <c r="P66" s="203"/>
      <c r="Q66" s="203"/>
      <c r="R66" s="203"/>
      <c r="S66" s="178"/>
      <c r="T66" s="137"/>
    </row>
    <row r="67" spans="1:240" ht="18.75" customHeight="1" x14ac:dyDescent="0.3">
      <c r="A67" s="105" t="s">
        <v>92</v>
      </c>
      <c r="B67" s="101">
        <f>B26</f>
        <v>6050567</v>
      </c>
      <c r="C67" s="101">
        <f>C26</f>
        <v>7048000</v>
      </c>
      <c r="D67" s="102">
        <f t="shared" si="24"/>
        <v>16.5</v>
      </c>
      <c r="E67" s="395">
        <f t="shared" si="22"/>
        <v>6.7484984197036813</v>
      </c>
      <c r="F67" s="101"/>
      <c r="G67" s="173">
        <f>G26</f>
        <v>90681751</v>
      </c>
      <c r="H67" s="173">
        <f>H26</f>
        <v>85289000</v>
      </c>
      <c r="I67" s="102">
        <f t="shared" si="25"/>
        <v>-5.9</v>
      </c>
      <c r="J67" s="395">
        <f t="shared" si="23"/>
        <v>4.9729453011774281</v>
      </c>
      <c r="K67" s="137"/>
      <c r="L67" s="219">
        <f ca="1">L27</f>
        <v>0</v>
      </c>
      <c r="M67" s="217">
        <f ca="1">M27</f>
        <v>0</v>
      </c>
      <c r="N67" s="219">
        <f ca="1">N27</f>
        <v>0</v>
      </c>
      <c r="O67" s="217">
        <f ca="1">O27</f>
        <v>0</v>
      </c>
      <c r="P67" s="203"/>
      <c r="Q67" s="203"/>
      <c r="R67" s="203"/>
      <c r="S67" s="178"/>
      <c r="T67" s="137"/>
    </row>
    <row r="68" spans="1:240" ht="18.75" customHeight="1" x14ac:dyDescent="0.3">
      <c r="A68" s="105" t="s">
        <v>349</v>
      </c>
      <c r="B68" s="101">
        <f>B27</f>
        <v>313745.28546748857</v>
      </c>
      <c r="C68" s="101">
        <f>C27</f>
        <v>338102.51378736005</v>
      </c>
      <c r="D68" s="102">
        <f t="shared" ref="D68" si="34">IF(B68=0, "    ---- ", IF(ABS(ROUND(100/B68*C68-100,1))&lt;999,ROUND(100/B68*C68-100,1),IF(ROUND(100/B68*C68-100,1)&gt;999,999,-999)))</f>
        <v>7.8</v>
      </c>
      <c r="E68" s="395">
        <f t="shared" si="22"/>
        <v>0.32373499999884242</v>
      </c>
      <c r="F68" s="101"/>
      <c r="G68" s="173">
        <f>G27</f>
        <v>0</v>
      </c>
      <c r="H68" s="173">
        <f>H27</f>
        <v>0</v>
      </c>
      <c r="I68" s="102"/>
      <c r="J68" s="395">
        <f t="shared" si="23"/>
        <v>0</v>
      </c>
      <c r="K68" s="137"/>
      <c r="L68" s="219"/>
      <c r="M68" s="217"/>
      <c r="N68" s="219"/>
      <c r="O68" s="217"/>
      <c r="P68" s="203"/>
      <c r="Q68" s="203"/>
      <c r="R68" s="203"/>
      <c r="S68" s="178"/>
      <c r="T68" s="137"/>
    </row>
    <row r="69" spans="1:240" ht="18.75" customHeight="1" x14ac:dyDescent="0.3">
      <c r="A69" s="105" t="s">
        <v>70</v>
      </c>
      <c r="B69" s="101">
        <f>B43</f>
        <v>118580.72222</v>
      </c>
      <c r="C69" s="101">
        <f>C43</f>
        <v>82933.019990000015</v>
      </c>
      <c r="D69" s="102">
        <f t="shared" si="24"/>
        <v>-30.1</v>
      </c>
      <c r="E69" s="395">
        <f t="shared" si="22"/>
        <v>7.9408818720739072E-2</v>
      </c>
      <c r="F69" s="101"/>
      <c r="G69" s="173">
        <f>G43</f>
        <v>3184098.7069999999</v>
      </c>
      <c r="H69" s="173">
        <f>H43</f>
        <v>2698313.8461000002</v>
      </c>
      <c r="I69" s="102">
        <f t="shared" si="25"/>
        <v>-15.3</v>
      </c>
      <c r="J69" s="395">
        <f t="shared" si="23"/>
        <v>0.15733057207922463</v>
      </c>
      <c r="K69" s="137"/>
      <c r="L69" s="219">
        <f ca="1">L43</f>
        <v>0</v>
      </c>
      <c r="M69" s="217">
        <f ca="1">M43</f>
        <v>0</v>
      </c>
      <c r="N69" s="219">
        <f ca="1">N43</f>
        <v>0</v>
      </c>
      <c r="O69" s="217">
        <f ca="1">O43</f>
        <v>0</v>
      </c>
      <c r="P69" s="203"/>
      <c r="Q69" s="203"/>
      <c r="R69" s="203"/>
      <c r="S69" s="178"/>
      <c r="T69" s="137"/>
    </row>
    <row r="70" spans="1:240" ht="18.75" customHeight="1" x14ac:dyDescent="0.3">
      <c r="A70" s="84" t="s">
        <v>402</v>
      </c>
      <c r="B70" s="101">
        <f>B28+B44</f>
        <v>4684715.4375499999</v>
      </c>
      <c r="C70" s="101">
        <f>+C28+C44</f>
        <v>5214655.7620199993</v>
      </c>
      <c r="D70" s="102">
        <f t="shared" si="24"/>
        <v>11.3</v>
      </c>
      <c r="E70" s="395">
        <f t="shared" si="22"/>
        <v>4.9930613180037833</v>
      </c>
      <c r="F70" s="101"/>
      <c r="G70" s="173">
        <f>+G28+G44</f>
        <v>72408913.217999995</v>
      </c>
      <c r="H70" s="173">
        <f>+H28+H44</f>
        <v>72783435.81595999</v>
      </c>
      <c r="I70" s="102">
        <f t="shared" si="25"/>
        <v>0.5</v>
      </c>
      <c r="J70" s="395">
        <f t="shared" si="23"/>
        <v>4.2437834321486605</v>
      </c>
      <c r="K70" s="137"/>
      <c r="L70" s="219" t="e">
        <f ca="1">L29+L44</f>
        <v>#REF!</v>
      </c>
      <c r="M70" s="217" t="e">
        <f t="shared" ref="M70:O71" ca="1" si="35">+M29+M44</f>
        <v>#REF!</v>
      </c>
      <c r="N70" s="219" t="e">
        <f t="shared" ca="1" si="35"/>
        <v>#REF!</v>
      </c>
      <c r="O70" s="217" t="e">
        <f t="shared" ca="1" si="35"/>
        <v>#REF!</v>
      </c>
      <c r="P70" s="203"/>
      <c r="Q70" s="203"/>
      <c r="R70" s="203"/>
      <c r="S70" s="178"/>
      <c r="T70" s="137"/>
    </row>
    <row r="71" spans="1:240" ht="18.75" customHeight="1" x14ac:dyDescent="0.3">
      <c r="A71" s="105" t="s">
        <v>93</v>
      </c>
      <c r="B71" s="101">
        <f>B45+B29</f>
        <v>14625099.807999998</v>
      </c>
      <c r="C71" s="101">
        <f>+C29+C45</f>
        <v>15032007.853</v>
      </c>
      <c r="D71" s="102">
        <f t="shared" si="24"/>
        <v>2.8</v>
      </c>
      <c r="E71" s="395">
        <f t="shared" si="22"/>
        <v>14.393229460973869</v>
      </c>
      <c r="F71" s="101"/>
      <c r="G71" s="173">
        <f>+G29+G45</f>
        <v>344627262.09799999</v>
      </c>
      <c r="H71" s="173">
        <f>+H29+H45</f>
        <v>343815016.91800004</v>
      </c>
      <c r="I71" s="102">
        <f t="shared" si="25"/>
        <v>-0.2</v>
      </c>
      <c r="J71" s="395">
        <f t="shared" si="23"/>
        <v>20.046820490996566</v>
      </c>
      <c r="K71" s="137"/>
      <c r="L71" s="219">
        <f ca="1">L45+L30</f>
        <v>0</v>
      </c>
      <c r="M71" s="217">
        <f t="shared" ca="1" si="35"/>
        <v>0</v>
      </c>
      <c r="N71" s="219">
        <f t="shared" ca="1" si="35"/>
        <v>0</v>
      </c>
      <c r="O71" s="217">
        <f t="shared" ca="1" si="35"/>
        <v>0</v>
      </c>
      <c r="P71" s="203"/>
      <c r="Q71" s="203"/>
      <c r="R71" s="203"/>
      <c r="S71" s="178"/>
      <c r="T71" s="137"/>
    </row>
    <row r="72" spans="1:240" ht="18.75" customHeight="1" x14ac:dyDescent="0.3">
      <c r="A72" s="105" t="s">
        <v>94</v>
      </c>
      <c r="B72" s="101">
        <f>B30</f>
        <v>1014</v>
      </c>
      <c r="C72" s="101">
        <f>+C30</f>
        <v>0</v>
      </c>
      <c r="D72" s="102">
        <f t="shared" si="24"/>
        <v>-100</v>
      </c>
      <c r="E72" s="395">
        <f t="shared" si="22"/>
        <v>0</v>
      </c>
      <c r="F72" s="101"/>
      <c r="G72" s="173">
        <f t="shared" ref="G72:H74" si="36">+G30</f>
        <v>0</v>
      </c>
      <c r="H72" s="173">
        <f t="shared" si="36"/>
        <v>0</v>
      </c>
      <c r="I72" s="102"/>
      <c r="J72" s="395">
        <f t="shared" si="23"/>
        <v>0</v>
      </c>
      <c r="K72" s="137"/>
      <c r="L72" s="219">
        <f ca="1">L31</f>
        <v>0</v>
      </c>
      <c r="M72" s="217">
        <f t="shared" ref="M72:O73" ca="1" si="37">+M31</f>
        <v>0</v>
      </c>
      <c r="N72" s="219">
        <f t="shared" ca="1" si="37"/>
        <v>0</v>
      </c>
      <c r="O72" s="217">
        <f t="shared" ca="1" si="37"/>
        <v>0</v>
      </c>
      <c r="P72" s="203"/>
      <c r="Q72" s="203"/>
      <c r="R72" s="203"/>
      <c r="S72" s="178"/>
      <c r="T72" s="137"/>
    </row>
    <row r="73" spans="1:240" ht="18.75" customHeight="1" x14ac:dyDescent="0.3">
      <c r="A73" s="105" t="s">
        <v>95</v>
      </c>
      <c r="B73" s="101">
        <f>B31</f>
        <v>566035.48</v>
      </c>
      <c r="C73" s="101">
        <f>+C31</f>
        <v>636479</v>
      </c>
      <c r="D73" s="102">
        <f t="shared" si="24"/>
        <v>12.4</v>
      </c>
      <c r="E73" s="395">
        <f t="shared" si="22"/>
        <v>0.60943211204236369</v>
      </c>
      <c r="F73" s="101"/>
      <c r="G73" s="173">
        <f t="shared" si="36"/>
        <v>0</v>
      </c>
      <c r="H73" s="173">
        <f t="shared" si="36"/>
        <v>0</v>
      </c>
      <c r="I73" s="102"/>
      <c r="J73" s="395">
        <f t="shared" si="23"/>
        <v>0</v>
      </c>
      <c r="K73" s="137"/>
      <c r="L73" s="219">
        <f ca="1">L32</f>
        <v>0</v>
      </c>
      <c r="M73" s="217">
        <f t="shared" ca="1" si="37"/>
        <v>0</v>
      </c>
      <c r="N73" s="219">
        <f t="shared" ca="1" si="37"/>
        <v>0</v>
      </c>
      <c r="O73" s="217">
        <f t="shared" ca="1" si="37"/>
        <v>0</v>
      </c>
      <c r="P73" s="203"/>
      <c r="Q73" s="203"/>
      <c r="R73" s="203"/>
      <c r="S73" s="178"/>
      <c r="T73" s="137"/>
    </row>
    <row r="74" spans="1:240" ht="18.75" x14ac:dyDescent="0.3">
      <c r="A74" s="189" t="s">
        <v>396</v>
      </c>
      <c r="B74" s="101">
        <f>B32</f>
        <v>1806</v>
      </c>
      <c r="C74" s="101">
        <f>C32</f>
        <v>2123</v>
      </c>
      <c r="D74" s="102">
        <f t="shared" si="24"/>
        <v>17.600000000000001</v>
      </c>
      <c r="E74" s="395">
        <f t="shared" ref="E74" si="38">100/C$34*C74</f>
        <v>3.2718893950138602E-3</v>
      </c>
      <c r="F74" s="189"/>
      <c r="G74" s="173">
        <f t="shared" si="36"/>
        <v>0</v>
      </c>
      <c r="H74" s="173">
        <f t="shared" si="36"/>
        <v>0</v>
      </c>
      <c r="I74" s="189"/>
      <c r="J74" s="395">
        <f t="shared" ref="J74" si="39">100/H$34*H74</f>
        <v>0</v>
      </c>
      <c r="K74" s="203"/>
      <c r="L74" s="219">
        <f t="shared" ref="L74" ca="1" si="40">INDIRECT("'" &amp; $A73 &amp; "'!" &amp; $P$7)</f>
        <v>0</v>
      </c>
      <c r="M74" s="217">
        <f t="shared" ref="M74" ca="1" si="41">INDIRECT("'" &amp; $A73 &amp; "'!" &amp; $P$8)</f>
        <v>0</v>
      </c>
      <c r="N74" s="219">
        <f t="shared" ref="N74" ca="1" si="42">INDIRECT("'" &amp; $A73 &amp; "'!" &amp; $P$10)</f>
        <v>0</v>
      </c>
      <c r="O74" s="217">
        <f t="shared" ref="O74" ca="1" si="43">INDIRECT("'" &amp; $A73 &amp; "'!" &amp; $P$11)</f>
        <v>0</v>
      </c>
    </row>
    <row r="75" spans="1:240" ht="18.75" x14ac:dyDescent="0.3">
      <c r="A75" s="105" t="s">
        <v>404</v>
      </c>
      <c r="B75" s="101">
        <f>B33</f>
        <v>0</v>
      </c>
      <c r="C75" s="101">
        <f>+C33</f>
        <v>3579</v>
      </c>
      <c r="D75" s="102" t="str">
        <f>IF(B75=0, "    ---- ", IF(ABS(ROUND(100/B75*C75-100,1))&lt;999,ROUND(100/B75*C75-100,1),IF(ROUND(100/B75*C75-100,1)&gt;999,999,-999)))</f>
        <v xml:space="preserve">    ---- </v>
      </c>
      <c r="E75" s="395">
        <f>100/C$76*C75</f>
        <v>3.4269120096650789E-3</v>
      </c>
      <c r="F75" s="101"/>
      <c r="G75" s="173">
        <f>G33</f>
        <v>0</v>
      </c>
      <c r="H75" s="173">
        <f>H33</f>
        <v>3017</v>
      </c>
      <c r="I75" s="102" t="str">
        <f>IF(G75=0, "    ---- ", IF(ABS(ROUND(100/G75*H75-100,1))&lt;999,ROUND(100/G75*H75-100,1),IF(ROUND(100/G75*H75-100,1)&gt;999,999,-999)))</f>
        <v xml:space="preserve">    ---- </v>
      </c>
      <c r="J75" s="395">
        <f>100/H$76*H75</f>
        <v>1.7591220407851306E-4</v>
      </c>
      <c r="K75" s="137"/>
      <c r="L75" s="219" t="e">
        <f ca="1">L22+#REF!</f>
        <v>#REF!</v>
      </c>
      <c r="M75" s="217" t="e">
        <f ca="1">+M22+#REF!</f>
        <v>#REF!</v>
      </c>
      <c r="N75" s="219" t="e">
        <f ca="1">N22+#REF!</f>
        <v>#REF!</v>
      </c>
      <c r="O75" s="217" t="e">
        <f ca="1">O22+#REF!</f>
        <v>#REF!</v>
      </c>
      <c r="P75" s="203"/>
      <c r="Q75" s="203"/>
      <c r="R75" s="203"/>
      <c r="S75" s="178"/>
      <c r="T75" s="137"/>
    </row>
    <row r="76" spans="1:240" s="109" customFormat="1" ht="18.75" customHeight="1" x14ac:dyDescent="0.3">
      <c r="A76" s="111" t="s">
        <v>2</v>
      </c>
      <c r="B76" s="112">
        <f>SUM(B50:B75)</f>
        <v>104030989.85114941</v>
      </c>
      <c r="C76" s="112">
        <f>SUM(C50:C75)</f>
        <v>104438047.72068791</v>
      </c>
      <c r="D76" s="113">
        <f>IF(B76=0, "    ---- ", IF(ABS(ROUND(100/B76*C76-100,1))&lt;999,ROUND(100/B76*C76-100,1),IF(ROUND(100/B76*C76-100,1)&gt;999,999,-999)))</f>
        <v>0.4</v>
      </c>
      <c r="E76" s="398">
        <f>SUM(E50:E75)</f>
        <v>100.00123910532224</v>
      </c>
      <c r="F76" s="107"/>
      <c r="G76" s="177">
        <f>SUM(G50:G75)</f>
        <v>1658005548.0831134</v>
      </c>
      <c r="H76" s="177">
        <f>SUM(H50:H75)</f>
        <v>1715060086.8223186</v>
      </c>
      <c r="I76" s="113">
        <f>IF(G76=0, "    ---- ", IF(ABS(ROUND(100/G76*H76-100,1))&lt;999,ROUND(100/G76*H76-100,1),IF(ROUND(100/G76*H76-100,1)&gt;999,999,-999)))</f>
        <v>3.4</v>
      </c>
      <c r="J76" s="398">
        <f>SUM(J50:J75)</f>
        <v>100.00000000000001</v>
      </c>
      <c r="K76" s="176"/>
      <c r="L76" s="225" t="e">
        <f ca="1">SUM(L50:L73)</f>
        <v>#REF!</v>
      </c>
      <c r="M76" s="226" t="e">
        <f ca="1">SUM(M50:M73)</f>
        <v>#REF!</v>
      </c>
      <c r="N76" s="225" t="e">
        <f ca="1">SUM(N50:N73)</f>
        <v>#REF!</v>
      </c>
      <c r="O76" s="226" t="e">
        <f ca="1">SUM(O50:O73)</f>
        <v>#REF!</v>
      </c>
      <c r="P76" s="205"/>
      <c r="Q76" s="205"/>
      <c r="R76" s="205"/>
      <c r="S76" s="136"/>
      <c r="T76" s="176"/>
    </row>
    <row r="77" spans="1:240" ht="18.75" customHeight="1" x14ac:dyDescent="0.3">
      <c r="A77" s="110" t="s">
        <v>99</v>
      </c>
      <c r="B77" s="110"/>
      <c r="C77" s="110"/>
      <c r="D77" s="110"/>
      <c r="E77" s="110"/>
      <c r="F77" s="110"/>
      <c r="G77" s="110"/>
      <c r="H77" s="110"/>
      <c r="I77" s="110"/>
      <c r="J77" s="110"/>
      <c r="K77" s="110"/>
      <c r="L77" s="182"/>
      <c r="M77" s="182"/>
      <c r="N77" s="182"/>
      <c r="O77" s="182"/>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0"/>
      <c r="BQ77" s="110"/>
      <c r="BR77" s="110"/>
      <c r="BS77" s="110"/>
      <c r="BT77" s="110"/>
      <c r="BU77" s="110"/>
      <c r="BV77" s="110"/>
      <c r="BW77" s="110"/>
      <c r="BX77" s="110"/>
      <c r="BY77" s="110"/>
      <c r="BZ77" s="110"/>
      <c r="CA77" s="110"/>
      <c r="CB77" s="110"/>
      <c r="CC77" s="110"/>
      <c r="CD77" s="110"/>
      <c r="CE77" s="110"/>
      <c r="CF77" s="110"/>
      <c r="CG77" s="110"/>
      <c r="CH77" s="110"/>
      <c r="CI77" s="110"/>
      <c r="CJ77" s="110"/>
      <c r="CK77" s="110"/>
      <c r="CL77" s="110"/>
      <c r="CM77" s="110"/>
      <c r="CN77" s="110"/>
      <c r="CO77" s="110"/>
      <c r="CP77" s="110"/>
      <c r="CQ77" s="110"/>
      <c r="CR77" s="110"/>
      <c r="CS77" s="110"/>
      <c r="CT77" s="110"/>
      <c r="CU77" s="110"/>
      <c r="CV77" s="110"/>
      <c r="CW77" s="110"/>
      <c r="CX77" s="110"/>
      <c r="CY77" s="110"/>
      <c r="CZ77" s="110"/>
      <c r="DA77" s="110"/>
      <c r="DB77" s="110"/>
      <c r="DC77" s="110"/>
      <c r="DD77" s="110"/>
      <c r="DE77" s="110"/>
      <c r="DF77" s="110"/>
      <c r="DG77" s="110"/>
      <c r="DH77" s="110"/>
      <c r="DI77" s="110"/>
      <c r="DJ77" s="110"/>
      <c r="DK77" s="110"/>
      <c r="DL77" s="110"/>
      <c r="DM77" s="110"/>
      <c r="DN77" s="110"/>
      <c r="DO77" s="110"/>
      <c r="DP77" s="110"/>
      <c r="DQ77" s="110"/>
      <c r="DR77" s="110"/>
      <c r="DS77" s="110"/>
      <c r="DT77" s="110"/>
      <c r="DU77" s="110"/>
      <c r="DV77" s="110"/>
      <c r="DW77" s="110"/>
      <c r="DX77" s="110"/>
      <c r="DY77" s="110"/>
      <c r="DZ77" s="110"/>
      <c r="EA77" s="110"/>
      <c r="EB77" s="110"/>
      <c r="EC77" s="110"/>
      <c r="ED77" s="110"/>
      <c r="EE77" s="110"/>
      <c r="EF77" s="110"/>
      <c r="EG77" s="110"/>
      <c r="EH77" s="110"/>
      <c r="EI77" s="110"/>
      <c r="EJ77" s="110"/>
      <c r="EK77" s="110"/>
      <c r="EL77" s="110"/>
      <c r="EM77" s="110"/>
      <c r="EN77" s="110"/>
      <c r="EO77" s="110"/>
      <c r="EP77" s="110"/>
      <c r="EQ77" s="110"/>
      <c r="ER77" s="110"/>
      <c r="ES77" s="110"/>
      <c r="ET77" s="110"/>
      <c r="EU77" s="110"/>
      <c r="EV77" s="110"/>
      <c r="EW77" s="110"/>
      <c r="EX77" s="110"/>
      <c r="EY77" s="110"/>
      <c r="EZ77" s="110"/>
      <c r="FA77" s="110"/>
      <c r="FB77" s="110"/>
      <c r="FC77" s="110"/>
      <c r="FD77" s="110"/>
      <c r="FE77" s="110"/>
      <c r="FF77" s="110"/>
      <c r="FG77" s="110"/>
      <c r="FH77" s="110"/>
      <c r="FI77" s="110"/>
      <c r="FJ77" s="110"/>
      <c r="FK77" s="110"/>
      <c r="FL77" s="110"/>
      <c r="FM77" s="110"/>
      <c r="FN77" s="110"/>
      <c r="FO77" s="110"/>
      <c r="FP77" s="110"/>
      <c r="FQ77" s="110"/>
      <c r="FR77" s="110"/>
      <c r="FS77" s="110"/>
      <c r="FT77" s="110"/>
      <c r="FU77" s="110"/>
      <c r="FV77" s="110"/>
      <c r="FW77" s="110"/>
      <c r="FX77" s="110"/>
      <c r="FY77" s="110"/>
      <c r="FZ77" s="110"/>
      <c r="GA77" s="110"/>
      <c r="GB77" s="110"/>
      <c r="GC77" s="110"/>
      <c r="GD77" s="110"/>
      <c r="GE77" s="110"/>
      <c r="GF77" s="110"/>
      <c r="GG77" s="110"/>
      <c r="GH77" s="110"/>
      <c r="GI77" s="110"/>
      <c r="GJ77" s="110"/>
      <c r="GK77" s="110"/>
      <c r="GL77" s="110"/>
      <c r="GM77" s="110"/>
      <c r="GN77" s="110"/>
      <c r="GO77" s="110"/>
      <c r="GP77" s="110"/>
      <c r="GQ77" s="110"/>
      <c r="GR77" s="110"/>
      <c r="GS77" s="110"/>
      <c r="GT77" s="110"/>
      <c r="GU77" s="110"/>
      <c r="GV77" s="110"/>
      <c r="GW77" s="110"/>
      <c r="GX77" s="110"/>
      <c r="GY77" s="110"/>
      <c r="GZ77" s="110"/>
      <c r="HA77" s="110"/>
      <c r="HB77" s="110"/>
      <c r="HC77" s="110"/>
      <c r="HD77" s="110"/>
      <c r="HE77" s="110"/>
      <c r="HF77" s="110"/>
      <c r="HG77" s="110"/>
      <c r="HH77" s="110"/>
      <c r="HI77" s="110"/>
      <c r="HJ77" s="110"/>
      <c r="HK77" s="110"/>
      <c r="HL77" s="110"/>
      <c r="HM77" s="110"/>
      <c r="HN77" s="110"/>
      <c r="HO77" s="110"/>
      <c r="HP77" s="110"/>
      <c r="HQ77" s="110"/>
      <c r="HR77" s="110"/>
      <c r="HS77" s="110"/>
      <c r="HT77" s="110"/>
      <c r="HU77" s="110"/>
      <c r="HV77" s="110"/>
      <c r="HW77" s="110"/>
      <c r="HX77" s="110"/>
      <c r="HY77" s="110"/>
      <c r="HZ77" s="110"/>
      <c r="IA77" s="110"/>
      <c r="IB77" s="110"/>
      <c r="IC77" s="110"/>
      <c r="ID77" s="110"/>
      <c r="IE77" s="110"/>
      <c r="IF77" s="110"/>
    </row>
    <row r="78" spans="1:240" ht="18.75" customHeight="1" x14ac:dyDescent="0.3">
      <c r="A78" s="72"/>
      <c r="B78" s="72"/>
      <c r="C78" s="72"/>
      <c r="D78" s="72"/>
      <c r="E78" s="72"/>
      <c r="F78" s="72"/>
      <c r="G78" s="72"/>
      <c r="H78" s="72"/>
      <c r="I78" s="72"/>
      <c r="J78" s="72"/>
      <c r="K78" s="72"/>
    </row>
    <row r="79" spans="1:240" ht="18.75" customHeight="1" x14ac:dyDescent="0.3">
      <c r="A79" s="72"/>
      <c r="B79" s="72"/>
      <c r="C79" s="72"/>
      <c r="D79" s="72"/>
      <c r="E79" s="72"/>
      <c r="F79" s="72"/>
      <c r="G79" s="72"/>
      <c r="H79" s="72"/>
      <c r="I79" s="72"/>
      <c r="J79" s="72"/>
      <c r="K79" s="72"/>
    </row>
    <row r="80" spans="1:240" ht="18.75" customHeight="1" x14ac:dyDescent="0.3">
      <c r="A80" s="72"/>
      <c r="B80" s="75"/>
      <c r="C80" s="75"/>
      <c r="D80" s="72"/>
      <c r="E80" s="72"/>
      <c r="F80" s="72"/>
      <c r="G80" s="75"/>
      <c r="H80" s="75"/>
      <c r="I80" s="72"/>
      <c r="J80" s="72"/>
      <c r="K80" s="72"/>
    </row>
    <row r="81" spans="1:11" ht="18.75" customHeight="1" x14ac:dyDescent="0.3">
      <c r="A81" s="72"/>
      <c r="B81" s="72"/>
      <c r="C81" s="72"/>
      <c r="D81" s="72"/>
      <c r="E81" s="72"/>
      <c r="F81" s="72"/>
      <c r="G81" s="72"/>
      <c r="H81" s="72"/>
      <c r="I81" s="72"/>
      <c r="J81" s="72"/>
      <c r="K81" s="72"/>
    </row>
    <row r="82" spans="1:11" ht="18.75" customHeight="1" x14ac:dyDescent="0.3">
      <c r="A82" s="72"/>
      <c r="B82" s="72"/>
      <c r="C82" s="72"/>
      <c r="D82" s="72"/>
      <c r="E82" s="72"/>
      <c r="F82" s="72"/>
      <c r="G82" s="72"/>
      <c r="H82" s="72"/>
      <c r="I82" s="72"/>
      <c r="J82" s="72"/>
      <c r="K82" s="72"/>
    </row>
    <row r="83" spans="1:11" ht="18.75" customHeight="1" x14ac:dyDescent="0.3">
      <c r="A83" s="72"/>
      <c r="B83" s="72"/>
      <c r="C83" s="72"/>
      <c r="D83" s="72"/>
      <c r="E83" s="72"/>
      <c r="F83" s="72"/>
      <c r="G83" s="72"/>
      <c r="H83" s="72"/>
      <c r="I83" s="72"/>
      <c r="J83" s="72"/>
      <c r="K83" s="72"/>
    </row>
    <row r="84" spans="1:11" ht="18.75" customHeight="1" x14ac:dyDescent="0.3">
      <c r="A84" s="72"/>
      <c r="B84" s="72"/>
      <c r="C84" s="72"/>
      <c r="D84" s="72"/>
      <c r="E84" s="72"/>
      <c r="F84" s="72"/>
      <c r="G84" s="72"/>
      <c r="H84" s="72"/>
      <c r="I84" s="72"/>
      <c r="J84" s="72"/>
      <c r="K84" s="72"/>
    </row>
    <row r="85" spans="1:11" ht="18.75" x14ac:dyDescent="0.3">
      <c r="A85" s="72"/>
      <c r="B85" s="72"/>
      <c r="C85" s="72"/>
      <c r="D85" s="72"/>
      <c r="E85" s="72"/>
      <c r="F85" s="72"/>
      <c r="G85" s="72"/>
      <c r="H85" s="72"/>
      <c r="I85" s="72"/>
      <c r="J85" s="72"/>
      <c r="K85" s="72"/>
    </row>
    <row r="86" spans="1:11" ht="18.75" x14ac:dyDescent="0.3">
      <c r="A86" s="72"/>
      <c r="B86" s="72"/>
      <c r="C86" s="72"/>
      <c r="D86" s="72"/>
      <c r="E86" s="72"/>
      <c r="F86" s="72"/>
      <c r="G86" s="72"/>
      <c r="H86" s="72"/>
      <c r="I86" s="72"/>
      <c r="J86" s="72"/>
      <c r="K86" s="72"/>
    </row>
    <row r="87" spans="1:11" ht="18.75" x14ac:dyDescent="0.3">
      <c r="A87" s="72"/>
      <c r="B87" s="72"/>
      <c r="C87" s="72"/>
      <c r="D87" s="72"/>
      <c r="E87" s="72"/>
      <c r="F87" s="72"/>
      <c r="G87" s="72"/>
      <c r="H87" s="72"/>
      <c r="I87" s="72"/>
      <c r="J87" s="72"/>
      <c r="K87" s="72"/>
    </row>
    <row r="88" spans="1:11" ht="18.75" x14ac:dyDescent="0.3">
      <c r="A88" s="72"/>
      <c r="B88" s="72"/>
      <c r="C88" s="72"/>
      <c r="D88" s="72"/>
      <c r="E88" s="72"/>
      <c r="F88" s="72"/>
      <c r="G88" s="72"/>
      <c r="H88" s="72"/>
      <c r="I88" s="72"/>
      <c r="J88" s="72"/>
      <c r="K88" s="72"/>
    </row>
    <row r="89" spans="1:11" ht="18.75" x14ac:dyDescent="0.3">
      <c r="A89" s="72"/>
      <c r="B89" s="72"/>
      <c r="C89" s="72"/>
      <c r="D89" s="72"/>
      <c r="E89" s="72"/>
      <c r="F89" s="72"/>
      <c r="G89" s="72"/>
      <c r="H89" s="72"/>
      <c r="I89" s="72"/>
      <c r="J89" s="72"/>
      <c r="K89" s="72"/>
    </row>
    <row r="90" spans="1:11" ht="18.75" x14ac:dyDescent="0.3">
      <c r="A90" s="72"/>
      <c r="B90" s="72"/>
      <c r="C90" s="72"/>
      <c r="D90" s="72"/>
      <c r="E90" s="72"/>
      <c r="F90" s="72"/>
      <c r="G90" s="72"/>
      <c r="H90" s="72"/>
      <c r="I90" s="72"/>
      <c r="J90" s="72"/>
      <c r="K90" s="72"/>
    </row>
    <row r="91" spans="1:11" ht="18.75" x14ac:dyDescent="0.3">
      <c r="A91" s="72"/>
      <c r="B91" s="72"/>
      <c r="C91" s="72"/>
      <c r="D91" s="72"/>
      <c r="E91" s="72"/>
      <c r="F91" s="72"/>
      <c r="G91" s="72"/>
      <c r="H91" s="72"/>
      <c r="I91" s="72"/>
      <c r="J91" s="72"/>
      <c r="K91" s="72"/>
    </row>
    <row r="92" spans="1:11" ht="18.75" x14ac:dyDescent="0.3">
      <c r="A92" s="72"/>
      <c r="B92" s="72"/>
      <c r="C92" s="72"/>
      <c r="D92" s="72"/>
      <c r="E92" s="72"/>
      <c r="F92" s="72"/>
      <c r="G92" s="72"/>
      <c r="H92" s="72"/>
      <c r="I92" s="72"/>
      <c r="J92" s="72"/>
      <c r="K92" s="72"/>
    </row>
    <row r="93" spans="1:11" ht="18.75" x14ac:dyDescent="0.3">
      <c r="A93" s="72"/>
      <c r="B93" s="72"/>
      <c r="C93" s="72"/>
      <c r="D93" s="72"/>
      <c r="E93" s="72"/>
      <c r="F93" s="72"/>
      <c r="G93" s="72"/>
      <c r="H93" s="72"/>
      <c r="I93" s="72"/>
      <c r="J93" s="72"/>
      <c r="K93" s="72"/>
    </row>
    <row r="94" spans="1:11" ht="18.75" x14ac:dyDescent="0.3">
      <c r="A94" s="72"/>
      <c r="B94" s="72"/>
      <c r="C94" s="72"/>
      <c r="D94" s="72"/>
      <c r="E94" s="72"/>
      <c r="F94" s="72"/>
      <c r="G94" s="72"/>
      <c r="H94" s="72"/>
      <c r="I94" s="72"/>
      <c r="J94" s="72"/>
      <c r="K94" s="72"/>
    </row>
    <row r="95" spans="1:11" ht="18.75" x14ac:dyDescent="0.3">
      <c r="A95" s="72"/>
      <c r="B95" s="72"/>
      <c r="C95" s="72"/>
      <c r="D95" s="72"/>
      <c r="E95" s="72"/>
      <c r="F95" s="72"/>
      <c r="G95" s="72"/>
      <c r="H95" s="72"/>
      <c r="I95" s="72"/>
      <c r="J95" s="72"/>
      <c r="K95" s="72"/>
    </row>
    <row r="96" spans="1:11" ht="18.75" x14ac:dyDescent="0.3">
      <c r="A96" s="72"/>
      <c r="B96" s="72"/>
      <c r="C96" s="72"/>
      <c r="D96" s="72"/>
      <c r="E96" s="72"/>
      <c r="F96" s="72"/>
      <c r="G96" s="72"/>
      <c r="H96" s="72"/>
      <c r="I96" s="72"/>
      <c r="J96" s="72"/>
      <c r="K96" s="72"/>
    </row>
    <row r="97" spans="1:11" ht="18.75" x14ac:dyDescent="0.3">
      <c r="A97" s="72"/>
      <c r="B97" s="72"/>
      <c r="C97" s="72"/>
      <c r="D97" s="72"/>
      <c r="E97" s="72"/>
      <c r="F97" s="72"/>
      <c r="G97" s="72"/>
      <c r="H97" s="72"/>
      <c r="I97" s="72"/>
      <c r="J97" s="72"/>
      <c r="K97" s="72"/>
    </row>
    <row r="98" spans="1:11" ht="18.75" x14ac:dyDescent="0.3">
      <c r="A98" s="72"/>
      <c r="B98" s="72"/>
      <c r="C98" s="72"/>
      <c r="D98" s="72"/>
      <c r="E98" s="72"/>
      <c r="F98" s="72"/>
      <c r="G98" s="72"/>
      <c r="H98" s="72"/>
      <c r="I98" s="72"/>
      <c r="J98" s="72"/>
      <c r="K98" s="72"/>
    </row>
    <row r="99" spans="1:11" ht="18.75" x14ac:dyDescent="0.3">
      <c r="A99" s="72"/>
      <c r="B99" s="72"/>
      <c r="C99" s="72"/>
      <c r="D99" s="72"/>
      <c r="E99" s="72"/>
      <c r="F99" s="72"/>
      <c r="G99" s="72"/>
      <c r="H99" s="72"/>
      <c r="I99" s="72"/>
      <c r="J99" s="72"/>
      <c r="K99" s="72"/>
    </row>
    <row r="100" spans="1:11" ht="18.75" x14ac:dyDescent="0.3">
      <c r="A100" s="72"/>
      <c r="B100" s="72"/>
      <c r="C100" s="72"/>
      <c r="D100" s="72"/>
      <c r="E100" s="72"/>
      <c r="F100" s="72"/>
      <c r="G100" s="72"/>
      <c r="H100" s="72"/>
      <c r="I100" s="72"/>
      <c r="J100" s="72"/>
      <c r="K100" s="72"/>
    </row>
    <row r="101" spans="1:11" ht="18.75" x14ac:dyDescent="0.3">
      <c r="A101" s="72"/>
      <c r="B101" s="72"/>
      <c r="C101" s="72"/>
      <c r="D101" s="72"/>
      <c r="E101" s="72"/>
      <c r="F101" s="72"/>
      <c r="G101" s="72"/>
      <c r="H101" s="72"/>
      <c r="I101" s="72"/>
      <c r="J101" s="72"/>
      <c r="K101" s="72"/>
    </row>
    <row r="102" spans="1:11" ht="18.75" x14ac:dyDescent="0.3">
      <c r="A102" s="110"/>
      <c r="B102" s="110"/>
      <c r="C102" s="110"/>
      <c r="D102" s="110"/>
      <c r="E102" s="110"/>
      <c r="F102" s="110"/>
      <c r="G102" s="110"/>
      <c r="H102" s="110"/>
      <c r="I102" s="110"/>
      <c r="J102" s="110"/>
      <c r="K102" s="110"/>
    </row>
    <row r="103" spans="1:11" ht="18.75" x14ac:dyDescent="0.3">
      <c r="A103" s="114"/>
      <c r="B103" s="115"/>
      <c r="C103" s="115"/>
      <c r="D103" s="115"/>
      <c r="E103" s="72"/>
      <c r="F103" s="72"/>
      <c r="G103" s="72"/>
      <c r="H103" s="72"/>
      <c r="I103" s="72"/>
      <c r="J103" s="73"/>
      <c r="K103" s="73"/>
    </row>
    <row r="104" spans="1:11" ht="18.75" x14ac:dyDescent="0.3">
      <c r="A104" s="72"/>
      <c r="B104" s="72"/>
      <c r="C104" s="72"/>
      <c r="D104" s="72"/>
      <c r="E104" s="72"/>
      <c r="F104" s="72"/>
      <c r="G104" s="72"/>
      <c r="H104" s="72"/>
      <c r="I104" s="72"/>
      <c r="J104" s="72"/>
      <c r="K104" s="72"/>
    </row>
    <row r="105" spans="1:11" ht="18.75" x14ac:dyDescent="0.3">
      <c r="A105" s="72"/>
      <c r="B105" s="72"/>
      <c r="C105" s="72"/>
      <c r="D105" s="72"/>
      <c r="E105" s="72"/>
      <c r="F105" s="72"/>
      <c r="G105" s="72"/>
      <c r="H105" s="72"/>
      <c r="I105" s="72"/>
      <c r="J105" s="72"/>
      <c r="K105" s="72"/>
    </row>
    <row r="106" spans="1:11" ht="18.75" x14ac:dyDescent="0.3">
      <c r="A106" s="72"/>
      <c r="B106" s="72"/>
      <c r="C106" s="72"/>
      <c r="D106" s="72"/>
      <c r="E106" s="72"/>
      <c r="F106" s="72"/>
      <c r="G106" s="72"/>
      <c r="H106" s="72"/>
      <c r="I106" s="72"/>
      <c r="J106" s="72"/>
      <c r="K106" s="72"/>
    </row>
    <row r="107" spans="1:11" ht="18.75" x14ac:dyDescent="0.3">
      <c r="A107" s="72"/>
      <c r="B107" s="72"/>
      <c r="C107" s="72"/>
      <c r="D107" s="72"/>
      <c r="E107" s="72"/>
      <c r="F107" s="72"/>
      <c r="G107" s="72"/>
      <c r="H107" s="72"/>
      <c r="I107" s="72"/>
      <c r="J107" s="72"/>
      <c r="K107" s="72"/>
    </row>
    <row r="108" spans="1:11" ht="18.75" x14ac:dyDescent="0.3">
      <c r="A108" s="72"/>
      <c r="B108" s="72"/>
      <c r="C108" s="72"/>
      <c r="D108" s="72"/>
      <c r="E108" s="72"/>
      <c r="F108" s="72"/>
      <c r="G108" s="72"/>
      <c r="H108" s="72"/>
      <c r="I108" s="72"/>
      <c r="J108" s="72"/>
      <c r="K108" s="72"/>
    </row>
    <row r="109" spans="1:11" ht="18.75" x14ac:dyDescent="0.3">
      <c r="A109" s="72"/>
      <c r="B109" s="72"/>
      <c r="C109" s="72"/>
      <c r="D109" s="72"/>
      <c r="E109" s="72"/>
      <c r="F109" s="72"/>
      <c r="G109" s="72"/>
      <c r="H109" s="72"/>
      <c r="I109" s="72"/>
      <c r="J109" s="72"/>
      <c r="K109" s="72"/>
    </row>
    <row r="110" spans="1:11" ht="18.75" x14ac:dyDescent="0.3">
      <c r="A110" s="72"/>
      <c r="B110" s="72"/>
      <c r="C110" s="72"/>
      <c r="D110" s="72"/>
      <c r="E110" s="72"/>
      <c r="F110" s="72"/>
      <c r="G110" s="72"/>
      <c r="H110" s="72"/>
      <c r="I110" s="72"/>
      <c r="J110" s="72"/>
      <c r="K110" s="72"/>
    </row>
    <row r="111" spans="1:11" ht="18.75" x14ac:dyDescent="0.3">
      <c r="A111" s="72"/>
      <c r="B111" s="72"/>
      <c r="C111" s="72"/>
      <c r="D111" s="72"/>
      <c r="E111" s="72"/>
      <c r="F111" s="72"/>
      <c r="G111" s="72"/>
      <c r="H111" s="72"/>
      <c r="I111" s="72"/>
      <c r="J111" s="72"/>
      <c r="K111" s="72"/>
    </row>
    <row r="112" spans="1:11" ht="18.75" x14ac:dyDescent="0.3">
      <c r="A112" s="72"/>
      <c r="B112" s="72"/>
      <c r="C112" s="72"/>
      <c r="D112" s="72"/>
      <c r="E112" s="72"/>
      <c r="F112" s="72"/>
      <c r="G112" s="72"/>
      <c r="H112" s="72"/>
      <c r="I112" s="72"/>
      <c r="J112" s="72"/>
      <c r="K112" s="72"/>
    </row>
    <row r="113" spans="1:11" ht="18.75" x14ac:dyDescent="0.3">
      <c r="A113" s="72"/>
      <c r="B113" s="72"/>
      <c r="C113" s="72"/>
      <c r="D113" s="72"/>
      <c r="E113" s="72"/>
      <c r="F113" s="72"/>
      <c r="G113" s="72"/>
      <c r="H113" s="72"/>
      <c r="I113" s="72"/>
      <c r="J113" s="72"/>
      <c r="K113" s="72"/>
    </row>
    <row r="114" spans="1:11" ht="18.75" x14ac:dyDescent="0.3">
      <c r="A114" s="72"/>
      <c r="B114" s="72"/>
      <c r="C114" s="72"/>
      <c r="D114" s="72"/>
      <c r="E114" s="72"/>
      <c r="F114" s="72"/>
      <c r="G114" s="72"/>
      <c r="H114" s="72"/>
      <c r="I114" s="72"/>
      <c r="J114" s="72"/>
      <c r="K114" s="72"/>
    </row>
    <row r="115" spans="1:11" ht="18.75" x14ac:dyDescent="0.3">
      <c r="A115" s="72"/>
      <c r="B115" s="72"/>
      <c r="C115" s="72"/>
      <c r="D115" s="72"/>
      <c r="E115" s="72"/>
      <c r="F115" s="72"/>
      <c r="G115" s="72"/>
      <c r="H115" s="72"/>
      <c r="I115" s="72"/>
      <c r="J115" s="72"/>
      <c r="K115" s="72"/>
    </row>
  </sheetData>
  <mergeCells count="5">
    <mergeCell ref="N5:O5"/>
    <mergeCell ref="A3:B3"/>
    <mergeCell ref="B5:E5"/>
    <mergeCell ref="G5:J5"/>
    <mergeCell ref="L5:M5"/>
  </mergeCells>
  <hyperlinks>
    <hyperlink ref="B1" location="Innhold!A1" display="Tilbake" xr:uid="{00000000-0004-0000-0300-000000000000}"/>
  </hyperlinks>
  <pageMargins left="0.70866141732283472" right="0.70866141732283472" top="0.78740157480314965" bottom="0.78740157480314965" header="0.31496062992125984" footer="0.31496062992125984"/>
  <pageSetup paperSize="9" scale="3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W115"/>
  <sheetViews>
    <sheetView showGridLines="0" showZeros="0" zoomScale="70" zoomScaleNormal="70" workbookViewId="0">
      <pane xSplit="1" ySplit="7" topLeftCell="B8" activePane="bottomRight" state="frozen"/>
      <selection pane="topRight" activeCell="B1" sqref="B1"/>
      <selection pane="bottomLeft" activeCell="A8" sqref="A8"/>
      <selection pane="bottomRight" activeCell="A4" sqref="A4"/>
    </sheetView>
  </sheetViews>
  <sheetFormatPr baseColWidth="10" defaultColWidth="11.42578125" defaultRowHeight="18" x14ac:dyDescent="0.25"/>
  <cols>
    <col min="1" max="1" width="51" style="79" customWidth="1"/>
    <col min="2" max="2" width="17.85546875" style="79" bestFit="1" customWidth="1"/>
    <col min="3" max="3" width="19" style="79" customWidth="1"/>
    <col min="4" max="4" width="9.28515625" style="79" bestFit="1" customWidth="1"/>
    <col min="5" max="5" width="4.7109375" style="79" customWidth="1"/>
    <col min="6" max="7" width="16.7109375" style="79" customWidth="1"/>
    <col min="8" max="8" width="9.28515625" style="79" bestFit="1" customWidth="1"/>
    <col min="9" max="9" width="4.7109375" style="79" customWidth="1"/>
    <col min="10" max="10" width="18.7109375" style="79" customWidth="1"/>
    <col min="11" max="11" width="18" style="79" bestFit="1" customWidth="1"/>
    <col min="12" max="12" width="9.28515625" style="79" bestFit="1" customWidth="1"/>
    <col min="13" max="13" width="11.42578125" style="79"/>
    <col min="14" max="15" width="17.28515625" style="79" bestFit="1" customWidth="1"/>
    <col min="16" max="16384" width="11.42578125" style="79"/>
  </cols>
  <sheetData>
    <row r="1" spans="1:13" ht="20.25" x14ac:dyDescent="0.3">
      <c r="A1" s="78" t="s">
        <v>75</v>
      </c>
      <c r="B1" s="71" t="s">
        <v>52</v>
      </c>
      <c r="C1" s="72"/>
      <c r="D1" s="72"/>
      <c r="E1" s="72"/>
      <c r="F1" s="72"/>
      <c r="G1" s="72"/>
      <c r="H1" s="72"/>
      <c r="I1" s="72"/>
      <c r="J1" s="72"/>
      <c r="K1" s="72"/>
      <c r="L1" s="72"/>
      <c r="M1" s="72"/>
    </row>
    <row r="2" spans="1:13" ht="20.25" x14ac:dyDescent="0.3">
      <c r="A2" s="78" t="s">
        <v>100</v>
      </c>
      <c r="B2" s="71"/>
      <c r="C2" s="72"/>
      <c r="D2" s="72"/>
      <c r="E2" s="72"/>
      <c r="F2" s="72"/>
      <c r="G2" s="72"/>
      <c r="H2" s="72"/>
      <c r="I2" s="72"/>
      <c r="J2" s="72"/>
      <c r="K2" s="72"/>
      <c r="L2" s="72"/>
      <c r="M2" s="72"/>
    </row>
    <row r="3" spans="1:13" ht="18.75" x14ac:dyDescent="0.3">
      <c r="A3" s="73" t="s">
        <v>101</v>
      </c>
      <c r="B3" s="72"/>
      <c r="C3" s="72"/>
      <c r="D3" s="72"/>
      <c r="E3" s="72"/>
      <c r="F3" s="72"/>
      <c r="G3" s="72"/>
      <c r="H3" s="72"/>
      <c r="I3" s="72"/>
      <c r="J3" s="72"/>
      <c r="K3" s="72"/>
      <c r="L3" s="72"/>
      <c r="M3" s="72"/>
    </row>
    <row r="4" spans="1:13" ht="18.75" x14ac:dyDescent="0.3">
      <c r="A4" s="80" t="s">
        <v>427</v>
      </c>
      <c r="B4" s="100"/>
      <c r="C4" s="116"/>
      <c r="D4" s="117"/>
      <c r="E4" s="110"/>
      <c r="F4" s="81"/>
      <c r="G4" s="82"/>
      <c r="H4" s="83"/>
      <c r="I4" s="110"/>
      <c r="J4" s="81"/>
      <c r="K4" s="82"/>
      <c r="L4" s="83"/>
      <c r="M4" s="72"/>
    </row>
    <row r="5" spans="1:13" ht="18.75" x14ac:dyDescent="0.3">
      <c r="A5" s="118"/>
      <c r="B5" s="686" t="s">
        <v>0</v>
      </c>
      <c r="C5" s="687"/>
      <c r="D5" s="688"/>
      <c r="E5" s="87"/>
      <c r="F5" s="686" t="s">
        <v>1</v>
      </c>
      <c r="G5" s="687"/>
      <c r="H5" s="688"/>
      <c r="I5" s="119"/>
      <c r="J5" s="686" t="s">
        <v>102</v>
      </c>
      <c r="K5" s="687"/>
      <c r="L5" s="688"/>
      <c r="M5" s="72"/>
    </row>
    <row r="6" spans="1:13" ht="18.75" x14ac:dyDescent="0.3">
      <c r="A6" s="120"/>
      <c r="B6" s="121"/>
      <c r="C6" s="122"/>
      <c r="D6" s="92" t="s">
        <v>103</v>
      </c>
      <c r="E6" s="98"/>
      <c r="F6" s="121"/>
      <c r="G6" s="122"/>
      <c r="H6" s="92" t="s">
        <v>103</v>
      </c>
      <c r="I6" s="123"/>
      <c r="J6" s="121"/>
      <c r="K6" s="122"/>
      <c r="L6" s="92" t="s">
        <v>103</v>
      </c>
      <c r="M6" s="72"/>
    </row>
    <row r="7" spans="1:13" ht="18.75" x14ac:dyDescent="0.3">
      <c r="A7" s="124" t="s">
        <v>104</v>
      </c>
      <c r="B7" s="125">
        <v>2021</v>
      </c>
      <c r="C7" s="181">
        <v>2022</v>
      </c>
      <c r="D7" s="97" t="s">
        <v>81</v>
      </c>
      <c r="E7" s="98"/>
      <c r="F7" s="95">
        <v>2021</v>
      </c>
      <c r="G7" s="125">
        <v>2022</v>
      </c>
      <c r="H7" s="97" t="s">
        <v>81</v>
      </c>
      <c r="I7" s="126"/>
      <c r="J7" s="180">
        <v>2021</v>
      </c>
      <c r="K7" s="181">
        <v>2022</v>
      </c>
      <c r="L7" s="97" t="s">
        <v>81</v>
      </c>
      <c r="M7" s="72"/>
    </row>
    <row r="8" spans="1:13" ht="22.5" x14ac:dyDescent="0.3">
      <c r="A8" s="188" t="s">
        <v>105</v>
      </c>
      <c r="B8" s="228"/>
      <c r="C8" s="197"/>
      <c r="D8" s="197"/>
      <c r="E8" s="178"/>
      <c r="F8" s="197"/>
      <c r="G8" s="197"/>
      <c r="H8" s="197"/>
      <c r="I8" s="198"/>
      <c r="J8" s="197"/>
      <c r="K8" s="197"/>
      <c r="L8" s="197"/>
      <c r="M8" s="72"/>
    </row>
    <row r="9" spans="1:13" ht="18.75" x14ac:dyDescent="0.3">
      <c r="A9" s="189" t="s">
        <v>106</v>
      </c>
      <c r="B9" s="102">
        <f>'Skjema total MA'!B7</f>
        <v>3813483.6916657356</v>
      </c>
      <c r="C9" s="102">
        <f>'Skjema total MA'!C7</f>
        <v>3985789.7528075869</v>
      </c>
      <c r="D9" s="229">
        <f>IF(B9=0, "    ---- ", IF(ABS(ROUND(100/B9*C9-100,1))&lt;999,ROUND(100/B9*C9-100,1),IF(ROUND(100/B9*C9-100,1)&gt;999,999,-999)))</f>
        <v>4.5</v>
      </c>
      <c r="E9" s="178"/>
      <c r="F9" s="192">
        <f>'Skjema total MA'!E7</f>
        <v>10886055.292259999</v>
      </c>
      <c r="G9" s="192">
        <f>'Skjema total MA'!F7</f>
        <v>7212186.1206099996</v>
      </c>
      <c r="H9" s="229">
        <f>IF(F9=0, "    ---- ", IF(ABS(ROUND(100/F9*G9-100,1))&lt;999,ROUND(100/F9*G9-100,1),IF(ROUND(100/F9*G9-100,1)&gt;999,999,-999)))</f>
        <v>-33.700000000000003</v>
      </c>
      <c r="I9" s="178"/>
      <c r="J9" s="192">
        <f t="shared" ref="J9:K60" si="0">SUM(B9+F9)</f>
        <v>14699538.983925734</v>
      </c>
      <c r="K9" s="192">
        <f t="shared" si="0"/>
        <v>11197975.873417586</v>
      </c>
      <c r="L9" s="227">
        <f>IF(J9=0, "    ---- ", IF(ABS(ROUND(100/J9*K9-100,1))&lt;999,ROUND(100/J9*K9-100,1),IF(ROUND(100/J9*K9-100,1)&gt;999,999,-999)))</f>
        <v>-23.8</v>
      </c>
      <c r="M9" s="72"/>
    </row>
    <row r="10" spans="1:13" ht="18.75" x14ac:dyDescent="0.3">
      <c r="A10" s="189" t="s">
        <v>107</v>
      </c>
      <c r="B10" s="102">
        <f>'Skjema total MA'!B22</f>
        <v>1536275.0599848521</v>
      </c>
      <c r="C10" s="102">
        <f>'Skjema total MA'!C22</f>
        <v>1677054.951081509</v>
      </c>
      <c r="D10" s="229">
        <f t="shared" ref="D10:D17" si="1">IF(B10=0, "    ---- ", IF(ABS(ROUND(100/B10*C10-100,1))&lt;999,ROUND(100/B10*C10-100,1),IF(ROUND(100/B10*C10-100,1)&gt;999,999,-999)))</f>
        <v>9.1999999999999993</v>
      </c>
      <c r="E10" s="178"/>
      <c r="F10" s="192">
        <f>'Skjema total MA'!E22</f>
        <v>1122445.8969100001</v>
      </c>
      <c r="G10" s="192">
        <f>'Skjema total MA'!F22</f>
        <v>703799.34444999998</v>
      </c>
      <c r="H10" s="229">
        <f t="shared" ref="H10:H57" si="2">IF(F10=0, "    ---- ", IF(ABS(ROUND(100/F10*G10-100,1))&lt;999,ROUND(100/F10*G10-100,1),IF(ROUND(100/F10*G10-100,1)&gt;999,999,-999)))</f>
        <v>-37.299999999999997</v>
      </c>
      <c r="I10" s="178"/>
      <c r="J10" s="192">
        <f t="shared" si="0"/>
        <v>2658720.9568948522</v>
      </c>
      <c r="K10" s="192">
        <f t="shared" si="0"/>
        <v>2380854.295531509</v>
      </c>
      <c r="L10" s="227">
        <f t="shared" ref="L10:L60" si="3">IF(J10=0, "    ---- ", IF(ABS(ROUND(100/J10*K10-100,1))&lt;999,ROUND(100/J10*K10-100,1),IF(ROUND(100/J10*K10-100,1)&gt;999,999,-999)))</f>
        <v>-10.5</v>
      </c>
      <c r="M10" s="72"/>
    </row>
    <row r="11" spans="1:13" ht="18.75" x14ac:dyDescent="0.3">
      <c r="A11" s="189" t="s">
        <v>108</v>
      </c>
      <c r="B11" s="102">
        <f>'Skjema total MA'!B47</f>
        <v>4470890.942388827</v>
      </c>
      <c r="C11" s="102">
        <f>'Skjema total MA'!C47</f>
        <v>4862420.9721488282</v>
      </c>
      <c r="D11" s="229">
        <f t="shared" si="1"/>
        <v>8.8000000000000007</v>
      </c>
      <c r="E11" s="178"/>
      <c r="F11" s="192"/>
      <c r="G11" s="192"/>
      <c r="H11" s="229"/>
      <c r="I11" s="178"/>
      <c r="J11" s="192">
        <f t="shared" si="0"/>
        <v>4470890.942388827</v>
      </c>
      <c r="K11" s="192">
        <f t="shared" si="0"/>
        <v>4862420.9721488282</v>
      </c>
      <c r="L11" s="227">
        <f t="shared" si="3"/>
        <v>8.8000000000000007</v>
      </c>
      <c r="M11" s="72"/>
    </row>
    <row r="12" spans="1:13" ht="18.75" x14ac:dyDescent="0.3">
      <c r="A12" s="189" t="s">
        <v>109</v>
      </c>
      <c r="B12" s="102">
        <f>'Skjema total MA'!B66</f>
        <v>6273278.3742899997</v>
      </c>
      <c r="C12" s="102">
        <f>'Skjema total MA'!C66</f>
        <v>6157253.76358</v>
      </c>
      <c r="D12" s="229">
        <f t="shared" si="1"/>
        <v>-1.8</v>
      </c>
      <c r="E12" s="178"/>
      <c r="F12" s="192">
        <f>'Skjema total MA'!E66</f>
        <v>28068883.722309999</v>
      </c>
      <c r="G12" s="192">
        <f>'Skjema total MA'!F66</f>
        <v>31504296.328440003</v>
      </c>
      <c r="H12" s="229">
        <f t="shared" si="2"/>
        <v>12.2</v>
      </c>
      <c r="I12" s="178"/>
      <c r="J12" s="192">
        <f t="shared" si="0"/>
        <v>34342162.096599996</v>
      </c>
      <c r="K12" s="192">
        <f t="shared" si="0"/>
        <v>37661550.092020005</v>
      </c>
      <c r="L12" s="227">
        <f t="shared" si="3"/>
        <v>9.6999999999999993</v>
      </c>
      <c r="M12" s="72"/>
    </row>
    <row r="13" spans="1:13" ht="18.75" x14ac:dyDescent="0.3">
      <c r="A13" s="189" t="s">
        <v>110</v>
      </c>
      <c r="B13" s="102">
        <f>'Skjema total MA'!B68</f>
        <v>34968.568589999995</v>
      </c>
      <c r="C13" s="102">
        <f>'Skjema total MA'!C68</f>
        <v>44307.17669</v>
      </c>
      <c r="D13" s="229">
        <f t="shared" si="1"/>
        <v>26.7</v>
      </c>
      <c r="E13" s="178"/>
      <c r="F13" s="192">
        <f>'Skjema total MA'!E68</f>
        <v>26951875.208689999</v>
      </c>
      <c r="G13" s="192">
        <f>'Skjema total MA'!F68</f>
        <v>30300641.07102</v>
      </c>
      <c r="H13" s="229">
        <f t="shared" si="2"/>
        <v>12.4</v>
      </c>
      <c r="I13" s="178"/>
      <c r="J13" s="192">
        <f t="shared" si="0"/>
        <v>26986843.777279999</v>
      </c>
      <c r="K13" s="192">
        <f t="shared" si="0"/>
        <v>30344948.247710001</v>
      </c>
      <c r="L13" s="227">
        <f t="shared" si="3"/>
        <v>12.4</v>
      </c>
      <c r="M13" s="72"/>
    </row>
    <row r="14" spans="1:13" s="131" customFormat="1" ht="18.75" x14ac:dyDescent="0.3">
      <c r="A14" s="190" t="s">
        <v>111</v>
      </c>
      <c r="B14" s="129">
        <f>'Skjema total MA'!B75</f>
        <v>409420.10761000001</v>
      </c>
      <c r="C14" s="129">
        <f>'Skjema total MA'!C75</f>
        <v>483612.14775</v>
      </c>
      <c r="D14" s="229">
        <f t="shared" si="1"/>
        <v>18.100000000000001</v>
      </c>
      <c r="E14" s="179"/>
      <c r="F14" s="193">
        <f>'Skjema total MA'!E75</f>
        <v>1117008.5136199999</v>
      </c>
      <c r="G14" s="193">
        <f>'Skjema total MA'!F75</f>
        <v>1203655.2574200002</v>
      </c>
      <c r="H14" s="229">
        <f t="shared" si="2"/>
        <v>7.8</v>
      </c>
      <c r="I14" s="179"/>
      <c r="J14" s="192">
        <f t="shared" si="0"/>
        <v>1526428.6212299999</v>
      </c>
      <c r="K14" s="192">
        <f t="shared" si="0"/>
        <v>1687267.4051700002</v>
      </c>
      <c r="L14" s="227">
        <f t="shared" si="3"/>
        <v>10.5</v>
      </c>
      <c r="M14" s="130"/>
    </row>
    <row r="15" spans="1:13" ht="22.5" x14ac:dyDescent="0.3">
      <c r="A15" s="189" t="s">
        <v>340</v>
      </c>
      <c r="B15" s="102">
        <f>'Skjema total MA'!B134</f>
        <v>47741240.697339997</v>
      </c>
      <c r="C15" s="102">
        <f>'Skjema total MA'!C134</f>
        <v>48200907.117570005</v>
      </c>
      <c r="D15" s="229">
        <f t="shared" si="1"/>
        <v>1</v>
      </c>
      <c r="E15" s="178"/>
      <c r="F15" s="192">
        <f>'Skjema total MA'!E134</f>
        <v>116273.039</v>
      </c>
      <c r="G15" s="192">
        <f>'Skjema total MA'!F134</f>
        <v>131709.47200000001</v>
      </c>
      <c r="H15" s="229">
        <f t="shared" si="2"/>
        <v>13.3</v>
      </c>
      <c r="I15" s="178"/>
      <c r="J15" s="192">
        <f t="shared" si="0"/>
        <v>47857513.736339994</v>
      </c>
      <c r="K15" s="192">
        <f t="shared" si="0"/>
        <v>48332616.589570008</v>
      </c>
      <c r="L15" s="227">
        <f t="shared" si="3"/>
        <v>1</v>
      </c>
      <c r="M15" s="72"/>
    </row>
    <row r="16" spans="1:13" ht="18.75" x14ac:dyDescent="0.3">
      <c r="A16" s="189" t="s">
        <v>112</v>
      </c>
      <c r="B16" s="102">
        <f>'Skjema total MA'!B36</f>
        <v>2163.1350000000002</v>
      </c>
      <c r="C16" s="102">
        <f>'Skjema total MA'!C36</f>
        <v>2629.8980000000001</v>
      </c>
      <c r="D16" s="229">
        <f t="shared" si="1"/>
        <v>21.6</v>
      </c>
      <c r="E16" s="178"/>
      <c r="F16" s="192">
        <f>'Skjema total MA'!E36</f>
        <v>0</v>
      </c>
      <c r="G16" s="192">
        <f>'Skjema total MA'!F36</f>
        <v>0</v>
      </c>
      <c r="H16" s="229"/>
      <c r="I16" s="178"/>
      <c r="J16" s="192">
        <f t="shared" si="0"/>
        <v>2163.1350000000002</v>
      </c>
      <c r="K16" s="192">
        <f t="shared" si="0"/>
        <v>2629.8980000000001</v>
      </c>
      <c r="L16" s="227">
        <f t="shared" si="3"/>
        <v>21.6</v>
      </c>
      <c r="M16" s="72"/>
    </row>
    <row r="17" spans="1:23" s="133" customFormat="1" ht="18.75" customHeight="1" x14ac:dyDescent="0.3">
      <c r="A17" s="135" t="s">
        <v>113</v>
      </c>
      <c r="B17" s="108">
        <f>'Tabel 1.1'!B34</f>
        <v>63837331.900669411</v>
      </c>
      <c r="C17" s="194">
        <f>'Tabel 1.1'!C34</f>
        <v>64886056.455187924</v>
      </c>
      <c r="D17" s="229">
        <f t="shared" si="1"/>
        <v>1.6</v>
      </c>
      <c r="E17" s="136"/>
      <c r="F17" s="194">
        <f>'Tabel 1.1'!B46</f>
        <v>40193657.950479999</v>
      </c>
      <c r="G17" s="194">
        <f>'Tabel 1.1'!C46</f>
        <v>39551991.265500002</v>
      </c>
      <c r="H17" s="229">
        <f t="shared" si="2"/>
        <v>-1.6</v>
      </c>
      <c r="I17" s="136"/>
      <c r="J17" s="194">
        <f t="shared" si="0"/>
        <v>104030989.85114941</v>
      </c>
      <c r="K17" s="194">
        <f t="shared" si="0"/>
        <v>104438047.72068793</v>
      </c>
      <c r="L17" s="227">
        <f t="shared" si="3"/>
        <v>0.4</v>
      </c>
      <c r="M17" s="73"/>
      <c r="N17" s="132"/>
      <c r="O17" s="132"/>
      <c r="Q17" s="134"/>
      <c r="R17" s="134"/>
      <c r="S17" s="134"/>
      <c r="T17" s="134"/>
      <c r="U17" s="134"/>
      <c r="V17" s="134"/>
      <c r="W17" s="134"/>
    </row>
    <row r="18" spans="1:23" ht="18.75" customHeight="1" x14ac:dyDescent="0.3">
      <c r="A18" s="135"/>
      <c r="B18" s="102"/>
      <c r="C18" s="192"/>
      <c r="D18" s="192"/>
      <c r="E18" s="178"/>
      <c r="F18" s="192"/>
      <c r="G18" s="192"/>
      <c r="H18" s="229"/>
      <c r="I18" s="178"/>
      <c r="J18" s="192"/>
      <c r="K18" s="192"/>
      <c r="L18" s="227"/>
      <c r="M18" s="72"/>
    </row>
    <row r="19" spans="1:23" ht="18.75" customHeight="1" x14ac:dyDescent="0.3">
      <c r="A19" s="188" t="s">
        <v>341</v>
      </c>
      <c r="B19" s="196"/>
      <c r="C19" s="199"/>
      <c r="D19" s="192"/>
      <c r="E19" s="178"/>
      <c r="F19" s="199"/>
      <c r="G19" s="199"/>
      <c r="H19" s="229"/>
      <c r="I19" s="178"/>
      <c r="J19" s="192"/>
      <c r="K19" s="192"/>
      <c r="L19" s="227"/>
      <c r="M19" s="72"/>
    </row>
    <row r="20" spans="1:23" ht="18.75" customHeight="1" x14ac:dyDescent="0.3">
      <c r="A20" s="189" t="s">
        <v>106</v>
      </c>
      <c r="B20" s="102">
        <f>'Skjema total MA'!B10</f>
        <v>16996296.233549759</v>
      </c>
      <c r="C20" s="102">
        <f>'Skjema total MA'!C10</f>
        <v>15731663.249415958</v>
      </c>
      <c r="D20" s="229">
        <f>IF(B20=0, "    ---- ", IF(ABS(ROUND(100/B20*C20-100,1))&lt;999,ROUND(100/B20*C20-100,1),IF(ROUND(100/B20*C20-100,1)&gt;999,999,-999)))</f>
        <v>-7.4</v>
      </c>
      <c r="E20" s="178"/>
      <c r="F20" s="192">
        <f>'Skjema total MA'!E10</f>
        <v>73201561.021569997</v>
      </c>
      <c r="G20" s="192">
        <f>'Skjema total MA'!F10</f>
        <v>68979516.335089996</v>
      </c>
      <c r="H20" s="229">
        <f t="shared" si="2"/>
        <v>-5.8</v>
      </c>
      <c r="I20" s="178"/>
      <c r="J20" s="192">
        <f t="shared" si="0"/>
        <v>90197857.255119756</v>
      </c>
      <c r="K20" s="192">
        <f t="shared" si="0"/>
        <v>84711179.58450596</v>
      </c>
      <c r="L20" s="227">
        <f t="shared" si="3"/>
        <v>-6.1</v>
      </c>
      <c r="M20" s="72"/>
    </row>
    <row r="21" spans="1:23" ht="18.75" customHeight="1" x14ac:dyDescent="0.3">
      <c r="A21" s="189" t="s">
        <v>107</v>
      </c>
      <c r="B21" s="102">
        <f>'Skjema total MA'!B29</f>
        <v>44961787.721639454</v>
      </c>
      <c r="C21" s="102">
        <f>'Skjema total MA'!C29</f>
        <v>44571492.069532573</v>
      </c>
      <c r="D21" s="229">
        <f t="shared" ref="D21:D27" si="4">IF(B21=0, "    ---- ", IF(ABS(ROUND(100/B21*C21-100,1))&lt;999,ROUND(100/B21*C21-100,1),IF(ROUND(100/B21*C21-100,1)&gt;999,999,-999)))</f>
        <v>-0.9</v>
      </c>
      <c r="E21" s="178"/>
      <c r="F21" s="192">
        <f>'Skjema total MA'!E29</f>
        <v>25725464.494199999</v>
      </c>
      <c r="G21" s="192">
        <f>'Skjema total MA'!F29</f>
        <v>23101830.050409999</v>
      </c>
      <c r="H21" s="229">
        <f t="shared" si="2"/>
        <v>-10.199999999999999</v>
      </c>
      <c r="I21" s="178"/>
      <c r="J21" s="192">
        <f t="shared" si="0"/>
        <v>70687252.215839446</v>
      </c>
      <c r="K21" s="192">
        <f t="shared" si="0"/>
        <v>67673322.119942576</v>
      </c>
      <c r="L21" s="227">
        <f t="shared" si="3"/>
        <v>-4.3</v>
      </c>
      <c r="M21" s="72"/>
    </row>
    <row r="22" spans="1:23" ht="18.75" x14ac:dyDescent="0.3">
      <c r="A22" s="189" t="s">
        <v>109</v>
      </c>
      <c r="B22" s="102">
        <f>'Skjema total MA'!B87</f>
        <v>401391176.2420643</v>
      </c>
      <c r="C22" s="102">
        <f>'Skjema total MA'!C87</f>
        <v>402303545.52387029</v>
      </c>
      <c r="D22" s="229">
        <f t="shared" si="4"/>
        <v>0.2</v>
      </c>
      <c r="E22" s="178"/>
      <c r="F22" s="192">
        <f>'Skjema total MA'!E87</f>
        <v>425136544.02149999</v>
      </c>
      <c r="G22" s="192">
        <f>'Skjema total MA'!F87</f>
        <v>413916144.54160994</v>
      </c>
      <c r="H22" s="229">
        <f t="shared" si="2"/>
        <v>-2.6</v>
      </c>
      <c r="I22" s="178"/>
      <c r="J22" s="192">
        <f t="shared" si="0"/>
        <v>826527720.26356435</v>
      </c>
      <c r="K22" s="192">
        <f t="shared" si="0"/>
        <v>816219690.06548023</v>
      </c>
      <c r="L22" s="227">
        <f t="shared" si="3"/>
        <v>-1.2</v>
      </c>
      <c r="M22" s="72"/>
    </row>
    <row r="23" spans="1:23" ht="22.5" x14ac:dyDescent="0.3">
      <c r="A23" s="189" t="s">
        <v>114</v>
      </c>
      <c r="B23" s="102">
        <f>'Skjema total MA'!B89</f>
        <v>3086506.71734</v>
      </c>
      <c r="C23" s="102">
        <f>'Skjema total MA'!C89</f>
        <v>3323113.22309196</v>
      </c>
      <c r="D23" s="229">
        <f t="shared" si="4"/>
        <v>7.7</v>
      </c>
      <c r="E23" s="178"/>
      <c r="F23" s="192">
        <f>'Skjema total MA'!E89</f>
        <v>420757485.13576007</v>
      </c>
      <c r="G23" s="192">
        <f>'Skjema total MA'!F89</f>
        <v>408964418.35354</v>
      </c>
      <c r="H23" s="229">
        <f t="shared" si="2"/>
        <v>-2.8</v>
      </c>
      <c r="I23" s="178"/>
      <c r="J23" s="192">
        <f t="shared" si="0"/>
        <v>423843991.85310006</v>
      </c>
      <c r="K23" s="192">
        <f t="shared" si="0"/>
        <v>412287531.57663196</v>
      </c>
      <c r="L23" s="227">
        <f t="shared" si="3"/>
        <v>-2.7</v>
      </c>
      <c r="M23" s="72"/>
    </row>
    <row r="24" spans="1:23" ht="18.75" x14ac:dyDescent="0.3">
      <c r="A24" s="190" t="s">
        <v>111</v>
      </c>
      <c r="B24" s="102">
        <f>'Skjema total MA'!B96</f>
        <v>2518065.5657200003</v>
      </c>
      <c r="C24" s="102">
        <f>'Skjema total MA'!C96</f>
        <v>3529793.7596100001</v>
      </c>
      <c r="D24" s="229">
        <f t="shared" si="4"/>
        <v>40.200000000000003</v>
      </c>
      <c r="E24" s="178"/>
      <c r="F24" s="192">
        <f>'Skjema total MA'!E96</f>
        <v>4379058.8857399998</v>
      </c>
      <c r="G24" s="192">
        <f>'Skjema total MA'!F96</f>
        <v>4951726.1880700001</v>
      </c>
      <c r="H24" s="229">
        <f t="shared" si="2"/>
        <v>13.1</v>
      </c>
      <c r="I24" s="178"/>
      <c r="J24" s="192">
        <f t="shared" si="0"/>
        <v>6897124.4514600001</v>
      </c>
      <c r="K24" s="192">
        <f t="shared" si="0"/>
        <v>8481519.9476800002</v>
      </c>
      <c r="L24" s="227">
        <f t="shared" si="3"/>
        <v>23</v>
      </c>
      <c r="M24" s="72"/>
    </row>
    <row r="25" spans="1:23" ht="22.5" x14ac:dyDescent="0.3">
      <c r="A25" s="189" t="s">
        <v>340</v>
      </c>
      <c r="B25" s="102">
        <f>'Skjema total MA'!B135</f>
        <v>665071384.51682997</v>
      </c>
      <c r="C25" s="102">
        <f>'Skjema total MA'!C135</f>
        <v>740916103.81475997</v>
      </c>
      <c r="D25" s="229">
        <f t="shared" si="4"/>
        <v>11.4</v>
      </c>
      <c r="E25" s="178"/>
      <c r="F25" s="192">
        <f>'Skjema total MA'!E135</f>
        <v>2172918.8607600001</v>
      </c>
      <c r="G25" s="192">
        <f>'Skjema total MA'!F135</f>
        <v>2548669.2979299999</v>
      </c>
      <c r="H25" s="229">
        <f t="shared" si="2"/>
        <v>17.3</v>
      </c>
      <c r="I25" s="178"/>
      <c r="J25" s="192">
        <f t="shared" si="0"/>
        <v>667244303.37758994</v>
      </c>
      <c r="K25" s="192">
        <f t="shared" si="0"/>
        <v>743464773.11268997</v>
      </c>
      <c r="L25" s="227">
        <f t="shared" si="3"/>
        <v>11.4</v>
      </c>
      <c r="M25" s="72"/>
    </row>
    <row r="26" spans="1:23" ht="18.75" x14ac:dyDescent="0.3">
      <c r="A26" s="189" t="s">
        <v>112</v>
      </c>
      <c r="B26" s="102">
        <f>'Skjema total MA'!B37</f>
        <v>3348414.9709999999</v>
      </c>
      <c r="C26" s="102">
        <f>'Skjema total MA'!C37</f>
        <v>2991121.9397</v>
      </c>
      <c r="D26" s="229">
        <f t="shared" si="4"/>
        <v>-10.7</v>
      </c>
      <c r="E26" s="178"/>
      <c r="F26" s="192">
        <f>'Skjema total MA'!E37</f>
        <v>0</v>
      </c>
      <c r="G26" s="192">
        <f>'Skjema total MA'!F37</f>
        <v>0</v>
      </c>
      <c r="H26" s="229"/>
      <c r="I26" s="178"/>
      <c r="J26" s="192">
        <f t="shared" si="0"/>
        <v>3348414.9709999999</v>
      </c>
      <c r="K26" s="192">
        <f t="shared" si="0"/>
        <v>2991121.9397</v>
      </c>
      <c r="L26" s="227">
        <f t="shared" si="3"/>
        <v>-10.7</v>
      </c>
      <c r="M26" s="72"/>
    </row>
    <row r="27" spans="1:23" s="133" customFormat="1" ht="18.75" x14ac:dyDescent="0.3">
      <c r="A27" s="135" t="s">
        <v>115</v>
      </c>
      <c r="B27" s="108">
        <f>'Tabel 1.1'!G34</f>
        <v>1131769059.6850834</v>
      </c>
      <c r="C27" s="194">
        <f>'Tabel 1.1'!H34</f>
        <v>1206513926.5972788</v>
      </c>
      <c r="D27" s="229">
        <f t="shared" si="4"/>
        <v>6.6</v>
      </c>
      <c r="E27" s="136"/>
      <c r="F27" s="194">
        <f>'Tabel 1.1'!G46</f>
        <v>526236488.39803004</v>
      </c>
      <c r="G27" s="194">
        <f>'Tabel 1.1'!H46</f>
        <v>508546160.22503996</v>
      </c>
      <c r="H27" s="229">
        <f t="shared" si="2"/>
        <v>-3.4</v>
      </c>
      <c r="I27" s="136"/>
      <c r="J27" s="194">
        <f t="shared" si="0"/>
        <v>1658005548.0831134</v>
      </c>
      <c r="K27" s="194">
        <f t="shared" si="0"/>
        <v>1715060086.8223188</v>
      </c>
      <c r="L27" s="227">
        <f t="shared" si="3"/>
        <v>3.4</v>
      </c>
      <c r="M27" s="73"/>
      <c r="N27" s="132"/>
      <c r="O27" s="132"/>
    </row>
    <row r="28" spans="1:23" ht="18.75" x14ac:dyDescent="0.3">
      <c r="A28" s="135"/>
      <c r="B28" s="102"/>
      <c r="C28" s="192"/>
      <c r="D28" s="229"/>
      <c r="E28" s="178"/>
      <c r="F28" s="192"/>
      <c r="G28" s="192"/>
      <c r="H28" s="229"/>
      <c r="I28" s="178"/>
      <c r="J28" s="192">
        <f t="shared" si="0"/>
        <v>0</v>
      </c>
      <c r="K28" s="192">
        <f t="shared" si="0"/>
        <v>0</v>
      </c>
      <c r="L28" s="227"/>
      <c r="M28" s="72"/>
    </row>
    <row r="29" spans="1:23" ht="22.5" x14ac:dyDescent="0.3">
      <c r="A29" s="188" t="s">
        <v>342</v>
      </c>
      <c r="B29" s="196"/>
      <c r="C29" s="199"/>
      <c r="D29" s="192"/>
      <c r="E29" s="178"/>
      <c r="F29" s="192"/>
      <c r="G29" s="192"/>
      <c r="H29" s="229"/>
      <c r="I29" s="178"/>
      <c r="J29" s="192"/>
      <c r="K29" s="192"/>
      <c r="L29" s="227"/>
      <c r="M29" s="72"/>
    </row>
    <row r="30" spans="1:23" ht="18.75" x14ac:dyDescent="0.3">
      <c r="A30" s="189" t="s">
        <v>106</v>
      </c>
      <c r="B30" s="102">
        <f>'Skjema total MA'!B11</f>
        <v>42181.894999999997</v>
      </c>
      <c r="C30" s="102">
        <f>'Skjema total MA'!C11</f>
        <v>32737</v>
      </c>
      <c r="D30" s="229">
        <f>IF(B30=0, "    ---- ", IF(ABS(ROUND(100/B30*C30-100,1))&lt;999,ROUND(100/B30*C30-100,1),IF(ROUND(100/B30*C30-100,1)&gt;999,999,-999)))</f>
        <v>-22.4</v>
      </c>
      <c r="E30" s="178"/>
      <c r="F30" s="192">
        <f>'Skjema total MA'!E11</f>
        <v>345296.6778</v>
      </c>
      <c r="G30" s="192">
        <f>'Skjema total MA'!F11</f>
        <v>169041.93180000002</v>
      </c>
      <c r="H30" s="229">
        <f t="shared" si="2"/>
        <v>-51</v>
      </c>
      <c r="I30" s="178"/>
      <c r="J30" s="192">
        <f t="shared" si="0"/>
        <v>387478.57280000002</v>
      </c>
      <c r="K30" s="192">
        <f t="shared" si="0"/>
        <v>201778.93180000002</v>
      </c>
      <c r="L30" s="227">
        <f t="shared" si="3"/>
        <v>-47.9</v>
      </c>
      <c r="M30" s="72"/>
    </row>
    <row r="31" spans="1:23" ht="18.75" x14ac:dyDescent="0.3">
      <c r="A31" s="189" t="s">
        <v>107</v>
      </c>
      <c r="B31" s="102">
        <f>'Skjema total MA'!B34</f>
        <v>11130.60887</v>
      </c>
      <c r="C31" s="102">
        <f>'Skjema total MA'!C34</f>
        <v>23142.169870000002</v>
      </c>
      <c r="D31" s="229">
        <f t="shared" ref="D31:D38" si="5">IF(B31=0, "    ---- ", IF(ABS(ROUND(100/B31*C31-100,1))&lt;999,ROUND(100/B31*C31-100,1),IF(ROUND(100/B31*C31-100,1)&gt;999,999,-999)))</f>
        <v>107.9</v>
      </c>
      <c r="E31" s="178"/>
      <c r="F31" s="192">
        <f>'Skjema total MA'!E34</f>
        <v>71861.117989999999</v>
      </c>
      <c r="G31" s="192">
        <f>'Skjema total MA'!F34</f>
        <v>68840.069099999993</v>
      </c>
      <c r="H31" s="229">
        <f t="shared" si="2"/>
        <v>-4.2</v>
      </c>
      <c r="I31" s="178"/>
      <c r="J31" s="192">
        <f t="shared" si="0"/>
        <v>82991.726859999995</v>
      </c>
      <c r="K31" s="192">
        <f t="shared" si="0"/>
        <v>91982.238969999991</v>
      </c>
      <c r="L31" s="227">
        <f t="shared" si="3"/>
        <v>10.8</v>
      </c>
      <c r="M31" s="72"/>
    </row>
    <row r="32" spans="1:23" ht="18.75" x14ac:dyDescent="0.3">
      <c r="A32" s="189" t="s">
        <v>109</v>
      </c>
      <c r="B32" s="102">
        <f>'Skjema total MA'!B111</f>
        <v>459485.86124</v>
      </c>
      <c r="C32" s="102">
        <f>'Skjema total MA'!C111</f>
        <v>620057.50439999998</v>
      </c>
      <c r="D32" s="229">
        <f t="shared" si="5"/>
        <v>34.9</v>
      </c>
      <c r="E32" s="178"/>
      <c r="F32" s="192">
        <f>'Skjema total MA'!E111</f>
        <v>53008611.131979994</v>
      </c>
      <c r="G32" s="192">
        <f>'Skjema total MA'!F111</f>
        <v>29487543.947020002</v>
      </c>
      <c r="H32" s="229">
        <f t="shared" si="2"/>
        <v>-44.4</v>
      </c>
      <c r="I32" s="178"/>
      <c r="J32" s="192">
        <f t="shared" si="0"/>
        <v>53468096.993219994</v>
      </c>
      <c r="K32" s="192">
        <f t="shared" si="0"/>
        <v>30107601.451420002</v>
      </c>
      <c r="L32" s="227">
        <f t="shared" si="3"/>
        <v>-43.7</v>
      </c>
      <c r="M32" s="72"/>
    </row>
    <row r="33" spans="1:15" ht="22.5" x14ac:dyDescent="0.3">
      <c r="A33" s="189" t="s">
        <v>340</v>
      </c>
      <c r="B33" s="102">
        <f>'Skjema total MA'!B136</f>
        <v>6414360.4139999999</v>
      </c>
      <c r="C33" s="102">
        <f>'Skjema total MA'!C136</f>
        <v>3419760.1890000002</v>
      </c>
      <c r="D33" s="229">
        <f t="shared" si="5"/>
        <v>-46.7</v>
      </c>
      <c r="E33" s="178"/>
      <c r="F33" s="192">
        <f>'Skjema total MA'!E136</f>
        <v>0</v>
      </c>
      <c r="G33" s="192">
        <f>'Skjema total MA'!F136</f>
        <v>376440.52899999998</v>
      </c>
      <c r="H33" s="229" t="str">
        <f t="shared" si="2"/>
        <v xml:space="preserve">    ---- </v>
      </c>
      <c r="I33" s="178"/>
      <c r="J33" s="192">
        <f t="shared" si="0"/>
        <v>6414360.4139999999</v>
      </c>
      <c r="K33" s="192">
        <f t="shared" si="0"/>
        <v>3796200.7180000003</v>
      </c>
      <c r="L33" s="227">
        <f t="shared" si="3"/>
        <v>-40.799999999999997</v>
      </c>
      <c r="M33" s="72"/>
    </row>
    <row r="34" spans="1:15" ht="18.75" x14ac:dyDescent="0.3">
      <c r="A34" s="189" t="s">
        <v>112</v>
      </c>
      <c r="B34" s="102">
        <f>'Skjema total MA'!B38</f>
        <v>0</v>
      </c>
      <c r="C34" s="102">
        <f>'Skjema total MA'!C38</f>
        <v>0</v>
      </c>
      <c r="D34" s="229"/>
      <c r="E34" s="178"/>
      <c r="F34" s="192">
        <f>'Skjema total MA'!E38</f>
        <v>0</v>
      </c>
      <c r="G34" s="192">
        <f>'Skjema total MA'!F38</f>
        <v>0</v>
      </c>
      <c r="H34" s="229"/>
      <c r="I34" s="178"/>
      <c r="J34" s="192">
        <f t="shared" si="0"/>
        <v>0</v>
      </c>
      <c r="K34" s="192">
        <f t="shared" si="0"/>
        <v>0</v>
      </c>
      <c r="L34" s="227"/>
      <c r="M34" s="72"/>
    </row>
    <row r="35" spans="1:15" s="133" customFormat="1" ht="18.75" x14ac:dyDescent="0.3">
      <c r="A35" s="135" t="s">
        <v>116</v>
      </c>
      <c r="B35" s="108">
        <f>SUM(B30:B34)</f>
        <v>6927158.7791099995</v>
      </c>
      <c r="C35" s="194">
        <f>SUM(C30:C34)</f>
        <v>4095696.8632700001</v>
      </c>
      <c r="D35" s="229">
        <f t="shared" si="5"/>
        <v>-40.9</v>
      </c>
      <c r="E35" s="136"/>
      <c r="F35" s="194">
        <f>SUM(F30:F34)</f>
        <v>53425768.927769996</v>
      </c>
      <c r="G35" s="194">
        <f>SUM(G30:G34)</f>
        <v>30101866.476920001</v>
      </c>
      <c r="H35" s="229">
        <f t="shared" si="2"/>
        <v>-43.7</v>
      </c>
      <c r="I35" s="136"/>
      <c r="J35" s="194">
        <f t="shared" si="0"/>
        <v>60352927.706879996</v>
      </c>
      <c r="K35" s="194">
        <f t="shared" si="0"/>
        <v>34197563.340190001</v>
      </c>
      <c r="L35" s="227">
        <f t="shared" si="3"/>
        <v>-43.3</v>
      </c>
      <c r="M35" s="73"/>
    </row>
    <row r="36" spans="1:15" ht="18.75" x14ac:dyDescent="0.3">
      <c r="A36" s="135"/>
      <c r="B36" s="108"/>
      <c r="C36" s="194"/>
      <c r="D36" s="229"/>
      <c r="E36" s="136"/>
      <c r="F36" s="194"/>
      <c r="G36" s="194"/>
      <c r="H36" s="229"/>
      <c r="I36" s="136"/>
      <c r="J36" s="192"/>
      <c r="K36" s="192"/>
      <c r="L36" s="227"/>
      <c r="M36" s="72"/>
    </row>
    <row r="37" spans="1:15" ht="22.5" x14ac:dyDescent="0.3">
      <c r="A37" s="135" t="s">
        <v>343</v>
      </c>
      <c r="B37" s="108"/>
      <c r="C37" s="194"/>
      <c r="D37" s="192"/>
      <c r="E37" s="136"/>
      <c r="F37" s="194"/>
      <c r="G37" s="194"/>
      <c r="H37" s="229"/>
      <c r="I37" s="136"/>
      <c r="J37" s="192"/>
      <c r="K37" s="192"/>
      <c r="L37" s="227"/>
      <c r="M37" s="72"/>
    </row>
    <row r="38" spans="1:15" s="133" customFormat="1" ht="18.75" x14ac:dyDescent="0.3">
      <c r="A38" s="135" t="s">
        <v>108</v>
      </c>
      <c r="B38" s="108">
        <f>'Skjema total MA'!B53</f>
        <v>257727.98700000002</v>
      </c>
      <c r="C38" s="108">
        <f>'Skjema total MA'!C53</f>
        <v>115166.72</v>
      </c>
      <c r="D38" s="229">
        <f t="shared" si="5"/>
        <v>-55.3</v>
      </c>
      <c r="E38" s="136"/>
      <c r="F38" s="194"/>
      <c r="G38" s="194"/>
      <c r="H38" s="229"/>
      <c r="I38" s="136"/>
      <c r="J38" s="194">
        <f t="shared" si="0"/>
        <v>257727.98700000002</v>
      </c>
      <c r="K38" s="194">
        <f t="shared" si="0"/>
        <v>115166.72</v>
      </c>
      <c r="L38" s="227">
        <f t="shared" si="3"/>
        <v>-55.3</v>
      </c>
      <c r="M38" s="73"/>
    </row>
    <row r="39" spans="1:15" ht="18.75" x14ac:dyDescent="0.3">
      <c r="A39" s="135"/>
      <c r="B39" s="108"/>
      <c r="C39" s="194"/>
      <c r="D39" s="192"/>
      <c r="E39" s="136"/>
      <c r="F39" s="194"/>
      <c r="G39" s="194"/>
      <c r="H39" s="229"/>
      <c r="I39" s="136"/>
      <c r="J39" s="192"/>
      <c r="K39" s="192"/>
      <c r="L39" s="227"/>
      <c r="M39" s="72"/>
    </row>
    <row r="40" spans="1:15" ht="22.5" x14ac:dyDescent="0.3">
      <c r="A40" s="188" t="s">
        <v>344</v>
      </c>
      <c r="B40" s="196"/>
      <c r="C40" s="199"/>
      <c r="D40" s="192"/>
      <c r="E40" s="178"/>
      <c r="F40" s="192"/>
      <c r="G40" s="192"/>
      <c r="H40" s="229"/>
      <c r="I40" s="178"/>
      <c r="J40" s="192"/>
      <c r="K40" s="192"/>
      <c r="L40" s="227"/>
      <c r="M40" s="72"/>
    </row>
    <row r="41" spans="1:15" ht="18.75" x14ac:dyDescent="0.3">
      <c r="A41" s="189" t="s">
        <v>106</v>
      </c>
      <c r="B41" s="102">
        <f>'Skjema total MA'!B12</f>
        <v>6715.5570900000002</v>
      </c>
      <c r="C41" s="102">
        <f>'Skjema total MA'!C12</f>
        <v>2921</v>
      </c>
      <c r="D41" s="229">
        <f>IF(B41=0, "    ---- ", IF(ABS(ROUND(100/B41*C41-100,1))&lt;999,ROUND(100/B41*C41-100,1),IF(ROUND(100/B41*C41-100,1)&gt;999,999,-999)))</f>
        <v>-56.5</v>
      </c>
      <c r="E41" s="178"/>
      <c r="F41" s="192">
        <f>'Skjema total MA'!E12</f>
        <v>146478.01957</v>
      </c>
      <c r="G41" s="192">
        <f>'Skjema total MA'!F12</f>
        <v>132322.02526999998</v>
      </c>
      <c r="H41" s="229">
        <f t="shared" si="2"/>
        <v>-9.6999999999999993</v>
      </c>
      <c r="I41" s="178"/>
      <c r="J41" s="192">
        <f t="shared" si="0"/>
        <v>153193.57665999999</v>
      </c>
      <c r="K41" s="192">
        <f t="shared" si="0"/>
        <v>135243.02526999998</v>
      </c>
      <c r="L41" s="227">
        <f t="shared" si="3"/>
        <v>-11.7</v>
      </c>
      <c r="M41" s="72"/>
    </row>
    <row r="42" spans="1:15" ht="18.75" x14ac:dyDescent="0.3">
      <c r="A42" s="189" t="s">
        <v>107</v>
      </c>
      <c r="B42" s="102">
        <f>'Skjema total MA'!B35</f>
        <v>-73912.325530000002</v>
      </c>
      <c r="C42" s="102">
        <f>'Skjema total MA'!C35</f>
        <v>-20705.167290000001</v>
      </c>
      <c r="D42" s="229">
        <f t="shared" ref="D42:D46" si="6">IF(B42=0, "    ---- ", IF(ABS(ROUND(100/B42*C42-100,1))&lt;999,ROUND(100/B42*C42-100,1),IF(ROUND(100/B42*C42-100,1)&gt;999,999,-999)))</f>
        <v>-72</v>
      </c>
      <c r="E42" s="178"/>
      <c r="F42" s="192">
        <f>'Skjema total MA'!E35</f>
        <v>129262.35492</v>
      </c>
      <c r="G42" s="192">
        <f>'Skjema total MA'!F35</f>
        <v>75969.709650000004</v>
      </c>
      <c r="H42" s="229">
        <f t="shared" si="2"/>
        <v>-41.2</v>
      </c>
      <c r="I42" s="178"/>
      <c r="J42" s="192">
        <f t="shared" si="0"/>
        <v>55350.029389999996</v>
      </c>
      <c r="K42" s="192">
        <f t="shared" si="0"/>
        <v>55264.542360000007</v>
      </c>
      <c r="L42" s="227">
        <f t="shared" si="3"/>
        <v>-0.2</v>
      </c>
      <c r="M42" s="72"/>
    </row>
    <row r="43" spans="1:15" ht="18.75" x14ac:dyDescent="0.3">
      <c r="A43" s="189" t="s">
        <v>109</v>
      </c>
      <c r="B43" s="102">
        <f>'Skjema total MA'!B119</f>
        <v>454027.20446000004</v>
      </c>
      <c r="C43" s="102">
        <f>'Skjema total MA'!C119</f>
        <v>561526.15474999987</v>
      </c>
      <c r="D43" s="229">
        <f t="shared" si="6"/>
        <v>23.7</v>
      </c>
      <c r="E43" s="178"/>
      <c r="F43" s="192">
        <f>'Skjema total MA'!E119</f>
        <v>60821831.252059996</v>
      </c>
      <c r="G43" s="192">
        <f>'Skjema total MA'!F119</f>
        <v>31960256.72566</v>
      </c>
      <c r="H43" s="229">
        <f t="shared" si="2"/>
        <v>-47.5</v>
      </c>
      <c r="I43" s="178"/>
      <c r="J43" s="192">
        <f t="shared" si="0"/>
        <v>61275858.456519999</v>
      </c>
      <c r="K43" s="192">
        <f t="shared" si="0"/>
        <v>32521782.880410001</v>
      </c>
      <c r="L43" s="227">
        <f t="shared" si="3"/>
        <v>-46.9</v>
      </c>
      <c r="M43" s="72"/>
    </row>
    <row r="44" spans="1:15" ht="22.5" x14ac:dyDescent="0.3">
      <c r="A44" s="189" t="s">
        <v>340</v>
      </c>
      <c r="B44" s="102">
        <f>'Skjema total MA'!B137</f>
        <v>8346122.3590000002</v>
      </c>
      <c r="C44" s="102">
        <f>'Skjema total MA'!C137</f>
        <v>4668893.5379999997</v>
      </c>
      <c r="D44" s="229">
        <f t="shared" si="6"/>
        <v>-44.1</v>
      </c>
      <c r="E44" s="178"/>
      <c r="F44" s="192">
        <f>'Skjema total MA'!E137</f>
        <v>0</v>
      </c>
      <c r="G44" s="192">
        <f>'Skjema total MA'!F137</f>
        <v>0</v>
      </c>
      <c r="H44" s="229"/>
      <c r="I44" s="178"/>
      <c r="J44" s="192">
        <f t="shared" si="0"/>
        <v>8346122.3590000002</v>
      </c>
      <c r="K44" s="192">
        <f t="shared" si="0"/>
        <v>4668893.5379999997</v>
      </c>
      <c r="L44" s="227">
        <f t="shared" si="3"/>
        <v>-44.1</v>
      </c>
      <c r="M44" s="72"/>
    </row>
    <row r="45" spans="1:15" ht="18.75" x14ac:dyDescent="0.3">
      <c r="A45" s="189" t="s">
        <v>112</v>
      </c>
      <c r="B45" s="102">
        <f>'Skjema total MA'!B39</f>
        <v>3</v>
      </c>
      <c r="C45" s="102">
        <f>'Skjema total MA'!C39</f>
        <v>12</v>
      </c>
      <c r="D45" s="229">
        <f t="shared" si="6"/>
        <v>300</v>
      </c>
      <c r="E45" s="178"/>
      <c r="F45" s="192"/>
      <c r="G45" s="192"/>
      <c r="H45" s="229"/>
      <c r="I45" s="178"/>
      <c r="J45" s="192">
        <f t="shared" si="0"/>
        <v>3</v>
      </c>
      <c r="K45" s="192">
        <f t="shared" si="0"/>
        <v>12</v>
      </c>
      <c r="L45" s="227">
        <f t="shared" si="3"/>
        <v>300</v>
      </c>
      <c r="M45" s="72"/>
    </row>
    <row r="46" spans="1:15" s="133" customFormat="1" ht="18.75" x14ac:dyDescent="0.3">
      <c r="A46" s="135" t="s">
        <v>117</v>
      </c>
      <c r="B46" s="108">
        <f>SUM(B41:B45)</f>
        <v>8732955.795020001</v>
      </c>
      <c r="C46" s="194">
        <f>SUM(C41:C45)</f>
        <v>5212647.5254599992</v>
      </c>
      <c r="D46" s="229">
        <f t="shared" si="6"/>
        <v>-40.299999999999997</v>
      </c>
      <c r="E46" s="136"/>
      <c r="F46" s="194">
        <f>SUM(F41:F45)</f>
        <v>61097571.626549996</v>
      </c>
      <c r="G46" s="267">
        <f>SUM(G41:G45)</f>
        <v>32168548.460579999</v>
      </c>
      <c r="H46" s="229">
        <f t="shared" si="2"/>
        <v>-47.3</v>
      </c>
      <c r="I46" s="136"/>
      <c r="J46" s="194">
        <f t="shared" si="0"/>
        <v>69830527.421570003</v>
      </c>
      <c r="K46" s="194">
        <f t="shared" si="0"/>
        <v>37381195.986039996</v>
      </c>
      <c r="L46" s="227">
        <f t="shared" si="3"/>
        <v>-46.5</v>
      </c>
      <c r="M46" s="73"/>
      <c r="N46" s="132"/>
      <c r="O46" s="132"/>
    </row>
    <row r="47" spans="1:15" ht="18.75" x14ac:dyDescent="0.3">
      <c r="A47" s="135"/>
      <c r="B47" s="108"/>
      <c r="C47" s="194"/>
      <c r="D47" s="192"/>
      <c r="E47" s="136"/>
      <c r="F47" s="194"/>
      <c r="G47" s="194"/>
      <c r="H47" s="229"/>
      <c r="I47" s="136"/>
      <c r="J47" s="192"/>
      <c r="K47" s="192"/>
      <c r="L47" s="227"/>
      <c r="M47" s="72"/>
    </row>
    <row r="48" spans="1:15" ht="22.5" x14ac:dyDescent="0.3">
      <c r="A48" s="135" t="s">
        <v>345</v>
      </c>
      <c r="B48" s="108"/>
      <c r="C48" s="194"/>
      <c r="D48" s="192"/>
      <c r="E48" s="136"/>
      <c r="F48" s="194"/>
      <c r="G48" s="194"/>
      <c r="H48" s="229"/>
      <c r="I48" s="136"/>
      <c r="J48" s="192"/>
      <c r="K48" s="192"/>
      <c r="L48" s="227"/>
      <c r="M48" s="72"/>
    </row>
    <row r="49" spans="1:15" s="133" customFormat="1" ht="18.75" x14ac:dyDescent="0.3">
      <c r="A49" s="135" t="s">
        <v>108</v>
      </c>
      <c r="B49" s="108">
        <f>'Skjema total MA'!B56</f>
        <v>121080.70899999997</v>
      </c>
      <c r="C49" s="108">
        <f>'Skjema total MA'!C56</f>
        <v>93637.587999999989</v>
      </c>
      <c r="D49" s="229">
        <f t="shared" ref="D49" si="7">IF(B49=0, "    ---- ", IF(ABS(ROUND(100/B49*C49-100,1))&lt;999,ROUND(100/B49*C49-100,1),IF(ROUND(100/B49*C49-100,1)&gt;999,999,-999)))</f>
        <v>-22.7</v>
      </c>
      <c r="E49" s="136"/>
      <c r="F49" s="194"/>
      <c r="G49" s="194"/>
      <c r="H49" s="229"/>
      <c r="I49" s="136"/>
      <c r="J49" s="194">
        <f>SUM(B49+F49)</f>
        <v>121080.70899999997</v>
      </c>
      <c r="K49" s="194">
        <f>SUM(C49+G49)</f>
        <v>93637.587999999989</v>
      </c>
      <c r="L49" s="227">
        <f t="shared" si="3"/>
        <v>-22.7</v>
      </c>
      <c r="M49" s="73"/>
    </row>
    <row r="50" spans="1:15" ht="18.75" x14ac:dyDescent="0.3">
      <c r="A50" s="135"/>
      <c r="B50" s="102"/>
      <c r="C50" s="192"/>
      <c r="D50" s="192"/>
      <c r="E50" s="178"/>
      <c r="F50" s="192"/>
      <c r="G50" s="192"/>
      <c r="H50" s="229"/>
      <c r="I50" s="178"/>
      <c r="J50" s="192"/>
      <c r="K50" s="192"/>
      <c r="L50" s="227"/>
      <c r="M50" s="72"/>
    </row>
    <row r="51" spans="1:15" ht="21.75" x14ac:dyDescent="0.3">
      <c r="A51" s="188" t="s">
        <v>346</v>
      </c>
      <c r="B51" s="102"/>
      <c r="C51" s="192"/>
      <c r="D51" s="192"/>
      <c r="E51" s="178"/>
      <c r="F51" s="192"/>
      <c r="G51" s="192"/>
      <c r="H51" s="229"/>
      <c r="I51" s="178"/>
      <c r="J51" s="192"/>
      <c r="K51" s="192"/>
      <c r="L51" s="227"/>
      <c r="M51" s="72"/>
    </row>
    <row r="52" spans="1:15" ht="18.75" x14ac:dyDescent="0.3">
      <c r="A52" s="189" t="s">
        <v>106</v>
      </c>
      <c r="B52" s="102">
        <f>B30-B41</f>
        <v>35466.337909999995</v>
      </c>
      <c r="C52" s="192">
        <f>C30-C41</f>
        <v>29816</v>
      </c>
      <c r="D52" s="229">
        <f>IF(B52=0, "    ---- ", IF(ABS(ROUND(100/B52*C52-100,1))&lt;999,ROUND(100/B52*C52-100,1),IF(ROUND(100/B52*C52-100,1)&gt;999,999,-999)))</f>
        <v>-15.9</v>
      </c>
      <c r="E52" s="178"/>
      <c r="F52" s="192">
        <f>F30-F41</f>
        <v>198818.65823</v>
      </c>
      <c r="G52" s="192">
        <f>G30-G41</f>
        <v>36719.906530000037</v>
      </c>
      <c r="H52" s="229">
        <f t="shared" si="2"/>
        <v>-81.5</v>
      </c>
      <c r="I52" s="178"/>
      <c r="J52" s="192">
        <f t="shared" si="0"/>
        <v>234284.99614</v>
      </c>
      <c r="K52" s="192">
        <f t="shared" si="0"/>
        <v>66535.906530000037</v>
      </c>
      <c r="L52" s="227">
        <f t="shared" si="3"/>
        <v>-71.599999999999994</v>
      </c>
      <c r="M52" s="72"/>
    </row>
    <row r="53" spans="1:15" ht="18.75" x14ac:dyDescent="0.3">
      <c r="A53" s="189" t="s">
        <v>107</v>
      </c>
      <c r="B53" s="102">
        <f t="shared" ref="B53:C56" si="8">B31-B42</f>
        <v>85042.934399999998</v>
      </c>
      <c r="C53" s="192">
        <f t="shared" si="8"/>
        <v>43847.337160000003</v>
      </c>
      <c r="D53" s="229">
        <f t="shared" ref="D53:D60" si="9">IF(B53=0, "    ---- ", IF(ABS(ROUND(100/B53*C53-100,1))&lt;999,ROUND(100/B53*C53-100,1),IF(ROUND(100/B53*C53-100,1)&gt;999,999,-999)))</f>
        <v>-48.4</v>
      </c>
      <c r="E53" s="178"/>
      <c r="F53" s="192">
        <f t="shared" ref="F53:G56" si="10">F31-F42</f>
        <v>-57401.236929999999</v>
      </c>
      <c r="G53" s="192">
        <f t="shared" si="10"/>
        <v>-7129.640550000011</v>
      </c>
      <c r="H53" s="229">
        <f t="shared" si="2"/>
        <v>-87.6</v>
      </c>
      <c r="I53" s="178"/>
      <c r="J53" s="192">
        <f t="shared" si="0"/>
        <v>27641.697469999999</v>
      </c>
      <c r="K53" s="192">
        <f t="shared" si="0"/>
        <v>36717.696609999992</v>
      </c>
      <c r="L53" s="227">
        <f t="shared" si="3"/>
        <v>32.799999999999997</v>
      </c>
      <c r="M53" s="72"/>
    </row>
    <row r="54" spans="1:15" ht="18.75" x14ac:dyDescent="0.3">
      <c r="A54" s="189" t="s">
        <v>109</v>
      </c>
      <c r="B54" s="102">
        <f t="shared" si="8"/>
        <v>5458.6567799999611</v>
      </c>
      <c r="C54" s="192">
        <f t="shared" si="8"/>
        <v>58531.349650000106</v>
      </c>
      <c r="D54" s="229">
        <f t="shared" si="9"/>
        <v>972.3</v>
      </c>
      <c r="E54" s="178"/>
      <c r="F54" s="192">
        <f t="shared" si="10"/>
        <v>-7813220.1200800017</v>
      </c>
      <c r="G54" s="192">
        <f t="shared" si="10"/>
        <v>-2472712.7786399983</v>
      </c>
      <c r="H54" s="229">
        <f t="shared" si="2"/>
        <v>-68.400000000000006</v>
      </c>
      <c r="I54" s="178"/>
      <c r="J54" s="192">
        <f t="shared" si="0"/>
        <v>-7807761.4633000018</v>
      </c>
      <c r="K54" s="192">
        <f t="shared" si="0"/>
        <v>-2414181.4289899981</v>
      </c>
      <c r="L54" s="227">
        <f t="shared" si="3"/>
        <v>-69.099999999999994</v>
      </c>
      <c r="M54" s="72"/>
    </row>
    <row r="55" spans="1:15" ht="22.5" x14ac:dyDescent="0.3">
      <c r="A55" s="189" t="s">
        <v>340</v>
      </c>
      <c r="B55" s="102">
        <f t="shared" si="8"/>
        <v>-1931761.9450000003</v>
      </c>
      <c r="C55" s="192">
        <f t="shared" si="8"/>
        <v>-1249133.3489999995</v>
      </c>
      <c r="D55" s="229">
        <f t="shared" si="9"/>
        <v>-35.299999999999997</v>
      </c>
      <c r="E55" s="178"/>
      <c r="F55" s="192">
        <f t="shared" si="10"/>
        <v>0</v>
      </c>
      <c r="G55" s="192">
        <f t="shared" si="10"/>
        <v>376440.52899999998</v>
      </c>
      <c r="H55" s="229" t="str">
        <f t="shared" si="2"/>
        <v xml:space="preserve">    ---- </v>
      </c>
      <c r="I55" s="178"/>
      <c r="J55" s="192">
        <f t="shared" si="0"/>
        <v>-1931761.9450000003</v>
      </c>
      <c r="K55" s="192">
        <f t="shared" si="0"/>
        <v>-872692.81999999948</v>
      </c>
      <c r="L55" s="227">
        <f t="shared" si="3"/>
        <v>-54.8</v>
      </c>
      <c r="M55" s="72"/>
    </row>
    <row r="56" spans="1:15" ht="18.75" x14ac:dyDescent="0.3">
      <c r="A56" s="189" t="s">
        <v>112</v>
      </c>
      <c r="B56" s="102">
        <f t="shared" si="8"/>
        <v>-3</v>
      </c>
      <c r="C56" s="192">
        <f t="shared" si="8"/>
        <v>-12</v>
      </c>
      <c r="D56" s="229">
        <f t="shared" si="9"/>
        <v>300</v>
      </c>
      <c r="E56" s="178"/>
      <c r="F56" s="192">
        <f t="shared" si="10"/>
        <v>0</v>
      </c>
      <c r="G56" s="192">
        <f t="shared" si="10"/>
        <v>0</v>
      </c>
      <c r="H56" s="229"/>
      <c r="I56" s="178"/>
      <c r="J56" s="192">
        <f t="shared" si="0"/>
        <v>-3</v>
      </c>
      <c r="K56" s="192">
        <f t="shared" si="0"/>
        <v>-12</v>
      </c>
      <c r="L56" s="227">
        <f t="shared" si="3"/>
        <v>300</v>
      </c>
      <c r="M56" s="72"/>
    </row>
    <row r="57" spans="1:15" s="133" customFormat="1" ht="18.75" x14ac:dyDescent="0.3">
      <c r="A57" s="135" t="s">
        <v>118</v>
      </c>
      <c r="B57" s="108">
        <f>SUM(B52:B56)</f>
        <v>-1805797.0159100003</v>
      </c>
      <c r="C57" s="194">
        <f>SUM(C52:C56)</f>
        <v>-1116950.6621899994</v>
      </c>
      <c r="D57" s="229">
        <f>IF(B57=0, "    ---- ", IF(ABS(ROUND(100/B57*C57-100,1))&lt;999,ROUND(100/B57*C57-100,1),IF(ROUND(100/B57*C57-100,1)&gt;999,999,-999)))</f>
        <v>-38.1</v>
      </c>
      <c r="E57" s="136"/>
      <c r="F57" s="194">
        <f>SUM(F52:F56)</f>
        <v>-7671802.6987800021</v>
      </c>
      <c r="G57" s="267">
        <f>SUM(G52:G56)</f>
        <v>-2066681.983659998</v>
      </c>
      <c r="H57" s="229">
        <f t="shared" si="2"/>
        <v>-73.099999999999994</v>
      </c>
      <c r="I57" s="136"/>
      <c r="J57" s="194">
        <f t="shared" si="0"/>
        <v>-9477599.7146900017</v>
      </c>
      <c r="K57" s="192">
        <f t="shared" si="0"/>
        <v>-3183632.6458499972</v>
      </c>
      <c r="L57" s="227">
        <f t="shared" si="3"/>
        <v>-66.400000000000006</v>
      </c>
      <c r="M57" s="73"/>
      <c r="N57" s="132"/>
      <c r="O57" s="132"/>
    </row>
    <row r="58" spans="1:15" ht="18.75" x14ac:dyDescent="0.3">
      <c r="A58" s="135"/>
      <c r="B58" s="108"/>
      <c r="C58" s="194"/>
      <c r="D58" s="229"/>
      <c r="E58" s="136"/>
      <c r="F58" s="194"/>
      <c r="G58" s="194"/>
      <c r="H58" s="229"/>
      <c r="I58" s="136"/>
      <c r="J58" s="194"/>
      <c r="K58" s="192"/>
      <c r="L58" s="227"/>
      <c r="M58" s="72"/>
    </row>
    <row r="59" spans="1:15" ht="22.5" x14ac:dyDescent="0.3">
      <c r="A59" s="135" t="s">
        <v>347</v>
      </c>
      <c r="B59" s="108"/>
      <c r="C59" s="194"/>
      <c r="D59" s="229"/>
      <c r="E59" s="136"/>
      <c r="F59" s="194"/>
      <c r="G59" s="194"/>
      <c r="H59" s="229"/>
      <c r="I59" s="136"/>
      <c r="J59" s="194"/>
      <c r="K59" s="192"/>
      <c r="L59" s="227"/>
      <c r="M59" s="72"/>
    </row>
    <row r="60" spans="1:15" s="133" customFormat="1" ht="18.75" x14ac:dyDescent="0.3">
      <c r="A60" s="135" t="s">
        <v>108</v>
      </c>
      <c r="B60" s="108">
        <f>B38-B49</f>
        <v>136647.27800000005</v>
      </c>
      <c r="C60" s="194">
        <f>C38-C49</f>
        <v>21529.132000000012</v>
      </c>
      <c r="D60" s="229">
        <f t="shared" si="9"/>
        <v>-84.2</v>
      </c>
      <c r="E60" s="136"/>
      <c r="F60" s="194">
        <f>F38-F49</f>
        <v>0</v>
      </c>
      <c r="G60" s="194">
        <f>G38-G49</f>
        <v>0</v>
      </c>
      <c r="H60" s="229"/>
      <c r="I60" s="136"/>
      <c r="J60" s="194">
        <f t="shared" si="0"/>
        <v>136647.27800000005</v>
      </c>
      <c r="K60" s="192">
        <f t="shared" si="0"/>
        <v>21529.132000000012</v>
      </c>
      <c r="L60" s="227">
        <f t="shared" si="3"/>
        <v>-84.2</v>
      </c>
      <c r="M60" s="73"/>
    </row>
    <row r="61" spans="1:15" s="133" customFormat="1" ht="18.75" x14ac:dyDescent="0.3">
      <c r="A61" s="191"/>
      <c r="B61" s="113"/>
      <c r="C61" s="195"/>
      <c r="D61" s="200"/>
      <c r="E61" s="136"/>
      <c r="F61" s="195"/>
      <c r="G61" s="195"/>
      <c r="H61" s="200"/>
      <c r="I61" s="136"/>
      <c r="J61" s="200"/>
      <c r="K61" s="200"/>
      <c r="L61" s="200"/>
      <c r="M61" s="73"/>
    </row>
    <row r="62" spans="1:15" ht="18.75" x14ac:dyDescent="0.3">
      <c r="A62" s="110" t="s">
        <v>119</v>
      </c>
      <c r="C62" s="137"/>
      <c r="D62" s="137"/>
      <c r="E62" s="137"/>
      <c r="F62" s="137"/>
      <c r="G62" s="110"/>
      <c r="H62" s="72"/>
      <c r="I62" s="110"/>
      <c r="J62" s="110"/>
      <c r="K62" s="110"/>
      <c r="L62" s="72"/>
      <c r="M62" s="72"/>
    </row>
    <row r="63" spans="1:15" ht="18.75" x14ac:dyDescent="0.3">
      <c r="A63" s="110" t="s">
        <v>120</v>
      </c>
      <c r="C63" s="137"/>
      <c r="D63" s="137"/>
      <c r="E63" s="137"/>
      <c r="F63" s="137"/>
      <c r="G63" s="72"/>
      <c r="H63" s="72"/>
      <c r="I63" s="72"/>
      <c r="J63" s="72"/>
      <c r="K63" s="72"/>
      <c r="L63" s="72"/>
      <c r="M63" s="72"/>
    </row>
    <row r="64" spans="1:15" ht="18.75" x14ac:dyDescent="0.3">
      <c r="A64" s="110" t="s">
        <v>99</v>
      </c>
      <c r="B64" s="72"/>
      <c r="C64" s="72"/>
      <c r="D64" s="72"/>
      <c r="E64" s="72"/>
      <c r="F64" s="72"/>
      <c r="G64" s="72"/>
      <c r="H64" s="72"/>
      <c r="I64" s="72"/>
      <c r="J64" s="72"/>
      <c r="K64" s="72"/>
      <c r="L64" s="72"/>
      <c r="M64" s="72"/>
    </row>
    <row r="65" spans="1:13" ht="18.75" x14ac:dyDescent="0.3">
      <c r="A65" s="72"/>
      <c r="C65" s="72"/>
      <c r="D65" s="72"/>
      <c r="E65" s="72"/>
      <c r="F65" s="72"/>
      <c r="G65" s="72"/>
      <c r="H65" s="72"/>
      <c r="I65" s="72"/>
      <c r="J65" s="72"/>
      <c r="K65" s="72"/>
      <c r="L65" s="72"/>
      <c r="M65" s="72"/>
    </row>
    <row r="66" spans="1:13" ht="18.75" x14ac:dyDescent="0.3">
      <c r="A66" s="72"/>
      <c r="B66" s="72"/>
      <c r="C66" s="72"/>
      <c r="D66" s="72"/>
      <c r="E66" s="72"/>
      <c r="F66" s="72"/>
      <c r="G66" s="72"/>
      <c r="H66" s="72"/>
      <c r="I66" s="72"/>
      <c r="J66" s="72"/>
      <c r="K66" s="72"/>
      <c r="L66" s="72"/>
      <c r="M66" s="72"/>
    </row>
    <row r="67" spans="1:13" ht="18.75" x14ac:dyDescent="0.3">
      <c r="A67" s="72"/>
      <c r="B67" s="72"/>
      <c r="C67" s="72"/>
      <c r="D67" s="72"/>
      <c r="E67" s="72"/>
      <c r="F67" s="72"/>
      <c r="G67" s="72"/>
      <c r="H67" s="72"/>
      <c r="I67" s="72"/>
      <c r="J67" s="72"/>
      <c r="K67" s="72"/>
      <c r="L67" s="72"/>
      <c r="M67" s="72"/>
    </row>
    <row r="68" spans="1:13" ht="18.75" x14ac:dyDescent="0.3">
      <c r="A68" s="72"/>
      <c r="B68" s="72"/>
      <c r="C68" s="72"/>
      <c r="D68" s="72"/>
      <c r="E68" s="72"/>
      <c r="F68" s="72"/>
      <c r="G68" s="72"/>
      <c r="H68" s="72"/>
      <c r="I68" s="72"/>
      <c r="J68" s="72"/>
      <c r="K68" s="72"/>
      <c r="L68" s="72"/>
      <c r="M68" s="72"/>
    </row>
    <row r="69" spans="1:13" ht="18.75" x14ac:dyDescent="0.3">
      <c r="A69" s="72"/>
      <c r="B69" s="72"/>
      <c r="C69" s="72"/>
      <c r="D69" s="72"/>
      <c r="E69" s="72"/>
      <c r="F69" s="72"/>
      <c r="G69" s="72"/>
      <c r="H69" s="72"/>
      <c r="I69" s="72"/>
      <c r="J69" s="72"/>
      <c r="K69" s="72"/>
      <c r="L69" s="72"/>
      <c r="M69" s="72"/>
    </row>
    <row r="70" spans="1:13" ht="18.75" x14ac:dyDescent="0.3">
      <c r="A70" s="72"/>
      <c r="B70" s="72"/>
      <c r="C70" s="72"/>
      <c r="D70" s="72"/>
      <c r="E70" s="72"/>
      <c r="F70" s="72"/>
      <c r="G70" s="72"/>
      <c r="H70" s="72"/>
      <c r="I70" s="72"/>
      <c r="J70" s="72"/>
      <c r="K70" s="72"/>
      <c r="L70" s="72"/>
      <c r="M70" s="72"/>
    </row>
    <row r="71" spans="1:13" ht="18.75" x14ac:dyDescent="0.3">
      <c r="A71" s="72"/>
      <c r="B71" s="72"/>
      <c r="C71" s="72"/>
      <c r="D71" s="72"/>
      <c r="E71" s="72"/>
      <c r="F71" s="72"/>
      <c r="G71" s="72"/>
      <c r="H71" s="72"/>
      <c r="I71" s="72"/>
      <c r="J71" s="72"/>
      <c r="K71" s="72"/>
      <c r="L71" s="72"/>
      <c r="M71" s="72"/>
    </row>
    <row r="72" spans="1:13" ht="18.75" x14ac:dyDescent="0.3">
      <c r="A72" s="72"/>
      <c r="B72" s="72"/>
      <c r="C72" s="72"/>
      <c r="D72" s="72"/>
      <c r="E72" s="72"/>
      <c r="F72" s="72"/>
      <c r="G72" s="72"/>
      <c r="H72" s="72"/>
      <c r="I72" s="72"/>
      <c r="J72" s="72"/>
      <c r="K72" s="72"/>
      <c r="L72" s="72"/>
      <c r="M72" s="72"/>
    </row>
    <row r="73" spans="1:13" ht="18.75" x14ac:dyDescent="0.3">
      <c r="A73" s="72"/>
      <c r="B73" s="72"/>
      <c r="C73" s="72"/>
      <c r="D73" s="72"/>
      <c r="E73" s="72"/>
      <c r="F73" s="72"/>
      <c r="G73" s="72"/>
      <c r="H73" s="72"/>
      <c r="I73" s="72"/>
      <c r="J73" s="72"/>
      <c r="K73" s="72"/>
      <c r="L73" s="72"/>
      <c r="M73" s="72"/>
    </row>
    <row r="74" spans="1:13" ht="18.75" x14ac:dyDescent="0.3">
      <c r="A74" s="72"/>
      <c r="B74" s="72"/>
      <c r="C74" s="72"/>
      <c r="D74" s="72"/>
      <c r="E74" s="72"/>
      <c r="F74" s="72"/>
      <c r="G74" s="72"/>
      <c r="H74" s="72"/>
      <c r="I74" s="72"/>
      <c r="J74" s="72"/>
      <c r="K74" s="72"/>
      <c r="L74" s="72"/>
      <c r="M74" s="72"/>
    </row>
    <row r="75" spans="1:13" ht="18.75" x14ac:dyDescent="0.3">
      <c r="A75" s="72"/>
      <c r="B75" s="72"/>
      <c r="C75" s="72"/>
      <c r="D75" s="72"/>
      <c r="E75" s="72"/>
      <c r="F75" s="72"/>
      <c r="G75" s="72"/>
      <c r="H75" s="72"/>
      <c r="I75" s="72"/>
      <c r="J75" s="72"/>
      <c r="K75" s="72"/>
      <c r="L75" s="72"/>
      <c r="M75" s="72"/>
    </row>
    <row r="76" spans="1:13" ht="18.75" x14ac:dyDescent="0.3">
      <c r="A76" s="72"/>
      <c r="B76" s="72"/>
      <c r="C76" s="72"/>
      <c r="D76" s="72"/>
      <c r="E76" s="72"/>
      <c r="F76" s="72"/>
      <c r="G76" s="72"/>
      <c r="H76" s="72"/>
      <c r="I76" s="72"/>
      <c r="J76" s="72"/>
      <c r="K76" s="72"/>
      <c r="L76" s="72"/>
      <c r="M76" s="72"/>
    </row>
    <row r="77" spans="1:13" ht="18.75" x14ac:dyDescent="0.3">
      <c r="A77" s="72"/>
      <c r="B77" s="72"/>
      <c r="C77" s="72"/>
      <c r="D77" s="72"/>
      <c r="E77" s="72"/>
      <c r="F77" s="72"/>
      <c r="G77" s="72"/>
      <c r="H77" s="72"/>
      <c r="I77" s="72"/>
      <c r="J77" s="72"/>
      <c r="K77" s="72"/>
      <c r="L77" s="72"/>
      <c r="M77" s="72"/>
    </row>
    <row r="78" spans="1:13" ht="18.75" x14ac:dyDescent="0.3">
      <c r="A78" s="72"/>
      <c r="B78" s="72"/>
      <c r="C78" s="72"/>
      <c r="D78" s="72"/>
      <c r="E78" s="72"/>
      <c r="F78" s="72"/>
      <c r="G78" s="72"/>
      <c r="H78" s="72"/>
      <c r="I78" s="72"/>
      <c r="J78" s="72"/>
      <c r="K78" s="72"/>
      <c r="L78" s="72"/>
      <c r="M78" s="72"/>
    </row>
    <row r="79" spans="1:13" ht="18.75" x14ac:dyDescent="0.3">
      <c r="A79" s="72"/>
      <c r="B79" s="72"/>
      <c r="C79" s="72"/>
      <c r="D79" s="72"/>
      <c r="E79" s="72"/>
      <c r="F79" s="72"/>
      <c r="G79" s="72"/>
      <c r="H79" s="72"/>
      <c r="I79" s="72"/>
      <c r="J79" s="72"/>
      <c r="K79" s="72"/>
      <c r="L79" s="72"/>
      <c r="M79" s="72"/>
    </row>
    <row r="80" spans="1:13" ht="18.75" x14ac:dyDescent="0.3">
      <c r="A80" s="72"/>
      <c r="B80" s="72"/>
      <c r="C80" s="72"/>
      <c r="D80" s="72"/>
      <c r="E80" s="72"/>
      <c r="F80" s="72"/>
      <c r="G80" s="72"/>
      <c r="H80" s="72"/>
      <c r="I80" s="72"/>
      <c r="J80" s="72"/>
      <c r="K80" s="72"/>
      <c r="L80" s="72"/>
      <c r="M80" s="72"/>
    </row>
    <row r="81" spans="1:13" ht="18.75" x14ac:dyDescent="0.3">
      <c r="A81" s="72"/>
      <c r="B81" s="72"/>
      <c r="C81" s="72"/>
      <c r="D81" s="72"/>
      <c r="E81" s="72"/>
      <c r="F81" s="72"/>
      <c r="G81" s="72"/>
      <c r="H81" s="72"/>
      <c r="I81" s="72"/>
      <c r="J81" s="72"/>
      <c r="K81" s="72"/>
      <c r="L81" s="72"/>
      <c r="M81" s="72"/>
    </row>
    <row r="82" spans="1:13" ht="18.75" x14ac:dyDescent="0.3">
      <c r="A82" s="72"/>
      <c r="B82" s="72"/>
      <c r="C82" s="72"/>
      <c r="D82" s="72"/>
      <c r="E82" s="72"/>
      <c r="F82" s="72"/>
      <c r="G82" s="72"/>
      <c r="H82" s="72"/>
      <c r="I82" s="72"/>
      <c r="J82" s="72"/>
      <c r="K82" s="72"/>
      <c r="L82" s="72"/>
      <c r="M82" s="72"/>
    </row>
    <row r="83" spans="1:13" ht="18.75" x14ac:dyDescent="0.3">
      <c r="A83" s="72"/>
      <c r="B83" s="72"/>
      <c r="C83" s="72"/>
      <c r="D83" s="72"/>
      <c r="E83" s="72"/>
      <c r="F83" s="72"/>
      <c r="G83" s="72"/>
      <c r="H83" s="72"/>
      <c r="I83" s="72"/>
      <c r="J83" s="72"/>
      <c r="K83" s="72"/>
      <c r="L83" s="72"/>
      <c r="M83" s="72"/>
    </row>
    <row r="84" spans="1:13" ht="18.75" x14ac:dyDescent="0.3">
      <c r="A84" s="72"/>
      <c r="B84" s="72"/>
      <c r="C84" s="72"/>
      <c r="D84" s="72"/>
      <c r="E84" s="72"/>
      <c r="F84" s="72"/>
      <c r="G84" s="72"/>
      <c r="H84" s="72"/>
      <c r="I84" s="72"/>
      <c r="J84" s="72"/>
      <c r="K84" s="72"/>
      <c r="L84" s="72"/>
      <c r="M84" s="72"/>
    </row>
    <row r="85" spans="1:13" ht="18.75" x14ac:dyDescent="0.3">
      <c r="A85" s="72"/>
      <c r="B85" s="72"/>
      <c r="C85" s="72"/>
      <c r="D85" s="72"/>
      <c r="E85" s="72"/>
      <c r="F85" s="72"/>
      <c r="G85" s="72"/>
      <c r="H85" s="72"/>
      <c r="I85" s="72"/>
      <c r="J85" s="72"/>
      <c r="K85" s="72"/>
      <c r="L85" s="72"/>
      <c r="M85" s="72"/>
    </row>
    <row r="86" spans="1:13" ht="18.75" x14ac:dyDescent="0.3">
      <c r="A86" s="72"/>
      <c r="B86" s="72"/>
      <c r="C86" s="72"/>
      <c r="D86" s="72"/>
      <c r="E86" s="72"/>
      <c r="F86" s="72"/>
      <c r="G86" s="72"/>
      <c r="H86" s="72"/>
      <c r="I86" s="72"/>
      <c r="J86" s="72"/>
      <c r="K86" s="72"/>
      <c r="L86" s="72"/>
      <c r="M86" s="72"/>
    </row>
    <row r="87" spans="1:13" ht="18.75" x14ac:dyDescent="0.3">
      <c r="A87" s="72"/>
      <c r="B87" s="72"/>
      <c r="C87" s="72"/>
      <c r="D87" s="72"/>
      <c r="E87" s="72"/>
      <c r="F87" s="72"/>
      <c r="G87" s="72"/>
      <c r="H87" s="72"/>
      <c r="I87" s="72"/>
      <c r="J87" s="72"/>
      <c r="K87" s="72"/>
      <c r="L87" s="72"/>
      <c r="M87" s="72"/>
    </row>
    <row r="88" spans="1:13" ht="18.75" x14ac:dyDescent="0.3">
      <c r="A88" s="72"/>
      <c r="B88" s="72"/>
      <c r="C88" s="72"/>
      <c r="D88" s="72"/>
      <c r="E88" s="72"/>
      <c r="F88" s="72"/>
      <c r="G88" s="72"/>
      <c r="H88" s="72"/>
      <c r="I88" s="72"/>
      <c r="J88" s="72"/>
      <c r="K88" s="72"/>
      <c r="L88" s="72"/>
      <c r="M88" s="72"/>
    </row>
    <row r="89" spans="1:13" ht="18.75" x14ac:dyDescent="0.3">
      <c r="A89" s="72"/>
      <c r="B89" s="72"/>
      <c r="C89" s="72"/>
      <c r="D89" s="72"/>
      <c r="E89" s="72"/>
      <c r="F89" s="72"/>
      <c r="G89" s="72"/>
      <c r="H89" s="72"/>
      <c r="I89" s="72"/>
      <c r="J89" s="72"/>
      <c r="K89" s="72"/>
      <c r="L89" s="72"/>
      <c r="M89" s="72"/>
    </row>
    <row r="90" spans="1:13" ht="18.75" x14ac:dyDescent="0.3">
      <c r="A90" s="72"/>
      <c r="B90" s="72"/>
      <c r="C90" s="72"/>
      <c r="D90" s="72"/>
      <c r="E90" s="72"/>
      <c r="F90" s="72"/>
      <c r="G90" s="72"/>
      <c r="H90" s="72"/>
      <c r="I90" s="72"/>
      <c r="J90" s="72"/>
      <c r="K90" s="72"/>
      <c r="L90" s="72"/>
      <c r="M90" s="72"/>
    </row>
    <row r="91" spans="1:13" ht="18.75" x14ac:dyDescent="0.3">
      <c r="A91" s="72"/>
      <c r="B91" s="72"/>
      <c r="C91" s="72"/>
      <c r="D91" s="72"/>
      <c r="E91" s="72"/>
      <c r="F91" s="72"/>
      <c r="G91" s="72"/>
      <c r="H91" s="72"/>
      <c r="I91" s="72"/>
      <c r="J91" s="72"/>
      <c r="K91" s="72"/>
      <c r="L91" s="72"/>
      <c r="M91" s="72"/>
    </row>
    <row r="92" spans="1:13" ht="18.75" x14ac:dyDescent="0.3">
      <c r="A92" s="72"/>
      <c r="B92" s="72"/>
      <c r="C92" s="72"/>
      <c r="D92" s="72"/>
      <c r="E92" s="72"/>
      <c r="F92" s="72"/>
      <c r="G92" s="72"/>
      <c r="H92" s="72"/>
      <c r="I92" s="72"/>
      <c r="J92" s="72"/>
      <c r="K92" s="72"/>
      <c r="L92" s="72"/>
      <c r="M92" s="72"/>
    </row>
    <row r="93" spans="1:13" ht="18.75" x14ac:dyDescent="0.3">
      <c r="A93" s="72"/>
      <c r="B93" s="72"/>
      <c r="C93" s="72"/>
      <c r="D93" s="72"/>
      <c r="E93" s="72"/>
      <c r="F93" s="72"/>
      <c r="G93" s="72"/>
      <c r="H93" s="72"/>
      <c r="I93" s="72"/>
      <c r="J93" s="72"/>
      <c r="K93" s="72"/>
      <c r="L93" s="72"/>
      <c r="M93" s="72"/>
    </row>
    <row r="94" spans="1:13" ht="18.75" x14ac:dyDescent="0.3">
      <c r="A94" s="72"/>
      <c r="B94" s="72"/>
      <c r="C94" s="72"/>
      <c r="D94" s="72"/>
      <c r="E94" s="72"/>
      <c r="F94" s="72"/>
      <c r="G94" s="72"/>
      <c r="H94" s="72"/>
      <c r="I94" s="72"/>
      <c r="J94" s="72"/>
      <c r="K94" s="72"/>
      <c r="L94" s="72"/>
      <c r="M94" s="72"/>
    </row>
    <row r="95" spans="1:13" ht="18.75" x14ac:dyDescent="0.3">
      <c r="A95" s="72"/>
      <c r="B95" s="72"/>
      <c r="C95" s="72"/>
      <c r="D95" s="72"/>
      <c r="E95" s="72"/>
      <c r="F95" s="72"/>
      <c r="G95" s="72"/>
      <c r="H95" s="72"/>
      <c r="I95" s="72"/>
      <c r="J95" s="72"/>
      <c r="K95" s="72"/>
      <c r="L95" s="72"/>
      <c r="M95" s="72"/>
    </row>
    <row r="96" spans="1:13" ht="18.75" x14ac:dyDescent="0.3">
      <c r="A96" s="72"/>
      <c r="B96" s="72"/>
      <c r="C96" s="72"/>
      <c r="D96" s="72"/>
      <c r="E96" s="72"/>
      <c r="F96" s="72"/>
      <c r="G96" s="72"/>
      <c r="H96" s="72"/>
      <c r="I96" s="72"/>
      <c r="J96" s="72"/>
      <c r="K96" s="72"/>
      <c r="L96" s="72"/>
      <c r="M96" s="72"/>
    </row>
    <row r="97" spans="1:13" ht="18.75" x14ac:dyDescent="0.3">
      <c r="A97" s="72"/>
      <c r="B97" s="72"/>
      <c r="C97" s="72"/>
      <c r="D97" s="72"/>
      <c r="E97" s="72"/>
      <c r="F97" s="72"/>
      <c r="G97" s="72"/>
      <c r="H97" s="72"/>
      <c r="I97" s="72"/>
      <c r="J97" s="72"/>
      <c r="K97" s="72"/>
      <c r="L97" s="72"/>
      <c r="M97" s="72"/>
    </row>
    <row r="98" spans="1:13" ht="18.75" x14ac:dyDescent="0.3">
      <c r="A98" s="72"/>
      <c r="B98" s="72"/>
      <c r="C98" s="72"/>
      <c r="D98" s="72"/>
      <c r="E98" s="72"/>
      <c r="F98" s="72"/>
      <c r="G98" s="72"/>
      <c r="H98" s="72"/>
      <c r="I98" s="72"/>
      <c r="J98" s="72"/>
      <c r="K98" s="72"/>
      <c r="L98" s="72"/>
      <c r="M98" s="72"/>
    </row>
    <row r="99" spans="1:13" ht="18.75" x14ac:dyDescent="0.3">
      <c r="A99" s="72"/>
      <c r="B99" s="72"/>
      <c r="C99" s="72"/>
      <c r="D99" s="72"/>
      <c r="E99" s="72"/>
      <c r="F99" s="72"/>
      <c r="G99" s="72"/>
      <c r="H99" s="72"/>
      <c r="I99" s="72"/>
      <c r="J99" s="72"/>
      <c r="K99" s="72"/>
      <c r="L99" s="72"/>
      <c r="M99" s="72"/>
    </row>
    <row r="100" spans="1:13" ht="18.75" x14ac:dyDescent="0.3">
      <c r="A100" s="72"/>
      <c r="B100" s="72"/>
      <c r="C100" s="72"/>
      <c r="D100" s="72"/>
      <c r="E100" s="72"/>
      <c r="F100" s="72"/>
      <c r="G100" s="72"/>
      <c r="H100" s="72"/>
      <c r="I100" s="72"/>
      <c r="J100" s="72"/>
      <c r="K100" s="72"/>
      <c r="L100" s="72"/>
      <c r="M100" s="72"/>
    </row>
    <row r="101" spans="1:13" ht="18.75" x14ac:dyDescent="0.3">
      <c r="A101" s="72"/>
      <c r="B101" s="72"/>
      <c r="C101" s="72"/>
      <c r="D101" s="72"/>
      <c r="E101" s="72"/>
      <c r="F101" s="72"/>
      <c r="G101" s="72"/>
      <c r="H101" s="72"/>
      <c r="I101" s="72"/>
      <c r="J101" s="72"/>
      <c r="K101" s="72"/>
      <c r="L101" s="72"/>
      <c r="M101" s="72"/>
    </row>
    <row r="102" spans="1:13" ht="18.75" x14ac:dyDescent="0.3">
      <c r="A102" s="72"/>
      <c r="B102" s="72"/>
      <c r="C102" s="72"/>
      <c r="D102" s="72"/>
      <c r="E102" s="72"/>
      <c r="F102" s="72"/>
      <c r="G102" s="72"/>
      <c r="H102" s="72"/>
      <c r="I102" s="72"/>
      <c r="J102" s="72"/>
      <c r="K102" s="72"/>
      <c r="L102" s="72"/>
      <c r="M102" s="72"/>
    </row>
    <row r="103" spans="1:13" ht="18.75" x14ac:dyDescent="0.3">
      <c r="A103" s="72"/>
      <c r="B103" s="72"/>
      <c r="C103" s="72"/>
      <c r="D103" s="72"/>
      <c r="E103" s="72"/>
      <c r="F103" s="72"/>
      <c r="G103" s="72"/>
      <c r="H103" s="72"/>
      <c r="I103" s="72"/>
      <c r="J103" s="72"/>
      <c r="K103" s="72"/>
      <c r="L103" s="72"/>
      <c r="M103" s="72"/>
    </row>
    <row r="104" spans="1:13" ht="18.75" x14ac:dyDescent="0.3">
      <c r="A104" s="72"/>
      <c r="B104" s="72"/>
      <c r="C104" s="72"/>
      <c r="D104" s="72"/>
      <c r="E104" s="72"/>
      <c r="F104" s="72"/>
      <c r="G104" s="72"/>
      <c r="H104" s="72"/>
      <c r="I104" s="72"/>
      <c r="J104" s="72"/>
      <c r="K104" s="72"/>
      <c r="L104" s="72"/>
      <c r="M104" s="72"/>
    </row>
    <row r="105" spans="1:13" ht="18.75" x14ac:dyDescent="0.3">
      <c r="A105" s="72"/>
      <c r="B105" s="72"/>
      <c r="C105" s="72"/>
      <c r="D105" s="72"/>
      <c r="E105" s="72"/>
      <c r="F105" s="72"/>
      <c r="G105" s="72"/>
      <c r="H105" s="72"/>
      <c r="I105" s="72"/>
      <c r="J105" s="72"/>
      <c r="K105" s="72"/>
      <c r="L105" s="72"/>
      <c r="M105" s="72"/>
    </row>
    <row r="106" spans="1:13" ht="18.75" x14ac:dyDescent="0.3">
      <c r="A106" s="72"/>
      <c r="B106" s="72"/>
      <c r="C106" s="72"/>
      <c r="D106" s="72"/>
      <c r="E106" s="72"/>
      <c r="F106" s="72"/>
      <c r="G106" s="72"/>
      <c r="H106" s="72"/>
      <c r="I106" s="72"/>
      <c r="J106" s="72"/>
      <c r="K106" s="72"/>
      <c r="L106" s="72"/>
      <c r="M106" s="72"/>
    </row>
    <row r="107" spans="1:13" ht="18.75" x14ac:dyDescent="0.3">
      <c r="A107" s="72"/>
      <c r="B107" s="72"/>
      <c r="C107" s="72"/>
      <c r="D107" s="72"/>
      <c r="E107" s="72"/>
      <c r="F107" s="72"/>
      <c r="G107" s="72"/>
      <c r="H107" s="72"/>
      <c r="I107" s="72"/>
      <c r="J107" s="72"/>
      <c r="K107" s="72"/>
      <c r="L107" s="72"/>
      <c r="M107" s="72"/>
    </row>
    <row r="108" spans="1:13" ht="18.75" x14ac:dyDescent="0.3">
      <c r="A108" s="72"/>
      <c r="B108" s="72"/>
      <c r="C108" s="72"/>
      <c r="D108" s="72"/>
      <c r="E108" s="72"/>
      <c r="F108" s="72"/>
      <c r="G108" s="72"/>
      <c r="H108" s="72"/>
      <c r="I108" s="72"/>
      <c r="J108" s="72"/>
      <c r="K108" s="72"/>
      <c r="L108" s="72"/>
      <c r="M108" s="72"/>
    </row>
    <row r="109" spans="1:13" ht="18.75" x14ac:dyDescent="0.3">
      <c r="A109" s="72"/>
      <c r="B109" s="72"/>
      <c r="C109" s="72"/>
      <c r="D109" s="72"/>
      <c r="E109" s="72"/>
      <c r="F109" s="72"/>
      <c r="G109" s="72"/>
      <c r="H109" s="72"/>
      <c r="I109" s="72"/>
      <c r="J109" s="72"/>
      <c r="K109" s="72"/>
      <c r="L109" s="72"/>
      <c r="M109" s="72"/>
    </row>
    <row r="110" spans="1:13" ht="18.75" x14ac:dyDescent="0.3">
      <c r="A110" s="72"/>
      <c r="B110" s="72"/>
      <c r="C110" s="72"/>
      <c r="D110" s="72"/>
      <c r="E110" s="72"/>
      <c r="F110" s="72"/>
      <c r="G110" s="72"/>
      <c r="H110" s="72"/>
      <c r="I110" s="72"/>
      <c r="J110" s="72"/>
      <c r="K110" s="72"/>
      <c r="L110" s="72"/>
      <c r="M110" s="72"/>
    </row>
    <row r="111" spans="1:13" ht="18.75" x14ac:dyDescent="0.3">
      <c r="A111" s="72"/>
      <c r="B111" s="72"/>
      <c r="C111" s="72"/>
      <c r="D111" s="72"/>
      <c r="E111" s="72"/>
      <c r="F111" s="72"/>
      <c r="G111" s="72"/>
      <c r="H111" s="72"/>
      <c r="I111" s="72"/>
      <c r="J111" s="72"/>
      <c r="K111" s="72"/>
      <c r="L111" s="72"/>
      <c r="M111" s="72"/>
    </row>
    <row r="112" spans="1:13" ht="18.75" x14ac:dyDescent="0.3">
      <c r="A112" s="72"/>
      <c r="B112" s="72"/>
      <c r="C112" s="72"/>
      <c r="D112" s="72"/>
      <c r="E112" s="72"/>
      <c r="F112" s="72"/>
      <c r="G112" s="72"/>
      <c r="H112" s="72"/>
      <c r="I112" s="72"/>
      <c r="J112" s="72"/>
      <c r="K112" s="72"/>
      <c r="L112" s="72"/>
      <c r="M112" s="72"/>
    </row>
    <row r="113" spans="1:13" ht="18.75" x14ac:dyDescent="0.3">
      <c r="A113" s="72"/>
      <c r="B113" s="72"/>
      <c r="C113" s="72"/>
      <c r="D113" s="72"/>
      <c r="E113" s="72"/>
      <c r="F113" s="72"/>
      <c r="G113" s="72"/>
      <c r="H113" s="72"/>
      <c r="I113" s="72"/>
      <c r="J113" s="72"/>
      <c r="K113" s="72"/>
      <c r="L113" s="72"/>
      <c r="M113" s="72"/>
    </row>
    <row r="114" spans="1:13" ht="18.75" x14ac:dyDescent="0.3">
      <c r="A114" s="72"/>
      <c r="B114" s="72"/>
      <c r="C114" s="72"/>
      <c r="D114" s="72"/>
      <c r="E114" s="72"/>
      <c r="F114" s="72"/>
      <c r="G114" s="72"/>
      <c r="H114" s="72"/>
      <c r="I114" s="72"/>
      <c r="J114" s="72"/>
      <c r="K114" s="72"/>
      <c r="L114" s="72"/>
      <c r="M114" s="72"/>
    </row>
    <row r="115" spans="1:13" ht="18.75" x14ac:dyDescent="0.3">
      <c r="A115" s="72"/>
      <c r="B115" s="72"/>
      <c r="C115" s="72"/>
      <c r="D115" s="72"/>
      <c r="E115" s="72"/>
      <c r="F115" s="72"/>
      <c r="G115" s="72"/>
      <c r="H115" s="72"/>
      <c r="I115" s="72"/>
      <c r="J115" s="72"/>
      <c r="K115" s="72"/>
      <c r="L115" s="72"/>
      <c r="M115" s="72"/>
    </row>
  </sheetData>
  <mergeCells count="3">
    <mergeCell ref="B5:D5"/>
    <mergeCell ref="F5:H5"/>
    <mergeCell ref="J5:L5"/>
  </mergeCells>
  <hyperlinks>
    <hyperlink ref="B1" location="Innhold!A1" display="Tilbake" xr:uid="{00000000-0004-0000-0400-000000000000}"/>
  </hyperlinks>
  <pageMargins left="0.7" right="0.7" top="0.78740157499999996" bottom="0.78740157499999996"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10"/>
  <dimension ref="A1:J92"/>
  <sheetViews>
    <sheetView showGridLines="0" zoomScale="70" zoomScaleNormal="70" workbookViewId="0">
      <pane xSplit="1" ySplit="7" topLeftCell="B8" activePane="bottomRight" state="frozen"/>
      <selection pane="topRight" activeCell="B1" sqref="B1"/>
      <selection pane="bottomLeft" activeCell="A8" sqref="A8"/>
      <selection pane="bottomRight" activeCell="A4" sqref="A4"/>
    </sheetView>
  </sheetViews>
  <sheetFormatPr baseColWidth="10" defaultColWidth="11.42578125" defaultRowHeight="18" x14ac:dyDescent="0.25"/>
  <cols>
    <col min="1" max="1" width="35.7109375" style="79" customWidth="1"/>
    <col min="2" max="2" width="18.28515625" style="79" customWidth="1"/>
    <col min="3" max="3" width="17.7109375" style="79" customWidth="1"/>
    <col min="4" max="4" width="11.7109375" style="79" customWidth="1"/>
    <col min="5" max="5" width="4.7109375" style="79" customWidth="1"/>
    <col min="6" max="7" width="13" style="79" customWidth="1"/>
    <col min="8" max="8" width="11.7109375" style="79" customWidth="1"/>
    <col min="9" max="9" width="12.42578125" style="79" customWidth="1"/>
    <col min="10" max="10" width="11.42578125" style="79"/>
    <col min="11" max="12" width="17.28515625" style="79" bestFit="1" customWidth="1"/>
    <col min="13" max="16384" width="11.42578125" style="79"/>
  </cols>
  <sheetData>
    <row r="1" spans="1:10" ht="18.75" customHeight="1" x14ac:dyDescent="0.3">
      <c r="A1" s="78" t="s">
        <v>75</v>
      </c>
      <c r="B1" s="71" t="s">
        <v>52</v>
      </c>
      <c r="C1" s="78"/>
      <c r="D1" s="78"/>
      <c r="E1" s="78"/>
      <c r="F1" s="72"/>
      <c r="G1" s="72"/>
      <c r="H1" s="72"/>
      <c r="I1" s="72"/>
      <c r="J1" s="72"/>
    </row>
    <row r="2" spans="1:10" ht="20.100000000000001" customHeight="1" x14ac:dyDescent="0.3">
      <c r="A2" s="78" t="s">
        <v>155</v>
      </c>
      <c r="B2" s="78"/>
      <c r="C2" s="78"/>
      <c r="D2" s="78"/>
      <c r="E2" s="78"/>
      <c r="F2" s="72"/>
      <c r="G2" s="72"/>
      <c r="H2" s="72"/>
      <c r="I2" s="72"/>
      <c r="J2" s="72"/>
    </row>
    <row r="3" spans="1:10" ht="20.100000000000001" customHeight="1" x14ac:dyDescent="0.3">
      <c r="A3" s="73"/>
      <c r="B3" s="73"/>
      <c r="C3" s="73"/>
      <c r="D3" s="73"/>
      <c r="E3" s="251"/>
      <c r="F3" s="72"/>
      <c r="G3" s="72"/>
      <c r="H3" s="72"/>
      <c r="I3" s="72"/>
      <c r="J3" s="72"/>
    </row>
    <row r="4" spans="1:10" ht="20.100000000000001" customHeight="1" x14ac:dyDescent="0.3">
      <c r="A4" s="252"/>
      <c r="B4" s="690" t="s">
        <v>156</v>
      </c>
      <c r="C4" s="690"/>
      <c r="D4" s="691"/>
      <c r="E4" s="87"/>
      <c r="F4" s="692" t="s">
        <v>156</v>
      </c>
      <c r="G4" s="690"/>
      <c r="H4" s="691"/>
      <c r="I4" s="72"/>
      <c r="J4" s="72"/>
    </row>
    <row r="5" spans="1:10" ht="18.75" customHeight="1" x14ac:dyDescent="0.3">
      <c r="A5" s="253" t="s">
        <v>427</v>
      </c>
      <c r="B5" s="693" t="s">
        <v>157</v>
      </c>
      <c r="C5" s="694"/>
      <c r="D5" s="695"/>
      <c r="E5" s="254"/>
      <c r="F5" s="696" t="s">
        <v>158</v>
      </c>
      <c r="G5" s="697"/>
      <c r="H5" s="698"/>
      <c r="I5" s="110"/>
      <c r="J5" s="72"/>
    </row>
    <row r="6" spans="1:10" ht="18.75" customHeight="1" x14ac:dyDescent="0.3">
      <c r="A6" s="120"/>
      <c r="B6" s="118"/>
      <c r="C6" s="188"/>
      <c r="D6" s="255" t="s">
        <v>79</v>
      </c>
      <c r="E6" s="255"/>
      <c r="F6" s="121"/>
      <c r="G6" s="122"/>
      <c r="H6" s="92" t="s">
        <v>79</v>
      </c>
      <c r="I6" s="98"/>
      <c r="J6" s="72"/>
    </row>
    <row r="7" spans="1:10" ht="18.75" customHeight="1" x14ac:dyDescent="0.3">
      <c r="A7" s="124"/>
      <c r="B7" s="95">
        <v>2021</v>
      </c>
      <c r="C7" s="95">
        <v>2022</v>
      </c>
      <c r="D7" s="256" t="s">
        <v>81</v>
      </c>
      <c r="E7" s="255"/>
      <c r="F7" s="95">
        <v>2021</v>
      </c>
      <c r="G7" s="125">
        <v>2022</v>
      </c>
      <c r="H7" s="257" t="s">
        <v>81</v>
      </c>
      <c r="I7" s="98"/>
      <c r="J7" s="72"/>
    </row>
    <row r="8" spans="1:10" ht="18.75" customHeight="1" x14ac:dyDescent="0.3">
      <c r="A8" s="99" t="s">
        <v>159</v>
      </c>
      <c r="B8" s="107">
        <f>SUM(B9:B14)</f>
        <v>169099.17018717999</v>
      </c>
      <c r="C8" s="107">
        <f>SUM(C9:C14)</f>
        <v>167134.18485828998</v>
      </c>
      <c r="D8" s="258">
        <f t="shared" ref="D8:D38" si="0">IF(B8=0, "    ---- ", IF(ABS(ROUND(100/B8*C8-100,1))&lt;999,ROUND(100/B8*C8-100,1),IF(ROUND(100/B8*C8-100,1)&gt;999,999,-999)))</f>
        <v>-1.2</v>
      </c>
      <c r="E8" s="259"/>
      <c r="F8" s="258">
        <f>SUM(F9:F14)</f>
        <v>100.00000000000001</v>
      </c>
      <c r="G8" s="258">
        <f>SUM(G9:G14)</f>
        <v>99.999999999999972</v>
      </c>
      <c r="H8" s="259">
        <f t="shared" ref="H8:H38" si="1">IF(F8=0, "    ---- ", IF(ABS(ROUND(100/F8*G8-100,1))&lt;999,ROUND(100/F8*G8-100,1),IF(ROUND(100/F8*G8-100,1)&gt;999,999,-999)))</f>
        <v>0</v>
      </c>
      <c r="I8" s="102"/>
      <c r="J8" s="72"/>
    </row>
    <row r="9" spans="1:10" ht="18.75" customHeight="1" x14ac:dyDescent="0.3">
      <c r="A9" s="84" t="s">
        <v>160</v>
      </c>
      <c r="B9" s="104">
        <f>'Tabell 6'!AO21</f>
        <v>4431.1117703099999</v>
      </c>
      <c r="C9" s="104">
        <f>'Tabell 6'!AP21</f>
        <v>4039.2983338199997</v>
      </c>
      <c r="D9" s="260">
        <f t="shared" si="0"/>
        <v>-8.8000000000000007</v>
      </c>
      <c r="E9" s="260"/>
      <c r="F9" s="260">
        <f>'Tabell 6'!AO21/'Tabell 6'!AO29*100</f>
        <v>2.6204219484963138</v>
      </c>
      <c r="G9" s="260">
        <f>'Tabell 6'!AP21/'Tabell 6'!AP29*100</f>
        <v>2.41679961358285</v>
      </c>
      <c r="H9" s="261">
        <f t="shared" si="1"/>
        <v>-7.8</v>
      </c>
      <c r="I9" s="102"/>
      <c r="J9" s="75"/>
    </row>
    <row r="10" spans="1:10" ht="18.75" customHeight="1" x14ac:dyDescent="0.3">
      <c r="A10" s="84" t="s">
        <v>161</v>
      </c>
      <c r="B10" s="103">
        <f>'Tabell 6'!AO18+'Tabell 6'!AO22</f>
        <v>80355.699827659992</v>
      </c>
      <c r="C10" s="103">
        <f>'Tabell 6'!AP18+'Tabell 6'!AP22</f>
        <v>75270.342517829995</v>
      </c>
      <c r="D10" s="260">
        <f t="shared" si="0"/>
        <v>-6.3</v>
      </c>
      <c r="E10" s="260"/>
      <c r="F10" s="260">
        <f>('Tabell 6'!AO18+'Tabell 6'!AO22)/'Tabell 6'!AO29*100</f>
        <v>47.519866442107499</v>
      </c>
      <c r="G10" s="260">
        <f>('Tabell 6'!AP18+'Tabell 6'!AP22)/'Tabell 6'!AP29*100</f>
        <v>45.035874965764975</v>
      </c>
      <c r="H10" s="261">
        <f t="shared" si="1"/>
        <v>-5.2</v>
      </c>
      <c r="I10" s="102"/>
      <c r="J10" s="72"/>
    </row>
    <row r="11" spans="1:10" ht="18.75" customHeight="1" x14ac:dyDescent="0.3">
      <c r="A11" s="84" t="s">
        <v>162</v>
      </c>
      <c r="B11" s="103">
        <f>'Tabell 6'!AO14</f>
        <v>999.43668174999993</v>
      </c>
      <c r="C11" s="103">
        <f>'Tabell 6'!AP14</f>
        <v>1105.6436477499999</v>
      </c>
      <c r="D11" s="260">
        <f t="shared" si="0"/>
        <v>10.6</v>
      </c>
      <c r="E11" s="260"/>
      <c r="F11" s="260">
        <f>'Tabell 6'!AO14/'Tabell 6'!AO29*100</f>
        <v>0.59103582864640858</v>
      </c>
      <c r="G11" s="260">
        <f>'Tabell 6'!AP14/'Tabell 6'!AP29*100</f>
        <v>0.66153052332618534</v>
      </c>
      <c r="H11" s="261">
        <f t="shared" si="1"/>
        <v>11.9</v>
      </c>
      <c r="I11" s="102"/>
      <c r="J11" s="72"/>
    </row>
    <row r="12" spans="1:10" ht="18.75" customHeight="1" x14ac:dyDescent="0.3">
      <c r="A12" s="106" t="s">
        <v>163</v>
      </c>
      <c r="B12" s="103">
        <f>'Tabell 6'!AO15</f>
        <v>26025.336333860003</v>
      </c>
      <c r="C12" s="103">
        <f>'Tabell 6'!AP15</f>
        <v>27575.94301852</v>
      </c>
      <c r="D12" s="262">
        <f t="shared" si="0"/>
        <v>6</v>
      </c>
      <c r="E12" s="262"/>
      <c r="F12" s="260">
        <f>'Tabell 6'!AO15/'Tabell 6'!AO29*100</f>
        <v>15.390576018233515</v>
      </c>
      <c r="G12" s="260">
        <f>'Tabell 6'!AP15/'Tabell 6'!AP29*100</f>
        <v>16.499283519946044</v>
      </c>
      <c r="H12" s="261">
        <f t="shared" si="1"/>
        <v>7.2</v>
      </c>
      <c r="I12" s="102"/>
      <c r="J12" s="72"/>
    </row>
    <row r="13" spans="1:10" ht="18.75" customHeight="1" x14ac:dyDescent="0.3">
      <c r="A13" s="84" t="s">
        <v>164</v>
      </c>
      <c r="B13" s="103">
        <f>'Tabell 6'!AO19+'Tabell 6'!AO23</f>
        <v>32470.583421660001</v>
      </c>
      <c r="C13" s="103">
        <f>'Tabell 6'!AP19+'Tabell 6'!AP23</f>
        <v>35676.323963209994</v>
      </c>
      <c r="D13" s="260">
        <f t="shared" si="0"/>
        <v>9.9</v>
      </c>
      <c r="E13" s="260"/>
      <c r="F13" s="260">
        <f>('Tabell 6'!AO19+'Tabell 6'!AO23)/'Tabell 6'!AO29*100</f>
        <v>19.202095069844237</v>
      </c>
      <c r="G13" s="260">
        <f>('Tabell 6'!AP19+'Tabell 6'!AP23)/'Tabell 6'!AP29*100</f>
        <v>21.34591675153667</v>
      </c>
      <c r="H13" s="261">
        <f t="shared" si="1"/>
        <v>11.2</v>
      </c>
      <c r="I13" s="102"/>
      <c r="J13" s="72"/>
    </row>
    <row r="14" spans="1:10" ht="18.75" customHeight="1" x14ac:dyDescent="0.3">
      <c r="A14" s="84" t="s">
        <v>165</v>
      </c>
      <c r="B14" s="173">
        <f>'Tabell 6'!AO17-'Tabell 6'!AO18+'Tabell 6'!AO24+'Tabell 6'!AO25+'Tabell 6'!AO26+'Tabell 6'!AO28</f>
        <v>24817.002151940003</v>
      </c>
      <c r="C14" s="173">
        <f>'Tabell 6'!AP17-'Tabell 6'!AP18+'Tabell 6'!AP24+'Tabell 6'!AP25+'Tabell 6'!AP26+'Tabell 6'!AP28</f>
        <v>23466.63337716</v>
      </c>
      <c r="D14" s="260">
        <f t="shared" si="0"/>
        <v>-5.4</v>
      </c>
      <c r="E14" s="260"/>
      <c r="F14" s="260">
        <f>('Tabell 6'!AO17-'Tabell 6'!AO18+'Tabell 6'!AO24+'Tabell 6'!AO25+'Tabell 6'!AO26+'Tabell 6'!AO28)/'Tabell 6'!AO29*100</f>
        <v>14.676004692672034</v>
      </c>
      <c r="G14" s="260">
        <f>('Tabell 6'!AP17-'Tabell 6'!AP18+'Tabell 6'!AP24+'Tabell 6'!AP25+'Tabell 6'!AP26+'Tabell 6'!AP28)/'Tabell 6'!AP29*100</f>
        <v>14.040594625843255</v>
      </c>
      <c r="H14" s="261">
        <f t="shared" si="1"/>
        <v>-4.3</v>
      </c>
      <c r="I14" s="102"/>
      <c r="J14" s="72"/>
    </row>
    <row r="15" spans="1:10" ht="18.75" customHeight="1" x14ac:dyDescent="0.3">
      <c r="A15" s="189"/>
      <c r="B15" s="101"/>
      <c r="C15" s="173"/>
      <c r="D15" s="261"/>
      <c r="E15" s="261"/>
      <c r="F15" s="261"/>
      <c r="G15" s="260"/>
      <c r="H15" s="261"/>
      <c r="I15" s="102"/>
      <c r="J15" s="72"/>
    </row>
    <row r="16" spans="1:10" s="133" customFormat="1" ht="18.75" customHeight="1" x14ac:dyDescent="0.3">
      <c r="A16" s="99" t="s">
        <v>166</v>
      </c>
      <c r="B16" s="107">
        <f>SUM(B17:B22)</f>
        <v>1261367.8977945899</v>
      </c>
      <c r="C16" s="107">
        <f>SUM(C17:C22)</f>
        <v>1284132.3740797201</v>
      </c>
      <c r="D16" s="258">
        <f t="shared" si="0"/>
        <v>1.8</v>
      </c>
      <c r="E16" s="258"/>
      <c r="F16" s="258">
        <f>SUM(F17:F22)</f>
        <v>100</v>
      </c>
      <c r="G16" s="258">
        <f>SUM(G17:G22)</f>
        <v>100.00000000000003</v>
      </c>
      <c r="H16" s="259">
        <f t="shared" si="1"/>
        <v>0</v>
      </c>
      <c r="I16" s="108"/>
      <c r="J16" s="73"/>
    </row>
    <row r="17" spans="1:10" ht="18.75" customHeight="1" x14ac:dyDescent="0.3">
      <c r="A17" s="84" t="s">
        <v>160</v>
      </c>
      <c r="B17" s="101">
        <f>'Tabell 6'!AO40</f>
        <v>249305.21143892998</v>
      </c>
      <c r="C17" s="101">
        <f>'Tabell 6'!AP40</f>
        <v>264679.27369033999</v>
      </c>
      <c r="D17" s="260">
        <f t="shared" si="0"/>
        <v>6.2</v>
      </c>
      <c r="E17" s="260"/>
      <c r="F17" s="260">
        <f>'Tabell 6'!AO40/('Tabell 6'!AO45+'Tabell 6'!AO46)*100</f>
        <v>19.764670709855704</v>
      </c>
      <c r="G17" s="260">
        <f>'Tabell 6'!AP40/('Tabell 6'!AP45+'Tabell 6'!AP46)*100</f>
        <v>20.611525652098269</v>
      </c>
      <c r="H17" s="261">
        <f t="shared" si="1"/>
        <v>4.3</v>
      </c>
      <c r="I17" s="102"/>
      <c r="J17" s="72"/>
    </row>
    <row r="18" spans="1:10" ht="18.75" customHeight="1" x14ac:dyDescent="0.3">
      <c r="A18" s="84" t="s">
        <v>161</v>
      </c>
      <c r="B18" s="101">
        <f>'Tabell 6'!AO37+'Tabell 6'!AO41</f>
        <v>345070.51432540006</v>
      </c>
      <c r="C18" s="101">
        <f>'Tabell 6'!AP37+'Tabell 6'!AP41</f>
        <v>321672.22629279003</v>
      </c>
      <c r="D18" s="260">
        <f t="shared" si="0"/>
        <v>-6.8</v>
      </c>
      <c r="E18" s="260"/>
      <c r="F18" s="260">
        <f>('Tabell 6'!AO37+'Tabell 6'!AO41)/('Tabell 6'!AO45+'Tabell 6'!AO46)*100</f>
        <v>27.356849252999915</v>
      </c>
      <c r="G18" s="260">
        <f>('Tabell 6'!AP37+'Tabell 6'!AP41)/('Tabell 6'!AP45+'Tabell 6'!AP46)*100</f>
        <v>25.049771564502304</v>
      </c>
      <c r="H18" s="261">
        <f t="shared" si="1"/>
        <v>-8.4</v>
      </c>
      <c r="I18" s="102"/>
      <c r="J18" s="72"/>
    </row>
    <row r="19" spans="1:10" ht="18.75" customHeight="1" x14ac:dyDescent="0.3">
      <c r="A19" s="84" t="s">
        <v>162</v>
      </c>
      <c r="B19" s="101">
        <f>'Tabell 6'!AO33</f>
        <v>19.31040771</v>
      </c>
      <c r="C19" s="101">
        <f>'Tabell 6'!AP33</f>
        <v>14.22554581</v>
      </c>
      <c r="D19" s="260">
        <f t="shared" si="0"/>
        <v>-26.3</v>
      </c>
      <c r="E19" s="260"/>
      <c r="F19" s="260">
        <f>'Tabell 6'!AO33/('Tabell 6'!AO45+'Tabell 6'!AO46)*100</f>
        <v>1.5309100337627779E-3</v>
      </c>
      <c r="G19" s="260">
        <f>'Tabell 6'!AP33/('Tabell 6'!AP45+'Tabell 6'!AP46)*100</f>
        <v>1.1077943440367516E-3</v>
      </c>
      <c r="H19" s="261">
        <f t="shared" si="1"/>
        <v>-27.6</v>
      </c>
      <c r="I19" s="102"/>
      <c r="J19" s="72"/>
    </row>
    <row r="20" spans="1:10" ht="18.75" customHeight="1" x14ac:dyDescent="0.3">
      <c r="A20" s="106" t="s">
        <v>163</v>
      </c>
      <c r="B20" s="103">
        <f>'Tabell 6'!AO34</f>
        <v>169530.65160673001</v>
      </c>
      <c r="C20" s="103">
        <f>'Tabell 6'!AP34</f>
        <v>185930.24699627</v>
      </c>
      <c r="D20" s="262">
        <f t="shared" si="0"/>
        <v>9.6999999999999993</v>
      </c>
      <c r="E20" s="262"/>
      <c r="F20" s="260">
        <f>'Tabell 6'!AO34/('Tabell 6'!AO45+'Tabell 6'!AO46)*100</f>
        <v>13.440222468253872</v>
      </c>
      <c r="G20" s="260">
        <f>'Tabell 6'!AP34/('Tabell 6'!AP45+'Tabell 6'!AP46)*100</f>
        <v>14.479056112070834</v>
      </c>
      <c r="H20" s="261">
        <f t="shared" si="1"/>
        <v>7.7</v>
      </c>
      <c r="I20" s="102"/>
      <c r="J20" s="72"/>
    </row>
    <row r="21" spans="1:10" ht="18.75" customHeight="1" x14ac:dyDescent="0.3">
      <c r="A21" s="84" t="s">
        <v>164</v>
      </c>
      <c r="B21" s="101">
        <f>'Tabell 6'!AO38+'Tabell 6'!AO42</f>
        <v>487743.13576488994</v>
      </c>
      <c r="C21" s="101">
        <f>'Tabell 6'!AP38+'Tabell 6'!AP42</f>
        <v>496834.78145866009</v>
      </c>
      <c r="D21" s="260">
        <f t="shared" si="0"/>
        <v>1.9</v>
      </c>
      <c r="E21" s="260"/>
      <c r="F21" s="260">
        <f>('Tabell 6'!AO38+'Tabell 6'!AO42)/('Tabell 6'!AO45+'Tabell 6'!AO46)*100</f>
        <v>38.667793640354517</v>
      </c>
      <c r="G21" s="260">
        <f>('Tabell 6'!AP38+'Tabell 6'!AP42)/('Tabell 6'!AP45+'Tabell 6'!AP46)*100</f>
        <v>38.690308840996188</v>
      </c>
      <c r="H21" s="261">
        <f t="shared" si="1"/>
        <v>0.1</v>
      </c>
      <c r="I21" s="102"/>
      <c r="J21" s="72"/>
    </row>
    <row r="22" spans="1:10" ht="18.75" customHeight="1" x14ac:dyDescent="0.3">
      <c r="A22" s="189" t="s">
        <v>165</v>
      </c>
      <c r="B22" s="101">
        <f>'Tabell 6'!AO36-'Tabell 6'!AO37+'Tabell 6'!AO43+'Tabell 6'!AO44+'Tabell 6'!AO46</f>
        <v>9699.0742509300071</v>
      </c>
      <c r="C22" s="101">
        <f>'Tabell 6'!AP36-'Tabell 6'!AP37+'Tabell 6'!AP43+'Tabell 6'!AP44+'Tabell 6'!AP46</f>
        <v>15001.620095850003</v>
      </c>
      <c r="D22" s="260">
        <f t="shared" si="0"/>
        <v>54.7</v>
      </c>
      <c r="E22" s="260"/>
      <c r="F22" s="261">
        <f>('Tabell 6'!AO36-'Tabell 6'!AO37+'Tabell 6'!AO43+'Tabell 6'!AO44+'Tabell 6'!AO46)/('Tabell 6'!AO45+'Tabell 6'!AO46)*100</f>
        <v>0.7689330185022254</v>
      </c>
      <c r="G22" s="261">
        <f>('Tabell 6'!AP36-'Tabell 6'!AP37+'Tabell 6'!AP43+'Tabell 6'!AP44+'Tabell 6'!AP46)/('Tabell 6'!AP45+'Tabell 6'!AP46)*100</f>
        <v>1.1682300359883842</v>
      </c>
      <c r="H22" s="261">
        <f t="shared" si="1"/>
        <v>51.9</v>
      </c>
      <c r="I22" s="102"/>
      <c r="J22" s="72"/>
    </row>
    <row r="23" spans="1:10" ht="18.75" customHeight="1" x14ac:dyDescent="0.3">
      <c r="A23" s="84"/>
      <c r="B23" s="173"/>
      <c r="C23" s="173"/>
      <c r="D23" s="261"/>
      <c r="E23" s="260"/>
      <c r="F23" s="260"/>
      <c r="G23" s="261"/>
      <c r="H23" s="261"/>
      <c r="I23" s="178"/>
      <c r="J23" s="72"/>
    </row>
    <row r="24" spans="1:10" ht="18.75" customHeight="1" x14ac:dyDescent="0.3">
      <c r="A24" s="135" t="s">
        <v>167</v>
      </c>
      <c r="B24" s="107">
        <f>SUM(B25:B30)</f>
        <v>522908.11828911089</v>
      </c>
      <c r="C24" s="107">
        <f>SUM(C25:C30)</f>
        <v>511413.76756392996</v>
      </c>
      <c r="D24" s="258">
        <f t="shared" si="0"/>
        <v>-2.2000000000000002</v>
      </c>
      <c r="E24" s="258"/>
      <c r="F24" s="259">
        <f>SUM(F25:F30)</f>
        <v>100</v>
      </c>
      <c r="G24" s="259">
        <f>SUM(G25:G30)</f>
        <v>100</v>
      </c>
      <c r="H24" s="261">
        <f t="shared" si="1"/>
        <v>0</v>
      </c>
      <c r="I24" s="178"/>
      <c r="J24" s="72"/>
    </row>
    <row r="25" spans="1:10" ht="18.75" customHeight="1" x14ac:dyDescent="0.3">
      <c r="A25" s="189" t="s">
        <v>160</v>
      </c>
      <c r="B25" s="101">
        <f>'Tabell 6'!AO55</f>
        <v>335435.17258445895</v>
      </c>
      <c r="C25" s="101">
        <f>'Tabell 6'!AP55</f>
        <v>325654.12369364098</v>
      </c>
      <c r="D25" s="260">
        <f t="shared" si="0"/>
        <v>-2.9</v>
      </c>
      <c r="E25" s="260"/>
      <c r="F25" s="260">
        <f>'Tabell 6'!AO55/('Tabell 6'!AO60+'Tabell 6'!AO61)*100</f>
        <v>64.148013934448031</v>
      </c>
      <c r="G25" s="260">
        <f>'Tabell 6'!AP55/('Tabell 6'!AP60+'Tabell 6'!AP61)*100</f>
        <v>63.677230522139226</v>
      </c>
      <c r="H25" s="261">
        <f t="shared" si="1"/>
        <v>-0.7</v>
      </c>
      <c r="I25" s="178"/>
      <c r="J25" s="72"/>
    </row>
    <row r="26" spans="1:10" ht="18.75" customHeight="1" x14ac:dyDescent="0.3">
      <c r="A26" s="189" t="s">
        <v>161</v>
      </c>
      <c r="B26" s="101">
        <f>'Tabell 6'!AO52+'Tabell 6'!AO56</f>
        <v>168716.83322238098</v>
      </c>
      <c r="C26" s="101">
        <f>'Tabell 6'!AP52+'Tabell 6'!AP56</f>
        <v>163010.25799683001</v>
      </c>
      <c r="D26" s="260">
        <f t="shared" si="0"/>
        <v>-3.4</v>
      </c>
      <c r="E26" s="260"/>
      <c r="F26" s="260">
        <f>('Tabell 6'!AO52+'Tabell 6'!AO56)/('Tabell 6'!AO60+'Tabell 6'!AO61)*100</f>
        <v>32.26510113753848</v>
      </c>
      <c r="G26" s="260">
        <f>('Tabell 6'!AP52+'Tabell 6'!AP56)/('Tabell 6'!AP60+'Tabell 6'!AP61)*100</f>
        <v>31.874436774221703</v>
      </c>
      <c r="H26" s="261">
        <f t="shared" si="1"/>
        <v>-1.2</v>
      </c>
      <c r="I26" s="178"/>
      <c r="J26" s="72"/>
    </row>
    <row r="27" spans="1:10" ht="18.75" customHeight="1" x14ac:dyDescent="0.3">
      <c r="A27" s="189" t="s">
        <v>162</v>
      </c>
      <c r="B27" s="101">
        <f>'Tabell 6'!AO48</f>
        <v>0</v>
      </c>
      <c r="C27" s="101">
        <f>'Tabell 6'!AP48</f>
        <v>0</v>
      </c>
      <c r="D27" s="260" t="str">
        <f t="shared" si="0"/>
        <v xml:space="preserve">    ---- </v>
      </c>
      <c r="E27" s="260"/>
      <c r="F27" s="260">
        <f>'Tabell 6'!AO48/('Tabell 6'!AO60+'Tabell 6'!AO61)*100</f>
        <v>0</v>
      </c>
      <c r="G27" s="260">
        <f>'Tabell 6'!AP48/('Tabell 6'!AP60+'Tabell 6'!AP61)*100</f>
        <v>0</v>
      </c>
      <c r="H27" s="261" t="str">
        <f t="shared" si="1"/>
        <v xml:space="preserve">    ---- </v>
      </c>
      <c r="I27" s="178"/>
      <c r="J27" s="72"/>
    </row>
    <row r="28" spans="1:10" ht="18.75" customHeight="1" x14ac:dyDescent="0.3">
      <c r="A28" s="106" t="s">
        <v>163</v>
      </c>
      <c r="B28" s="103">
        <f>'Tabell 6'!AO49</f>
        <v>12122.031364071001</v>
      </c>
      <c r="C28" s="103">
        <f>'Tabell 6'!AP49</f>
        <v>17998.645961429</v>
      </c>
      <c r="D28" s="262">
        <f t="shared" si="0"/>
        <v>48.5</v>
      </c>
      <c r="E28" s="262"/>
      <c r="F28" s="260">
        <f>'Tabell 6'!AO49/('Tabell 6'!AO60+'Tabell 6'!AO61)*100</f>
        <v>2.3181952890180302</v>
      </c>
      <c r="G28" s="260">
        <f>'Tabell 6'!AP49/('Tabell 6'!AP60+'Tabell 6'!AP61)*100</f>
        <v>3.5193901891151285</v>
      </c>
      <c r="H28" s="261">
        <f t="shared" si="1"/>
        <v>51.8</v>
      </c>
      <c r="I28" s="178"/>
      <c r="J28" s="72"/>
    </row>
    <row r="29" spans="1:10" ht="18.75" customHeight="1" x14ac:dyDescent="0.3">
      <c r="A29" s="189" t="s">
        <v>164</v>
      </c>
      <c r="B29" s="101">
        <f>'Tabell 6'!AO53+'Tabell 6'!AO57</f>
        <v>3685.3546601399999</v>
      </c>
      <c r="C29" s="101">
        <f>'Tabell 6'!AP53+'Tabell 6'!AP57</f>
        <v>4455.2175453599993</v>
      </c>
      <c r="D29" s="260">
        <f t="shared" si="0"/>
        <v>20.9</v>
      </c>
      <c r="E29" s="260"/>
      <c r="F29" s="260">
        <f>('Tabell 6'!AO53+'Tabell 6'!AO57)/('Tabell 6'!AO60+'Tabell 6'!AO61)*100</f>
        <v>0.70478054006849478</v>
      </c>
      <c r="G29" s="260">
        <f>('Tabell 6'!AP53+'Tabell 6'!AP57)/('Tabell 6'!AP60+'Tabell 6'!AP61)*100</f>
        <v>0.87115713888227864</v>
      </c>
      <c r="H29" s="261">
        <f t="shared" si="1"/>
        <v>23.6</v>
      </c>
      <c r="I29" s="178"/>
      <c r="J29" s="72"/>
    </row>
    <row r="30" spans="1:10" ht="18.75" customHeight="1" x14ac:dyDescent="0.3">
      <c r="A30" s="84" t="s">
        <v>165</v>
      </c>
      <c r="B30" s="101">
        <f>'Tabell 6'!AO51-'Tabell 6'!AO52+'Tabell 6'!AO58+'Tabell 6'!AO59+'Tabell 6'!AO61</f>
        <v>2948.7264580599999</v>
      </c>
      <c r="C30" s="101">
        <f>'Tabell 6'!AP51-'Tabell 6'!AP52+'Tabell 6'!AP58+'Tabell 6'!AP59+'Tabell 6'!AP61</f>
        <v>295.52236666999988</v>
      </c>
      <c r="D30" s="261">
        <f t="shared" si="0"/>
        <v>-90</v>
      </c>
      <c r="E30" s="261"/>
      <c r="F30" s="261">
        <f>('Tabell 6'!AO51-'Tabell 6'!AO52+'Tabell 6'!AO58+'Tabell 6'!AO59+'Tabell 6'!AO61)/('Tabell 6'!AO60+'Tabell 6'!AO61)*100</f>
        <v>0.56390909892695074</v>
      </c>
      <c r="G30" s="261">
        <f>('Tabell 6'!AP51-'Tabell 6'!AP52+'Tabell 6'!AP58+'Tabell 6'!AP59+'Tabell 6'!AP61)/('Tabell 6'!AP60+'Tabell 6'!AP61)*100</f>
        <v>5.7785375641663327E-2</v>
      </c>
      <c r="H30" s="261">
        <f t="shared" si="1"/>
        <v>-89.8</v>
      </c>
      <c r="I30" s="178"/>
      <c r="J30" s="72"/>
    </row>
    <row r="31" spans="1:10" ht="18.75" customHeight="1" x14ac:dyDescent="0.3">
      <c r="A31" s="189"/>
      <c r="B31" s="173"/>
      <c r="C31" s="173"/>
      <c r="D31" s="260"/>
      <c r="E31" s="260"/>
      <c r="F31" s="260"/>
      <c r="G31" s="261"/>
      <c r="H31" s="261"/>
      <c r="I31" s="178"/>
      <c r="J31" s="72"/>
    </row>
    <row r="32" spans="1:10" ht="18.75" customHeight="1" x14ac:dyDescent="0.3">
      <c r="A32" s="135" t="s">
        <v>2</v>
      </c>
      <c r="B32" s="679">
        <f>SUM(B33:B38)</f>
        <v>1953375.186270881</v>
      </c>
      <c r="C32" s="679">
        <f>SUM(C33:C38)</f>
        <v>1962680.3265019401</v>
      </c>
      <c r="D32" s="258">
        <f t="shared" si="0"/>
        <v>0.5</v>
      </c>
      <c r="E32" s="258"/>
      <c r="F32" s="258">
        <f>SUM(F33:F38)</f>
        <v>100</v>
      </c>
      <c r="G32" s="258">
        <f>SUM(G33:G38)</f>
        <v>99.999999999999986</v>
      </c>
      <c r="H32" s="259">
        <f t="shared" si="1"/>
        <v>0</v>
      </c>
      <c r="I32" s="178"/>
      <c r="J32" s="72"/>
    </row>
    <row r="33" spans="1:10" ht="18.75" customHeight="1" x14ac:dyDescent="0.3">
      <c r="A33" s="189" t="s">
        <v>160</v>
      </c>
      <c r="B33" s="101">
        <f t="shared" ref="B33:C38" si="2">B9+B17+B25</f>
        <v>589171.49579369894</v>
      </c>
      <c r="C33" s="101">
        <f t="shared" si="2"/>
        <v>594372.69571780099</v>
      </c>
      <c r="D33" s="260">
        <f t="shared" si="0"/>
        <v>0.9</v>
      </c>
      <c r="E33" s="260"/>
      <c r="F33" s="260">
        <f>B33/B32*100</f>
        <v>30.161717008316526</v>
      </c>
      <c r="G33" s="260">
        <f>C33/C32*100</f>
        <v>30.283724134390432</v>
      </c>
      <c r="H33" s="261">
        <f t="shared" si="1"/>
        <v>0.4</v>
      </c>
      <c r="I33" s="178"/>
      <c r="J33" s="72"/>
    </row>
    <row r="34" spans="1:10" ht="18.75" customHeight="1" x14ac:dyDescent="0.3">
      <c r="A34" s="189" t="s">
        <v>161</v>
      </c>
      <c r="B34" s="101">
        <f t="shared" si="2"/>
        <v>594143.04737544106</v>
      </c>
      <c r="C34" s="101">
        <f t="shared" si="2"/>
        <v>559952.82680745004</v>
      </c>
      <c r="D34" s="260">
        <f t="shared" si="0"/>
        <v>-5.8</v>
      </c>
      <c r="E34" s="260"/>
      <c r="F34" s="260">
        <f>B34/B32*100</f>
        <v>30.416227847641412</v>
      </c>
      <c r="G34" s="260">
        <f>C34/C32*100</f>
        <v>28.5300066060909</v>
      </c>
      <c r="H34" s="261">
        <f t="shared" si="1"/>
        <v>-6.2</v>
      </c>
      <c r="I34" s="178"/>
      <c r="J34" s="72"/>
    </row>
    <row r="35" spans="1:10" ht="18.75" customHeight="1" x14ac:dyDescent="0.3">
      <c r="A35" s="189" t="s">
        <v>162</v>
      </c>
      <c r="B35" s="101">
        <f t="shared" si="2"/>
        <v>1018.74708946</v>
      </c>
      <c r="C35" s="101">
        <f t="shared" si="2"/>
        <v>1119.86919356</v>
      </c>
      <c r="D35" s="260">
        <f t="shared" si="0"/>
        <v>9.9</v>
      </c>
      <c r="E35" s="260"/>
      <c r="F35" s="260">
        <f>B35/B32*100</f>
        <v>5.2153170400656812E-2</v>
      </c>
      <c r="G35" s="260">
        <f>C35/C32*100</f>
        <v>5.7058155545683199E-2</v>
      </c>
      <c r="H35" s="261">
        <f t="shared" si="1"/>
        <v>9.4</v>
      </c>
      <c r="I35" s="178"/>
      <c r="J35" s="72"/>
    </row>
    <row r="36" spans="1:10" ht="18.75" customHeight="1" x14ac:dyDescent="0.3">
      <c r="A36" s="106" t="s">
        <v>163</v>
      </c>
      <c r="B36" s="103">
        <f t="shared" si="2"/>
        <v>207678.01930466102</v>
      </c>
      <c r="C36" s="103">
        <f t="shared" si="2"/>
        <v>231504.83597621898</v>
      </c>
      <c r="D36" s="262">
        <f t="shared" si="0"/>
        <v>11.5</v>
      </c>
      <c r="E36" s="262"/>
      <c r="F36" s="260">
        <f>B36/B32*100</f>
        <v>10.631752710094149</v>
      </c>
      <c r="G36" s="260">
        <f>C36/C32*100</f>
        <v>11.795340935058286</v>
      </c>
      <c r="H36" s="261">
        <f t="shared" si="1"/>
        <v>10.9</v>
      </c>
      <c r="I36" s="178"/>
      <c r="J36" s="72"/>
    </row>
    <row r="37" spans="1:10" ht="18.75" customHeight="1" x14ac:dyDescent="0.3">
      <c r="A37" s="189" t="s">
        <v>164</v>
      </c>
      <c r="B37" s="101">
        <f t="shared" si="2"/>
        <v>523899.07384668995</v>
      </c>
      <c r="C37" s="101">
        <f t="shared" si="2"/>
        <v>536966.32296723011</v>
      </c>
      <c r="D37" s="260">
        <f t="shared" si="0"/>
        <v>2.5</v>
      </c>
      <c r="E37" s="260"/>
      <c r="F37" s="260">
        <f>B37/B32*100</f>
        <v>26.820197037868954</v>
      </c>
      <c r="G37" s="260">
        <f>C37/C32*100</f>
        <v>27.35882740131493</v>
      </c>
      <c r="H37" s="261">
        <f t="shared" si="1"/>
        <v>2</v>
      </c>
      <c r="I37" s="178"/>
      <c r="J37" s="72"/>
    </row>
    <row r="38" spans="1:10" ht="18.75" customHeight="1" x14ac:dyDescent="0.3">
      <c r="A38" s="263" t="s">
        <v>165</v>
      </c>
      <c r="B38" s="264">
        <f t="shared" si="2"/>
        <v>37464.802860930009</v>
      </c>
      <c r="C38" s="264">
        <f t="shared" si="2"/>
        <v>38763.775839679998</v>
      </c>
      <c r="D38" s="265">
        <f t="shared" si="0"/>
        <v>3.5</v>
      </c>
      <c r="E38" s="260"/>
      <c r="F38" s="265">
        <f>B38/B32*100</f>
        <v>1.9179522256783006</v>
      </c>
      <c r="G38" s="265">
        <f>C38/C32*100</f>
        <v>1.9750427675997637</v>
      </c>
      <c r="H38" s="266">
        <f t="shared" si="1"/>
        <v>3</v>
      </c>
      <c r="I38" s="178"/>
      <c r="J38" s="72"/>
    </row>
    <row r="39" spans="1:10" ht="18.75" customHeight="1" x14ac:dyDescent="0.3">
      <c r="A39" s="110"/>
      <c r="B39" s="110"/>
      <c r="C39" s="110"/>
      <c r="D39" s="110"/>
      <c r="E39" s="110"/>
      <c r="F39" s="178"/>
      <c r="G39" s="178"/>
      <c r="H39" s="178"/>
      <c r="I39" s="178"/>
      <c r="J39" s="72"/>
    </row>
    <row r="40" spans="1:10" ht="18.75" customHeight="1" x14ac:dyDescent="0.3">
      <c r="A40" s="110" t="s">
        <v>168</v>
      </c>
      <c r="B40" s="110"/>
      <c r="C40" s="110"/>
      <c r="D40" s="110"/>
      <c r="E40" s="110"/>
      <c r="F40" s="178"/>
      <c r="G40" s="178"/>
      <c r="H40" s="178"/>
      <c r="I40" s="178"/>
      <c r="J40" s="72"/>
    </row>
    <row r="41" spans="1:10" ht="18.75" x14ac:dyDescent="0.3">
      <c r="A41" s="110" t="s">
        <v>99</v>
      </c>
      <c r="B41" s="110"/>
      <c r="C41" s="110"/>
      <c r="D41" s="110"/>
      <c r="E41" s="110"/>
      <c r="F41" s="72"/>
      <c r="G41" s="72"/>
      <c r="H41" s="72"/>
      <c r="I41" s="72"/>
      <c r="J41" s="72"/>
    </row>
    <row r="42" spans="1:10" ht="18.75" x14ac:dyDescent="0.3">
      <c r="A42" s="72"/>
      <c r="B42" s="72"/>
      <c r="C42" s="72"/>
      <c r="D42" s="72"/>
      <c r="E42" s="72"/>
      <c r="G42" s="72"/>
      <c r="H42" s="72"/>
      <c r="I42" s="72"/>
      <c r="J42" s="72"/>
    </row>
    <row r="43" spans="1:10" ht="18.75" x14ac:dyDescent="0.3">
      <c r="A43" s="72"/>
      <c r="B43" s="72"/>
      <c r="C43" s="72"/>
      <c r="D43" s="72"/>
      <c r="E43" s="72"/>
      <c r="F43" s="72"/>
      <c r="G43" s="72"/>
      <c r="H43" s="72"/>
      <c r="I43" s="72"/>
      <c r="J43" s="72"/>
    </row>
    <row r="44" spans="1:10" ht="18.75" x14ac:dyDescent="0.3">
      <c r="A44" s="72"/>
      <c r="B44" s="72"/>
      <c r="C44" s="72"/>
      <c r="D44" s="72"/>
      <c r="E44" s="72"/>
      <c r="F44" s="72"/>
      <c r="G44" s="72"/>
      <c r="H44" s="72"/>
      <c r="I44" s="72"/>
      <c r="J44" s="72"/>
    </row>
    <row r="45" spans="1:10" ht="18.75" x14ac:dyDescent="0.3">
      <c r="A45" s="72"/>
      <c r="B45" s="72"/>
      <c r="C45" s="72"/>
      <c r="D45" s="72"/>
      <c r="E45" s="72"/>
      <c r="F45" s="72"/>
      <c r="G45" s="72"/>
      <c r="H45" s="72"/>
      <c r="I45" s="72"/>
      <c r="J45" s="72"/>
    </row>
    <row r="46" spans="1:10" ht="18.75" x14ac:dyDescent="0.3">
      <c r="A46" s="72"/>
      <c r="B46" s="72"/>
      <c r="C46" s="72"/>
      <c r="D46" s="72"/>
      <c r="E46" s="72"/>
      <c r="F46" s="72"/>
      <c r="G46" s="72"/>
      <c r="H46" s="72"/>
      <c r="I46" s="72"/>
      <c r="J46" s="72"/>
    </row>
    <row r="47" spans="1:10" ht="18.75" x14ac:dyDescent="0.3">
      <c r="A47" s="72"/>
      <c r="B47" s="72"/>
      <c r="C47" s="72"/>
      <c r="D47" s="72"/>
      <c r="E47" s="72"/>
      <c r="F47" s="72"/>
      <c r="G47" s="72"/>
      <c r="H47" s="72"/>
      <c r="I47" s="72"/>
      <c r="J47" s="72"/>
    </row>
    <row r="48" spans="1:10" ht="18.75" x14ac:dyDescent="0.3">
      <c r="A48" s="72"/>
      <c r="B48" s="72"/>
      <c r="C48" s="72"/>
      <c r="D48" s="72"/>
      <c r="E48" s="72"/>
      <c r="F48" s="72"/>
      <c r="G48" s="72"/>
      <c r="H48" s="72"/>
      <c r="I48" s="72"/>
      <c r="J48" s="72"/>
    </row>
    <row r="49" spans="1:10" ht="18.75" x14ac:dyDescent="0.3">
      <c r="A49" s="72"/>
      <c r="B49" s="72"/>
      <c r="C49" s="72"/>
      <c r="D49" s="72"/>
      <c r="E49" s="72"/>
      <c r="F49" s="72"/>
      <c r="G49" s="72"/>
      <c r="H49" s="72"/>
      <c r="I49" s="72"/>
      <c r="J49" s="72"/>
    </row>
    <row r="50" spans="1:10" ht="18.75" x14ac:dyDescent="0.3">
      <c r="A50" s="72"/>
      <c r="B50" s="72"/>
      <c r="C50" s="72"/>
      <c r="D50" s="72"/>
      <c r="E50" s="72"/>
      <c r="F50" s="72"/>
      <c r="G50" s="72"/>
      <c r="H50" s="72"/>
      <c r="I50" s="72"/>
      <c r="J50" s="72"/>
    </row>
    <row r="51" spans="1:10" ht="18.75" x14ac:dyDescent="0.3">
      <c r="A51" s="72"/>
      <c r="B51" s="72"/>
      <c r="C51" s="72"/>
      <c r="D51" s="72"/>
      <c r="E51" s="72"/>
      <c r="F51" s="72"/>
      <c r="G51" s="72"/>
      <c r="H51" s="72"/>
      <c r="I51" s="72"/>
      <c r="J51" s="72"/>
    </row>
    <row r="52" spans="1:10" ht="18.75" x14ac:dyDescent="0.3">
      <c r="A52" s="72"/>
      <c r="B52" s="72"/>
      <c r="C52" s="72"/>
      <c r="D52" s="72"/>
      <c r="E52" s="72"/>
      <c r="F52" s="72"/>
      <c r="G52" s="72"/>
      <c r="H52" s="72"/>
      <c r="I52" s="72"/>
      <c r="J52" s="72"/>
    </row>
    <row r="53" spans="1:10" ht="18.75" x14ac:dyDescent="0.3">
      <c r="A53" s="72"/>
      <c r="B53" s="72"/>
      <c r="C53" s="72"/>
      <c r="D53" s="72"/>
      <c r="E53" s="72"/>
      <c r="F53" s="72"/>
      <c r="G53" s="72"/>
      <c r="H53" s="72"/>
      <c r="I53" s="72"/>
      <c r="J53" s="72"/>
    </row>
    <row r="54" spans="1:10" ht="18.75" x14ac:dyDescent="0.3">
      <c r="A54" s="72"/>
      <c r="B54" s="72"/>
      <c r="C54" s="72"/>
      <c r="D54" s="72"/>
      <c r="E54" s="72"/>
      <c r="F54" s="72"/>
      <c r="G54" s="72"/>
      <c r="H54" s="72"/>
      <c r="I54" s="72"/>
      <c r="J54" s="72"/>
    </row>
    <row r="55" spans="1:10" ht="18.75" x14ac:dyDescent="0.3">
      <c r="A55" s="72"/>
      <c r="B55" s="72"/>
      <c r="C55" s="72"/>
      <c r="D55" s="72"/>
      <c r="E55" s="72"/>
      <c r="F55" s="72"/>
      <c r="G55" s="72"/>
      <c r="H55" s="72"/>
      <c r="I55" s="72"/>
      <c r="J55" s="72"/>
    </row>
    <row r="56" spans="1:10" ht="18.75" x14ac:dyDescent="0.3">
      <c r="A56" s="72"/>
      <c r="B56" s="72"/>
      <c r="C56" s="72"/>
      <c r="D56" s="72"/>
      <c r="E56" s="72"/>
      <c r="F56" s="72"/>
      <c r="G56" s="72"/>
      <c r="H56" s="72"/>
      <c r="I56" s="72"/>
      <c r="J56" s="72"/>
    </row>
    <row r="57" spans="1:10" ht="18.75" x14ac:dyDescent="0.3">
      <c r="A57" s="72"/>
      <c r="B57" s="72"/>
      <c r="C57" s="72"/>
      <c r="D57" s="72"/>
      <c r="E57" s="72"/>
      <c r="F57" s="72"/>
      <c r="G57" s="72"/>
      <c r="H57" s="72"/>
      <c r="I57" s="72"/>
      <c r="J57" s="72"/>
    </row>
    <row r="58" spans="1:10" ht="18.75" x14ac:dyDescent="0.3">
      <c r="A58" s="72"/>
      <c r="B58" s="72"/>
      <c r="C58" s="72"/>
      <c r="D58" s="72"/>
      <c r="E58" s="72"/>
      <c r="F58" s="72"/>
      <c r="G58" s="72"/>
      <c r="H58" s="72"/>
      <c r="I58" s="72"/>
      <c r="J58" s="72"/>
    </row>
    <row r="59" spans="1:10" ht="18.75" x14ac:dyDescent="0.3">
      <c r="A59" s="72"/>
      <c r="B59" s="72"/>
      <c r="C59" s="72"/>
      <c r="D59" s="72"/>
      <c r="E59" s="72"/>
      <c r="F59" s="72"/>
      <c r="G59" s="72"/>
      <c r="H59" s="72"/>
      <c r="I59" s="72"/>
      <c r="J59" s="72"/>
    </row>
    <row r="60" spans="1:10" ht="18.75" x14ac:dyDescent="0.3">
      <c r="A60" s="72"/>
      <c r="B60" s="72"/>
      <c r="C60" s="72"/>
      <c r="D60" s="72"/>
      <c r="E60" s="72"/>
      <c r="F60" s="72"/>
      <c r="G60" s="72"/>
      <c r="H60" s="72"/>
      <c r="I60" s="72"/>
      <c r="J60" s="72"/>
    </row>
    <row r="61" spans="1:10" ht="18.75" x14ac:dyDescent="0.3">
      <c r="A61" s="72"/>
      <c r="B61" s="72"/>
      <c r="C61" s="72"/>
      <c r="D61" s="72"/>
      <c r="E61" s="72"/>
      <c r="F61" s="72"/>
      <c r="G61" s="72"/>
      <c r="H61" s="72"/>
      <c r="I61" s="72"/>
      <c r="J61" s="72"/>
    </row>
    <row r="62" spans="1:10" ht="18.75" x14ac:dyDescent="0.3">
      <c r="A62" s="72"/>
      <c r="B62" s="72"/>
      <c r="C62" s="72"/>
      <c r="D62" s="72"/>
      <c r="E62" s="72"/>
      <c r="F62" s="72"/>
      <c r="G62" s="72"/>
      <c r="H62" s="72"/>
      <c r="I62" s="72"/>
      <c r="J62" s="72"/>
    </row>
    <row r="63" spans="1:10" ht="18.75" x14ac:dyDescent="0.3">
      <c r="A63" s="72"/>
      <c r="B63" s="72"/>
      <c r="C63" s="72"/>
      <c r="D63" s="72"/>
      <c r="E63" s="72"/>
      <c r="F63" s="72"/>
      <c r="G63" s="72"/>
      <c r="H63" s="72"/>
      <c r="I63" s="72"/>
      <c r="J63" s="72"/>
    </row>
    <row r="64" spans="1:10" ht="18.75" x14ac:dyDescent="0.3">
      <c r="A64" s="72"/>
      <c r="B64" s="72"/>
      <c r="C64" s="72"/>
      <c r="D64" s="72"/>
      <c r="E64" s="72"/>
      <c r="F64" s="72"/>
      <c r="G64" s="72"/>
      <c r="H64" s="72"/>
      <c r="I64" s="72"/>
      <c r="J64" s="72"/>
    </row>
    <row r="65" spans="1:10" ht="18.75" x14ac:dyDescent="0.3">
      <c r="A65" s="72"/>
      <c r="B65" s="72"/>
      <c r="C65" s="72"/>
      <c r="D65" s="72"/>
      <c r="E65" s="72"/>
      <c r="F65" s="72"/>
      <c r="G65" s="72"/>
      <c r="H65" s="72"/>
      <c r="I65" s="72"/>
      <c r="J65" s="72"/>
    </row>
    <row r="66" spans="1:10" ht="18.75" x14ac:dyDescent="0.3">
      <c r="A66" s="72"/>
      <c r="B66" s="72"/>
      <c r="C66" s="72"/>
      <c r="D66" s="72"/>
      <c r="E66" s="72"/>
      <c r="F66" s="72"/>
      <c r="G66" s="72"/>
      <c r="H66" s="72"/>
      <c r="I66" s="72"/>
      <c r="J66" s="72"/>
    </row>
    <row r="67" spans="1:10" ht="18.75" x14ac:dyDescent="0.3">
      <c r="A67" s="72"/>
      <c r="B67" s="72"/>
      <c r="C67" s="72"/>
      <c r="D67" s="72"/>
      <c r="E67" s="72"/>
      <c r="F67" s="72"/>
      <c r="G67" s="72"/>
      <c r="H67" s="72"/>
      <c r="I67" s="72"/>
      <c r="J67" s="72"/>
    </row>
    <row r="68" spans="1:10" ht="18.75" x14ac:dyDescent="0.3">
      <c r="A68" s="72"/>
      <c r="B68" s="72"/>
      <c r="C68" s="72"/>
      <c r="D68" s="72"/>
      <c r="E68" s="72"/>
      <c r="F68" s="72"/>
      <c r="G68" s="72"/>
      <c r="H68" s="72"/>
      <c r="I68" s="72"/>
      <c r="J68" s="72"/>
    </row>
    <row r="69" spans="1:10" ht="18.75" x14ac:dyDescent="0.3">
      <c r="A69" s="72"/>
      <c r="B69" s="72"/>
      <c r="C69" s="72"/>
      <c r="D69" s="72"/>
      <c r="E69" s="72"/>
      <c r="F69" s="72"/>
      <c r="G69" s="72"/>
      <c r="H69" s="72"/>
      <c r="I69" s="72"/>
      <c r="J69" s="72"/>
    </row>
    <row r="70" spans="1:10" ht="18.75" x14ac:dyDescent="0.3">
      <c r="A70" s="72"/>
      <c r="B70" s="72"/>
      <c r="C70" s="72"/>
      <c r="D70" s="72"/>
      <c r="E70" s="72"/>
      <c r="F70" s="72"/>
      <c r="G70" s="72"/>
      <c r="H70" s="72"/>
      <c r="I70" s="72"/>
      <c r="J70" s="72"/>
    </row>
    <row r="71" spans="1:10" ht="18.75" x14ac:dyDescent="0.3">
      <c r="A71" s="72"/>
      <c r="B71" s="72"/>
      <c r="C71" s="72"/>
      <c r="D71" s="72"/>
      <c r="E71" s="72"/>
      <c r="F71" s="72"/>
      <c r="G71" s="72"/>
      <c r="H71" s="72"/>
      <c r="I71" s="72"/>
      <c r="J71" s="72"/>
    </row>
    <row r="72" spans="1:10" ht="18.75" x14ac:dyDescent="0.3">
      <c r="A72" s="72"/>
      <c r="B72" s="72"/>
      <c r="C72" s="72"/>
      <c r="D72" s="72"/>
      <c r="E72" s="72"/>
      <c r="F72" s="72"/>
      <c r="G72" s="72"/>
      <c r="H72" s="72"/>
      <c r="I72" s="72"/>
      <c r="J72" s="72"/>
    </row>
    <row r="73" spans="1:10" ht="18.75" x14ac:dyDescent="0.3">
      <c r="A73" s="72"/>
      <c r="B73" s="72"/>
      <c r="C73" s="72"/>
      <c r="D73" s="72"/>
      <c r="E73" s="72"/>
      <c r="F73" s="72"/>
      <c r="G73" s="72"/>
      <c r="H73" s="72"/>
      <c r="I73" s="72"/>
      <c r="J73" s="72"/>
    </row>
    <row r="74" spans="1:10" ht="18.75" x14ac:dyDescent="0.3">
      <c r="A74" s="72"/>
      <c r="B74" s="72"/>
      <c r="C74" s="72"/>
      <c r="D74" s="72"/>
      <c r="E74" s="72"/>
      <c r="F74" s="72"/>
      <c r="G74" s="72"/>
      <c r="H74" s="72"/>
      <c r="I74" s="72"/>
      <c r="J74" s="72"/>
    </row>
    <row r="75" spans="1:10" ht="18.75" x14ac:dyDescent="0.3">
      <c r="A75" s="72"/>
      <c r="B75" s="72"/>
      <c r="C75" s="72"/>
      <c r="D75" s="72"/>
      <c r="E75" s="72"/>
      <c r="F75" s="72"/>
      <c r="G75" s="72"/>
      <c r="H75" s="72"/>
      <c r="I75" s="72"/>
      <c r="J75" s="72"/>
    </row>
    <row r="76" spans="1:10" ht="18.75" x14ac:dyDescent="0.3">
      <c r="A76" s="72"/>
      <c r="B76" s="72"/>
      <c r="C76" s="72"/>
      <c r="D76" s="72"/>
      <c r="E76" s="72"/>
      <c r="F76" s="72"/>
      <c r="G76" s="72"/>
      <c r="H76" s="72"/>
      <c r="I76" s="72"/>
      <c r="J76" s="72"/>
    </row>
    <row r="77" spans="1:10" ht="18.75" x14ac:dyDescent="0.3">
      <c r="A77" s="72"/>
      <c r="B77" s="72"/>
      <c r="C77" s="72"/>
      <c r="D77" s="72"/>
      <c r="E77" s="72"/>
      <c r="F77" s="72"/>
      <c r="G77" s="72"/>
      <c r="H77" s="72"/>
      <c r="I77" s="72"/>
      <c r="J77" s="72"/>
    </row>
    <row r="78" spans="1:10" ht="18.75" x14ac:dyDescent="0.3">
      <c r="A78" s="72"/>
      <c r="B78" s="72"/>
      <c r="C78" s="72"/>
      <c r="D78" s="72"/>
      <c r="E78" s="72"/>
      <c r="F78" s="72"/>
      <c r="G78" s="72"/>
      <c r="H78" s="72"/>
      <c r="I78" s="72"/>
      <c r="J78" s="72"/>
    </row>
    <row r="79" spans="1:10" ht="18.75" x14ac:dyDescent="0.3">
      <c r="A79" s="72"/>
      <c r="B79" s="72"/>
      <c r="C79" s="72"/>
      <c r="D79" s="72"/>
      <c r="E79" s="72"/>
      <c r="F79" s="72"/>
      <c r="G79" s="72"/>
      <c r="H79" s="72"/>
      <c r="I79" s="72"/>
      <c r="J79" s="72"/>
    </row>
    <row r="80" spans="1:10" ht="18.75" x14ac:dyDescent="0.3">
      <c r="A80" s="72"/>
      <c r="B80" s="72"/>
      <c r="C80" s="72"/>
      <c r="D80" s="72"/>
      <c r="E80" s="72"/>
      <c r="F80" s="72"/>
      <c r="G80" s="72"/>
      <c r="H80" s="72"/>
      <c r="I80" s="72"/>
      <c r="J80" s="72"/>
    </row>
    <row r="81" spans="1:10" ht="18.75" x14ac:dyDescent="0.3">
      <c r="A81" s="72"/>
      <c r="B81" s="72"/>
      <c r="C81" s="72"/>
      <c r="D81" s="72"/>
      <c r="E81" s="72"/>
      <c r="F81" s="72"/>
      <c r="G81" s="72"/>
      <c r="H81" s="72"/>
      <c r="I81" s="72"/>
      <c r="J81" s="72"/>
    </row>
    <row r="82" spans="1:10" ht="18.75" x14ac:dyDescent="0.3">
      <c r="A82" s="72"/>
      <c r="B82" s="72"/>
      <c r="C82" s="72"/>
      <c r="D82" s="72"/>
      <c r="E82" s="72"/>
      <c r="F82" s="72"/>
      <c r="G82" s="72"/>
      <c r="H82" s="72"/>
      <c r="I82" s="72"/>
      <c r="J82" s="72"/>
    </row>
    <row r="83" spans="1:10" ht="18.75" x14ac:dyDescent="0.3">
      <c r="A83" s="72"/>
      <c r="B83" s="72"/>
      <c r="C83" s="72"/>
      <c r="D83" s="72"/>
      <c r="E83" s="72"/>
      <c r="F83" s="72"/>
      <c r="G83" s="72"/>
      <c r="H83" s="72"/>
      <c r="I83" s="72"/>
      <c r="J83" s="72"/>
    </row>
    <row r="84" spans="1:10" ht="18.75" x14ac:dyDescent="0.3">
      <c r="A84" s="72"/>
      <c r="B84" s="72"/>
      <c r="C84" s="72"/>
      <c r="D84" s="72"/>
      <c r="E84" s="72"/>
      <c r="F84" s="72"/>
      <c r="G84" s="72"/>
      <c r="H84" s="72"/>
      <c r="I84" s="72"/>
      <c r="J84" s="72"/>
    </row>
    <row r="85" spans="1:10" ht="18.75" x14ac:dyDescent="0.3">
      <c r="A85" s="72"/>
      <c r="B85" s="72"/>
      <c r="C85" s="72"/>
      <c r="D85" s="72"/>
      <c r="E85" s="72"/>
      <c r="F85" s="72"/>
      <c r="G85" s="72"/>
      <c r="H85" s="72"/>
      <c r="I85" s="72"/>
      <c r="J85" s="72"/>
    </row>
    <row r="86" spans="1:10" ht="18.75" x14ac:dyDescent="0.3">
      <c r="A86" s="72"/>
      <c r="B86" s="72"/>
      <c r="C86" s="72"/>
      <c r="D86" s="72"/>
      <c r="E86" s="72"/>
      <c r="F86" s="72"/>
      <c r="G86" s="72"/>
      <c r="H86" s="72"/>
      <c r="I86" s="72"/>
      <c r="J86" s="72"/>
    </row>
    <row r="87" spans="1:10" ht="18.75" x14ac:dyDescent="0.3">
      <c r="A87" s="72"/>
      <c r="B87" s="72"/>
      <c r="C87" s="72"/>
      <c r="D87" s="72"/>
      <c r="E87" s="72"/>
      <c r="F87" s="72"/>
      <c r="G87" s="72"/>
      <c r="H87" s="72"/>
      <c r="I87" s="72"/>
      <c r="J87" s="72"/>
    </row>
    <row r="88" spans="1:10" ht="18.75" x14ac:dyDescent="0.3">
      <c r="A88" s="72"/>
      <c r="B88" s="72"/>
      <c r="C88" s="72"/>
      <c r="D88" s="72"/>
      <c r="E88" s="72"/>
      <c r="F88" s="72"/>
      <c r="G88" s="72"/>
      <c r="H88" s="72"/>
      <c r="I88" s="72"/>
      <c r="J88" s="72"/>
    </row>
    <row r="89" spans="1:10" ht="18.75" x14ac:dyDescent="0.3">
      <c r="A89" s="72"/>
      <c r="B89" s="72"/>
      <c r="C89" s="72"/>
      <c r="D89" s="72"/>
      <c r="E89" s="72"/>
      <c r="F89" s="72"/>
      <c r="G89" s="72"/>
      <c r="H89" s="72"/>
      <c r="I89" s="72"/>
      <c r="J89" s="72"/>
    </row>
    <row r="90" spans="1:10" ht="18.75" x14ac:dyDescent="0.3">
      <c r="A90" s="72"/>
      <c r="B90" s="72"/>
      <c r="C90" s="72"/>
      <c r="D90" s="72"/>
      <c r="E90" s="72"/>
      <c r="F90" s="72"/>
      <c r="G90" s="72"/>
      <c r="H90" s="72"/>
      <c r="I90" s="72"/>
      <c r="J90" s="72"/>
    </row>
    <row r="91" spans="1:10" ht="18.75" x14ac:dyDescent="0.3">
      <c r="A91" s="72"/>
      <c r="B91" s="72"/>
      <c r="C91" s="72"/>
      <c r="D91" s="72"/>
      <c r="E91" s="72"/>
      <c r="F91" s="72"/>
      <c r="G91" s="72"/>
      <c r="H91" s="72"/>
      <c r="I91" s="72"/>
      <c r="J91" s="72"/>
    </row>
    <row r="92" spans="1:10" ht="18.75" x14ac:dyDescent="0.3">
      <c r="A92" s="72"/>
      <c r="B92" s="72"/>
      <c r="C92" s="72"/>
      <c r="D92" s="72"/>
      <c r="E92" s="72"/>
      <c r="F92" s="72"/>
      <c r="G92" s="72"/>
      <c r="H92" s="72"/>
      <c r="I92" s="72"/>
      <c r="J92" s="72"/>
    </row>
  </sheetData>
  <mergeCells count="4">
    <mergeCell ref="B4:D4"/>
    <mergeCell ref="F4:H4"/>
    <mergeCell ref="B5:D5"/>
    <mergeCell ref="F5:H5"/>
  </mergeCells>
  <hyperlinks>
    <hyperlink ref="B1" location="Innhold!A1" display="Tilbake" xr:uid="{00000000-0004-0000-0500-000000000000}"/>
  </hyperlinks>
  <pageMargins left="0.70866141732283472" right="0.70866141732283472" top="0.74803149606299213" bottom="0.74803149606299213" header="0.31496062992125984" footer="0.31496062992125984"/>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dimension ref="A1:N303"/>
  <sheetViews>
    <sheetView showGridLines="0" showZeros="0" zoomScaleNormal="100" zoomScaleSheetLayoutView="80" workbookViewId="0">
      <pane xSplit="1" ySplit="1" topLeftCell="B2" activePane="bottomRight" state="frozen"/>
      <selection activeCell="J44" sqref="J44"/>
      <selection pane="topRight" activeCell="J44" sqref="J44"/>
      <selection pane="bottomLeft" activeCell="J44" sqref="J44"/>
      <selection pane="bottomRight" activeCell="A3" sqref="A3"/>
    </sheetView>
  </sheetViews>
  <sheetFormatPr baseColWidth="10" defaultColWidth="11.42578125" defaultRowHeight="12.75" x14ac:dyDescent="0.2"/>
  <cols>
    <col min="1" max="1" width="57.28515625" style="1" customWidth="1"/>
    <col min="2" max="3" width="10.7109375" style="1" customWidth="1"/>
    <col min="4" max="4" width="8.7109375" style="1" customWidth="1"/>
    <col min="5" max="6" width="10.7109375" style="1" customWidth="1"/>
    <col min="7" max="7" width="8.7109375" style="1" customWidth="1"/>
    <col min="8" max="9" width="10.7109375" style="1" customWidth="1"/>
    <col min="10" max="10" width="8.7109375" style="1" customWidth="1"/>
    <col min="11" max="16384" width="11.42578125" style="1"/>
  </cols>
  <sheetData>
    <row r="1" spans="1:14" ht="15.75" customHeight="1" x14ac:dyDescent="0.2">
      <c r="A1" s="342">
        <v>4</v>
      </c>
      <c r="B1" s="4"/>
      <c r="C1" s="4"/>
      <c r="D1" s="4"/>
      <c r="E1" s="4"/>
      <c r="F1" s="4"/>
      <c r="G1" s="4"/>
      <c r="H1" s="4"/>
      <c r="I1" s="4"/>
      <c r="J1" s="4"/>
    </row>
    <row r="2" spans="1:14" ht="15.75" customHeight="1" x14ac:dyDescent="0.25">
      <c r="A2" s="163" t="s">
        <v>28</v>
      </c>
      <c r="B2" s="702"/>
      <c r="C2" s="702"/>
      <c r="D2" s="702"/>
      <c r="E2" s="702"/>
      <c r="F2" s="702"/>
      <c r="G2" s="702"/>
      <c r="H2" s="702"/>
      <c r="I2" s="702"/>
      <c r="J2" s="702"/>
    </row>
    <row r="3" spans="1:14" ht="15.75" customHeight="1" x14ac:dyDescent="0.25">
      <c r="A3" s="161"/>
      <c r="B3" s="289"/>
      <c r="C3" s="289"/>
      <c r="D3" s="289"/>
      <c r="E3" s="289"/>
      <c r="F3" s="289"/>
      <c r="G3" s="289"/>
      <c r="H3" s="289"/>
      <c r="I3" s="289"/>
      <c r="J3" s="289"/>
    </row>
    <row r="4" spans="1:14" ht="15.75" customHeight="1" x14ac:dyDescent="0.2">
      <c r="A4" s="142"/>
      <c r="B4" s="699" t="s">
        <v>0</v>
      </c>
      <c r="C4" s="700"/>
      <c r="D4" s="700"/>
      <c r="E4" s="699" t="s">
        <v>1</v>
      </c>
      <c r="F4" s="700"/>
      <c r="G4" s="700"/>
      <c r="H4" s="699" t="s">
        <v>2</v>
      </c>
      <c r="I4" s="700"/>
      <c r="J4" s="701"/>
    </row>
    <row r="5" spans="1:14" ht="15.75" customHeight="1" x14ac:dyDescent="0.2">
      <c r="A5" s="156"/>
      <c r="B5" s="673">
        <v>44469</v>
      </c>
      <c r="C5" s="673">
        <v>44834</v>
      </c>
      <c r="D5" s="245" t="s">
        <v>3</v>
      </c>
      <c r="E5" s="673">
        <v>44469</v>
      </c>
      <c r="F5" s="673">
        <v>44834</v>
      </c>
      <c r="G5" s="245" t="s">
        <v>3</v>
      </c>
      <c r="H5" s="673">
        <v>44469</v>
      </c>
      <c r="I5" s="673">
        <v>44834</v>
      </c>
      <c r="J5" s="245" t="s">
        <v>3</v>
      </c>
      <c r="M5" s="3"/>
      <c r="N5" s="3"/>
    </row>
    <row r="6" spans="1:14" ht="15.75" customHeight="1" x14ac:dyDescent="0.2">
      <c r="A6" s="671"/>
      <c r="B6" s="15"/>
      <c r="C6" s="15"/>
      <c r="D6" s="17" t="s">
        <v>4</v>
      </c>
      <c r="E6" s="16"/>
      <c r="F6" s="16"/>
      <c r="G6" s="15" t="s">
        <v>4</v>
      </c>
      <c r="H6" s="16"/>
      <c r="I6" s="16"/>
      <c r="J6" s="15" t="s">
        <v>4</v>
      </c>
      <c r="M6" s="321"/>
      <c r="N6" s="3"/>
    </row>
    <row r="7" spans="1:14" s="41" customFormat="1" ht="15.75" customHeight="1" x14ac:dyDescent="0.2">
      <c r="A7" s="14" t="s">
        <v>23</v>
      </c>
      <c r="B7" s="232">
        <f>'Fremtind Livsforsikring'!B7+'Storebrand Danica P'!B7+'DNB Livsforsikring'!B7+'Eika Forsikring AS'!B7+'Frende Livsforsikring'!B7+'Frende Skadeforsikring'!B7+'Gjensidige Forsikring'!B7+'Gjensidige Pensjon'!B7+'Handelsbanken Liv'!B7+'If Skadeforsikring NUF'!B7+KLP!B7+'KLP Skadeforsikring AS'!B7+'Landkreditt Forsikring'!B7+'Nordea Liv '!B7+'Oslo Pensjonsforsikring'!B7+'Protector Forsikring'!B7+'SHB Liv'!B7+'Sparebank 1'!B7+'Storebrand Livsforsikring'!B7+'Telenor Forsikring'!B7+'Tryg Forsikring'!B7+'WaterCircles F'!B7+'Codan Forsikring'!B7+'Euro Accident'!B7+'Ly Forsikring'!B7+'Youplus Livsforsikring'!B7</f>
        <v>3813483.6916657356</v>
      </c>
      <c r="C7" s="232">
        <f>'Fremtind Livsforsikring'!C7+'Storebrand Danica P'!C7+'DNB Livsforsikring'!C7+'Eika Forsikring AS'!C7+'Frende Livsforsikring'!C7+'Frende Skadeforsikring'!C7+'Gjensidige Forsikring'!C7+'Gjensidige Pensjon'!C7+'Handelsbanken Liv'!C7+'If Skadeforsikring NUF'!C7+KLP!C7+'KLP Skadeforsikring AS'!C7+'Landkreditt Forsikring'!C7+'Nordea Liv '!C7+'Oslo Pensjonsforsikring'!C7+'Protector Forsikring'!C7+'SHB Liv'!C7+'Sparebank 1'!C7+'Storebrand Livsforsikring'!C7+'Telenor Forsikring'!C7+'Tryg Forsikring'!C7+'WaterCircles F'!C7+'Codan Forsikring'!C7+'Euro Accident'!C7+'Ly Forsikring'!C7+'Youplus Livsforsikring'!C7</f>
        <v>3985789.7528075869</v>
      </c>
      <c r="D7" s="158">
        <f t="shared" ref="D7:D12" si="0">IF(B7=0, "    ---- ", IF(ABS(ROUND(100/B7*C7-100,1))&lt;999,ROUND(100/B7*C7-100,1),IF(ROUND(100/B7*C7-100,1)&gt;999,999,-999)))</f>
        <v>4.5</v>
      </c>
      <c r="E7" s="232">
        <f>'Fremtind Livsforsikring'!F7+'Storebrand Danica P'!F7+'DNB Livsforsikring'!F7+'Eika Forsikring AS'!F7+'Frende Livsforsikring'!F7+'Frende Skadeforsikring'!F7+'Gjensidige Forsikring'!F7+'Gjensidige Pensjon'!F7+'Handelsbanken Liv'!F7+'If Skadeforsikring NUF'!F7+KLP!F7+'KLP Skadeforsikring AS'!F7+'Landkreditt Forsikring'!F7+'Nordea Liv '!F7+'Oslo Pensjonsforsikring'!F7+'Protector Forsikring'!F7+'SHB Liv'!F7+'Sparebank 1'!F7+'Storebrand Livsforsikring'!F7+'Telenor Forsikring'!F7+'Tryg Forsikring'!F7+'WaterCircles F'!F7+'Codan Forsikring'!F7+'Euro Accident'!F7+'Ly Forsikring'!F7+'Youplus Livsforsikring'!F7</f>
        <v>10886055.292259999</v>
      </c>
      <c r="F7" s="232">
        <f>'Fremtind Livsforsikring'!G7+'Storebrand Danica P'!G7+'DNB Livsforsikring'!G7+'Eika Forsikring AS'!G7+'Frende Livsforsikring'!G7+'Frende Skadeforsikring'!G7+'Gjensidige Forsikring'!G7+'Gjensidige Pensjon'!G7+'Handelsbanken Liv'!G7+'If Skadeforsikring NUF'!G7+KLP!G7+'KLP Skadeforsikring AS'!G7+'Landkreditt Forsikring'!G7+'Nordea Liv '!G7+'Oslo Pensjonsforsikring'!G7+'Protector Forsikring'!G7+'SHB Liv'!G7+'Sparebank 1'!G7+'Storebrand Livsforsikring'!G7+'Telenor Forsikring'!G7+'Tryg Forsikring'!G7+'WaterCircles F'!G7+'Codan Forsikring'!G7+'Euro Accident'!G7+'Ly Forsikring'!G7+'Youplus Livsforsikring'!G7</f>
        <v>7212186.1206099996</v>
      </c>
      <c r="G7" s="158">
        <f t="shared" ref="G7:G12" si="1">IF(E7=0, "    ---- ", IF(ABS(ROUND(100/E7*F7-100,1))&lt;999,ROUND(100/E7*F7-100,1),IF(ROUND(100/E7*F7-100,1)&gt;999,999,-999)))</f>
        <v>-33.700000000000003</v>
      </c>
      <c r="H7" s="272">
        <f t="shared" ref="H7:H12" si="2">B7+E7</f>
        <v>14699538.983925734</v>
      </c>
      <c r="I7" s="273">
        <f t="shared" ref="I7:I12" si="3">C7+F7</f>
        <v>11197975.873417586</v>
      </c>
      <c r="J7" s="169">
        <f t="shared" ref="J7:J12" si="4">IF(H7=0, "    ---- ", IF(ABS(ROUND(100/H7*I7-100,1))&lt;999,ROUND(100/H7*I7-100,1),IF(ROUND(100/H7*I7-100,1)&gt;999,999,-999)))</f>
        <v>-23.8</v>
      </c>
      <c r="M7" s="406"/>
      <c r="N7" s="406"/>
    </row>
    <row r="8" spans="1:14" ht="15.75" customHeight="1" x14ac:dyDescent="0.2">
      <c r="A8" s="19" t="s">
        <v>25</v>
      </c>
      <c r="B8" s="42">
        <f>'Fremtind Livsforsikring'!B8+'Storebrand Danica P'!B8+'DNB Livsforsikring'!B8+'Eika Forsikring AS'!B8+'Frende Livsforsikring'!B8+'Frende Skadeforsikring'!B8+'Gjensidige Forsikring'!B8+'Gjensidige Pensjon'!B8+'Handelsbanken Liv'!B8+'If Skadeforsikring NUF'!B8+KLP!B8+'KLP Skadeforsikring AS'!B8+'Landkreditt Forsikring'!B8+'Nordea Liv '!B8+'Oslo Pensjonsforsikring'!B8+'Protector Forsikring'!B8+'SHB Liv'!B8+'Sparebank 1'!B8+'Storebrand Livsforsikring'!B8+'Telenor Forsikring'!B8+'Tryg Forsikring'!B8+'WaterCircles F'!B8+'Codan Forsikring'!B8+'Euro Accident'!B8+'Ly Forsikring'!B8+'Youplus Livsforsikring'!B8</f>
        <v>2480482.090499524</v>
      </c>
      <c r="C8" s="42">
        <f>'Fremtind Livsforsikring'!C8+'Storebrand Danica P'!C8+'DNB Livsforsikring'!C8+'Eika Forsikring AS'!C8+'Frende Livsforsikring'!C8+'Frende Skadeforsikring'!C8+'Gjensidige Forsikring'!C8+'Gjensidige Pensjon'!C8+'Handelsbanken Liv'!C8+'If Skadeforsikring NUF'!C8+KLP!C8+'KLP Skadeforsikring AS'!C8+'Landkreditt Forsikring'!C8+'Nordea Liv '!C8+'Oslo Pensjonsforsikring'!C8+'Protector Forsikring'!C8+'SHB Liv'!C8+'Sparebank 1'!C8+'Storebrand Livsforsikring'!C8+'Telenor Forsikring'!C8+'Tryg Forsikring'!C8+'WaterCircles F'!C8+'Codan Forsikring'!C8+'Euro Accident'!C8+'Ly Forsikring'!C8+'Youplus Livsforsikring'!C8</f>
        <v>2607007.7730434742</v>
      </c>
      <c r="D8" s="164">
        <f t="shared" si="0"/>
        <v>5.0999999999999996</v>
      </c>
      <c r="E8" s="183"/>
      <c r="F8" s="183"/>
      <c r="G8" s="172"/>
      <c r="H8" s="185">
        <f t="shared" si="2"/>
        <v>2480482.090499524</v>
      </c>
      <c r="I8" s="186">
        <f t="shared" si="3"/>
        <v>2607007.7730434742</v>
      </c>
      <c r="J8" s="169">
        <f t="shared" si="4"/>
        <v>5.0999999999999996</v>
      </c>
    </row>
    <row r="9" spans="1:14" ht="15.75" customHeight="1" x14ac:dyDescent="0.2">
      <c r="A9" s="19" t="s">
        <v>24</v>
      </c>
      <c r="B9" s="42">
        <f>'Fremtind Livsforsikring'!B9+'Storebrand Danica P'!B9+'DNB Livsforsikring'!B9+'Eika Forsikring AS'!B9+'Frende Livsforsikring'!B9+'Frende Skadeforsikring'!B9+'Gjensidige Forsikring'!B9+'Gjensidige Pensjon'!B9+'Handelsbanken Liv'!B9+'If Skadeforsikring NUF'!B9+KLP!B9+'KLP Skadeforsikring AS'!B9+'Landkreditt Forsikring'!B9+'Nordea Liv '!B9+'Oslo Pensjonsforsikring'!B9+'Protector Forsikring'!B9+'SHB Liv'!B9+'Sparebank 1'!B9+'Storebrand Livsforsikring'!B9+'Telenor Forsikring'!B9+'Tryg Forsikring'!B9+'WaterCircles F'!B9+'Codan Forsikring'!B9+'Euro Accident'!B9+'Ly Forsikring'!B9+'Youplus Livsforsikring'!B9</f>
        <v>793178.03367417457</v>
      </c>
      <c r="C9" s="42">
        <f>'Fremtind Livsforsikring'!C9+'Storebrand Danica P'!C9+'DNB Livsforsikring'!C9+'Eika Forsikring AS'!C9+'Frende Livsforsikring'!C9+'Frende Skadeforsikring'!C9+'Gjensidige Forsikring'!C9+'Gjensidige Pensjon'!C9+'Handelsbanken Liv'!C9+'If Skadeforsikring NUF'!C9+KLP!C9+'KLP Skadeforsikring AS'!C9+'Landkreditt Forsikring'!C9+'Nordea Liv '!C9+'Oslo Pensjonsforsikring'!C9+'Protector Forsikring'!C9+'SHB Liv'!C9+'Sparebank 1'!C9+'Storebrand Livsforsikring'!C9+'Telenor Forsikring'!C9+'Tryg Forsikring'!C9+'WaterCircles F'!C9+'Codan Forsikring'!C9+'Euro Accident'!C9+'Ly Forsikring'!C9+'Youplus Livsforsikring'!C9</f>
        <v>811108.15719256655</v>
      </c>
      <c r="D9" s="172">
        <f t="shared" si="0"/>
        <v>2.2999999999999998</v>
      </c>
      <c r="E9" s="183"/>
      <c r="F9" s="183"/>
      <c r="G9" s="172"/>
      <c r="H9" s="185">
        <f t="shared" si="2"/>
        <v>793178.03367417457</v>
      </c>
      <c r="I9" s="186">
        <f t="shared" si="3"/>
        <v>811108.15719256655</v>
      </c>
      <c r="J9" s="169">
        <f t="shared" si="4"/>
        <v>2.2999999999999998</v>
      </c>
    </row>
    <row r="10" spans="1:14" s="41" customFormat="1" ht="15.75" customHeight="1" x14ac:dyDescent="0.2">
      <c r="A10" s="37" t="s">
        <v>350</v>
      </c>
      <c r="B10" s="232">
        <f>'Fremtind Livsforsikring'!B10+'Storebrand Danica P'!B10+'DNB Livsforsikring'!B10+'Eika Forsikring AS'!B10+'Frende Livsforsikring'!B10+'Frende Skadeforsikring'!B10+'Gjensidige Forsikring'!B10+'Gjensidige Pensjon'!B10+'Handelsbanken Liv'!B10+'If Skadeforsikring NUF'!B10+KLP!B10+'KLP Skadeforsikring AS'!B10+'Landkreditt Forsikring'!B10+'Nordea Liv '!B10+'Oslo Pensjonsforsikring'!B10+'Protector Forsikring'!B10+'SHB Liv'!B10+'Sparebank 1'!B10+'Storebrand Livsforsikring'!B10+'Telenor Forsikring'!B10+'Tryg Forsikring'!B10+'WaterCircles F'!B10+'Codan Forsikring'!B10+'Euro Accident'!B10+'Ly Forsikring'!B10+'Youplus Livsforsikring'!B10</f>
        <v>16996296.233549759</v>
      </c>
      <c r="C10" s="232">
        <f>'Fremtind Livsforsikring'!C10+'Storebrand Danica P'!C10+'DNB Livsforsikring'!C10+'Eika Forsikring AS'!C10+'Frende Livsforsikring'!C10+'Frende Skadeforsikring'!C10+'Gjensidige Forsikring'!C10+'Gjensidige Pensjon'!C10+'Handelsbanken Liv'!C10+'If Skadeforsikring NUF'!C10+KLP!C10+'KLP Skadeforsikring AS'!C10+'Landkreditt Forsikring'!C10+'Nordea Liv '!C10+'Oslo Pensjonsforsikring'!C10+'Protector Forsikring'!C10+'SHB Liv'!C10+'Sparebank 1'!C10+'Storebrand Livsforsikring'!C10+'Telenor Forsikring'!C10+'Tryg Forsikring'!C10+'WaterCircles F'!C10+'Codan Forsikring'!C10+'Euro Accident'!C10+'Ly Forsikring'!C10+'Youplus Livsforsikring'!C10</f>
        <v>15731663.249415958</v>
      </c>
      <c r="D10" s="158">
        <f t="shared" si="0"/>
        <v>-7.4</v>
      </c>
      <c r="E10" s="232">
        <f>'Fremtind Livsforsikring'!F10+'Storebrand Danica P'!F10+'DNB Livsforsikring'!F10+'Eika Forsikring AS'!F10+'Frende Livsforsikring'!F10+'Frende Skadeforsikring'!F10+'Gjensidige Forsikring'!F10+'Gjensidige Pensjon'!F10+'Handelsbanken Liv'!F10+'If Skadeforsikring NUF'!F10+KLP!F10+'KLP Skadeforsikring AS'!F10+'Landkreditt Forsikring'!F10+'Nordea Liv '!F10+'Oslo Pensjonsforsikring'!F10+'Protector Forsikring'!F10+'SHB Liv'!F10+'Sparebank 1'!F10+'Storebrand Livsforsikring'!F10+'Telenor Forsikring'!F10+'Tryg Forsikring'!F10+'WaterCircles F'!F10+'Codan Forsikring'!F10+'Euro Accident'!F10+'Ly Forsikring'!F10+'Youplus Livsforsikring'!F10</f>
        <v>73201561.021569997</v>
      </c>
      <c r="F10" s="232">
        <f>'Fremtind Livsforsikring'!G10+'Storebrand Danica P'!G10+'DNB Livsforsikring'!G10+'Eika Forsikring AS'!G10+'Frende Livsforsikring'!G10+'Frende Skadeforsikring'!G10+'Gjensidige Forsikring'!G10+'Gjensidige Pensjon'!G10+'Handelsbanken Liv'!G10+'If Skadeforsikring NUF'!G10+KLP!G10+'KLP Skadeforsikring AS'!G10+'Landkreditt Forsikring'!G10+'Nordea Liv '!G10+'Oslo Pensjonsforsikring'!G10+'Protector Forsikring'!G10+'SHB Liv'!G10+'Sparebank 1'!G10+'Storebrand Livsforsikring'!G10+'Telenor Forsikring'!G10+'Tryg Forsikring'!G10+'WaterCircles F'!G10+'Codan Forsikring'!G10+'Euro Accident'!G10+'Ly Forsikring'!G10+'Youplus Livsforsikring'!G10</f>
        <v>68979516.335089996</v>
      </c>
      <c r="G10" s="158">
        <f t="shared" si="1"/>
        <v>-5.8</v>
      </c>
      <c r="H10" s="272">
        <f t="shared" si="2"/>
        <v>90197857.255119756</v>
      </c>
      <c r="I10" s="273">
        <f t="shared" si="3"/>
        <v>84711179.58450596</v>
      </c>
      <c r="J10" s="169">
        <f t="shared" si="4"/>
        <v>-6.1</v>
      </c>
    </row>
    <row r="11" spans="1:14" s="41" customFormat="1" ht="15.75" customHeight="1" x14ac:dyDescent="0.2">
      <c r="A11" s="37" t="s">
        <v>351</v>
      </c>
      <c r="B11" s="232">
        <f>'Fremtind Livsforsikring'!B11+'Storebrand Danica P'!B11+'DNB Livsforsikring'!B11+'Eika Forsikring AS'!B11+'Frende Livsforsikring'!B11+'Frende Skadeforsikring'!B11+'Gjensidige Forsikring'!B11+'Gjensidige Pensjon'!B11+'Handelsbanken Liv'!B11+'If Skadeforsikring NUF'!B11+KLP!B11+'KLP Skadeforsikring AS'!B11+'Landkreditt Forsikring'!B11+'Nordea Liv '!B11+'Oslo Pensjonsforsikring'!B11+'Protector Forsikring'!B11+'SHB Liv'!B11+'Sparebank 1'!B11+'Storebrand Livsforsikring'!B11+'Telenor Forsikring'!B11+'Tryg Forsikring'!B11+'WaterCircles F'!B11+'Codan Forsikring'!B11+'Euro Accident'!B11+'Ly Forsikring'!B11+'Youplus Livsforsikring'!B11</f>
        <v>42181.894999999997</v>
      </c>
      <c r="C11" s="232">
        <f>'Fremtind Livsforsikring'!C11+'Storebrand Danica P'!C11+'DNB Livsforsikring'!C11+'Eika Forsikring AS'!C11+'Frende Livsforsikring'!C11+'Frende Skadeforsikring'!C11+'Gjensidige Forsikring'!C11+'Gjensidige Pensjon'!C11+'Handelsbanken Liv'!C11+'If Skadeforsikring NUF'!C11+KLP!C11+'KLP Skadeforsikring AS'!C11+'Landkreditt Forsikring'!C11+'Nordea Liv '!C11+'Oslo Pensjonsforsikring'!C11+'Protector Forsikring'!C11+'SHB Liv'!C11+'Sparebank 1'!C11+'Storebrand Livsforsikring'!C11+'Telenor Forsikring'!C11+'Tryg Forsikring'!C11+'WaterCircles F'!C11+'Codan Forsikring'!C11+'Euro Accident'!C11+'Ly Forsikring'!C11+'Youplus Livsforsikring'!C11</f>
        <v>32737</v>
      </c>
      <c r="D11" s="169">
        <f t="shared" si="0"/>
        <v>-22.4</v>
      </c>
      <c r="E11" s="232">
        <f>'Fremtind Livsforsikring'!F11+'Storebrand Danica P'!F11+'DNB Livsforsikring'!F11+'Eika Forsikring AS'!F11+'Frende Livsforsikring'!F11+'Frende Skadeforsikring'!F11+'Gjensidige Forsikring'!F11+'Gjensidige Pensjon'!F11+'Handelsbanken Liv'!F11+'If Skadeforsikring NUF'!F11+KLP!F11+'KLP Skadeforsikring AS'!F11+'Landkreditt Forsikring'!F11+'Nordea Liv '!F11+'Oslo Pensjonsforsikring'!F11+'Protector Forsikring'!F11+'SHB Liv'!F11+'Sparebank 1'!F11+'Storebrand Livsforsikring'!F11+'Telenor Forsikring'!F11+'Tryg Forsikring'!F11+'WaterCircles F'!F11+'Codan Forsikring'!F11+'Euro Accident'!F11+'Ly Forsikring'!F11+'Youplus Livsforsikring'!F11</f>
        <v>345296.6778</v>
      </c>
      <c r="F11" s="232">
        <f>'Fremtind Livsforsikring'!G11+'Storebrand Danica P'!G11+'DNB Livsforsikring'!G11+'Eika Forsikring AS'!G11+'Frende Livsforsikring'!G11+'Frende Skadeforsikring'!G11+'Gjensidige Forsikring'!G11+'Gjensidige Pensjon'!G11+'Handelsbanken Liv'!G11+'If Skadeforsikring NUF'!G11+KLP!G11+'KLP Skadeforsikring AS'!G11+'Landkreditt Forsikring'!G11+'Nordea Liv '!G11+'Oslo Pensjonsforsikring'!G11+'Protector Forsikring'!G11+'SHB Liv'!G11+'Sparebank 1'!G11+'Storebrand Livsforsikring'!G11+'Telenor Forsikring'!G11+'Tryg Forsikring'!G11+'WaterCircles F'!G11+'Codan Forsikring'!G11+'Euro Accident'!G11+'Ly Forsikring'!G11+'Youplus Livsforsikring'!G11</f>
        <v>169041.93180000002</v>
      </c>
      <c r="G11" s="169">
        <f t="shared" si="1"/>
        <v>-51</v>
      </c>
      <c r="H11" s="272">
        <f t="shared" si="2"/>
        <v>387478.57280000002</v>
      </c>
      <c r="I11" s="273">
        <f t="shared" si="3"/>
        <v>201778.93180000002</v>
      </c>
      <c r="J11" s="169">
        <f t="shared" si="4"/>
        <v>-47.9</v>
      </c>
    </row>
    <row r="12" spans="1:14" s="41" customFormat="1" ht="15.75" customHeight="1" x14ac:dyDescent="0.2">
      <c r="A12" s="497" t="s">
        <v>352</v>
      </c>
      <c r="B12" s="271">
        <f>'Fremtind Livsforsikring'!B12+'Storebrand Danica P'!B12+'DNB Livsforsikring'!B12+'Eika Forsikring AS'!B12+'Frende Livsforsikring'!B12+'Frende Skadeforsikring'!B12+'Gjensidige Forsikring'!B12+'Gjensidige Pensjon'!B12+'Handelsbanken Liv'!B12+'If Skadeforsikring NUF'!B12+KLP!B12+'KLP Skadeforsikring AS'!B12+'Landkreditt Forsikring'!B12+'Nordea Liv '!B12+'Oslo Pensjonsforsikring'!B12+'Protector Forsikring'!B12+'SHB Liv'!B12+'Sparebank 1'!B12+'Storebrand Livsforsikring'!B12+'Telenor Forsikring'!B12+'Tryg Forsikring'!B12+'WaterCircles F'!B12+'Codan Forsikring'!B12+'Euro Accident'!B12+'Ly Forsikring'!B12+'Youplus Livsforsikring'!B12</f>
        <v>6715.5570900000002</v>
      </c>
      <c r="C12" s="271">
        <f>'Fremtind Livsforsikring'!C12+'Storebrand Danica P'!C12+'DNB Livsforsikring'!C12+'Eika Forsikring AS'!C12+'Frende Livsforsikring'!C12+'Frende Skadeforsikring'!C12+'Gjensidige Forsikring'!C12+'Gjensidige Pensjon'!C12+'Handelsbanken Liv'!C12+'If Skadeforsikring NUF'!C12+KLP!C12+'KLP Skadeforsikring AS'!C12+'Landkreditt Forsikring'!C12+'Nordea Liv '!C12+'Oslo Pensjonsforsikring'!C12+'Protector Forsikring'!C12+'SHB Liv'!C12+'Sparebank 1'!C12+'Storebrand Livsforsikring'!C12+'Telenor Forsikring'!C12+'Tryg Forsikring'!C12+'WaterCircles F'!C12+'Codan Forsikring'!C12+'Euro Accident'!C12+'Ly Forsikring'!C12+'Youplus Livsforsikring'!C12</f>
        <v>2921</v>
      </c>
      <c r="D12" s="168">
        <f t="shared" si="0"/>
        <v>-56.5</v>
      </c>
      <c r="E12" s="271">
        <f>'Fremtind Livsforsikring'!F12+'Storebrand Danica P'!F12+'DNB Livsforsikring'!F12+'Eika Forsikring AS'!F12+'Frende Livsforsikring'!F12+'Frende Skadeforsikring'!F12+'Gjensidige Forsikring'!F12+'Gjensidige Pensjon'!F12+'Handelsbanken Liv'!F12+'If Skadeforsikring NUF'!F12+KLP!F12+'KLP Skadeforsikring AS'!F12+'Landkreditt Forsikring'!F12+'Nordea Liv '!F12+'Oslo Pensjonsforsikring'!F12+'Protector Forsikring'!F12+'SHB Liv'!F12+'Sparebank 1'!F12+'Storebrand Livsforsikring'!F12+'Telenor Forsikring'!F12+'Tryg Forsikring'!F12+'WaterCircles F'!F12+'Codan Forsikring'!F12+'Euro Accident'!F12+'Ly Forsikring'!F12+'Youplus Livsforsikring'!F12</f>
        <v>146478.01957</v>
      </c>
      <c r="F12" s="271">
        <f>'Fremtind Livsforsikring'!G12+'Storebrand Danica P'!G12+'DNB Livsforsikring'!G12+'Eika Forsikring AS'!G12+'Frende Livsforsikring'!G12+'Frende Skadeforsikring'!G12+'Gjensidige Forsikring'!G12+'Gjensidige Pensjon'!G12+'Handelsbanken Liv'!G12+'If Skadeforsikring NUF'!G12+KLP!G12+'KLP Skadeforsikring AS'!G12+'Landkreditt Forsikring'!G12+'Nordea Liv '!G12+'Oslo Pensjonsforsikring'!G12+'Protector Forsikring'!G12+'SHB Liv'!G12+'Sparebank 1'!G12+'Storebrand Livsforsikring'!G12+'Telenor Forsikring'!G12+'Tryg Forsikring'!G12+'WaterCircles F'!G12+'Codan Forsikring'!G12+'Euro Accident'!G12+'Ly Forsikring'!G12+'Youplus Livsforsikring'!G12</f>
        <v>132322.02526999998</v>
      </c>
      <c r="G12" s="167">
        <f t="shared" si="1"/>
        <v>-9.6999999999999993</v>
      </c>
      <c r="H12" s="274">
        <f t="shared" si="2"/>
        <v>153193.57665999999</v>
      </c>
      <c r="I12" s="275">
        <f t="shared" si="3"/>
        <v>135243.02526999998</v>
      </c>
      <c r="J12" s="167">
        <f t="shared" si="4"/>
        <v>-11.7</v>
      </c>
    </row>
    <row r="13" spans="1:14" s="41" customFormat="1" ht="15.75" customHeight="1" x14ac:dyDescent="0.2">
      <c r="A13" s="166"/>
      <c r="B13" s="33"/>
      <c r="C13" s="5"/>
      <c r="D13" s="30"/>
      <c r="E13" s="33"/>
      <c r="F13" s="5"/>
      <c r="G13" s="30"/>
      <c r="H13" s="46"/>
      <c r="I13" s="46"/>
      <c r="J13" s="30"/>
    </row>
    <row r="14" spans="1:14" ht="15.75" customHeight="1" x14ac:dyDescent="0.2">
      <c r="A14" s="151" t="s">
        <v>270</v>
      </c>
    </row>
    <row r="15" spans="1:14" ht="15.75" customHeight="1" x14ac:dyDescent="0.2">
      <c r="A15" s="147"/>
      <c r="E15" s="7"/>
      <c r="F15" s="7"/>
      <c r="G15" s="7"/>
      <c r="H15" s="7"/>
      <c r="I15" s="7"/>
      <c r="J15" s="7"/>
    </row>
    <row r="16" spans="1:14" s="3" customFormat="1" ht="15.75" customHeight="1" x14ac:dyDescent="0.25">
      <c r="A16" s="162"/>
      <c r="C16" s="28"/>
      <c r="D16" s="28"/>
      <c r="E16" s="28"/>
      <c r="F16" s="28"/>
      <c r="G16" s="28"/>
      <c r="H16" s="28"/>
      <c r="I16" s="28"/>
      <c r="J16" s="28"/>
    </row>
    <row r="17" spans="1:11" ht="15.75" customHeight="1" x14ac:dyDescent="0.25">
      <c r="A17" s="145" t="s">
        <v>267</v>
      </c>
      <c r="B17" s="26"/>
      <c r="C17" s="26"/>
      <c r="D17" s="27"/>
      <c r="E17" s="26"/>
      <c r="F17" s="26"/>
      <c r="G17" s="26"/>
      <c r="H17" s="26"/>
      <c r="I17" s="26"/>
      <c r="J17" s="26"/>
    </row>
    <row r="18" spans="1:11" ht="15.75" customHeight="1" x14ac:dyDescent="0.25">
      <c r="A18" s="147"/>
      <c r="B18" s="702"/>
      <c r="C18" s="702"/>
      <c r="D18" s="702"/>
      <c r="E18" s="702"/>
      <c r="F18" s="702"/>
      <c r="G18" s="702"/>
      <c r="H18" s="702"/>
      <c r="I18" s="702"/>
      <c r="J18" s="702"/>
    </row>
    <row r="19" spans="1:11" ht="15.75" customHeight="1" x14ac:dyDescent="0.2">
      <c r="A19" s="142"/>
      <c r="B19" s="699" t="s">
        <v>0</v>
      </c>
      <c r="C19" s="700"/>
      <c r="D19" s="700"/>
      <c r="E19" s="699" t="s">
        <v>1</v>
      </c>
      <c r="F19" s="700"/>
      <c r="G19" s="701"/>
      <c r="H19" s="700" t="s">
        <v>2</v>
      </c>
      <c r="I19" s="700"/>
      <c r="J19" s="701"/>
    </row>
    <row r="20" spans="1:11" ht="15.75" customHeight="1" x14ac:dyDescent="0.2">
      <c r="A20" s="138" t="s">
        <v>5</v>
      </c>
      <c r="B20" s="673">
        <v>44469</v>
      </c>
      <c r="C20" s="673">
        <v>44834</v>
      </c>
      <c r="D20" s="245" t="s">
        <v>3</v>
      </c>
      <c r="E20" s="673">
        <v>44469</v>
      </c>
      <c r="F20" s="673">
        <v>44834</v>
      </c>
      <c r="G20" s="245" t="s">
        <v>3</v>
      </c>
      <c r="H20" s="673">
        <v>44469</v>
      </c>
      <c r="I20" s="673">
        <v>44834</v>
      </c>
      <c r="J20" s="245" t="s">
        <v>3</v>
      </c>
    </row>
    <row r="21" spans="1:11" ht="15.75" customHeight="1" x14ac:dyDescent="0.2">
      <c r="A21" s="672"/>
      <c r="B21" s="15"/>
      <c r="C21" s="15"/>
      <c r="D21" s="17" t="s">
        <v>4</v>
      </c>
      <c r="E21" s="16"/>
      <c r="F21" s="16"/>
      <c r="G21" s="15" t="s">
        <v>4</v>
      </c>
      <c r="H21" s="16"/>
      <c r="I21" s="16"/>
      <c r="J21" s="15" t="s">
        <v>4</v>
      </c>
    </row>
    <row r="22" spans="1:11" s="41" customFormat="1" ht="15.75" customHeight="1" x14ac:dyDescent="0.2">
      <c r="A22" s="14" t="s">
        <v>23</v>
      </c>
      <c r="B22" s="232">
        <f>'Fremtind Livsforsikring'!B22+'Storebrand Danica P'!B22+'DNB Livsforsikring'!B22+'Eika Forsikring AS'!B22+'Frende Livsforsikring'!B22+'Frende Skadeforsikring'!B22+'Gjensidige Forsikring'!B22+'Gjensidige Pensjon'!B22+'Handelsbanken Liv'!B22+'If Skadeforsikring NUF'!B22+KLP!B22+'KLP Skadeforsikring AS'!B22+'Landkreditt Forsikring'!B22+'Nordea Liv '!B22+'Oslo Pensjonsforsikring'!B22+'Protector Forsikring'!B22+'SHB Liv'!B22+'Sparebank 1'!B22+'Storebrand Livsforsikring'!B22+'Telenor Forsikring'!B22+'Tryg Forsikring'!B22+'WaterCircles F'!B22+'Codan Forsikring'!B22+'Euro Accident'!B22+'Ly Forsikring'!B22+'Youplus Livsforsikring'!B22</f>
        <v>1536275.0599848521</v>
      </c>
      <c r="C22" s="232">
        <f>'Fremtind Livsforsikring'!C22+'Storebrand Danica P'!C22+'DNB Livsforsikring'!C22+'Eika Forsikring AS'!C22+'Frende Livsforsikring'!C22+'Frende Skadeforsikring'!C22+'Gjensidige Forsikring'!C22+'Gjensidige Pensjon'!C22+'Handelsbanken Liv'!C22+'If Skadeforsikring NUF'!C22+KLP!C22+'KLP Skadeforsikring AS'!C22+'Landkreditt Forsikring'!C22+'Nordea Liv '!C22+'Oslo Pensjonsforsikring'!C22+'Protector Forsikring'!C22+'SHB Liv'!C22+'Sparebank 1'!C22+'Storebrand Livsforsikring'!C22+'Telenor Forsikring'!C22+'Tryg Forsikring'!C22+'WaterCircles F'!C22+'Codan Forsikring'!C22+'Euro Accident'!C22+'Ly Forsikring'!C22+'Youplus Livsforsikring'!C22</f>
        <v>1677054.951081509</v>
      </c>
      <c r="D22" s="11">
        <f t="shared" ref="D22:D39" si="5">IF(B22=0, "    ---- ", IF(ABS(ROUND(100/B22*C22-100,1))&lt;999,ROUND(100/B22*C22-100,1),IF(ROUND(100/B22*C22-100,1)&gt;999,999,-999)))</f>
        <v>9.1999999999999993</v>
      </c>
      <c r="E22" s="232">
        <f>'Fremtind Livsforsikring'!F22+'Storebrand Danica P'!F22+'DNB Livsforsikring'!F22+'Eika Forsikring AS'!F22+'Frende Livsforsikring'!F22+'Frende Skadeforsikring'!F22+'Gjensidige Forsikring'!F22+'Gjensidige Pensjon'!F22+'Handelsbanken Liv'!F22+'If Skadeforsikring NUF'!F22+KLP!F22+'KLP Skadeforsikring AS'!F22+'Landkreditt Forsikring'!F22+'Nordea Liv '!F22+'Oslo Pensjonsforsikring'!F22+'Protector Forsikring'!F22+'SHB Liv'!F22+'Sparebank 1'!F22+'Storebrand Livsforsikring'!F22+'Telenor Forsikring'!F22+'Tryg Forsikring'!F22+'WaterCircles F'!F22+'Codan Forsikring'!F22+'Euro Accident'!F22+'Ly Forsikring'!F22+'Youplus Livsforsikring'!F22</f>
        <v>1122445.8969100001</v>
      </c>
      <c r="F22" s="232">
        <f>'Fremtind Livsforsikring'!G22+'Storebrand Danica P'!G22+'DNB Livsforsikring'!G22+'Eika Forsikring AS'!G22+'Frende Livsforsikring'!G22+'Frende Skadeforsikring'!G22+'Gjensidige Forsikring'!G22+'Gjensidige Pensjon'!G22+'Handelsbanken Liv'!G22+'If Skadeforsikring NUF'!G22+KLP!G22+'KLP Skadeforsikring AS'!G22+'Landkreditt Forsikring'!G22+'Nordea Liv '!G22+'Oslo Pensjonsforsikring'!G22+'Protector Forsikring'!G22+'SHB Liv'!G22+'Sparebank 1'!G22+'Storebrand Livsforsikring'!G22+'Telenor Forsikring'!G22+'Tryg Forsikring'!G22+'WaterCircles F'!G22+'Codan Forsikring'!G22+'Euro Accident'!G22+'Ly Forsikring'!G22+'Youplus Livsforsikring'!G22</f>
        <v>703799.34444999998</v>
      </c>
      <c r="G22" s="341">
        <f t="shared" ref="G22:G35" si="6">IF(E22=0, "    ---- ", IF(ABS(ROUND(100/E22*F22-100,1))&lt;999,ROUND(100/E22*F22-100,1),IF(ROUND(100/E22*F22-100,1)&gt;999,999,-999)))</f>
        <v>-37.299999999999997</v>
      </c>
      <c r="H22" s="300">
        <f>SUM(B22,E22)</f>
        <v>2658720.9568948522</v>
      </c>
      <c r="I22" s="232">
        <f t="shared" ref="I22:I39" si="7">SUM(C22,F22)</f>
        <v>2380854.295531509</v>
      </c>
      <c r="J22" s="22">
        <f t="shared" ref="J22:J39" si="8">IF(H22=0, "    ---- ", IF(ABS(ROUND(100/H22*I22-100,1))&lt;999,ROUND(100/H22*I22-100,1),IF(ROUND(100/H22*I22-100,1)&gt;999,999,-999)))</f>
        <v>-10.5</v>
      </c>
    </row>
    <row r="23" spans="1:11" ht="15.75" customHeight="1" x14ac:dyDescent="0.2">
      <c r="A23" s="498" t="s">
        <v>353</v>
      </c>
      <c r="B23" s="42">
        <f>'Fremtind Livsforsikring'!B23+'Storebrand Danica P'!B23+'DNB Livsforsikring'!B23+'Eika Forsikring AS'!B23+'Frende Livsforsikring'!B23+'Frende Skadeforsikring'!B23+'Gjensidige Forsikring'!B23+'Gjensidige Pensjon'!B23+'Handelsbanken Liv'!B23+'If Skadeforsikring NUF'!B23+KLP!B23+'KLP Skadeforsikring AS'!B23+'Landkreditt Forsikring'!B23+'Nordea Liv '!B23+'Oslo Pensjonsforsikring'!B23+'Protector Forsikring'!B23+'SHB Liv'!B23+'Sparebank 1'!B23+'Storebrand Livsforsikring'!B23+'Telenor Forsikring'!B23+'Tryg Forsikring'!B23+'WaterCircles F'!B23+'Codan Forsikring'!B23+'Euro Accident'!B23+'Ly Forsikring'!B23+'Youplus Livsforsikring'!B23</f>
        <v>559849.82809504098</v>
      </c>
      <c r="C23" s="42">
        <f>'Fremtind Livsforsikring'!C23+'Storebrand Danica P'!C23+'DNB Livsforsikring'!C23+'Eika Forsikring AS'!C23+'Frende Livsforsikring'!C23+'Frende Skadeforsikring'!C23+'Gjensidige Forsikring'!C23+'Gjensidige Pensjon'!C23+'Handelsbanken Liv'!C23+'If Skadeforsikring NUF'!C23+KLP!C23+'KLP Skadeforsikring AS'!C23+'Landkreditt Forsikring'!C23+'Nordea Liv '!C23+'Oslo Pensjonsforsikring'!C23+'Protector Forsikring'!C23+'SHB Liv'!C23+'Sparebank 1'!C23+'Storebrand Livsforsikring'!C23+'Telenor Forsikring'!C23+'Tryg Forsikring'!C23+'WaterCircles F'!C23+'Codan Forsikring'!C23+'Euro Accident'!C23+'Ly Forsikring'!C23+'Youplus Livsforsikring'!C23</f>
        <v>606536.271301509</v>
      </c>
      <c r="D23" s="25">
        <f>IF($A$1=4,IF(B23=0, "    ---- ", IF(ABS(ROUND(100/B23*C23-100,1))&lt;999,ROUND(100/B23*C23-100,1),IF(ROUND(100/B23*C23-100,1)&gt;999,999,-999))),"")</f>
        <v>8.3000000000000007</v>
      </c>
      <c r="E23" s="42">
        <f>'Fremtind Livsforsikring'!F23+'Storebrand Danica P'!F23+'DNB Livsforsikring'!F23+'Eika Forsikring AS'!F23+'Frende Livsforsikring'!F23+'Frende Skadeforsikring'!F23+'Gjensidige Forsikring'!F23+'Gjensidige Pensjon'!F23+'Handelsbanken Liv'!F23+'If Skadeforsikring NUF'!F23+KLP!F23+'KLP Skadeforsikring AS'!F23+'Landkreditt Forsikring'!F23+'Nordea Liv '!F23+'Oslo Pensjonsforsikring'!F23+'Protector Forsikring'!F23+'SHB Liv'!F23+'Sparebank 1'!F23+'Storebrand Livsforsikring'!F23+'Telenor Forsikring'!F23+'Tryg Forsikring'!F23+'WaterCircles F'!F23+'Codan Forsikring'!F23+'Euro Accident'!F23+'Ly Forsikring'!F23+'Youplus Livsforsikring'!F23</f>
        <v>176126.98926999999</v>
      </c>
      <c r="F23" s="42">
        <f>'Fremtind Livsforsikring'!G23+'Storebrand Danica P'!G23+'DNB Livsforsikring'!G23+'Eika Forsikring AS'!G23+'Frende Livsforsikring'!G23+'Frende Skadeforsikring'!G23+'Gjensidige Forsikring'!G23+'Gjensidige Pensjon'!G23+'Handelsbanken Liv'!G23+'If Skadeforsikring NUF'!G23+KLP!G23+'KLP Skadeforsikring AS'!G23+'Landkreditt Forsikring'!G23+'Nordea Liv '!G23+'Oslo Pensjonsforsikring'!G23+'Protector Forsikring'!G23+'SHB Liv'!G23+'Sparebank 1'!G23+'Storebrand Livsforsikring'!G23+'Telenor Forsikring'!G23+'Tryg Forsikring'!G23+'WaterCircles F'!G23+'Codan Forsikring'!G23+'Euro Accident'!G23+'Ly Forsikring'!G23+'Youplus Livsforsikring'!G23</f>
        <v>72787.001900000003</v>
      </c>
      <c r="G23" s="164">
        <f>IF($A$1=4,IF(E23=0, "    ---- ", IF(ABS(ROUND(100/E23*F23-100,1))&lt;999,ROUND(100/E23*F23-100,1),IF(ROUND(100/E23*F23-100,1)&gt;999,999,-999))),"")</f>
        <v>-58.7</v>
      </c>
      <c r="H23" s="230">
        <f t="shared" ref="H23:H39" si="9">SUM(B23,E23)</f>
        <v>735976.817365041</v>
      </c>
      <c r="I23" s="42">
        <f t="shared" si="7"/>
        <v>679323.27320150903</v>
      </c>
      <c r="J23" s="21">
        <f t="shared" si="8"/>
        <v>-7.7</v>
      </c>
    </row>
    <row r="24" spans="1:11" ht="15.75" customHeight="1" x14ac:dyDescent="0.2">
      <c r="A24" s="498" t="s">
        <v>354</v>
      </c>
      <c r="B24" s="42">
        <f>'Fremtind Livsforsikring'!B24+'Storebrand Danica P'!B24+'DNB Livsforsikring'!B24+'Eika Forsikring AS'!B24+'Frende Livsforsikring'!B24+'Frende Skadeforsikring'!B24+'Gjensidige Forsikring'!B24+'Gjensidige Pensjon'!B24+'Handelsbanken Liv'!B24+'If Skadeforsikring NUF'!B24+KLP!B24+'KLP Skadeforsikring AS'!B24+'Landkreditt Forsikring'!B24+'Nordea Liv '!B24+'Oslo Pensjonsforsikring'!B24+'Protector Forsikring'!B24+'SHB Liv'!B24+'Sparebank 1'!B24+'Storebrand Livsforsikring'!B24+'Telenor Forsikring'!B24+'Tryg Forsikring'!B24+'WaterCircles F'!B24+'Codan Forsikring'!B24+'Euro Accident'!B24+'Ly Forsikring'!B24+'Youplus Livsforsikring'!B24</f>
        <v>19677.6552748299</v>
      </c>
      <c r="C24" s="42">
        <f>'Fremtind Livsforsikring'!C24+'Storebrand Danica P'!C24+'DNB Livsforsikring'!C24+'Eika Forsikring AS'!C24+'Frende Livsforsikring'!C24+'Frende Skadeforsikring'!C24+'Gjensidige Forsikring'!C24+'Gjensidige Pensjon'!C24+'Handelsbanken Liv'!C24+'If Skadeforsikring NUF'!C24+KLP!C24+'KLP Skadeforsikring AS'!C24+'Landkreditt Forsikring'!C24+'Nordea Liv '!C24+'Oslo Pensjonsforsikring'!C24+'Protector Forsikring'!C24+'SHB Liv'!C24+'Sparebank 1'!C24+'Storebrand Livsforsikring'!C24+'Telenor Forsikring'!C24+'Tryg Forsikring'!C24+'WaterCircles F'!C24+'Codan Forsikring'!C24+'Euro Accident'!C24+'Ly Forsikring'!C24+'Youplus Livsforsikring'!C24</f>
        <v>15541.026089999999</v>
      </c>
      <c r="D24" s="25">
        <f t="shared" ref="D24:D25" si="10">IF($A$1=4,IF(B24=0, "    ---- ", IF(ABS(ROUND(100/B24*C24-100,1))&lt;999,ROUND(100/B24*C24-100,1),IF(ROUND(100/B24*C24-100,1)&gt;999,999,-999))),"")</f>
        <v>-21</v>
      </c>
      <c r="E24" s="42">
        <f>'Fremtind Livsforsikring'!F24+'Storebrand Danica P'!F24+'DNB Livsforsikring'!F24+'Eika Forsikring AS'!F24+'Frende Livsforsikring'!F24+'Frende Skadeforsikring'!F24+'Gjensidige Forsikring'!F24+'Gjensidige Pensjon'!F24+'Handelsbanken Liv'!F24+'If Skadeforsikring NUF'!F24+KLP!F24+'KLP Skadeforsikring AS'!F24+'Landkreditt Forsikring'!F24+'Nordea Liv '!F24+'Oslo Pensjonsforsikring'!F24+'Protector Forsikring'!F24+'SHB Liv'!F24+'Sparebank 1'!F24+'Storebrand Livsforsikring'!F24+'Telenor Forsikring'!F24+'Tryg Forsikring'!F24+'WaterCircles F'!F24+'Codan Forsikring'!F24+'Euro Accident'!F24+'Ly Forsikring'!F24+'Youplus Livsforsikring'!F24</f>
        <v>-614.20105999999998</v>
      </c>
      <c r="F24" s="42">
        <f>'Fremtind Livsforsikring'!G24+'Storebrand Danica P'!G24+'DNB Livsforsikring'!G24+'Eika Forsikring AS'!G24+'Frende Livsforsikring'!G24+'Frende Skadeforsikring'!G24+'Gjensidige Forsikring'!G24+'Gjensidige Pensjon'!G24+'Handelsbanken Liv'!G24+'If Skadeforsikring NUF'!G24+KLP!G24+'KLP Skadeforsikring AS'!G24+'Landkreditt Forsikring'!G24+'Nordea Liv '!G24+'Oslo Pensjonsforsikring'!G24+'Protector Forsikring'!G24+'SHB Liv'!G24+'Sparebank 1'!G24+'Storebrand Livsforsikring'!G24+'Telenor Forsikring'!G24+'Tryg Forsikring'!G24+'WaterCircles F'!G24+'Codan Forsikring'!G24+'Euro Accident'!G24+'Ly Forsikring'!G24+'Youplus Livsforsikring'!G24</f>
        <v>1032.70083</v>
      </c>
      <c r="G24" s="164">
        <f t="shared" ref="G24:G25" si="11">IF($A$1=4,IF(E24=0, "    ---- ", IF(ABS(ROUND(100/E24*F24-100,1))&lt;999,ROUND(100/E24*F24-100,1),IF(ROUND(100/E24*F24-100,1)&gt;999,999,-999))),"")</f>
        <v>-268.10000000000002</v>
      </c>
      <c r="H24" s="230">
        <f t="shared" si="9"/>
        <v>19063.454214829901</v>
      </c>
      <c r="I24" s="42">
        <f t="shared" si="7"/>
        <v>16573.726920000001</v>
      </c>
      <c r="J24" s="11">
        <f t="shared" si="8"/>
        <v>-13.1</v>
      </c>
    </row>
    <row r="25" spans="1:11" ht="15.75" customHeight="1" x14ac:dyDescent="0.2">
      <c r="A25" s="498" t="s">
        <v>355</v>
      </c>
      <c r="B25" s="42">
        <f>'Fremtind Livsforsikring'!B25+'Storebrand Danica P'!B25+'DNB Livsforsikring'!B25+'Eika Forsikring AS'!B25+'Frende Livsforsikring'!B25+'Frende Skadeforsikring'!B25+'Gjensidige Forsikring'!B25+'Gjensidige Pensjon'!B25+'Handelsbanken Liv'!B25+'If Skadeforsikring NUF'!B25+KLP!B25+'KLP Skadeforsikring AS'!B25+'Landkreditt Forsikring'!B25+'Nordea Liv '!B25+'Oslo Pensjonsforsikring'!B25+'Protector Forsikring'!B25+'SHB Liv'!B25+'Sparebank 1'!B25+'Storebrand Livsforsikring'!B25+'Telenor Forsikring'!B25+'Tryg Forsikring'!B25+'WaterCircles F'!B25+'Codan Forsikring'!B25+'Euro Accident'!B25+'Ly Forsikring'!B25+'Youplus Livsforsikring'!B25</f>
        <v>25624.645944981101</v>
      </c>
      <c r="C25" s="42">
        <f>'Fremtind Livsforsikring'!C25+'Storebrand Danica P'!C25+'DNB Livsforsikring'!C25+'Eika Forsikring AS'!C25+'Frende Livsforsikring'!C25+'Frende Skadeforsikring'!C25+'Gjensidige Forsikring'!C25+'Gjensidige Pensjon'!C25+'Handelsbanken Liv'!C25+'If Skadeforsikring NUF'!C25+KLP!C25+'KLP Skadeforsikring AS'!C25+'Landkreditt Forsikring'!C25+'Nordea Liv '!C25+'Oslo Pensjonsforsikring'!C25+'Protector Forsikring'!C25+'SHB Liv'!C25+'Sparebank 1'!C25+'Storebrand Livsforsikring'!C25+'Telenor Forsikring'!C25+'Tryg Forsikring'!C25+'WaterCircles F'!C25+'Codan Forsikring'!C25+'Euro Accident'!C25+'Ly Forsikring'!C25+'Youplus Livsforsikring'!C25</f>
        <v>21174</v>
      </c>
      <c r="D25" s="25">
        <f t="shared" si="10"/>
        <v>-17.399999999999999</v>
      </c>
      <c r="E25" s="42">
        <f>'Fremtind Livsforsikring'!F25+'Storebrand Danica P'!F25+'DNB Livsforsikring'!F25+'Eika Forsikring AS'!F25+'Frende Livsforsikring'!F25+'Frende Skadeforsikring'!F25+'Gjensidige Forsikring'!F25+'Gjensidige Pensjon'!F25+'Handelsbanken Liv'!F25+'If Skadeforsikring NUF'!F25+KLP!F25+'KLP Skadeforsikring AS'!F25+'Landkreditt Forsikring'!F25+'Nordea Liv '!F25+'Oslo Pensjonsforsikring'!F25+'Protector Forsikring'!F25+'SHB Liv'!F25+'Sparebank 1'!F25+'Storebrand Livsforsikring'!F25+'Telenor Forsikring'!F25+'Tryg Forsikring'!F25+'WaterCircles F'!F25+'Codan Forsikring'!F25+'Euro Accident'!F25+'Ly Forsikring'!F25+'Youplus Livsforsikring'!F25</f>
        <v>12429.977799999999</v>
      </c>
      <c r="F25" s="42">
        <f>'Fremtind Livsforsikring'!G25+'Storebrand Danica P'!G25+'DNB Livsforsikring'!G25+'Eika Forsikring AS'!G25+'Frende Livsforsikring'!G25+'Frende Skadeforsikring'!G25+'Gjensidige Forsikring'!G25+'Gjensidige Pensjon'!G25+'Handelsbanken Liv'!G25+'If Skadeforsikring NUF'!G25+KLP!G25+'KLP Skadeforsikring AS'!G25+'Landkreditt Forsikring'!G25+'Nordea Liv '!G25+'Oslo Pensjonsforsikring'!G25+'Protector Forsikring'!G25+'SHB Liv'!G25+'Sparebank 1'!G25+'Storebrand Livsforsikring'!G25+'Telenor Forsikring'!G25+'Tryg Forsikring'!G25+'WaterCircles F'!G25+'Codan Forsikring'!G25+'Euro Accident'!G25+'Ly Forsikring'!G25+'Youplus Livsforsikring'!G25</f>
        <v>13143.76115</v>
      </c>
      <c r="G25" s="164">
        <f t="shared" si="11"/>
        <v>5.7</v>
      </c>
      <c r="H25" s="230">
        <f t="shared" si="9"/>
        <v>38054.623744981101</v>
      </c>
      <c r="I25" s="42">
        <f t="shared" si="7"/>
        <v>34317.761149999998</v>
      </c>
      <c r="J25" s="25">
        <f t="shared" si="8"/>
        <v>-9.8000000000000007</v>
      </c>
    </row>
    <row r="26" spans="1:11" ht="15.75" customHeight="1" x14ac:dyDescent="0.2">
      <c r="A26" s="498" t="s">
        <v>356</v>
      </c>
      <c r="B26" s="42"/>
      <c r="C26" s="42"/>
      <c r="D26" s="25"/>
      <c r="E26" s="42">
        <f>'Fremtind Livsforsikring'!F26+'Storebrand Danica P'!F26+'DNB Livsforsikring'!F26+'Eika Forsikring AS'!F26+'Frende Livsforsikring'!F26+'Frende Skadeforsikring'!F26+'Gjensidige Forsikring'!F26+'Gjensidige Pensjon'!F26+'Handelsbanken Liv'!F26+'If Skadeforsikring NUF'!F26+KLP!F26+'KLP Skadeforsikring AS'!F26+'Landkreditt Forsikring'!F26+'Nordea Liv '!F26+'Oslo Pensjonsforsikring'!F26+'Protector Forsikring'!F26+'SHB Liv'!F26+'Sparebank 1'!F26+'Storebrand Livsforsikring'!F26+'Telenor Forsikring'!F26+'Tryg Forsikring'!F26+'WaterCircles F'!F26+'Codan Forsikring'!F26+'Euro Accident'!F26+'Ly Forsikring'!F26+'Youplus Livsforsikring'!F26</f>
        <v>934503.13090000011</v>
      </c>
      <c r="F26" s="42">
        <f>'Fremtind Livsforsikring'!G26+'Storebrand Danica P'!G26+'DNB Livsforsikring'!G26+'Eika Forsikring AS'!G26+'Frende Livsforsikring'!G26+'Frende Skadeforsikring'!G26+'Gjensidige Forsikring'!G26+'Gjensidige Pensjon'!G26+'Handelsbanken Liv'!G26+'If Skadeforsikring NUF'!G26+KLP!G26+'KLP Skadeforsikring AS'!G26+'Landkreditt Forsikring'!G26+'Nordea Liv '!G26+'Oslo Pensjonsforsikring'!G26+'Protector Forsikring'!G26+'SHB Liv'!G26+'Sparebank 1'!G26+'Storebrand Livsforsikring'!G26+'Telenor Forsikring'!G26+'Tryg Forsikring'!G26+'WaterCircles F'!G26+'Codan Forsikring'!G26+'Euro Accident'!G26+'Ly Forsikring'!G26+'Youplus Livsforsikring'!G26</f>
        <v>616835.88057000004</v>
      </c>
      <c r="G26" s="164">
        <f t="shared" ref="G26" si="12">IF($A$1=4,IF(E26=0, "    ---- ", IF(ABS(ROUND(100/E26*F26-100,1))&lt;999,ROUND(100/E26*F26-100,1),IF(ROUND(100/E26*F26-100,1)&gt;999,999,-999))),"")</f>
        <v>-34</v>
      </c>
      <c r="H26" s="230">
        <f t="shared" ref="H26" si="13">SUM(B26,E26)</f>
        <v>934503.13090000011</v>
      </c>
      <c r="I26" s="42">
        <f t="shared" ref="I26" si="14">SUM(C26,F26)</f>
        <v>616835.88057000004</v>
      </c>
      <c r="J26" s="25">
        <f t="shared" ref="J26" si="15">IF(H26=0, "    ---- ", IF(ABS(ROUND(100/H26*I26-100,1))&lt;999,ROUND(100/H26*I26-100,1),IF(ROUND(100/H26*I26-100,1)&gt;999,999,-999)))</f>
        <v>-34</v>
      </c>
    </row>
    <row r="27" spans="1:11" ht="15.75" customHeight="1" x14ac:dyDescent="0.2">
      <c r="A27" s="496" t="s">
        <v>11</v>
      </c>
      <c r="B27" s="42"/>
      <c r="C27" s="42"/>
      <c r="D27" s="25"/>
      <c r="E27" s="42"/>
      <c r="F27" s="42"/>
      <c r="G27" s="164"/>
      <c r="H27" s="230"/>
      <c r="I27" s="42"/>
      <c r="J27" s="25"/>
    </row>
    <row r="28" spans="1:11" ht="15.75" customHeight="1" x14ac:dyDescent="0.2">
      <c r="A28" s="47" t="s">
        <v>271</v>
      </c>
      <c r="B28" s="42">
        <f>'Fremtind Livsforsikring'!B28+'Storebrand Danica P'!B28+'DNB Livsforsikring'!B28+'Eika Forsikring AS'!B28+'Frende Livsforsikring'!B28+'Frende Skadeforsikring'!B28+'Gjensidige Forsikring'!B28+'Gjensidige Pensjon'!B28+'Handelsbanken Liv'!B28+'If Skadeforsikring NUF'!B28+KLP!B28+'KLP Skadeforsikring AS'!B28+'Landkreditt Forsikring'!B28+'Nordea Liv '!B28+'Oslo Pensjonsforsikring'!B28+'Protector Forsikring'!B28+'SHB Liv'!B28+'Sparebank 1'!B28+'Storebrand Livsforsikring'!B28+'Telenor Forsikring'!B28+'Tryg Forsikring'!B28+'WaterCircles F'!B28+'Codan Forsikring'!B28+'Euro Accident'!B28+'Ly Forsikring'!B28+'Youplus Livsforsikring'!B28</f>
        <v>1685934.6089275882</v>
      </c>
      <c r="C28" s="42">
        <f>'Fremtind Livsforsikring'!C28+'Storebrand Danica P'!C28+'DNB Livsforsikring'!C28+'Eika Forsikring AS'!C28+'Frende Livsforsikring'!C28+'Frende Skadeforsikring'!C28+'Gjensidige Forsikring'!C28+'Gjensidige Pensjon'!C28+'Handelsbanken Liv'!C28+'If Skadeforsikring NUF'!C28+KLP!C28+'KLP Skadeforsikring AS'!C28+'Landkreditt Forsikring'!C28+'Nordea Liv '!C28+'Oslo Pensjonsforsikring'!C28+'Protector Forsikring'!C28+'SHB Liv'!C28+'Sparebank 1'!C28+'Storebrand Livsforsikring'!C28+'Telenor Forsikring'!C28+'Tryg Forsikring'!C28+'WaterCircles F'!C28+'Codan Forsikring'!C28+'Euro Accident'!C28+'Ly Forsikring'!C28+'Youplus Livsforsikring'!C28</f>
        <v>1882595.2475319011</v>
      </c>
      <c r="D28" s="21">
        <f t="shared" si="5"/>
        <v>11.7</v>
      </c>
      <c r="E28" s="183"/>
      <c r="F28" s="183"/>
      <c r="G28" s="164"/>
      <c r="H28" s="230">
        <f t="shared" si="9"/>
        <v>1685934.6089275882</v>
      </c>
      <c r="I28" s="42">
        <f t="shared" si="7"/>
        <v>1882595.2475319011</v>
      </c>
      <c r="J28" s="21">
        <f t="shared" si="8"/>
        <v>11.7</v>
      </c>
      <c r="K28" s="3"/>
    </row>
    <row r="29" spans="1:11" s="406" customFormat="1" ht="15.75" customHeight="1" x14ac:dyDescent="0.2">
      <c r="A29" s="37" t="s">
        <v>357</v>
      </c>
      <c r="B29" s="232">
        <f>'Fremtind Livsforsikring'!B29+'Storebrand Danica P'!B29+'DNB Livsforsikring'!B29+'Eika Forsikring AS'!B29+'Frende Livsforsikring'!B29+'Frende Skadeforsikring'!B29+'Gjensidige Forsikring'!B29+'Gjensidige Pensjon'!B29+'Handelsbanken Liv'!B29+'If Skadeforsikring NUF'!B29+KLP!B29+'KLP Skadeforsikring AS'!B29+'Landkreditt Forsikring'!B29+'Nordea Liv '!B29+'Oslo Pensjonsforsikring'!B29+'Protector Forsikring'!B29+'SHB Liv'!B29+'Sparebank 1'!B29+'Storebrand Livsforsikring'!B29+'Telenor Forsikring'!B29+'Tryg Forsikring'!B29+'WaterCircles F'!B29+'Codan Forsikring'!B29+'Euro Accident'!B29+'Ly Forsikring'!B29+'Youplus Livsforsikring'!B29</f>
        <v>44961787.721639454</v>
      </c>
      <c r="C29" s="232">
        <f>'Fremtind Livsforsikring'!C29+'Storebrand Danica P'!C29+'DNB Livsforsikring'!C29+'Eika Forsikring AS'!C29+'Frende Livsforsikring'!C29+'Frende Skadeforsikring'!C29+'Gjensidige Forsikring'!C29+'Gjensidige Pensjon'!C29+'Handelsbanken Liv'!C29+'If Skadeforsikring NUF'!C29+KLP!C29+'KLP Skadeforsikring AS'!C29+'Landkreditt Forsikring'!C29+'Nordea Liv '!C29+'Oslo Pensjonsforsikring'!C29+'Protector Forsikring'!C29+'SHB Liv'!C29+'Sparebank 1'!C29+'Storebrand Livsforsikring'!C29+'Telenor Forsikring'!C29+'Tryg Forsikring'!C29+'WaterCircles F'!C29+'Codan Forsikring'!C29+'Euro Accident'!C29+'Ly Forsikring'!C29+'Youplus Livsforsikring'!C29</f>
        <v>44571492.069532573</v>
      </c>
      <c r="D29" s="22">
        <f t="shared" si="5"/>
        <v>-0.9</v>
      </c>
      <c r="E29" s="300">
        <f>'Fremtind Livsforsikring'!F29+'Storebrand Danica P'!F29+'DNB Livsforsikring'!F29+'Eika Forsikring AS'!F29+'Frende Livsforsikring'!F29+'Frende Skadeforsikring'!F29+'Gjensidige Forsikring'!F29+'Gjensidige Pensjon'!F29+'Handelsbanken Liv'!F29+'If Skadeforsikring NUF'!F29+KLP!F29+'KLP Skadeforsikring AS'!F29+'Landkreditt Forsikring'!F29+'Nordea Liv '!F29+'Oslo Pensjonsforsikring'!F29+'Protector Forsikring'!F29+'SHB Liv'!F29+'Sparebank 1'!F29+'Storebrand Livsforsikring'!F29+'Telenor Forsikring'!F29+'Tryg Forsikring'!F29+'WaterCircles F'!F29+'Codan Forsikring'!F29+'Euro Accident'!F29+'Ly Forsikring'!F29+'Youplus Livsforsikring'!F29</f>
        <v>25725464.494199999</v>
      </c>
      <c r="F29" s="300">
        <f>'Fremtind Livsforsikring'!G29+'Storebrand Danica P'!G29+'DNB Livsforsikring'!G29+'Eika Forsikring AS'!G29+'Frende Livsforsikring'!G29+'Frende Skadeforsikring'!G29+'Gjensidige Forsikring'!G29+'Gjensidige Pensjon'!G29+'Handelsbanken Liv'!G29+'If Skadeforsikring NUF'!G29+KLP!G29+'KLP Skadeforsikring AS'!G29+'Landkreditt Forsikring'!G29+'Nordea Liv '!G29+'Oslo Pensjonsforsikring'!G29+'Protector Forsikring'!G29+'SHB Liv'!G29+'Sparebank 1'!G29+'Storebrand Livsforsikring'!G29+'Telenor Forsikring'!G29+'Tryg Forsikring'!G29+'WaterCircles F'!G29+'Codan Forsikring'!G29+'Euro Accident'!G29+'Ly Forsikring'!G29+'Youplus Livsforsikring'!G29</f>
        <v>23101830.050409999</v>
      </c>
      <c r="G29" s="169">
        <f t="shared" si="6"/>
        <v>-10.199999999999999</v>
      </c>
      <c r="H29" s="300">
        <f t="shared" si="9"/>
        <v>70687252.215839446</v>
      </c>
      <c r="I29" s="232">
        <f t="shared" si="7"/>
        <v>67673322.119942576</v>
      </c>
      <c r="J29" s="22">
        <f t="shared" si="8"/>
        <v>-4.3</v>
      </c>
    </row>
    <row r="30" spans="1:11" s="3" customFormat="1" ht="15.75" customHeight="1" x14ac:dyDescent="0.2">
      <c r="A30" s="498" t="s">
        <v>353</v>
      </c>
      <c r="B30" s="42">
        <f>'Fremtind Livsforsikring'!B30+'Storebrand Danica P'!B30+'DNB Livsforsikring'!B30+'Eika Forsikring AS'!B30+'Frende Livsforsikring'!B30+'Frende Skadeforsikring'!B30+'Gjensidige Forsikring'!B30+'Gjensidige Pensjon'!B30+'Handelsbanken Liv'!B30+'If Skadeforsikring NUF'!B30+KLP!B30+'KLP Skadeforsikring AS'!B30+'Landkreditt Forsikring'!B30+'Nordea Liv '!B30+'Oslo Pensjonsforsikring'!B30+'Protector Forsikring'!B30+'SHB Liv'!B30+'Sparebank 1'!B30+'Storebrand Livsforsikring'!B30+'Telenor Forsikring'!B30+'Tryg Forsikring'!B30+'WaterCircles F'!B30+'Codan Forsikring'!B30+'Euro Accident'!B30+'Ly Forsikring'!B30+'Youplus Livsforsikring'!B30</f>
        <v>13234650.353301743</v>
      </c>
      <c r="C30" s="42">
        <f>'Fremtind Livsforsikring'!C30+'Storebrand Danica P'!C30+'DNB Livsforsikring'!C30+'Eika Forsikring AS'!C30+'Frende Livsforsikring'!C30+'Frende Skadeforsikring'!C30+'Gjensidige Forsikring'!C30+'Gjensidige Pensjon'!C30+'Handelsbanken Liv'!C30+'If Skadeforsikring NUF'!C30+KLP!C30+'KLP Skadeforsikring AS'!C30+'Landkreditt Forsikring'!C30+'Nordea Liv '!C30+'Oslo Pensjonsforsikring'!C30+'Protector Forsikring'!C30+'SHB Liv'!C30+'Sparebank 1'!C30+'Storebrand Livsforsikring'!C30+'Telenor Forsikring'!C30+'Tryg Forsikring'!C30+'WaterCircles F'!C30+'Codan Forsikring'!C30+'Euro Accident'!C30+'Ly Forsikring'!C30+'Youplus Livsforsikring'!C30</f>
        <v>9787256.2883397229</v>
      </c>
      <c r="D30" s="25">
        <f t="shared" ref="D30:D32" si="16">IF($A$1=4,IF(B30=0, "    ---- ", IF(ABS(ROUND(100/B30*C30-100,1))&lt;999,ROUND(100/B30*C30-100,1),IF(ROUND(100/B30*C30-100,1)&gt;999,999,-999))),"")</f>
        <v>-26</v>
      </c>
      <c r="E30" s="42">
        <f>'Fremtind Livsforsikring'!F30+'Storebrand Danica P'!F30+'DNB Livsforsikring'!F30+'Eika Forsikring AS'!F30+'Frende Livsforsikring'!F30+'Frende Skadeforsikring'!F30+'Gjensidige Forsikring'!F30+'Gjensidige Pensjon'!F30+'Handelsbanken Liv'!F30+'If Skadeforsikring NUF'!F30+KLP!F30+'KLP Skadeforsikring AS'!F30+'Landkreditt Forsikring'!F30+'Nordea Liv '!F30+'Oslo Pensjonsforsikring'!F30+'Protector Forsikring'!F30+'SHB Liv'!F30+'Sparebank 1'!F30+'Storebrand Livsforsikring'!F30+'Telenor Forsikring'!F30+'Tryg Forsikring'!F30+'WaterCircles F'!F30+'Codan Forsikring'!F30+'Euro Accident'!F30+'Ly Forsikring'!F30+'Youplus Livsforsikring'!F30</f>
        <v>4110962.620568797</v>
      </c>
      <c r="F30" s="42">
        <f>'Fremtind Livsforsikring'!G30+'Storebrand Danica P'!G30+'DNB Livsforsikring'!G30+'Eika Forsikring AS'!G30+'Frende Livsforsikring'!G30+'Frende Skadeforsikring'!G30+'Gjensidige Forsikring'!G30+'Gjensidige Pensjon'!G30+'Handelsbanken Liv'!G30+'If Skadeforsikring NUF'!G30+KLP!G30+'KLP Skadeforsikring AS'!G30+'Landkreditt Forsikring'!G30+'Nordea Liv '!G30+'Oslo Pensjonsforsikring'!G30+'Protector Forsikring'!G30+'SHB Liv'!G30+'Sparebank 1'!G30+'Storebrand Livsforsikring'!G30+'Telenor Forsikring'!G30+'Tryg Forsikring'!G30+'WaterCircles F'!G30+'Codan Forsikring'!G30+'Euro Accident'!G30+'Ly Forsikring'!G30+'Youplus Livsforsikring'!G30</f>
        <v>3418001.2973781964</v>
      </c>
      <c r="G30" s="164">
        <f t="shared" ref="G30:G32" si="17">IF($A$1=4,IF(E30=0, "    ---- ", IF(ABS(ROUND(100/E30*F30-100,1))&lt;999,ROUND(100/E30*F30-100,1),IF(ROUND(100/E30*F30-100,1)&gt;999,999,-999))),"")</f>
        <v>-16.899999999999999</v>
      </c>
      <c r="H30" s="230">
        <f t="shared" si="9"/>
        <v>17345612.973870538</v>
      </c>
      <c r="I30" s="42">
        <f t="shared" si="7"/>
        <v>13205257.58571792</v>
      </c>
      <c r="J30" s="21">
        <f t="shared" si="8"/>
        <v>-23.9</v>
      </c>
    </row>
    <row r="31" spans="1:11" s="3" customFormat="1" ht="15.75" customHeight="1" x14ac:dyDescent="0.2">
      <c r="A31" s="498" t="s">
        <v>354</v>
      </c>
      <c r="B31" s="42">
        <f>'Fremtind Livsforsikring'!B31+'Storebrand Danica P'!B31+'DNB Livsforsikring'!B31+'Eika Forsikring AS'!B31+'Frende Livsforsikring'!B31+'Frende Skadeforsikring'!B31+'Gjensidige Forsikring'!B31+'Gjensidige Pensjon'!B31+'Handelsbanken Liv'!B31+'If Skadeforsikring NUF'!B31+KLP!B31+'KLP Skadeforsikring AS'!B31+'Landkreditt Forsikring'!B31+'Nordea Liv '!B31+'Oslo Pensjonsforsikring'!B31+'Protector Forsikring'!B31+'SHB Liv'!B31+'Sparebank 1'!B31+'Storebrand Livsforsikring'!B31+'Telenor Forsikring'!B31+'Tryg Forsikring'!B31+'WaterCircles F'!B31+'Codan Forsikring'!B31+'Euro Accident'!B31+'Ly Forsikring'!B31+'Youplus Livsforsikring'!B31</f>
        <v>22490812.686832324</v>
      </c>
      <c r="C31" s="42">
        <f>'Fremtind Livsforsikring'!C31+'Storebrand Danica P'!C31+'DNB Livsforsikring'!C31+'Eika Forsikring AS'!C31+'Frende Livsforsikring'!C31+'Frende Skadeforsikring'!C31+'Gjensidige Forsikring'!C31+'Gjensidige Pensjon'!C31+'Handelsbanken Liv'!C31+'If Skadeforsikring NUF'!C31+KLP!C31+'KLP Skadeforsikring AS'!C31+'Landkreditt Forsikring'!C31+'Nordea Liv '!C31+'Oslo Pensjonsforsikring'!C31+'Protector Forsikring'!C31+'SHB Liv'!C31+'Sparebank 1'!C31+'Storebrand Livsforsikring'!C31+'Telenor Forsikring'!C31+'Tryg Forsikring'!C31+'WaterCircles F'!C31+'Codan Forsikring'!C31+'Euro Accident'!C31+'Ly Forsikring'!C31+'Youplus Livsforsikring'!C31</f>
        <v>25107417.956806459</v>
      </c>
      <c r="D31" s="25">
        <f t="shared" si="16"/>
        <v>11.6</v>
      </c>
      <c r="E31" s="42">
        <f>'Fremtind Livsforsikring'!F31+'Storebrand Danica P'!F31+'DNB Livsforsikring'!F31+'Eika Forsikring AS'!F31+'Frende Livsforsikring'!F31+'Frende Skadeforsikring'!F31+'Gjensidige Forsikring'!F31+'Gjensidige Pensjon'!F31+'Handelsbanken Liv'!F31+'If Skadeforsikring NUF'!F31+KLP!F31+'KLP Skadeforsikring AS'!F31+'Landkreditt Forsikring'!F31+'Nordea Liv '!F31+'Oslo Pensjonsforsikring'!F31+'Protector Forsikring'!F31+'SHB Liv'!F31+'Sparebank 1'!F31+'Storebrand Livsforsikring'!F31+'Telenor Forsikring'!F31+'Tryg Forsikring'!F31+'WaterCircles F'!F31+'Codan Forsikring'!F31+'Euro Accident'!F31+'Ly Forsikring'!F31+'Youplus Livsforsikring'!F31</f>
        <v>9381826.3232559115</v>
      </c>
      <c r="F31" s="42">
        <f>'Fremtind Livsforsikring'!G31+'Storebrand Danica P'!G31+'DNB Livsforsikring'!G31+'Eika Forsikring AS'!G31+'Frende Livsforsikring'!G31+'Frende Skadeforsikring'!G31+'Gjensidige Forsikring'!G31+'Gjensidige Pensjon'!G31+'Handelsbanken Liv'!G31+'If Skadeforsikring NUF'!G31+KLP!G31+'KLP Skadeforsikring AS'!G31+'Landkreditt Forsikring'!G31+'Nordea Liv '!G31+'Oslo Pensjonsforsikring'!G31+'Protector Forsikring'!G31+'SHB Liv'!G31+'Sparebank 1'!G31+'Storebrand Livsforsikring'!G31+'Telenor Forsikring'!G31+'Tryg Forsikring'!G31+'WaterCircles F'!G31+'Codan Forsikring'!G31+'Euro Accident'!G31+'Ly Forsikring'!G31+'Youplus Livsforsikring'!G31</f>
        <v>7542805.5122400075</v>
      </c>
      <c r="G31" s="164">
        <f t="shared" si="17"/>
        <v>-19.600000000000001</v>
      </c>
      <c r="H31" s="230">
        <f t="shared" si="9"/>
        <v>31872639.010088235</v>
      </c>
      <c r="I31" s="42">
        <f t="shared" si="7"/>
        <v>32650223.469046466</v>
      </c>
      <c r="J31" s="21">
        <f t="shared" si="8"/>
        <v>2.4</v>
      </c>
    </row>
    <row r="32" spans="1:11" ht="15.75" customHeight="1" x14ac:dyDescent="0.2">
      <c r="A32" s="498" t="s">
        <v>355</v>
      </c>
      <c r="B32" s="42">
        <f>'Fremtind Livsforsikring'!B32+'Storebrand Danica P'!B32+'DNB Livsforsikring'!B32+'Eika Forsikring AS'!B32+'Frende Livsforsikring'!B32+'Frende Skadeforsikring'!B32+'Gjensidige Forsikring'!B32+'Gjensidige Pensjon'!B32+'Handelsbanken Liv'!B32+'If Skadeforsikring NUF'!B32+KLP!B32+'KLP Skadeforsikring AS'!B32+'Landkreditt Forsikring'!B32+'Nordea Liv '!B32+'Oslo Pensjonsforsikring'!B32+'Protector Forsikring'!B32+'SHB Liv'!B32+'Sparebank 1'!B32+'Storebrand Livsforsikring'!B32+'Telenor Forsikring'!B32+'Tryg Forsikring'!B32+'WaterCircles F'!B32+'Codan Forsikring'!B32+'Euro Accident'!B32+'Ly Forsikring'!B32+'Youplus Livsforsikring'!B32</f>
        <v>2923575.5306393881</v>
      </c>
      <c r="C32" s="42">
        <f>'Fremtind Livsforsikring'!C32+'Storebrand Danica P'!C32+'DNB Livsforsikring'!C32+'Eika Forsikring AS'!C32+'Frende Livsforsikring'!C32+'Frende Skadeforsikring'!C32+'Gjensidige Forsikring'!C32+'Gjensidige Pensjon'!C32+'Handelsbanken Liv'!C32+'If Skadeforsikring NUF'!C32+KLP!C32+'KLP Skadeforsikring AS'!C32+'Landkreditt Forsikring'!C32+'Nordea Liv '!C32+'Oslo Pensjonsforsikring'!C32+'Protector Forsikring'!C32+'SHB Liv'!C32+'Sparebank 1'!C32+'Storebrand Livsforsikring'!C32+'Telenor Forsikring'!C32+'Tryg Forsikring'!C32+'WaterCircles F'!C32+'Codan Forsikring'!C32+'Euro Accident'!C32+'Ly Forsikring'!C32+'Youplus Livsforsikring'!C32</f>
        <v>2453253.1363964179</v>
      </c>
      <c r="D32" s="25">
        <f t="shared" si="16"/>
        <v>-16.100000000000001</v>
      </c>
      <c r="E32" s="42">
        <f>'Fremtind Livsforsikring'!F32+'Storebrand Danica P'!F32+'DNB Livsforsikring'!F32+'Eika Forsikring AS'!F32+'Frende Livsforsikring'!F32+'Frende Skadeforsikring'!F32+'Gjensidige Forsikring'!F32+'Gjensidige Pensjon'!F32+'Handelsbanken Liv'!F32+'If Skadeforsikring NUF'!F32+KLP!F32+'KLP Skadeforsikring AS'!F32+'Landkreditt Forsikring'!F32+'Nordea Liv '!F32+'Oslo Pensjonsforsikring'!F32+'Protector Forsikring'!F32+'SHB Liv'!F32+'Sparebank 1'!F32+'Storebrand Livsforsikring'!F32+'Telenor Forsikring'!F32+'Tryg Forsikring'!F32+'WaterCircles F'!F32+'Codan Forsikring'!F32+'Euro Accident'!F32+'Ly Forsikring'!F32+'Youplus Livsforsikring'!F32</f>
        <v>5733036.0891441982</v>
      </c>
      <c r="F32" s="42">
        <f>'Fremtind Livsforsikring'!G32+'Storebrand Danica P'!G32+'DNB Livsforsikring'!G32+'Eika Forsikring AS'!G32+'Frende Livsforsikring'!G32+'Frende Skadeforsikring'!G32+'Gjensidige Forsikring'!G32+'Gjensidige Pensjon'!G32+'Handelsbanken Liv'!G32+'If Skadeforsikring NUF'!G32+KLP!G32+'KLP Skadeforsikring AS'!G32+'Landkreditt Forsikring'!G32+'Nordea Liv '!G32+'Oslo Pensjonsforsikring'!G32+'Protector Forsikring'!G32+'SHB Liv'!G32+'Sparebank 1'!G32+'Storebrand Livsforsikring'!G32+'Telenor Forsikring'!G32+'Tryg Forsikring'!G32+'WaterCircles F'!G32+'Codan Forsikring'!G32+'Euro Accident'!G32+'Ly Forsikring'!G32+'Youplus Livsforsikring'!G32</f>
        <v>5183391.4697589707</v>
      </c>
      <c r="G32" s="164">
        <f t="shared" si="17"/>
        <v>-9.6</v>
      </c>
      <c r="H32" s="230">
        <f t="shared" si="9"/>
        <v>8656611.6197835859</v>
      </c>
      <c r="I32" s="42">
        <f t="shared" si="7"/>
        <v>7636644.6061553881</v>
      </c>
      <c r="J32" s="22">
        <f t="shared" si="8"/>
        <v>-11.8</v>
      </c>
    </row>
    <row r="33" spans="1:10" ht="15.75" customHeight="1" x14ac:dyDescent="0.2">
      <c r="A33" s="498" t="s">
        <v>356</v>
      </c>
      <c r="B33" s="42"/>
      <c r="C33" s="42"/>
      <c r="D33" s="25"/>
      <c r="E33" s="42">
        <f>'Fremtind Livsforsikring'!F33+'Storebrand Danica P'!F33+'DNB Livsforsikring'!F33+'Eika Forsikring AS'!F33+'Frende Livsforsikring'!F33+'Frende Skadeforsikring'!F33+'Gjensidige Forsikring'!F33+'Gjensidige Pensjon'!F33+'Handelsbanken Liv'!F33+'If Skadeforsikring NUF'!F33+KLP!F33+'KLP Skadeforsikring AS'!F33+'Landkreditt Forsikring'!F33+'Nordea Liv '!F33+'Oslo Pensjonsforsikring'!F33+'Protector Forsikring'!F33+'SHB Liv'!F33+'Sparebank 1'!F33+'Storebrand Livsforsikring'!F33+'Telenor Forsikring'!F33+'Tryg Forsikring'!F33+'WaterCircles F'!F33+'Codan Forsikring'!F33+'Euro Accident'!F33+'Ly Forsikring'!F33+'Youplus Livsforsikring'!F33</f>
        <v>6499639.4612310901</v>
      </c>
      <c r="F33" s="42">
        <f>'Fremtind Livsforsikring'!G33+'Storebrand Danica P'!G33+'DNB Livsforsikring'!G33+'Eika Forsikring AS'!G33+'Frende Livsforsikring'!G33+'Frende Skadeforsikring'!G33+'Gjensidige Forsikring'!G33+'Gjensidige Pensjon'!G33+'Handelsbanken Liv'!G33+'If Skadeforsikring NUF'!G33+KLP!G33+'KLP Skadeforsikring AS'!G33+'Landkreditt Forsikring'!G33+'Nordea Liv '!G33+'Oslo Pensjonsforsikring'!G33+'Protector Forsikring'!G33+'SHB Liv'!G33+'Sparebank 1'!G33+'Storebrand Livsforsikring'!G33+'Telenor Forsikring'!G33+'Tryg Forsikring'!G33+'WaterCircles F'!G33+'Codan Forsikring'!G33+'Euro Accident'!G33+'Ly Forsikring'!G33+'Youplus Livsforsikring'!G33</f>
        <v>6957611.7710328214</v>
      </c>
      <c r="G33" s="164">
        <f t="shared" ref="G33" si="18">IF($A$1=4,IF(E33=0, "    ---- ", IF(ABS(ROUND(100/E33*F33-100,1))&lt;999,ROUND(100/E33*F33-100,1),IF(ROUND(100/E33*F33-100,1)&gt;999,999,-999))),"")</f>
        <v>7</v>
      </c>
      <c r="H33" s="230">
        <f t="shared" ref="H33" si="19">SUM(B33,E33)</f>
        <v>6499639.4612310901</v>
      </c>
      <c r="I33" s="42">
        <f t="shared" ref="I33" si="20">SUM(C33,F33)</f>
        <v>6957611.7710328214</v>
      </c>
      <c r="J33" s="22">
        <f t="shared" ref="J33" si="21">IF(H33=0, "    ---- ", IF(ABS(ROUND(100/H33*I33-100,1))&lt;999,ROUND(100/H33*I33-100,1),IF(ROUND(100/H33*I33-100,1)&gt;999,999,-999)))</f>
        <v>7</v>
      </c>
    </row>
    <row r="34" spans="1:10" s="41" customFormat="1" ht="15.75" customHeight="1" x14ac:dyDescent="0.2">
      <c r="A34" s="37" t="s">
        <v>351</v>
      </c>
      <c r="B34" s="232">
        <f>'Fremtind Livsforsikring'!B34+'Storebrand Danica P'!B34+'DNB Livsforsikring'!B34+'Eika Forsikring AS'!B34+'Frende Livsforsikring'!B34+'Frende Skadeforsikring'!B34+'Gjensidige Forsikring'!B34+'Gjensidige Pensjon'!B34+'Handelsbanken Liv'!B34+'If Skadeforsikring NUF'!B34+KLP!B34+'KLP Skadeforsikring AS'!B34+'Landkreditt Forsikring'!B34+'Nordea Liv '!B34+'Oslo Pensjonsforsikring'!B34+'Protector Forsikring'!B34+'SHB Liv'!B34+'Sparebank 1'!B34+'Storebrand Livsforsikring'!B34+'Telenor Forsikring'!B34+'Tryg Forsikring'!B34+'WaterCircles F'!B34+'Codan Forsikring'!B34+'Euro Accident'!B34+'Ly Forsikring'!B34+'Youplus Livsforsikring'!B34</f>
        <v>11130.60887</v>
      </c>
      <c r="C34" s="232">
        <f>'Fremtind Livsforsikring'!C34+'Storebrand Danica P'!C34+'DNB Livsforsikring'!C34+'Eika Forsikring AS'!C34+'Frende Livsforsikring'!C34+'Frende Skadeforsikring'!C34+'Gjensidige Forsikring'!C34+'Gjensidige Pensjon'!C34+'Handelsbanken Liv'!C34+'If Skadeforsikring NUF'!C34+KLP!C34+'KLP Skadeforsikring AS'!C34+'Landkreditt Forsikring'!C34+'Nordea Liv '!C34+'Oslo Pensjonsforsikring'!C34+'Protector Forsikring'!C34+'SHB Liv'!C34+'Sparebank 1'!C34+'Storebrand Livsforsikring'!C34+'Telenor Forsikring'!C34+'Tryg Forsikring'!C34+'WaterCircles F'!C34+'Codan Forsikring'!C34+'Euro Accident'!C34+'Ly Forsikring'!C34+'Youplus Livsforsikring'!C34</f>
        <v>23142.169870000002</v>
      </c>
      <c r="D34" s="22">
        <f t="shared" si="5"/>
        <v>107.9</v>
      </c>
      <c r="E34" s="300">
        <f>'Fremtind Livsforsikring'!F34+'Storebrand Danica P'!F34+'DNB Livsforsikring'!F34+'Eika Forsikring AS'!F34+'Frende Livsforsikring'!F34+'Frende Skadeforsikring'!F34+'Gjensidige Forsikring'!F34+'Gjensidige Pensjon'!F34+'Handelsbanken Liv'!F34+'If Skadeforsikring NUF'!F34+KLP!F34+'KLP Skadeforsikring AS'!F34+'Landkreditt Forsikring'!F34+'Nordea Liv '!F34+'Oslo Pensjonsforsikring'!F34+'Protector Forsikring'!F34+'SHB Liv'!F34+'Sparebank 1'!F34+'Storebrand Livsforsikring'!F34+'Telenor Forsikring'!F34+'Tryg Forsikring'!F34+'WaterCircles F'!F34+'Codan Forsikring'!F34+'Euro Accident'!F34+'Ly Forsikring'!F34+'Youplus Livsforsikring'!F34</f>
        <v>71861.117989999999</v>
      </c>
      <c r="F34" s="300">
        <f>'Fremtind Livsforsikring'!G34+'Storebrand Danica P'!G34+'DNB Livsforsikring'!G34+'Eika Forsikring AS'!G34+'Frende Livsforsikring'!G34+'Frende Skadeforsikring'!G34+'Gjensidige Forsikring'!G34+'Gjensidige Pensjon'!G34+'Handelsbanken Liv'!G34+'If Skadeforsikring NUF'!G34+KLP!G34+'KLP Skadeforsikring AS'!G34+'Landkreditt Forsikring'!G34+'Nordea Liv '!G34+'Oslo Pensjonsforsikring'!G34+'Protector Forsikring'!G34+'SHB Liv'!G34+'Sparebank 1'!G34+'Storebrand Livsforsikring'!G34+'Telenor Forsikring'!G34+'Tryg Forsikring'!G34+'WaterCircles F'!G34+'Codan Forsikring'!G34+'Euro Accident'!G34+'Ly Forsikring'!G34+'Youplus Livsforsikring'!G34</f>
        <v>68840.069099999993</v>
      </c>
      <c r="G34" s="169">
        <f t="shared" si="6"/>
        <v>-4.2</v>
      </c>
      <c r="H34" s="300">
        <f t="shared" si="9"/>
        <v>82991.726859999995</v>
      </c>
      <c r="I34" s="232">
        <f t="shared" si="7"/>
        <v>91982.238969999991</v>
      </c>
      <c r="J34" s="22">
        <f t="shared" si="8"/>
        <v>10.8</v>
      </c>
    </row>
    <row r="35" spans="1:10" s="41" customFormat="1" ht="15.75" customHeight="1" x14ac:dyDescent="0.2">
      <c r="A35" s="37" t="s">
        <v>352</v>
      </c>
      <c r="B35" s="232">
        <f>'Fremtind Livsforsikring'!B35+'Storebrand Danica P'!B35+'DNB Livsforsikring'!B35+'Eika Forsikring AS'!B35+'Frende Livsforsikring'!B35+'Frende Skadeforsikring'!B35+'Gjensidige Forsikring'!B35+'Gjensidige Pensjon'!B35+'Handelsbanken Liv'!B35+'If Skadeforsikring NUF'!B35+KLP!B35+'KLP Skadeforsikring AS'!B35+'Landkreditt Forsikring'!B35+'Nordea Liv '!B35+'Oslo Pensjonsforsikring'!B35+'Protector Forsikring'!B35+'SHB Liv'!B35+'Sparebank 1'!B35+'Storebrand Livsforsikring'!B35+'Telenor Forsikring'!B35+'Tryg Forsikring'!B35+'WaterCircles F'!B35+'Codan Forsikring'!B35+'Euro Accident'!B35+'Ly Forsikring'!B35+'Youplus Livsforsikring'!B35</f>
        <v>-73912.325530000002</v>
      </c>
      <c r="C35" s="232">
        <f>'Fremtind Livsforsikring'!C35+'Storebrand Danica P'!C35+'DNB Livsforsikring'!C35+'Eika Forsikring AS'!C35+'Frende Livsforsikring'!C35+'Frende Skadeforsikring'!C35+'Gjensidige Forsikring'!C35+'Gjensidige Pensjon'!C35+'Handelsbanken Liv'!C35+'If Skadeforsikring NUF'!C35+KLP!C35+'KLP Skadeforsikring AS'!C35+'Landkreditt Forsikring'!C35+'Nordea Liv '!C35+'Oslo Pensjonsforsikring'!C35+'Protector Forsikring'!C35+'SHB Liv'!C35+'Sparebank 1'!C35+'Storebrand Livsforsikring'!C35+'Telenor Forsikring'!C35+'Tryg Forsikring'!C35+'WaterCircles F'!C35+'Codan Forsikring'!C35+'Euro Accident'!C35+'Ly Forsikring'!C35+'Youplus Livsforsikring'!C35</f>
        <v>-20705.167290000001</v>
      </c>
      <c r="D35" s="22">
        <f t="shared" si="5"/>
        <v>-72</v>
      </c>
      <c r="E35" s="300">
        <f>'Fremtind Livsforsikring'!F35+'Storebrand Danica P'!F35+'DNB Livsforsikring'!F35+'Eika Forsikring AS'!F35+'Frende Livsforsikring'!F35+'Frende Skadeforsikring'!F35+'Gjensidige Forsikring'!F35+'Gjensidige Pensjon'!F35+'Handelsbanken Liv'!F35+'If Skadeforsikring NUF'!F35+KLP!F35+'KLP Skadeforsikring AS'!F35+'Landkreditt Forsikring'!F35+'Nordea Liv '!F35+'Oslo Pensjonsforsikring'!F35+'Protector Forsikring'!F35+'SHB Liv'!F35+'Sparebank 1'!F35+'Storebrand Livsforsikring'!F35+'Telenor Forsikring'!F35+'Tryg Forsikring'!F35+'WaterCircles F'!F35+'Codan Forsikring'!F35+'Euro Accident'!F35+'Ly Forsikring'!F35+'Youplus Livsforsikring'!F35</f>
        <v>129262.35492</v>
      </c>
      <c r="F35" s="300">
        <f>'Fremtind Livsforsikring'!G35+'Storebrand Danica P'!G35+'DNB Livsforsikring'!G35+'Eika Forsikring AS'!G35+'Frende Livsforsikring'!G35+'Frende Skadeforsikring'!G35+'Gjensidige Forsikring'!G35+'Gjensidige Pensjon'!G35+'Handelsbanken Liv'!G35+'If Skadeforsikring NUF'!G35+KLP!G35+'KLP Skadeforsikring AS'!G35+'Landkreditt Forsikring'!G35+'Nordea Liv '!G35+'Oslo Pensjonsforsikring'!G35+'Protector Forsikring'!G35+'SHB Liv'!G35+'Sparebank 1'!G35+'Storebrand Livsforsikring'!G35+'Telenor Forsikring'!G35+'Tryg Forsikring'!G35+'WaterCircles F'!G35+'Codan Forsikring'!G35+'Euro Accident'!G35+'Ly Forsikring'!G35+'Youplus Livsforsikring'!G35</f>
        <v>75969.709650000004</v>
      </c>
      <c r="G35" s="169">
        <f t="shared" si="6"/>
        <v>-41.2</v>
      </c>
      <c r="H35" s="300">
        <f t="shared" si="9"/>
        <v>55350.029389999996</v>
      </c>
      <c r="I35" s="232">
        <f t="shared" si="7"/>
        <v>55264.542360000007</v>
      </c>
      <c r="J35" s="22">
        <f t="shared" si="8"/>
        <v>-0.2</v>
      </c>
    </row>
    <row r="36" spans="1:10" s="41" customFormat="1" ht="15.75" customHeight="1" x14ac:dyDescent="0.2">
      <c r="A36" s="12" t="s">
        <v>279</v>
      </c>
      <c r="B36" s="232">
        <f>'Fremtind Livsforsikring'!B36+'Storebrand Danica P'!B36+'DNB Livsforsikring'!B36+'Eika Forsikring AS'!B36+'Frende Livsforsikring'!B36+'Frende Skadeforsikring'!B36+'Gjensidige Forsikring'!B36+'Gjensidige Pensjon'!B36+'Handelsbanken Liv'!B36+'If Skadeforsikring NUF'!B36+KLP!B36+'KLP Skadeforsikring AS'!B36+'Landkreditt Forsikring'!B36+'Nordea Liv '!B36+'Oslo Pensjonsforsikring'!B36+'Protector Forsikring'!B36+'SHB Liv'!B36+'Sparebank 1'!B36+'Storebrand Livsforsikring'!B36+'Telenor Forsikring'!B36+'Tryg Forsikring'!B36+'WaterCircles F'!B36+'Codan Forsikring'!B36+'Euro Accident'!B36+'Ly Forsikring'!B36+'Youplus Livsforsikring'!B36</f>
        <v>2163.1350000000002</v>
      </c>
      <c r="C36" s="232">
        <f>'Fremtind Livsforsikring'!C36+'Storebrand Danica P'!C36+'DNB Livsforsikring'!C36+'Eika Forsikring AS'!C36+'Frende Livsforsikring'!C36+'Frende Skadeforsikring'!C36+'Gjensidige Forsikring'!C36+'Gjensidige Pensjon'!C36+'Handelsbanken Liv'!C36+'If Skadeforsikring NUF'!C36+KLP!C36+'KLP Skadeforsikring AS'!C36+'Landkreditt Forsikring'!C36+'Nordea Liv '!C36+'Oslo Pensjonsforsikring'!C36+'Protector Forsikring'!C36+'SHB Liv'!C36+'Sparebank 1'!C36+'Storebrand Livsforsikring'!C36+'Telenor Forsikring'!C36+'Tryg Forsikring'!C36+'WaterCircles F'!C36+'Codan Forsikring'!C36+'Euro Accident'!C36+'Ly Forsikring'!C36+'Youplus Livsforsikring'!C36</f>
        <v>2629.8980000000001</v>
      </c>
      <c r="D36" s="11">
        <f t="shared" si="5"/>
        <v>21.6</v>
      </c>
      <c r="E36" s="311"/>
      <c r="F36" s="311"/>
      <c r="G36" s="169"/>
      <c r="H36" s="300">
        <f t="shared" si="9"/>
        <v>2163.1350000000002</v>
      </c>
      <c r="I36" s="232">
        <f t="shared" si="7"/>
        <v>2629.8980000000001</v>
      </c>
      <c r="J36" s="11">
        <f t="shared" si="8"/>
        <v>21.6</v>
      </c>
    </row>
    <row r="37" spans="1:10" s="41" customFormat="1" ht="15.75" customHeight="1" x14ac:dyDescent="0.2">
      <c r="A37" s="499" t="s">
        <v>358</v>
      </c>
      <c r="B37" s="232">
        <f>'Fremtind Livsforsikring'!B37+'Storebrand Danica P'!B37+'DNB Livsforsikring'!B37+'Eika Forsikring AS'!B37+'Frende Livsforsikring'!B37+'Frende Skadeforsikring'!B37+'Gjensidige Forsikring'!B37+'Gjensidige Pensjon'!B37+'Handelsbanken Liv'!B37+'If Skadeforsikring NUF'!B37+KLP!B37+'KLP Skadeforsikring AS'!B37+'Landkreditt Forsikring'!B37+'Nordea Liv '!B37+'Oslo Pensjonsforsikring'!B37+'Protector Forsikring'!B37+'SHB Liv'!B37+'Sparebank 1'!B37+'Storebrand Livsforsikring'!B37+'Telenor Forsikring'!B37+'Tryg Forsikring'!B37+'WaterCircles F'!B37+'Codan Forsikring'!B37+'Euro Accident'!B37+'Ly Forsikring'!B37+'Youplus Livsforsikring'!B37</f>
        <v>3348414.9709999999</v>
      </c>
      <c r="C37" s="232">
        <f>'Fremtind Livsforsikring'!C37+'Storebrand Danica P'!C37+'DNB Livsforsikring'!C37+'Eika Forsikring AS'!C37+'Frende Livsforsikring'!C37+'Frende Skadeforsikring'!C37+'Gjensidige Forsikring'!C37+'Gjensidige Pensjon'!C37+'Handelsbanken Liv'!C37+'If Skadeforsikring NUF'!C37+KLP!C37+'KLP Skadeforsikring AS'!C37+'Landkreditt Forsikring'!C37+'Nordea Liv '!C37+'Oslo Pensjonsforsikring'!C37+'Protector Forsikring'!C37+'SHB Liv'!C37+'Sparebank 1'!C37+'Storebrand Livsforsikring'!C37+'Telenor Forsikring'!C37+'Tryg Forsikring'!C37+'WaterCircles F'!C37+'Codan Forsikring'!C37+'Euro Accident'!C37+'Ly Forsikring'!C37+'Youplus Livsforsikring'!C37</f>
        <v>2991121.9397</v>
      </c>
      <c r="D37" s="22">
        <f t="shared" si="5"/>
        <v>-10.7</v>
      </c>
      <c r="E37" s="316"/>
      <c r="F37" s="316"/>
      <c r="G37" s="169"/>
      <c r="H37" s="300">
        <f t="shared" si="9"/>
        <v>3348414.9709999999</v>
      </c>
      <c r="I37" s="232">
        <f t="shared" si="7"/>
        <v>2991121.9397</v>
      </c>
      <c r="J37" s="22">
        <f t="shared" si="8"/>
        <v>-10.7</v>
      </c>
    </row>
    <row r="38" spans="1:10" s="41" customFormat="1" ht="15.75" customHeight="1" x14ac:dyDescent="0.2">
      <c r="A38" s="499" t="s">
        <v>359</v>
      </c>
      <c r="B38" s="232"/>
      <c r="C38" s="232"/>
      <c r="D38" s="22"/>
      <c r="E38" s="311"/>
      <c r="F38" s="311"/>
      <c r="G38" s="169"/>
      <c r="H38" s="300"/>
      <c r="I38" s="232"/>
      <c r="J38" s="22"/>
    </row>
    <row r="39" spans="1:10" s="41" customFormat="1" ht="15.75" customHeight="1" x14ac:dyDescent="0.2">
      <c r="A39" s="500" t="s">
        <v>360</v>
      </c>
      <c r="B39" s="271">
        <f>'Fremtind Livsforsikring'!B39+'Storebrand Danica P'!B39+'DNB Livsforsikring'!B39+'Eika Forsikring AS'!B39+'Frende Livsforsikring'!B39+'Frende Skadeforsikring'!B39+'Gjensidige Forsikring'!B39+'Gjensidige Pensjon'!B39+'Handelsbanken Liv'!B39+'If Skadeforsikring NUF'!B39+KLP!B39+'KLP Skadeforsikring AS'!B39+'Landkreditt Forsikring'!B39+'Nordea Liv '!B39+'Oslo Pensjonsforsikring'!B39+'Protector Forsikring'!B39+'SHB Liv'!B39+'Sparebank 1'!B39+'Storebrand Livsforsikring'!B39+'Telenor Forsikring'!B39+'Tryg Forsikring'!B39+'WaterCircles F'!B39+'Codan Forsikring'!B39+'Euro Accident'!B39+'Ly Forsikring'!B39+'Youplus Livsforsikring'!B39</f>
        <v>3</v>
      </c>
      <c r="C39" s="271">
        <f>'Fremtind Livsforsikring'!C39+'Storebrand Danica P'!C39+'DNB Livsforsikring'!C39+'Eika Forsikring AS'!C39+'Frende Livsforsikring'!C39+'Frende Skadeforsikring'!C39+'Gjensidige Forsikring'!C39+'Gjensidige Pensjon'!C39+'Handelsbanken Liv'!C39+'If Skadeforsikring NUF'!C39+KLP!C39+'KLP Skadeforsikring AS'!C39+'Landkreditt Forsikring'!C39+'Nordea Liv '!C39+'Oslo Pensjonsforsikring'!C39+'Protector Forsikring'!C39+'SHB Liv'!C39+'Sparebank 1'!C39+'Storebrand Livsforsikring'!C39+'Telenor Forsikring'!C39+'Tryg Forsikring'!C39+'WaterCircles F'!C39+'Codan Forsikring'!C39+'Euro Accident'!C39+'Ly Forsikring'!C39+'Youplus Livsforsikring'!C39</f>
        <v>12</v>
      </c>
      <c r="D39" s="34">
        <f t="shared" si="5"/>
        <v>300</v>
      </c>
      <c r="E39" s="317"/>
      <c r="F39" s="317"/>
      <c r="G39" s="167"/>
      <c r="H39" s="306">
        <f t="shared" si="9"/>
        <v>3</v>
      </c>
      <c r="I39" s="271">
        <f t="shared" si="7"/>
        <v>12</v>
      </c>
      <c r="J39" s="34">
        <f t="shared" si="8"/>
        <v>300</v>
      </c>
    </row>
    <row r="40" spans="1:10" ht="15.75" customHeight="1" x14ac:dyDescent="0.2">
      <c r="A40" s="45"/>
    </row>
    <row r="41" spans="1:10" ht="15.75" customHeight="1" x14ac:dyDescent="0.2">
      <c r="A41" s="153"/>
    </row>
    <row r="42" spans="1:10" ht="15.75" customHeight="1" x14ac:dyDescent="0.25">
      <c r="A42" s="145" t="s">
        <v>268</v>
      </c>
      <c r="B42" s="702"/>
      <c r="C42" s="702"/>
      <c r="D42" s="702"/>
      <c r="E42" s="703"/>
      <c r="F42" s="703"/>
      <c r="G42" s="703"/>
      <c r="H42" s="703"/>
      <c r="I42" s="703"/>
      <c r="J42" s="703"/>
    </row>
    <row r="43" spans="1:10" ht="15.75" customHeight="1" x14ac:dyDescent="0.25">
      <c r="A43" s="161"/>
      <c r="B43" s="421"/>
      <c r="C43" s="421"/>
      <c r="D43" s="421"/>
      <c r="E43" s="290"/>
      <c r="F43" s="290"/>
      <c r="G43" s="290"/>
      <c r="H43" s="290"/>
      <c r="I43" s="290"/>
      <c r="J43" s="290"/>
    </row>
    <row r="44" spans="1:10" s="3" customFormat="1" ht="15.75" customHeight="1" x14ac:dyDescent="0.25">
      <c r="A44" s="243"/>
      <c r="B44" s="318" t="s">
        <v>0</v>
      </c>
      <c r="C44" s="319"/>
      <c r="D44" s="247"/>
      <c r="E44" s="40"/>
      <c r="F44" s="40"/>
      <c r="G44" s="38"/>
      <c r="H44" s="40"/>
      <c r="I44" s="40"/>
      <c r="J44" s="38"/>
    </row>
    <row r="45" spans="1:10" s="3" customFormat="1" ht="15.75" customHeight="1" x14ac:dyDescent="0.2">
      <c r="A45" s="138"/>
      <c r="B45" s="673">
        <v>44469</v>
      </c>
      <c r="C45" s="673">
        <v>44834</v>
      </c>
      <c r="D45" s="245" t="s">
        <v>3</v>
      </c>
      <c r="E45" s="40"/>
      <c r="F45" s="40"/>
      <c r="G45" s="38"/>
      <c r="H45" s="40"/>
      <c r="I45" s="40"/>
      <c r="J45" s="38"/>
    </row>
    <row r="46" spans="1:10" s="3" customFormat="1" ht="15.75" customHeight="1" x14ac:dyDescent="0.2">
      <c r="A46" s="672"/>
      <c r="B46" s="44"/>
      <c r="C46" s="246"/>
      <c r="D46" s="17" t="s">
        <v>4</v>
      </c>
      <c r="E46" s="38"/>
      <c r="F46" s="38"/>
      <c r="G46" s="38"/>
      <c r="H46" s="38"/>
      <c r="I46" s="38"/>
      <c r="J46" s="38"/>
    </row>
    <row r="47" spans="1:10" s="406" customFormat="1" ht="15.75" customHeight="1" x14ac:dyDescent="0.2">
      <c r="A47" s="14" t="s">
        <v>23</v>
      </c>
      <c r="B47" s="232">
        <f>'Fremtind Livsforsikring'!B47+'Storebrand Danica P'!B47+'DNB Livsforsikring'!B47+'Eika Forsikring AS'!B47+'Frende Livsforsikring'!B47+'Frende Skadeforsikring'!B47+'Gjensidige Forsikring'!B47+'Gjensidige Pensjon'!B47+'Handelsbanken Liv'!B47+'If Skadeforsikring NUF'!B47+KLP!B47+'KLP Skadeforsikring AS'!B47+'Landkreditt Forsikring'!B47+'Nordea Liv '!B47+'Oslo Pensjonsforsikring'!B47+'Protector Forsikring'!B47+'SHB Liv'!B47+'Sparebank 1'!B47+'Storebrand Livsforsikring'!B47+'Telenor Forsikring'!B47+'Tryg Forsikring'!B47+'WaterCircles F'!B47+'Codan Forsikring'!B47+'Euro Accident'!B47+'Ly Forsikring'!B47+'Youplus Livsforsikring'!B47</f>
        <v>4470890.942388827</v>
      </c>
      <c r="C47" s="232">
        <f>'Fremtind Livsforsikring'!C47+'Storebrand Danica P'!C47+'DNB Livsforsikring'!C47+'Eika Forsikring AS'!C47+'Frende Livsforsikring'!C47+'Frende Skadeforsikring'!C47+'Gjensidige Forsikring'!C47+'Gjensidige Pensjon'!C47+'Handelsbanken Liv'!C47+'If Skadeforsikring NUF'!C47+KLP!C47+'KLP Skadeforsikring AS'!C47+'Landkreditt Forsikring'!C47+'Nordea Liv '!C47+'Oslo Pensjonsforsikring'!C47+'Protector Forsikring'!C47+'SHB Liv'!C47+'Sparebank 1'!C47+'Storebrand Livsforsikring'!C47+'Telenor Forsikring'!C47+'Tryg Forsikring'!C47+'WaterCircles F'!C47+'Codan Forsikring'!C47+'Euro Accident'!C47+'Ly Forsikring'!C47+'Youplus Livsforsikring'!C47</f>
        <v>4862420.9721488282</v>
      </c>
      <c r="D47" s="22">
        <f t="shared" ref="D47:D57" si="22">IF(B47=0, "    ---- ", IF(ABS(ROUND(100/B47*C47-100,1))&lt;999,ROUND(100/B47*C47-100,1),IF(ROUND(100/B47*C47-100,1)&gt;999,999,-999)))</f>
        <v>8.8000000000000007</v>
      </c>
      <c r="E47" s="407"/>
      <c r="F47" s="408"/>
      <c r="G47" s="30"/>
      <c r="H47" s="409"/>
      <c r="I47" s="409"/>
      <c r="J47" s="30"/>
    </row>
    <row r="48" spans="1:10" s="3" customFormat="1" ht="15.75" customHeight="1" x14ac:dyDescent="0.2">
      <c r="A48" s="36" t="s">
        <v>361</v>
      </c>
      <c r="B48" s="42">
        <f>'Fremtind Livsforsikring'!B48+'Storebrand Danica P'!B48+'DNB Livsforsikring'!B48+'Eika Forsikring AS'!B48+'Frende Livsforsikring'!B48+'Frende Skadeforsikring'!B48+'Gjensidige Forsikring'!B48+'Gjensidige Pensjon'!B48+'Handelsbanken Liv'!B48+'If Skadeforsikring NUF'!B48+KLP!B48+'KLP Skadeforsikring AS'!B48+'Landkreditt Forsikring'!B48+'Nordea Liv '!B48+'Oslo Pensjonsforsikring'!B48+'Protector Forsikring'!B48+'SHB Liv'!B48+'Sparebank 1'!B48+'Storebrand Livsforsikring'!B48+'Telenor Forsikring'!B48+'Tryg Forsikring'!B48+'WaterCircles F'!B48+'Codan Forsikring'!B48+'Euro Accident'!B48+'Ly Forsikring'!B48+'Youplus Livsforsikring'!B48</f>
        <v>2507268.3052688269</v>
      </c>
      <c r="C48" s="42">
        <f>'Fremtind Livsforsikring'!C48+'Storebrand Danica P'!C48+'DNB Livsforsikring'!C48+'Eika Forsikring AS'!C48+'Frende Livsforsikring'!C48+'Frende Skadeforsikring'!C48+'Gjensidige Forsikring'!C48+'Gjensidige Pensjon'!C48+'Handelsbanken Liv'!C48+'If Skadeforsikring NUF'!C48+KLP!C48+'KLP Skadeforsikring AS'!C48+'Landkreditt Forsikring'!C48+'Nordea Liv '!C48+'Oslo Pensjonsforsikring'!C48+'Protector Forsikring'!C48+'SHB Liv'!C48+'Sparebank 1'!C48+'Storebrand Livsforsikring'!C48+'Telenor Forsikring'!C48+'Tryg Forsikring'!C48+'WaterCircles F'!C48+'Codan Forsikring'!C48+'Euro Accident'!C48+'Ly Forsikring'!C48+'Youplus Livsforsikring'!C48</f>
        <v>2712008.0584888281</v>
      </c>
      <c r="D48" s="22">
        <f t="shared" si="22"/>
        <v>8.1999999999999993</v>
      </c>
      <c r="E48" s="33"/>
      <c r="F48" s="5"/>
      <c r="G48" s="32"/>
      <c r="H48" s="31"/>
      <c r="I48" s="31"/>
      <c r="J48" s="30"/>
    </row>
    <row r="49" spans="1:10" s="3" customFormat="1" ht="15.75" customHeight="1" x14ac:dyDescent="0.2">
      <c r="A49" s="36" t="s">
        <v>362</v>
      </c>
      <c r="B49" s="187">
        <f>'Fremtind Livsforsikring'!B49+'Storebrand Danica P'!B49+'DNB Livsforsikring'!B49+'Eika Forsikring AS'!B49+'Frende Livsforsikring'!B49+'Frende Skadeforsikring'!B49+'Gjensidige Forsikring'!B49+'Gjensidige Pensjon'!B49+'Handelsbanken Liv'!B49+'If Skadeforsikring NUF'!B49+KLP!B49+'KLP Skadeforsikring AS'!B49+'Landkreditt Forsikring'!B49+'Nordea Liv '!B49+'Oslo Pensjonsforsikring'!B49+'Protector Forsikring'!B49+'SHB Liv'!B49+'Sparebank 1'!B49+'Storebrand Livsforsikring'!B49+'Telenor Forsikring'!B49+'Tryg Forsikring'!B49+'WaterCircles F'!B49+'Codan Forsikring'!B49+'Euro Accident'!B49+'Ly Forsikring'!B49+'Youplus Livsforsikring'!B49</f>
        <v>1963622.6371200001</v>
      </c>
      <c r="C49" s="187">
        <f>'Fremtind Livsforsikring'!C49+'Storebrand Danica P'!C49+'DNB Livsforsikring'!C49+'Eika Forsikring AS'!C49+'Frende Livsforsikring'!C49+'Frende Skadeforsikring'!C49+'Gjensidige Forsikring'!C49+'Gjensidige Pensjon'!C49+'Handelsbanken Liv'!C49+'If Skadeforsikring NUF'!C49+KLP!C49+'KLP Skadeforsikring AS'!C49+'Landkreditt Forsikring'!C49+'Nordea Liv '!C49+'Oslo Pensjonsforsikring'!C49+'Protector Forsikring'!C49+'SHB Liv'!C49+'Sparebank 1'!C49+'Storebrand Livsforsikring'!C49+'Telenor Forsikring'!C49+'Tryg Forsikring'!C49+'WaterCircles F'!C49+'Codan Forsikring'!C49+'Euro Accident'!C49+'Ly Forsikring'!C49+'Youplus Livsforsikring'!C49</f>
        <v>2150412.9136600001</v>
      </c>
      <c r="D49" s="22">
        <f t="shared" si="22"/>
        <v>9.5</v>
      </c>
      <c r="E49" s="33"/>
      <c r="F49" s="5"/>
      <c r="G49" s="32"/>
      <c r="H49" s="35"/>
      <c r="I49" s="35"/>
      <c r="J49" s="30"/>
    </row>
    <row r="50" spans="1:10" s="3" customFormat="1" ht="15.75" customHeight="1" x14ac:dyDescent="0.2">
      <c r="A50" s="288" t="s">
        <v>6</v>
      </c>
      <c r="B50" s="311"/>
      <c r="C50" s="311"/>
      <c r="D50" s="25"/>
      <c r="E50" s="33"/>
      <c r="F50" s="5"/>
      <c r="G50" s="32"/>
      <c r="H50" s="31"/>
      <c r="I50" s="31"/>
      <c r="J50" s="30"/>
    </row>
    <row r="51" spans="1:10" s="3" customFormat="1" ht="15.75" customHeight="1" x14ac:dyDescent="0.2">
      <c r="A51" s="288" t="s">
        <v>7</v>
      </c>
      <c r="B51" s="311"/>
      <c r="C51" s="311"/>
      <c r="D51" s="25"/>
      <c r="E51" s="33"/>
      <c r="F51" s="5"/>
      <c r="G51" s="32"/>
      <c r="H51" s="31"/>
      <c r="I51" s="31"/>
      <c r="J51" s="30"/>
    </row>
    <row r="52" spans="1:10" s="3" customFormat="1" ht="15.75" customHeight="1" x14ac:dyDescent="0.2">
      <c r="A52" s="288" t="s">
        <v>8</v>
      </c>
      <c r="B52" s="311"/>
      <c r="C52" s="311"/>
      <c r="D52" s="25"/>
      <c r="E52" s="33"/>
      <c r="F52" s="5"/>
      <c r="G52" s="32"/>
      <c r="H52" s="31"/>
      <c r="I52" s="31"/>
      <c r="J52" s="30"/>
    </row>
    <row r="53" spans="1:10" s="406" customFormat="1" ht="15.75" customHeight="1" x14ac:dyDescent="0.2">
      <c r="A53" s="37" t="s">
        <v>363</v>
      </c>
      <c r="B53" s="232">
        <f>'Fremtind Livsforsikring'!B53+'Storebrand Danica P'!B53+'DNB Livsforsikring'!B53+'Eika Forsikring AS'!B53+'Frende Livsforsikring'!B53+'Frende Skadeforsikring'!B53+'Gjensidige Forsikring'!B53+'Gjensidige Pensjon'!B53+'Handelsbanken Liv'!B53+'If Skadeforsikring NUF'!B53+KLP!B53+'KLP Skadeforsikring AS'!B53+'Landkreditt Forsikring'!B53+'Nordea Liv '!B53+'Oslo Pensjonsforsikring'!B53+'Protector Forsikring'!B53+'SHB Liv'!B53+'Sparebank 1'!B53+'Storebrand Livsforsikring'!B53+'Telenor Forsikring'!B53+'Tryg Forsikring'!B53+'WaterCircles F'!B53+'Codan Forsikring'!B53+'Euro Accident'!B53+'Ly Forsikring'!B53+'Youplus Livsforsikring'!B53</f>
        <v>257727.98700000002</v>
      </c>
      <c r="C53" s="232">
        <f>'Fremtind Livsforsikring'!C53+'Storebrand Danica P'!C53+'DNB Livsforsikring'!C53+'Eika Forsikring AS'!C53+'Frende Livsforsikring'!C53+'Frende Skadeforsikring'!C53+'Gjensidige Forsikring'!C53+'Gjensidige Pensjon'!C53+'Handelsbanken Liv'!C53+'If Skadeforsikring NUF'!C53+KLP!C53+'KLP Skadeforsikring AS'!C53+'Landkreditt Forsikring'!C53+'Nordea Liv '!C53+'Oslo Pensjonsforsikring'!C53+'Protector Forsikring'!C53+'SHB Liv'!C53+'Sparebank 1'!C53+'Storebrand Livsforsikring'!C53+'Telenor Forsikring'!C53+'Tryg Forsikring'!C53+'WaterCircles F'!C53+'Codan Forsikring'!C53+'Euro Accident'!C53+'Ly Forsikring'!C53+'Youplus Livsforsikring'!C53</f>
        <v>115166.72</v>
      </c>
      <c r="D53" s="22">
        <f t="shared" si="22"/>
        <v>-55.3</v>
      </c>
      <c r="E53" s="407"/>
      <c r="F53" s="408"/>
      <c r="G53" s="30"/>
      <c r="H53" s="171"/>
      <c r="I53" s="171"/>
      <c r="J53" s="30"/>
    </row>
    <row r="54" spans="1:10" s="3" customFormat="1" ht="15.75" customHeight="1" x14ac:dyDescent="0.2">
      <c r="A54" s="36" t="s">
        <v>361</v>
      </c>
      <c r="B54" s="42">
        <f>'Fremtind Livsforsikring'!B54+'Storebrand Danica P'!B54+'DNB Livsforsikring'!B54+'Eika Forsikring AS'!B54+'Frende Livsforsikring'!B54+'Frende Skadeforsikring'!B54+'Gjensidige Forsikring'!B54+'Gjensidige Pensjon'!B54+'Handelsbanken Liv'!B54+'If Skadeforsikring NUF'!B54+KLP!B54+'KLP Skadeforsikring AS'!B54+'Landkreditt Forsikring'!B54+'Nordea Liv '!B54+'Oslo Pensjonsforsikring'!B54+'Protector Forsikring'!B54+'SHB Liv'!B54+'Sparebank 1'!B54+'Storebrand Livsforsikring'!B54+'Telenor Forsikring'!B54+'Tryg Forsikring'!B54+'WaterCircles F'!B54+'Codan Forsikring'!B54+'Euro Accident'!B54+'Ly Forsikring'!B54+'Youplus Livsforsikring'!B54</f>
        <v>251603.10800000001</v>
      </c>
      <c r="C54" s="42">
        <f>'Fremtind Livsforsikring'!C54+'Storebrand Danica P'!C54+'DNB Livsforsikring'!C54+'Eika Forsikring AS'!C54+'Frende Livsforsikring'!C54+'Frende Skadeforsikring'!C54+'Gjensidige Forsikring'!C54+'Gjensidige Pensjon'!C54+'Handelsbanken Liv'!C54+'If Skadeforsikring NUF'!C54+KLP!C54+'KLP Skadeforsikring AS'!C54+'Landkreditt Forsikring'!C54+'Nordea Liv '!C54+'Oslo Pensjonsforsikring'!C54+'Protector Forsikring'!C54+'SHB Liv'!C54+'Sparebank 1'!C54+'Storebrand Livsforsikring'!C54+'Telenor Forsikring'!C54+'Tryg Forsikring'!C54+'WaterCircles F'!C54+'Codan Forsikring'!C54+'Euro Accident'!C54+'Ly Forsikring'!C54+'Youplus Livsforsikring'!C54</f>
        <v>114217.72</v>
      </c>
      <c r="D54" s="22">
        <f t="shared" si="22"/>
        <v>-54.6</v>
      </c>
      <c r="E54" s="33"/>
      <c r="F54" s="5"/>
      <c r="G54" s="32"/>
      <c r="H54" s="31"/>
      <c r="I54" s="31"/>
      <c r="J54" s="30"/>
    </row>
    <row r="55" spans="1:10" s="3" customFormat="1" ht="15.75" customHeight="1" x14ac:dyDescent="0.2">
      <c r="A55" s="36" t="s">
        <v>362</v>
      </c>
      <c r="B55" s="42">
        <f>'Fremtind Livsforsikring'!B55+'Storebrand Danica P'!B55+'DNB Livsforsikring'!B55+'Eika Forsikring AS'!B55+'Frende Livsforsikring'!B55+'Frende Skadeforsikring'!B55+'Gjensidige Forsikring'!B55+'Gjensidige Pensjon'!B55+'Handelsbanken Liv'!B55+'If Skadeforsikring NUF'!B55+KLP!B55+'KLP Skadeforsikring AS'!B55+'Landkreditt Forsikring'!B55+'Nordea Liv '!B55+'Oslo Pensjonsforsikring'!B55+'Protector Forsikring'!B55+'SHB Liv'!B55+'Sparebank 1'!B55+'Storebrand Livsforsikring'!B55+'Telenor Forsikring'!B55+'Tryg Forsikring'!B55+'WaterCircles F'!B55+'Codan Forsikring'!B55+'Euro Accident'!B55+'Ly Forsikring'!B55+'Youplus Livsforsikring'!B55</f>
        <v>6124.8789999999999</v>
      </c>
      <c r="C55" s="42">
        <f>'Fremtind Livsforsikring'!C55+'Storebrand Danica P'!C55+'DNB Livsforsikring'!C55+'Eika Forsikring AS'!C55+'Frende Livsforsikring'!C55+'Frende Skadeforsikring'!C55+'Gjensidige Forsikring'!C55+'Gjensidige Pensjon'!C55+'Handelsbanken Liv'!C55+'If Skadeforsikring NUF'!C55+KLP!C55+'KLP Skadeforsikring AS'!C55+'Landkreditt Forsikring'!C55+'Nordea Liv '!C55+'Oslo Pensjonsforsikring'!C55+'Protector Forsikring'!C55+'SHB Liv'!C55+'Sparebank 1'!C55+'Storebrand Livsforsikring'!C55+'Telenor Forsikring'!C55+'Tryg Forsikring'!C55+'WaterCircles F'!C55+'Codan Forsikring'!C55+'Euro Accident'!C55+'Ly Forsikring'!C55+'Youplus Livsforsikring'!C55</f>
        <v>949</v>
      </c>
      <c r="D55" s="22">
        <f t="shared" si="22"/>
        <v>-84.5</v>
      </c>
      <c r="E55" s="33"/>
      <c r="F55" s="5"/>
      <c r="G55" s="32"/>
      <c r="H55" s="31"/>
      <c r="I55" s="31"/>
      <c r="J55" s="30"/>
    </row>
    <row r="56" spans="1:10" s="406" customFormat="1" ht="15.75" customHeight="1" x14ac:dyDescent="0.2">
      <c r="A56" s="37" t="s">
        <v>364</v>
      </c>
      <c r="B56" s="232">
        <f>'Fremtind Livsforsikring'!B56+'Storebrand Danica P'!B56+'DNB Livsforsikring'!B56+'Eika Forsikring AS'!B56+'Frende Livsforsikring'!B56+'Frende Skadeforsikring'!B56+'Gjensidige Forsikring'!B56+'Gjensidige Pensjon'!B56+'Handelsbanken Liv'!B56+'If Skadeforsikring NUF'!B56+KLP!B56+'KLP Skadeforsikring AS'!B56+'Landkreditt Forsikring'!B56+'Nordea Liv '!B56+'Oslo Pensjonsforsikring'!B56+'Protector Forsikring'!B56+'SHB Liv'!B56+'Sparebank 1'!B56+'Storebrand Livsforsikring'!B56+'Telenor Forsikring'!B56+'Tryg Forsikring'!B56+'WaterCircles F'!B56+'Codan Forsikring'!B56+'Euro Accident'!B56+'Ly Forsikring'!B56+'Youplus Livsforsikring'!B56</f>
        <v>121080.70899999997</v>
      </c>
      <c r="C56" s="232">
        <f>'Fremtind Livsforsikring'!C56+'Storebrand Danica P'!C56+'DNB Livsforsikring'!C56+'Eika Forsikring AS'!C56+'Frende Livsforsikring'!C56+'Frende Skadeforsikring'!C56+'Gjensidige Forsikring'!C56+'Gjensidige Pensjon'!C56+'Handelsbanken Liv'!C56+'If Skadeforsikring NUF'!C56+KLP!C56+'KLP Skadeforsikring AS'!C56+'Landkreditt Forsikring'!C56+'Nordea Liv '!C56+'Oslo Pensjonsforsikring'!C56+'Protector Forsikring'!C56+'SHB Liv'!C56+'Sparebank 1'!C56+'Storebrand Livsforsikring'!C56+'Telenor Forsikring'!C56+'Tryg Forsikring'!C56+'WaterCircles F'!C56+'Codan Forsikring'!C56+'Euro Accident'!C56+'Ly Forsikring'!C56+'Youplus Livsforsikring'!C56</f>
        <v>93637.587999999989</v>
      </c>
      <c r="D56" s="22">
        <f t="shared" si="22"/>
        <v>-22.7</v>
      </c>
      <c r="E56" s="407"/>
      <c r="F56" s="408"/>
      <c r="G56" s="30"/>
      <c r="H56" s="171"/>
      <c r="I56" s="171"/>
      <c r="J56" s="30"/>
    </row>
    <row r="57" spans="1:10" s="3" customFormat="1" ht="15.75" customHeight="1" x14ac:dyDescent="0.2">
      <c r="A57" s="36" t="s">
        <v>361</v>
      </c>
      <c r="B57" s="42">
        <f>'Fremtind Livsforsikring'!B57+'Storebrand Danica P'!B57+'DNB Livsforsikring'!B57+'Eika Forsikring AS'!B57+'Frende Livsforsikring'!B57+'Frende Skadeforsikring'!B57+'Gjensidige Forsikring'!B57+'Gjensidige Pensjon'!B57+'Handelsbanken Liv'!B57+'If Skadeforsikring NUF'!B57+KLP!B57+'KLP Skadeforsikring AS'!B57+'Landkreditt Forsikring'!B57+'Nordea Liv '!B57+'Oslo Pensjonsforsikring'!B57+'Protector Forsikring'!B57+'SHB Liv'!B57+'Sparebank 1'!B57+'Storebrand Livsforsikring'!B57+'Telenor Forsikring'!B57+'Tryg Forsikring'!B57+'WaterCircles F'!B57+'Codan Forsikring'!B57+'Euro Accident'!B57+'Ly Forsikring'!B57+'Youplus Livsforsikring'!B57</f>
        <v>121080.70899999997</v>
      </c>
      <c r="C57" s="42">
        <f>'Fremtind Livsforsikring'!C57+'Storebrand Danica P'!C57+'DNB Livsforsikring'!C57+'Eika Forsikring AS'!C57+'Frende Livsforsikring'!C57+'Frende Skadeforsikring'!C57+'Gjensidige Forsikring'!C57+'Gjensidige Pensjon'!C57+'Handelsbanken Liv'!C57+'If Skadeforsikring NUF'!C57+KLP!C57+'KLP Skadeforsikring AS'!C57+'Landkreditt Forsikring'!C57+'Nordea Liv '!C57+'Oslo Pensjonsforsikring'!C57+'Protector Forsikring'!C57+'SHB Liv'!C57+'Sparebank 1'!C57+'Storebrand Livsforsikring'!C57+'Telenor Forsikring'!C57+'Tryg Forsikring'!C57+'WaterCircles F'!C57+'Codan Forsikring'!C57+'Euro Accident'!C57+'Ly Forsikring'!C57+'Youplus Livsforsikring'!C57</f>
        <v>93637.587999999989</v>
      </c>
      <c r="D57" s="22">
        <f t="shared" si="22"/>
        <v>-22.7</v>
      </c>
      <c r="E57" s="33"/>
      <c r="F57" s="5"/>
      <c r="G57" s="32"/>
      <c r="H57" s="31"/>
      <c r="I57" s="31"/>
      <c r="J57" s="30"/>
    </row>
    <row r="58" spans="1:10" s="3" customFormat="1" ht="15.75" customHeight="1" x14ac:dyDescent="0.2">
      <c r="A58" s="36" t="s">
        <v>362</v>
      </c>
      <c r="B58" s="43"/>
      <c r="C58" s="43"/>
      <c r="D58" s="34"/>
      <c r="E58" s="33"/>
      <c r="F58" s="5"/>
      <c r="G58" s="32"/>
      <c r="H58" s="31"/>
      <c r="I58" s="31"/>
      <c r="J58" s="30"/>
    </row>
    <row r="59" spans="1:10" s="3" customFormat="1" ht="15.75" customHeight="1" x14ac:dyDescent="0.25">
      <c r="A59" s="162"/>
      <c r="B59" s="28"/>
      <c r="C59" s="28"/>
      <c r="D59" s="28"/>
      <c r="E59" s="29"/>
      <c r="F59" s="29"/>
      <c r="G59" s="29"/>
      <c r="H59" s="29"/>
      <c r="I59" s="29"/>
      <c r="J59" s="29"/>
    </row>
    <row r="60" spans="1:10" ht="15.75" customHeight="1" x14ac:dyDescent="0.2">
      <c r="A60" s="153"/>
    </row>
    <row r="61" spans="1:10" ht="15.75" customHeight="1" x14ac:dyDescent="0.25">
      <c r="A61" s="145" t="s">
        <v>269</v>
      </c>
      <c r="C61" s="24"/>
      <c r="D61" s="23"/>
      <c r="E61" s="24"/>
      <c r="F61" s="24"/>
      <c r="G61" s="23"/>
      <c r="H61" s="24"/>
      <c r="I61" s="24"/>
      <c r="J61" s="23"/>
    </row>
    <row r="62" spans="1:10" ht="20.100000000000001" customHeight="1" x14ac:dyDescent="0.25">
      <c r="A62" s="147"/>
      <c r="B62" s="702"/>
      <c r="C62" s="702"/>
      <c r="D62" s="702"/>
      <c r="E62" s="702"/>
      <c r="F62" s="702"/>
      <c r="G62" s="702"/>
      <c r="H62" s="702"/>
      <c r="I62" s="702"/>
      <c r="J62" s="702"/>
    </row>
    <row r="63" spans="1:10" ht="15.75" customHeight="1" x14ac:dyDescent="0.2">
      <c r="A63" s="142"/>
      <c r="B63" s="699" t="s">
        <v>0</v>
      </c>
      <c r="C63" s="700"/>
      <c r="D63" s="700"/>
      <c r="E63" s="699" t="s">
        <v>1</v>
      </c>
      <c r="F63" s="700"/>
      <c r="G63" s="701"/>
      <c r="H63" s="700" t="s">
        <v>2</v>
      </c>
      <c r="I63" s="700"/>
      <c r="J63" s="701"/>
    </row>
    <row r="64" spans="1:10" ht="15.75" customHeight="1" x14ac:dyDescent="0.2">
      <c r="A64" s="138"/>
      <c r="B64" s="673">
        <v>44469</v>
      </c>
      <c r="C64" s="673">
        <v>44834</v>
      </c>
      <c r="D64" s="245" t="s">
        <v>3</v>
      </c>
      <c r="E64" s="673">
        <v>44469</v>
      </c>
      <c r="F64" s="673">
        <v>44834</v>
      </c>
      <c r="G64" s="245" t="s">
        <v>3</v>
      </c>
      <c r="H64" s="673">
        <v>44469</v>
      </c>
      <c r="I64" s="673">
        <v>44834</v>
      </c>
      <c r="J64" s="245" t="s">
        <v>3</v>
      </c>
    </row>
    <row r="65" spans="1:10" ht="15.75" customHeight="1" x14ac:dyDescent="0.2">
      <c r="A65" s="672"/>
      <c r="B65" s="15"/>
      <c r="C65" s="15"/>
      <c r="D65" s="17" t="s">
        <v>4</v>
      </c>
      <c r="E65" s="16"/>
      <c r="F65" s="16"/>
      <c r="G65" s="15" t="s">
        <v>4</v>
      </c>
      <c r="H65" s="16"/>
      <c r="I65" s="16"/>
      <c r="J65" s="15" t="s">
        <v>4</v>
      </c>
    </row>
    <row r="66" spans="1:10" s="41" customFormat="1" ht="15.75" customHeight="1" x14ac:dyDescent="0.2">
      <c r="A66" s="14" t="s">
        <v>23</v>
      </c>
      <c r="B66" s="320">
        <f>'Fremtind Livsforsikring'!B66+'Storebrand Danica P'!B66+'DNB Livsforsikring'!B66+'Eika Forsikring AS'!B66+'Frende Livsforsikring'!B66+'Frende Skadeforsikring'!B66+'Gjensidige Forsikring'!B66+'Gjensidige Pensjon'!B66+'Handelsbanken Liv'!B66+'If Skadeforsikring NUF'!B66+KLP!B66+'KLP Skadeforsikring AS'!B66+'Landkreditt Forsikring'!B66+'Nordea Liv '!B66+'Oslo Pensjonsforsikring'!B66+'Protector Forsikring'!B66+'SHB Liv'!B66+'Sparebank 1'!B66+'Storebrand Livsforsikring'!B66+'Telenor Forsikring'!B66+'Tryg Forsikring'!B66+'WaterCircles F'!B66+'Codan Forsikring'!B66+'Euro Accident'!B66+'Ly Forsikring'!B66+'Youplus Livsforsikring'!B66</f>
        <v>6273278.3742899997</v>
      </c>
      <c r="C66" s="320">
        <f>'Fremtind Livsforsikring'!C66+'Storebrand Danica P'!C66+'DNB Livsforsikring'!C66+'Eika Forsikring AS'!C66+'Frende Livsforsikring'!C66+'Frende Skadeforsikring'!C66+'Gjensidige Forsikring'!C66+'Gjensidige Pensjon'!C66+'Handelsbanken Liv'!C66+'If Skadeforsikring NUF'!C66+KLP!C66+'KLP Skadeforsikring AS'!C66+'Landkreditt Forsikring'!C66+'Nordea Liv '!C66+'Oslo Pensjonsforsikring'!C66+'Protector Forsikring'!C66+'SHB Liv'!C66+'Sparebank 1'!C66+'Storebrand Livsforsikring'!C66+'Telenor Forsikring'!C66+'Tryg Forsikring'!C66+'WaterCircles F'!C66+'Codan Forsikring'!C66+'Euro Accident'!C66+'Ly Forsikring'!C66+'Youplus Livsforsikring'!C66</f>
        <v>6157253.76358</v>
      </c>
      <c r="D66" s="22">
        <f t="shared" ref="D66:D111" si="23">IF(B66=0, "    ---- ", IF(ABS(ROUND(100/B66*C66-100,1))&lt;999,ROUND(100/B66*C66-100,1),IF(ROUND(100/B66*C66-100,1)&gt;999,999,-999)))</f>
        <v>-1.8</v>
      </c>
      <c r="E66" s="232">
        <f>'Fremtind Livsforsikring'!F66+'Storebrand Danica P'!F66+'DNB Livsforsikring'!F66+'Eika Forsikring AS'!F66+'Frende Livsforsikring'!F66+'Frende Skadeforsikring'!F66+'Gjensidige Forsikring'!F66+'Gjensidige Pensjon'!F66+'Handelsbanken Liv'!F66+'If Skadeforsikring NUF'!F66+KLP!F66+'KLP Skadeforsikring AS'!F66+'Landkreditt Forsikring'!F66+'Nordea Liv '!F66+'Oslo Pensjonsforsikring'!F66+'Protector Forsikring'!F66+'SHB Liv'!F66+'Sparebank 1'!F66+'Storebrand Livsforsikring'!F66+'Telenor Forsikring'!F66+'Tryg Forsikring'!F66+'WaterCircles F'!F66+'Codan Forsikring'!F66+'Euro Accident'!F66+'Ly Forsikring'!F66+'Youplus Livsforsikring'!F66</f>
        <v>28068883.722309999</v>
      </c>
      <c r="F66" s="232">
        <f>'Fremtind Livsforsikring'!G66+'Storebrand Danica P'!G66+'DNB Livsforsikring'!G66+'Eika Forsikring AS'!G66+'Frende Livsforsikring'!G66+'Frende Skadeforsikring'!G66+'Gjensidige Forsikring'!G66+'Gjensidige Pensjon'!G66+'Handelsbanken Liv'!G66+'If Skadeforsikring NUF'!G66+KLP!G66+'KLP Skadeforsikring AS'!G66+'Landkreditt Forsikring'!G66+'Nordea Liv '!G66+'Oslo Pensjonsforsikring'!G66+'Protector Forsikring'!G66+'SHB Liv'!G66+'Sparebank 1'!G66+'Storebrand Livsforsikring'!G66+'Telenor Forsikring'!G66+'Tryg Forsikring'!G66+'WaterCircles F'!G66+'Codan Forsikring'!G66+'Euro Accident'!G66+'Ly Forsikring'!G66+'Youplus Livsforsikring'!G66</f>
        <v>31504296.328440003</v>
      </c>
      <c r="G66" s="169">
        <f t="shared" ref="G66:G125" si="24">IF(E66=0, "    ---- ", IF(ABS(ROUND(100/E66*F66-100,1))&lt;999,ROUND(100/E66*F66-100,1),IF(ROUND(100/E66*F66-100,1)&gt;999,999,-999)))</f>
        <v>12.2</v>
      </c>
      <c r="H66" s="320">
        <f t="shared" ref="H66:H86" si="25">SUM(B66,E66)</f>
        <v>34342162.096599996</v>
      </c>
      <c r="I66" s="320">
        <f t="shared" ref="I66:I86" si="26">SUM(C66,F66)</f>
        <v>37661550.092020005</v>
      </c>
      <c r="J66" s="22">
        <f t="shared" ref="J66:J111" si="27">IF(H66=0, "    ---- ", IF(ABS(ROUND(100/H66*I66-100,1))&lt;999,ROUND(100/H66*I66-100,1),IF(ROUND(100/H66*I66-100,1)&gt;999,999,-999)))</f>
        <v>9.6999999999999993</v>
      </c>
    </row>
    <row r="67" spans="1:10" ht="15.75" customHeight="1" x14ac:dyDescent="0.25">
      <c r="A67" s="19" t="s">
        <v>9</v>
      </c>
      <c r="B67" s="230">
        <f>'Fremtind Livsforsikring'!B67+'Storebrand Danica P'!B67+'DNB Livsforsikring'!B67+'Eika Forsikring AS'!B67+'Frende Livsforsikring'!B67+'Frende Skadeforsikring'!B67+'Gjensidige Forsikring'!B67+'Gjensidige Pensjon'!B67+'Handelsbanken Liv'!B67+'If Skadeforsikring NUF'!B67+KLP!B67+'KLP Skadeforsikring AS'!B67+'Landkreditt Forsikring'!B67+'Nordea Liv '!B67+'Oslo Pensjonsforsikring'!B67+'Protector Forsikring'!B67+'SHB Liv'!B67+'Sparebank 1'!B67+'Storebrand Livsforsikring'!B67+'Telenor Forsikring'!B67+'Tryg Forsikring'!B67+'WaterCircles F'!B67+'Codan Forsikring'!B67+'Euro Accident'!B67+'Ly Forsikring'!B67+'Youplus Livsforsikring'!B67</f>
        <v>4460227.4679899085</v>
      </c>
      <c r="C67" s="230">
        <f>'Fremtind Livsforsikring'!C67+'Storebrand Danica P'!C67+'DNB Livsforsikring'!C67+'Eika Forsikring AS'!C67+'Frende Livsforsikring'!C67+'Frende Skadeforsikring'!C67+'Gjensidige Forsikring'!C67+'Gjensidige Pensjon'!C67+'Handelsbanken Liv'!C67+'If Skadeforsikring NUF'!C67+KLP!C67+'KLP Skadeforsikring AS'!C67+'Landkreditt Forsikring'!C67+'Nordea Liv '!C67+'Oslo Pensjonsforsikring'!C67+'Protector Forsikring'!C67+'SHB Liv'!C67+'Sparebank 1'!C67+'Storebrand Livsforsikring'!C67+'Telenor Forsikring'!C67+'Tryg Forsikring'!C67+'WaterCircles F'!C67+'Codan Forsikring'!C67+'Euro Accident'!C67+'Ly Forsikring'!C67+'Youplus Livsforsikring'!C67</f>
        <v>3994387.9670832884</v>
      </c>
      <c r="D67" s="237">
        <f t="shared" si="23"/>
        <v>-10.4</v>
      </c>
      <c r="E67" s="42"/>
      <c r="F67" s="42"/>
      <c r="G67" s="164"/>
      <c r="H67" s="233">
        <f t="shared" si="25"/>
        <v>4460227.4679899085</v>
      </c>
      <c r="I67" s="233">
        <f t="shared" si="26"/>
        <v>3994387.9670832884</v>
      </c>
      <c r="J67" s="21">
        <f t="shared" si="27"/>
        <v>-10.4</v>
      </c>
    </row>
    <row r="68" spans="1:10" ht="15.75" customHeight="1" x14ac:dyDescent="0.25">
      <c r="A68" s="19" t="s">
        <v>10</v>
      </c>
      <c r="B68" s="230">
        <f>'Fremtind Livsforsikring'!B68+'Storebrand Danica P'!B68+'DNB Livsforsikring'!B68+'Eika Forsikring AS'!B68+'Frende Livsforsikring'!B68+'Frende Skadeforsikring'!B68+'Gjensidige Forsikring'!B68+'Gjensidige Pensjon'!B68+'Handelsbanken Liv'!B68+'If Skadeforsikring NUF'!B68+KLP!B68+'KLP Skadeforsikring AS'!B68+'Landkreditt Forsikring'!B68+'Nordea Liv '!B68+'Oslo Pensjonsforsikring'!B68+'Protector Forsikring'!B68+'SHB Liv'!B68+'Sparebank 1'!B68+'Storebrand Livsforsikring'!B68+'Telenor Forsikring'!B68+'Tryg Forsikring'!B68+'WaterCircles F'!B68+'Codan Forsikring'!B68+'Euro Accident'!B68+'Ly Forsikring'!B68+'Youplus Livsforsikring'!B68</f>
        <v>34968.568589999995</v>
      </c>
      <c r="C68" s="230">
        <f>'Fremtind Livsforsikring'!C68+'Storebrand Danica P'!C68+'DNB Livsforsikring'!C68+'Eika Forsikring AS'!C68+'Frende Livsforsikring'!C68+'Frende Skadeforsikring'!C68+'Gjensidige Forsikring'!C68+'Gjensidige Pensjon'!C68+'Handelsbanken Liv'!C68+'If Skadeforsikring NUF'!C68+KLP!C68+'KLP Skadeforsikring AS'!C68+'Landkreditt Forsikring'!C68+'Nordea Liv '!C68+'Oslo Pensjonsforsikring'!C68+'Protector Forsikring'!C68+'SHB Liv'!C68+'Sparebank 1'!C68+'Storebrand Livsforsikring'!C68+'Telenor Forsikring'!C68+'Tryg Forsikring'!C68+'WaterCircles F'!C68+'Codan Forsikring'!C68+'Euro Accident'!C68+'Ly Forsikring'!C68+'Youplus Livsforsikring'!C68</f>
        <v>44307.17669</v>
      </c>
      <c r="D68" s="237">
        <f t="shared" si="23"/>
        <v>26.7</v>
      </c>
      <c r="E68" s="42">
        <f>'Fremtind Livsforsikring'!F68+'Storebrand Danica P'!F68+'DNB Livsforsikring'!F68+'Eika Forsikring AS'!F68+'Frende Livsforsikring'!F68+'Frende Skadeforsikring'!F68+'Gjensidige Forsikring'!F68+'Gjensidige Pensjon'!F68+'Handelsbanken Liv'!F68+'If Skadeforsikring NUF'!F68+KLP!F68+'KLP Skadeforsikring AS'!F68+'Landkreditt Forsikring'!F68+'Nordea Liv '!F68+'Oslo Pensjonsforsikring'!F68+'Protector Forsikring'!F68+'SHB Liv'!F68+'Sparebank 1'!F68+'Storebrand Livsforsikring'!F68+'Telenor Forsikring'!F68+'Tryg Forsikring'!F68+'WaterCircles F'!F68+'Codan Forsikring'!F68+'Euro Accident'!F68+'Ly Forsikring'!F68+'Youplus Livsforsikring'!F68</f>
        <v>26951875.208689999</v>
      </c>
      <c r="F68" s="42">
        <f>'Fremtind Livsforsikring'!G68+'Storebrand Danica P'!G68+'DNB Livsforsikring'!G68+'Eika Forsikring AS'!G68+'Frende Livsforsikring'!G68+'Frende Skadeforsikring'!G68+'Gjensidige Forsikring'!G68+'Gjensidige Pensjon'!G68+'Handelsbanken Liv'!G68+'If Skadeforsikring NUF'!G68+KLP!G68+'KLP Skadeforsikring AS'!G68+'Landkreditt Forsikring'!G68+'Nordea Liv '!G68+'Oslo Pensjonsforsikring'!G68+'Protector Forsikring'!G68+'SHB Liv'!G68+'Sparebank 1'!G68+'Storebrand Livsforsikring'!G68+'Telenor Forsikring'!G68+'Tryg Forsikring'!G68+'WaterCircles F'!G68+'Codan Forsikring'!G68+'Euro Accident'!G68+'Ly Forsikring'!G68+'Youplus Livsforsikring'!G68</f>
        <v>30300641.07102</v>
      </c>
      <c r="G68" s="164">
        <f t="shared" si="24"/>
        <v>12.4</v>
      </c>
      <c r="H68" s="233">
        <f t="shared" si="25"/>
        <v>26986843.777279999</v>
      </c>
      <c r="I68" s="233">
        <f t="shared" si="26"/>
        <v>30344948.247710001</v>
      </c>
      <c r="J68" s="21">
        <f t="shared" si="27"/>
        <v>12.4</v>
      </c>
    </row>
    <row r="69" spans="1:10" ht="15.75" customHeight="1" x14ac:dyDescent="0.2">
      <c r="A69" s="288" t="s">
        <v>365</v>
      </c>
      <c r="B69" s="231"/>
      <c r="C69" s="231"/>
      <c r="D69" s="25"/>
      <c r="E69" s="231"/>
      <c r="F69" s="231"/>
      <c r="G69" s="164"/>
      <c r="H69" s="231"/>
      <c r="I69" s="231"/>
      <c r="J69" s="21"/>
    </row>
    <row r="70" spans="1:10" ht="15.75" customHeight="1" x14ac:dyDescent="0.2">
      <c r="A70" s="288" t="s">
        <v>12</v>
      </c>
      <c r="B70" s="231"/>
      <c r="C70" s="231"/>
      <c r="D70" s="25"/>
      <c r="E70" s="231"/>
      <c r="F70" s="231"/>
      <c r="G70" s="164"/>
      <c r="H70" s="231"/>
      <c r="I70" s="231"/>
      <c r="J70" s="21"/>
    </row>
    <row r="71" spans="1:10" ht="15.75" customHeight="1" x14ac:dyDescent="0.2">
      <c r="A71" s="288" t="s">
        <v>13</v>
      </c>
      <c r="B71" s="231"/>
      <c r="C71" s="231"/>
      <c r="D71" s="25"/>
      <c r="E71" s="231"/>
      <c r="F71" s="231"/>
      <c r="G71" s="164"/>
      <c r="H71" s="231"/>
      <c r="I71" s="231"/>
      <c r="J71" s="21"/>
    </row>
    <row r="72" spans="1:10" ht="15.75" customHeight="1" x14ac:dyDescent="0.2">
      <c r="A72" s="288" t="s">
        <v>366</v>
      </c>
      <c r="B72" s="231"/>
      <c r="C72" s="231"/>
      <c r="D72" s="25"/>
      <c r="E72" s="231"/>
      <c r="F72" s="231"/>
      <c r="G72" s="164"/>
      <c r="H72" s="231"/>
      <c r="I72" s="231"/>
      <c r="J72" s="22"/>
    </row>
    <row r="73" spans="1:10" ht="15.75" customHeight="1" x14ac:dyDescent="0.2">
      <c r="A73" s="288" t="s">
        <v>12</v>
      </c>
      <c r="B73" s="231"/>
      <c r="C73" s="231"/>
      <c r="D73" s="25"/>
      <c r="E73" s="231"/>
      <c r="F73" s="231"/>
      <c r="G73" s="164"/>
      <c r="H73" s="231"/>
      <c r="I73" s="231"/>
      <c r="J73" s="21"/>
    </row>
    <row r="74" spans="1:10" s="3" customFormat="1" ht="15.75" customHeight="1" x14ac:dyDescent="0.2">
      <c r="A74" s="288" t="s">
        <v>13</v>
      </c>
      <c r="B74" s="231"/>
      <c r="C74" s="231"/>
      <c r="D74" s="25"/>
      <c r="E74" s="231"/>
      <c r="F74" s="231"/>
      <c r="G74" s="164"/>
      <c r="H74" s="231"/>
      <c r="I74" s="231"/>
      <c r="J74" s="21"/>
    </row>
    <row r="75" spans="1:10" s="3" customFormat="1" ht="15.75" customHeight="1" x14ac:dyDescent="0.2">
      <c r="A75" s="19" t="s">
        <v>337</v>
      </c>
      <c r="B75" s="42">
        <f>'Fremtind Livsforsikring'!B75+'Storebrand Danica P'!B75+'DNB Livsforsikring'!B75+'Eika Forsikring AS'!B75+'Frende Livsforsikring'!B75+'Frende Skadeforsikring'!B75+'Gjensidige Forsikring'!B75+'Gjensidige Pensjon'!B75+'Handelsbanken Liv'!B75+'If Skadeforsikring NUF'!B75+KLP!B75+'KLP Skadeforsikring AS'!B75+'Landkreditt Forsikring'!B75+'Nordea Liv '!B75+'Oslo Pensjonsforsikring'!B75+'Protector Forsikring'!B75+'SHB Liv'!B75+'Sparebank 1'!B75+'Storebrand Livsforsikring'!B75+'Telenor Forsikring'!B75+'Tryg Forsikring'!B75+'WaterCircles F'!B75+'Codan Forsikring'!B75+'Euro Accident'!B75+'Ly Forsikring'!B75+'Youplus Livsforsikring'!B75</f>
        <v>409420.10761000001</v>
      </c>
      <c r="C75" s="42">
        <f>'Fremtind Livsforsikring'!C75+'Storebrand Danica P'!C75+'DNB Livsforsikring'!C75+'Eika Forsikring AS'!C75+'Frende Livsforsikring'!C75+'Frende Skadeforsikring'!C75+'Gjensidige Forsikring'!C75+'Gjensidige Pensjon'!C75+'Handelsbanken Liv'!C75+'If Skadeforsikring NUF'!C75+KLP!C75+'KLP Skadeforsikring AS'!C75+'Landkreditt Forsikring'!C75+'Nordea Liv '!C75+'Oslo Pensjonsforsikring'!C75+'Protector Forsikring'!C75+'SHB Liv'!C75+'Sparebank 1'!C75+'Storebrand Livsforsikring'!C75+'Telenor Forsikring'!C75+'Tryg Forsikring'!C75+'WaterCircles F'!C75+'Codan Forsikring'!C75+'Euro Accident'!C75+'Ly Forsikring'!C75+'Youplus Livsforsikring'!C75</f>
        <v>483612.14775</v>
      </c>
      <c r="D75" s="21">
        <f t="shared" si="23"/>
        <v>18.100000000000001</v>
      </c>
      <c r="E75" s="42">
        <f>'Fremtind Livsforsikring'!F75+'Storebrand Danica P'!F75+'DNB Livsforsikring'!F75+'Eika Forsikring AS'!F75+'Frende Livsforsikring'!F75+'Frende Skadeforsikring'!F75+'Gjensidige Forsikring'!F75+'Gjensidige Pensjon'!F75+'Handelsbanken Liv'!F75+'If Skadeforsikring NUF'!F75+KLP!F75+'KLP Skadeforsikring AS'!F75+'Landkreditt Forsikring'!F75+'Nordea Liv '!F75+'Oslo Pensjonsforsikring'!F75+'Protector Forsikring'!F75+'SHB Liv'!F75+'Sparebank 1'!F75+'Storebrand Livsforsikring'!F75+'Telenor Forsikring'!F75+'Tryg Forsikring'!F75+'WaterCircles F'!F75+'Codan Forsikring'!F75+'Euro Accident'!F75+'Ly Forsikring'!F75+'Youplus Livsforsikring'!F75</f>
        <v>1117008.5136199999</v>
      </c>
      <c r="F75" s="42">
        <f>'Fremtind Livsforsikring'!G75+'Storebrand Danica P'!G75+'DNB Livsforsikring'!G75+'Eika Forsikring AS'!G75+'Frende Livsforsikring'!G75+'Frende Skadeforsikring'!G75+'Gjensidige Forsikring'!G75+'Gjensidige Pensjon'!G75+'Handelsbanken Liv'!G75+'If Skadeforsikring NUF'!G75+KLP!G75+'KLP Skadeforsikring AS'!G75+'Landkreditt Forsikring'!G75+'Nordea Liv '!G75+'Oslo Pensjonsforsikring'!G75+'Protector Forsikring'!G75+'SHB Liv'!G75+'Sparebank 1'!G75+'Storebrand Livsforsikring'!G75+'Telenor Forsikring'!G75+'Tryg Forsikring'!G75+'WaterCircles F'!G75+'Codan Forsikring'!G75+'Euro Accident'!G75+'Ly Forsikring'!G75+'Youplus Livsforsikring'!G75</f>
        <v>1203655.2574200002</v>
      </c>
      <c r="G75" s="164">
        <f t="shared" si="24"/>
        <v>7.8</v>
      </c>
      <c r="H75" s="233">
        <f t="shared" si="25"/>
        <v>1526428.6212299999</v>
      </c>
      <c r="I75" s="233">
        <f t="shared" si="26"/>
        <v>1687267.4051700002</v>
      </c>
      <c r="J75" s="21">
        <f t="shared" si="27"/>
        <v>10.5</v>
      </c>
    </row>
    <row r="76" spans="1:10" s="3" customFormat="1" ht="15.75" customHeight="1" x14ac:dyDescent="0.2">
      <c r="A76" s="19" t="s">
        <v>336</v>
      </c>
      <c r="B76" s="42">
        <f>'Fremtind Livsforsikring'!B76+'Storebrand Danica P'!B76+'DNB Livsforsikring'!B76+'Eika Forsikring AS'!B76+'Frende Livsforsikring'!B76+'Frende Skadeforsikring'!B76+'Gjensidige Forsikring'!B76+'Gjensidige Pensjon'!B76+'Handelsbanken Liv'!B76+'If Skadeforsikring NUF'!B76+KLP!B76+'KLP Skadeforsikring AS'!B76+'Landkreditt Forsikring'!B76+'Nordea Liv '!B76+'Oslo Pensjonsforsikring'!B76+'Protector Forsikring'!B76+'SHB Liv'!B76+'Sparebank 1'!B76+'Storebrand Livsforsikring'!B76+'Telenor Forsikring'!B76+'Tryg Forsikring'!B76+'WaterCircles F'!B76+'Codan Forsikring'!B76+'Euro Accident'!B76+'Ly Forsikring'!B76+'Youplus Livsforsikring'!B76</f>
        <v>1368662.230100092</v>
      </c>
      <c r="C76" s="42">
        <f>'Fremtind Livsforsikring'!C76+'Storebrand Danica P'!C76+'DNB Livsforsikring'!C76+'Eika Forsikring AS'!C76+'Frende Livsforsikring'!C76+'Frende Skadeforsikring'!C76+'Gjensidige Forsikring'!C76+'Gjensidige Pensjon'!C76+'Handelsbanken Liv'!C76+'If Skadeforsikring NUF'!C76+KLP!C76+'KLP Skadeforsikring AS'!C76+'Landkreditt Forsikring'!C76+'Nordea Liv '!C76+'Oslo Pensjonsforsikring'!C76+'Protector Forsikring'!C76+'SHB Liv'!C76+'Sparebank 1'!C76+'Storebrand Livsforsikring'!C76+'Telenor Forsikring'!C76+'Tryg Forsikring'!C76+'WaterCircles F'!C76+'Codan Forsikring'!C76+'Euro Accident'!C76+'Ly Forsikring'!C76+'Youplus Livsforsikring'!C76</f>
        <v>1634946.472056712</v>
      </c>
      <c r="D76" s="21">
        <f t="shared" ref="D76" si="28">IF(B76=0, "    ---- ", IF(ABS(ROUND(100/B76*C76-100,1))&lt;999,ROUND(100/B76*C76-100,1),IF(ROUND(100/B76*C76-100,1)&gt;999,999,-999)))</f>
        <v>19.5</v>
      </c>
      <c r="E76" s="42"/>
      <c r="F76" s="42"/>
      <c r="G76" s="164"/>
      <c r="H76" s="233">
        <f t="shared" ref="H76" si="29">SUM(B76,E76)</f>
        <v>1368662.230100092</v>
      </c>
      <c r="I76" s="233">
        <f t="shared" ref="I76" si="30">SUM(C76,F76)</f>
        <v>1634946.472056712</v>
      </c>
      <c r="J76" s="21">
        <f t="shared" ref="J76" si="31">IF(H76=0, "    ---- ", IF(ABS(ROUND(100/H76*I76-100,1))&lt;999,ROUND(100/H76*I76-100,1),IF(ROUND(100/H76*I76-100,1)&gt;999,999,-999)))</f>
        <v>19.5</v>
      </c>
    </row>
    <row r="77" spans="1:10" ht="15.75" customHeight="1" x14ac:dyDescent="0.2">
      <c r="A77" s="19" t="s">
        <v>367</v>
      </c>
      <c r="B77" s="42">
        <f>'Fremtind Livsforsikring'!B77+'Storebrand Danica P'!B77+'DNB Livsforsikring'!B77+'Eika Forsikring AS'!B77+'Frende Livsforsikring'!B77+'Frende Skadeforsikring'!B77+'Gjensidige Forsikring'!B77+'Gjensidige Pensjon'!B77+'Handelsbanken Liv'!B77+'If Skadeforsikring NUF'!B77+KLP!B77+'KLP Skadeforsikring AS'!B77+'Landkreditt Forsikring'!B77+'Nordea Liv '!B77+'Oslo Pensjonsforsikring'!B77+'Protector Forsikring'!B77+'SHB Liv'!B77+'Sparebank 1'!B77+'Storebrand Livsforsikring'!B77+'Telenor Forsikring'!B77+'Tryg Forsikring'!B77+'WaterCircles F'!B77+'Codan Forsikring'!B77+'Euro Accident'!B77+'Ly Forsikring'!B77+'Youplus Livsforsikring'!B77</f>
        <v>4402810.0495799081</v>
      </c>
      <c r="C77" s="42">
        <f>'Fremtind Livsforsikring'!C77+'Storebrand Danica P'!C77+'DNB Livsforsikring'!C77+'Eika Forsikring AS'!C77+'Frende Livsforsikring'!C77+'Frende Skadeforsikring'!C77+'Gjensidige Forsikring'!C77+'Gjensidige Pensjon'!C77+'Handelsbanken Liv'!C77+'If Skadeforsikring NUF'!C77+KLP!C77+'KLP Skadeforsikring AS'!C77+'Landkreditt Forsikring'!C77+'Nordea Liv '!C77+'Oslo Pensjonsforsikring'!C77+'Protector Forsikring'!C77+'SHB Liv'!C77+'Sparebank 1'!C77+'Storebrand Livsforsikring'!C77+'Telenor Forsikring'!C77+'Tryg Forsikring'!C77+'WaterCircles F'!C77+'Codan Forsikring'!C77+'Euro Accident'!C77+'Ly Forsikring'!C77+'Youplus Livsforsikring'!C77</f>
        <v>3959057.4017732879</v>
      </c>
      <c r="D77" s="21">
        <f t="shared" si="23"/>
        <v>-10.1</v>
      </c>
      <c r="E77" s="42">
        <f>'Fremtind Livsforsikring'!F77+'Storebrand Danica P'!F77+'DNB Livsforsikring'!F77+'Eika Forsikring AS'!F77+'Frende Livsforsikring'!F77+'Frende Skadeforsikring'!F77+'Gjensidige Forsikring'!F77+'Gjensidige Pensjon'!F77+'Handelsbanken Liv'!F77+'If Skadeforsikring NUF'!F77+KLP!F77+'KLP Skadeforsikring AS'!F77+'Landkreditt Forsikring'!F77+'Nordea Liv '!F77+'Oslo Pensjonsforsikring'!F77+'Protector Forsikring'!F77+'SHB Liv'!F77+'Sparebank 1'!F77+'Storebrand Livsforsikring'!F77+'Telenor Forsikring'!F77+'Tryg Forsikring'!F77+'WaterCircles F'!F77+'Codan Forsikring'!F77+'Euro Accident'!F77+'Ly Forsikring'!F77+'Youplus Livsforsikring'!F77</f>
        <v>26942305.405850001</v>
      </c>
      <c r="F77" s="42">
        <f>'Fremtind Livsforsikring'!G77+'Storebrand Danica P'!G77+'DNB Livsforsikring'!G77+'Eika Forsikring AS'!G77+'Frende Livsforsikring'!G77+'Frende Skadeforsikring'!G77+'Gjensidige Forsikring'!G77+'Gjensidige Pensjon'!G77+'Handelsbanken Liv'!G77+'If Skadeforsikring NUF'!G77+KLP!G77+'KLP Skadeforsikring AS'!G77+'Landkreditt Forsikring'!G77+'Nordea Liv '!G77+'Oslo Pensjonsforsikring'!G77+'Protector Forsikring'!G77+'SHB Liv'!G77+'Sparebank 1'!G77+'Storebrand Livsforsikring'!G77+'Telenor Forsikring'!G77+'Tryg Forsikring'!G77+'WaterCircles F'!G77+'Codan Forsikring'!G77+'Euro Accident'!G77+'Ly Forsikring'!G77+'Youplus Livsforsikring'!G77</f>
        <v>30290781.225000001</v>
      </c>
      <c r="G77" s="164">
        <f t="shared" si="24"/>
        <v>12.4</v>
      </c>
      <c r="H77" s="233">
        <f t="shared" si="25"/>
        <v>31345115.455429908</v>
      </c>
      <c r="I77" s="233">
        <f t="shared" si="26"/>
        <v>34249838.62677329</v>
      </c>
      <c r="J77" s="21">
        <f t="shared" si="27"/>
        <v>9.3000000000000007</v>
      </c>
    </row>
    <row r="78" spans="1:10" ht="15.75" customHeight="1" x14ac:dyDescent="0.2">
      <c r="A78" s="19" t="s">
        <v>9</v>
      </c>
      <c r="B78" s="42">
        <f>'Fremtind Livsforsikring'!B78+'Storebrand Danica P'!B78+'DNB Livsforsikring'!B78+'Eika Forsikring AS'!B78+'Frende Livsforsikring'!B78+'Frende Skadeforsikring'!B78+'Gjensidige Forsikring'!B78+'Gjensidige Pensjon'!B78+'Handelsbanken Liv'!B78+'If Skadeforsikring NUF'!B78+KLP!B78+'KLP Skadeforsikring AS'!B78+'Landkreditt Forsikring'!B78+'Nordea Liv '!B78+'Oslo Pensjonsforsikring'!B78+'Protector Forsikring'!B78+'SHB Liv'!B78+'Sparebank 1'!B78+'Storebrand Livsforsikring'!B78+'Telenor Forsikring'!B78+'Tryg Forsikring'!B78+'WaterCircles F'!B78+'Codan Forsikring'!B78+'Euro Accident'!B78+'Ly Forsikring'!B78+'Youplus Livsforsikring'!B78</f>
        <v>4369550.9009899078</v>
      </c>
      <c r="C78" s="42">
        <f>'Fremtind Livsforsikring'!C78+'Storebrand Danica P'!C78+'DNB Livsforsikring'!C78+'Eika Forsikring AS'!C78+'Frende Livsforsikring'!C78+'Frende Skadeforsikring'!C78+'Gjensidige Forsikring'!C78+'Gjensidige Pensjon'!C78+'Handelsbanken Liv'!C78+'If Skadeforsikring NUF'!C78+KLP!C78+'KLP Skadeforsikring AS'!C78+'Landkreditt Forsikring'!C78+'Nordea Liv '!C78+'Oslo Pensjonsforsikring'!C78+'Protector Forsikring'!C78+'SHB Liv'!C78+'Sparebank 1'!C78+'Storebrand Livsforsikring'!C78+'Telenor Forsikring'!C78+'Tryg Forsikring'!C78+'WaterCircles F'!C78+'Codan Forsikring'!C78+'Euro Accident'!C78+'Ly Forsikring'!C78+'Youplus Livsforsikring'!C78</f>
        <v>3916810.8870832883</v>
      </c>
      <c r="D78" s="21">
        <f t="shared" si="23"/>
        <v>-10.4</v>
      </c>
      <c r="E78" s="42"/>
      <c r="F78" s="42"/>
      <c r="G78" s="164"/>
      <c r="H78" s="233">
        <f t="shared" si="25"/>
        <v>4369550.9009899078</v>
      </c>
      <c r="I78" s="233">
        <f t="shared" si="26"/>
        <v>3916810.8870832883</v>
      </c>
      <c r="J78" s="21">
        <f t="shared" si="27"/>
        <v>-10.4</v>
      </c>
    </row>
    <row r="79" spans="1:10" ht="15.75" customHeight="1" x14ac:dyDescent="0.2">
      <c r="A79" s="36" t="s">
        <v>400</v>
      </c>
      <c r="B79" s="42">
        <f>'Fremtind Livsforsikring'!B79+'Storebrand Danica P'!B79+'DNB Livsforsikring'!B79+'Eika Forsikring AS'!B79+'Frende Livsforsikring'!B79+'Frende Skadeforsikring'!B79+'Gjensidige Forsikring'!B79+'Gjensidige Pensjon'!B79+'Handelsbanken Liv'!B79+'If Skadeforsikring NUF'!B79+KLP!B79+'KLP Skadeforsikring AS'!B79+'Landkreditt Forsikring'!B79+'Nordea Liv '!B79+'Oslo Pensjonsforsikring'!B79+'Protector Forsikring'!B79+'SHB Liv'!B79+'Sparebank 1'!B79+'Storebrand Livsforsikring'!B79+'Telenor Forsikring'!B79+'Tryg Forsikring'!B79+'WaterCircles F'!B79+'Codan Forsikring'!B79+'Euro Accident'!B79+'Ly Forsikring'!B79+'Youplus Livsforsikring'!B79</f>
        <v>33259.148589999997</v>
      </c>
      <c r="C79" s="42">
        <f>'Fremtind Livsforsikring'!C79+'Storebrand Danica P'!C79+'DNB Livsforsikring'!C79+'Eika Forsikring AS'!C79+'Frende Livsforsikring'!C79+'Frende Skadeforsikring'!C79+'Gjensidige Forsikring'!C79+'Gjensidige Pensjon'!C79+'Handelsbanken Liv'!C79+'If Skadeforsikring NUF'!C79+KLP!C79+'KLP Skadeforsikring AS'!C79+'Landkreditt Forsikring'!C79+'Nordea Liv '!C79+'Oslo Pensjonsforsikring'!C79+'Protector Forsikring'!C79+'SHB Liv'!C79+'Sparebank 1'!C79+'Storebrand Livsforsikring'!C79+'Telenor Forsikring'!C79+'Tryg Forsikring'!C79+'WaterCircles F'!C79+'Codan Forsikring'!C79+'Euro Accident'!C79+'Ly Forsikring'!C79+'Youplus Livsforsikring'!C79</f>
        <v>42246.514690000004</v>
      </c>
      <c r="D79" s="21">
        <f t="shared" si="23"/>
        <v>27</v>
      </c>
      <c r="E79" s="42">
        <f>'Fremtind Livsforsikring'!F79+'Storebrand Danica P'!F79+'DNB Livsforsikring'!F79+'Eika Forsikring AS'!F79+'Frende Livsforsikring'!F79+'Frende Skadeforsikring'!F79+'Gjensidige Forsikring'!F79+'Gjensidige Pensjon'!F79+'Handelsbanken Liv'!F79+'If Skadeforsikring NUF'!F79+KLP!F79+'KLP Skadeforsikring AS'!F79+'Landkreditt Forsikring'!F79+'Nordea Liv '!F79+'Oslo Pensjonsforsikring'!F79+'Protector Forsikring'!F79+'SHB Liv'!F79+'Sparebank 1'!F79+'Storebrand Livsforsikring'!F79+'Telenor Forsikring'!F79+'Tryg Forsikring'!F79+'WaterCircles F'!F79+'Codan Forsikring'!F79+'Euro Accident'!F79+'Ly Forsikring'!F79+'Youplus Livsforsikring'!F79</f>
        <v>26942305.405850001</v>
      </c>
      <c r="F79" s="42">
        <f>'Fremtind Livsforsikring'!G79+'Storebrand Danica P'!G79+'DNB Livsforsikring'!G79+'Eika Forsikring AS'!G79+'Frende Livsforsikring'!G79+'Frende Skadeforsikring'!G79+'Gjensidige Forsikring'!G79+'Gjensidige Pensjon'!G79+'Handelsbanken Liv'!G79+'If Skadeforsikring NUF'!G79+KLP!G79+'KLP Skadeforsikring AS'!G79+'Landkreditt Forsikring'!G79+'Nordea Liv '!G79+'Oslo Pensjonsforsikring'!G79+'Protector Forsikring'!G79+'SHB Liv'!G79+'Sparebank 1'!G79+'Storebrand Livsforsikring'!G79+'Telenor Forsikring'!G79+'Tryg Forsikring'!G79+'WaterCircles F'!G79+'Codan Forsikring'!G79+'Euro Accident'!G79+'Ly Forsikring'!G79+'Youplus Livsforsikring'!G79</f>
        <v>30290781.225000001</v>
      </c>
      <c r="G79" s="164">
        <f t="shared" si="24"/>
        <v>12.4</v>
      </c>
      <c r="H79" s="233">
        <f t="shared" si="25"/>
        <v>26975564.554439999</v>
      </c>
      <c r="I79" s="233">
        <f t="shared" si="26"/>
        <v>30333027.739690002</v>
      </c>
      <c r="J79" s="21">
        <f t="shared" si="27"/>
        <v>12.4</v>
      </c>
    </row>
    <row r="80" spans="1:10" ht="15.75" customHeight="1" x14ac:dyDescent="0.2">
      <c r="A80" s="288" t="s">
        <v>365</v>
      </c>
      <c r="B80" s="231"/>
      <c r="C80" s="231"/>
      <c r="D80" s="25"/>
      <c r="E80" s="231"/>
      <c r="F80" s="231"/>
      <c r="G80" s="164"/>
      <c r="H80" s="231"/>
      <c r="I80" s="231"/>
      <c r="J80" s="21"/>
    </row>
    <row r="81" spans="1:13" ht="15.75" customHeight="1" x14ac:dyDescent="0.2">
      <c r="A81" s="288" t="s">
        <v>12</v>
      </c>
      <c r="B81" s="231"/>
      <c r="C81" s="231"/>
      <c r="D81" s="25"/>
      <c r="E81" s="231"/>
      <c r="F81" s="231"/>
      <c r="G81" s="164"/>
      <c r="H81" s="231"/>
      <c r="I81" s="231"/>
      <c r="J81" s="21"/>
    </row>
    <row r="82" spans="1:13" ht="15.75" customHeight="1" x14ac:dyDescent="0.2">
      <c r="A82" s="288" t="s">
        <v>13</v>
      </c>
      <c r="B82" s="231"/>
      <c r="C82" s="231"/>
      <c r="D82" s="25"/>
      <c r="E82" s="231"/>
      <c r="F82" s="231"/>
      <c r="G82" s="164"/>
      <c r="H82" s="231"/>
      <c r="I82" s="231"/>
      <c r="J82" s="21"/>
    </row>
    <row r="83" spans="1:13" ht="15.75" customHeight="1" x14ac:dyDescent="0.2">
      <c r="A83" s="288" t="s">
        <v>366</v>
      </c>
      <c r="B83" s="231"/>
      <c r="C83" s="231"/>
      <c r="D83" s="25"/>
      <c r="E83" s="231"/>
      <c r="F83" s="231"/>
      <c r="G83" s="164"/>
      <c r="H83" s="231"/>
      <c r="I83" s="231"/>
      <c r="J83" s="22"/>
    </row>
    <row r="84" spans="1:13" ht="15.75" customHeight="1" x14ac:dyDescent="0.2">
      <c r="A84" s="288" t="s">
        <v>12</v>
      </c>
      <c r="B84" s="231"/>
      <c r="C84" s="231"/>
      <c r="D84" s="25"/>
      <c r="E84" s="231"/>
      <c r="F84" s="231"/>
      <c r="G84" s="164"/>
      <c r="H84" s="231"/>
      <c r="I84" s="231"/>
      <c r="J84" s="21"/>
    </row>
    <row r="85" spans="1:13" ht="15.75" customHeight="1" x14ac:dyDescent="0.2">
      <c r="A85" s="288" t="s">
        <v>13</v>
      </c>
      <c r="B85" s="231"/>
      <c r="C85" s="231"/>
      <c r="D85" s="25"/>
      <c r="E85" s="231"/>
      <c r="F85" s="231"/>
      <c r="G85" s="164"/>
      <c r="H85" s="231"/>
      <c r="I85" s="231"/>
      <c r="J85" s="21"/>
    </row>
    <row r="86" spans="1:13" ht="15.75" customHeight="1" x14ac:dyDescent="0.2">
      <c r="A86" s="19" t="s">
        <v>368</v>
      </c>
      <c r="B86" s="230">
        <f>'Fremtind Livsforsikring'!B86+'Storebrand Danica P'!B86+'DNB Livsforsikring'!B86+'Eika Forsikring AS'!B86+'Frende Livsforsikring'!B86+'Frende Skadeforsikring'!B86+'Gjensidige Forsikring'!B86+'Gjensidige Pensjon'!B86+'Handelsbanken Liv'!B86+'If Skadeforsikring NUF'!B86+KLP!B86+'KLP Skadeforsikring AS'!B86+'Landkreditt Forsikring'!B86+'Nordea Liv '!B86+'Oslo Pensjonsforsikring'!B86+'Protector Forsikring'!B86+'SHB Liv'!B86+'Sparebank 1'!B86+'Storebrand Livsforsikring'!B86+'Telenor Forsikring'!B86+'Tryg Forsikring'!B86+'WaterCircles F'!B86+'Codan Forsikring'!B86+'Euro Accident'!B86+'Ly Forsikring'!B86+'Youplus Livsforsikring'!B86</f>
        <v>92385.418999999994</v>
      </c>
      <c r="C86" s="230">
        <f>'Fremtind Livsforsikring'!C86+'Storebrand Danica P'!C86+'DNB Livsforsikring'!C86+'Eika Forsikring AS'!C86+'Frende Livsforsikring'!C86+'Frende Skadeforsikring'!C86+'Gjensidige Forsikring'!C86+'Gjensidige Pensjon'!C86+'Handelsbanken Liv'!C86+'If Skadeforsikring NUF'!C86+KLP!C86+'KLP Skadeforsikring AS'!C86+'Landkreditt Forsikring'!C86+'Nordea Liv '!C86+'Oslo Pensjonsforsikring'!C86+'Protector Forsikring'!C86+'SHB Liv'!C86+'Sparebank 1'!C86+'Storebrand Livsforsikring'!C86+'Telenor Forsikring'!C86+'Tryg Forsikring'!C86+'WaterCircles F'!C86+'Codan Forsikring'!C86+'Euro Accident'!C86+'Ly Forsikring'!C86+'Youplus Livsforsikring'!C86</f>
        <v>79637.248000000007</v>
      </c>
      <c r="D86" s="21">
        <f t="shared" si="23"/>
        <v>-13.8</v>
      </c>
      <c r="E86" s="42">
        <f>'Fremtind Livsforsikring'!F86+'Storebrand Danica P'!F86+'DNB Livsforsikring'!F86+'Eika Forsikring AS'!F86+'Frende Livsforsikring'!F86+'Frende Skadeforsikring'!F86+'Gjensidige Forsikring'!F86+'Gjensidige Pensjon'!F86+'Handelsbanken Liv'!F86+'If Skadeforsikring NUF'!F86+KLP!F86+'KLP Skadeforsikring AS'!F86+'Landkreditt Forsikring'!F86+'Nordea Liv '!F86+'Oslo Pensjonsforsikring'!F86+'Protector Forsikring'!F86+'SHB Liv'!F86+'Sparebank 1'!F86+'Storebrand Livsforsikring'!F86+'Telenor Forsikring'!F86+'Tryg Forsikring'!F86+'WaterCircles F'!F86+'Codan Forsikring'!F86+'Euro Accident'!F86+'Ly Forsikring'!F86+'Youplus Livsforsikring'!F86</f>
        <v>9569.8028400000003</v>
      </c>
      <c r="F86" s="42">
        <f>'Fremtind Livsforsikring'!G86+'Storebrand Danica P'!G86+'DNB Livsforsikring'!G86+'Eika Forsikring AS'!G86+'Frende Livsforsikring'!G86+'Frende Skadeforsikring'!G86+'Gjensidige Forsikring'!G86+'Gjensidige Pensjon'!G86+'Handelsbanken Liv'!G86+'If Skadeforsikring NUF'!G86+KLP!G86+'KLP Skadeforsikring AS'!G86+'Landkreditt Forsikring'!G86+'Nordea Liv '!G86+'Oslo Pensjonsforsikring'!G86+'Protector Forsikring'!G86+'SHB Liv'!G86+'Sparebank 1'!G86+'Storebrand Livsforsikring'!G86+'Telenor Forsikring'!G86+'Tryg Forsikring'!G86+'WaterCircles F'!G86+'Codan Forsikring'!G86+'Euro Accident'!G86+'Ly Forsikring'!G86+'Youplus Livsforsikring'!G86</f>
        <v>9859.8460200000009</v>
      </c>
      <c r="G86" s="164">
        <f t="shared" si="24"/>
        <v>3</v>
      </c>
      <c r="H86" s="233">
        <f t="shared" si="25"/>
        <v>101955.22184</v>
      </c>
      <c r="I86" s="233">
        <f t="shared" si="26"/>
        <v>89497.094020000004</v>
      </c>
      <c r="J86" s="21">
        <f t="shared" si="27"/>
        <v>-12.2</v>
      </c>
    </row>
    <row r="87" spans="1:13" s="41" customFormat="1" ht="15.75" customHeight="1" x14ac:dyDescent="0.2">
      <c r="A87" s="13" t="s">
        <v>350</v>
      </c>
      <c r="B87" s="300">
        <f>'Fremtind Livsforsikring'!B87+'Storebrand Danica P'!B87+'DNB Livsforsikring'!B87+'Eika Forsikring AS'!B87+'Frende Livsforsikring'!B87+'Frende Skadeforsikring'!B87+'Gjensidige Forsikring'!B87+'Gjensidige Pensjon'!B87+'Handelsbanken Liv'!B87+'If Skadeforsikring NUF'!B87+KLP!B87+'KLP Skadeforsikring AS'!B87+'Landkreditt Forsikring'!B87+'Nordea Liv '!B87+'Oslo Pensjonsforsikring'!B87+'Protector Forsikring'!B87+'SHB Liv'!B87+'Sparebank 1'!B87+'Storebrand Livsforsikring'!B87+'Telenor Forsikring'!B87+'Tryg Forsikring'!B87+'WaterCircles F'!B87+'Codan Forsikring'!B87+'Euro Accident'!B87+'Ly Forsikring'!B87+'Youplus Livsforsikring'!B87</f>
        <v>401391176.2420643</v>
      </c>
      <c r="C87" s="300">
        <f>'Fremtind Livsforsikring'!C87+'Storebrand Danica P'!C87+'DNB Livsforsikring'!C87+'Eika Forsikring AS'!C87+'Frende Livsforsikring'!C87+'Frende Skadeforsikring'!C87+'Gjensidige Forsikring'!C87+'Gjensidige Pensjon'!C87+'Handelsbanken Liv'!C87+'If Skadeforsikring NUF'!C87+KLP!C87+'KLP Skadeforsikring AS'!C87+'Landkreditt Forsikring'!C87+'Nordea Liv '!C87+'Oslo Pensjonsforsikring'!C87+'Protector Forsikring'!C87+'SHB Liv'!C87+'Sparebank 1'!C87+'Storebrand Livsforsikring'!C87+'Telenor Forsikring'!C87+'Tryg Forsikring'!C87+'WaterCircles F'!C87+'Codan Forsikring'!C87+'Euro Accident'!C87+'Ly Forsikring'!C87+'Youplus Livsforsikring'!C87</f>
        <v>402303545.52387029</v>
      </c>
      <c r="D87" s="22">
        <f t="shared" si="23"/>
        <v>0.2</v>
      </c>
      <c r="E87" s="232">
        <f>'Fremtind Livsforsikring'!F87+'Storebrand Danica P'!F87+'DNB Livsforsikring'!F87+'Eika Forsikring AS'!F87+'Frende Livsforsikring'!F87+'Frende Skadeforsikring'!F87+'Gjensidige Forsikring'!F87+'Gjensidige Pensjon'!F87+'Handelsbanken Liv'!F87+'If Skadeforsikring NUF'!F87+KLP!F87+'KLP Skadeforsikring AS'!F87+'Landkreditt Forsikring'!F87+'Nordea Liv '!F87+'Oslo Pensjonsforsikring'!F87+'Protector Forsikring'!F87+'SHB Liv'!F87+'Sparebank 1'!F87+'Storebrand Livsforsikring'!F87+'Telenor Forsikring'!F87+'Tryg Forsikring'!F87+'WaterCircles F'!F87+'Codan Forsikring'!F87+'Euro Accident'!F87+'Ly Forsikring'!F87+'Youplus Livsforsikring'!F87</f>
        <v>425136544.02149999</v>
      </c>
      <c r="F87" s="232">
        <f>'Fremtind Livsforsikring'!G87+'Storebrand Danica P'!G87+'DNB Livsforsikring'!G87+'Eika Forsikring AS'!G87+'Frende Livsforsikring'!G87+'Frende Skadeforsikring'!G87+'Gjensidige Forsikring'!G87+'Gjensidige Pensjon'!G87+'Handelsbanken Liv'!G87+'If Skadeforsikring NUF'!G87+KLP!G87+'KLP Skadeforsikring AS'!G87+'Landkreditt Forsikring'!G87+'Nordea Liv '!G87+'Oslo Pensjonsforsikring'!G87+'Protector Forsikring'!G87+'SHB Liv'!G87+'Sparebank 1'!G87+'Storebrand Livsforsikring'!G87+'Telenor Forsikring'!G87+'Tryg Forsikring'!G87+'WaterCircles F'!G87+'Codan Forsikring'!G87+'Euro Accident'!G87+'Ly Forsikring'!G87+'Youplus Livsforsikring'!G87</f>
        <v>413916144.54160994</v>
      </c>
      <c r="G87" s="169">
        <f t="shared" si="24"/>
        <v>-2.6</v>
      </c>
      <c r="H87" s="320">
        <f t="shared" ref="H87:H111" si="32">SUM(B87,E87)</f>
        <v>826527720.26356435</v>
      </c>
      <c r="I87" s="320">
        <f t="shared" ref="I87:I111" si="33">SUM(C87,F87)</f>
        <v>816219690.06548023</v>
      </c>
      <c r="J87" s="22">
        <f t="shared" si="27"/>
        <v>-1.2</v>
      </c>
    </row>
    <row r="88" spans="1:13" ht="15.75" customHeight="1" x14ac:dyDescent="0.2">
      <c r="A88" s="19" t="s">
        <v>9</v>
      </c>
      <c r="B88" s="230">
        <f>'Fremtind Livsforsikring'!B88+'Storebrand Danica P'!B88+'DNB Livsforsikring'!B88+'Eika Forsikring AS'!B88+'Frende Livsforsikring'!B88+'Frende Skadeforsikring'!B88+'Gjensidige Forsikring'!B88+'Gjensidige Pensjon'!B88+'Handelsbanken Liv'!B88+'If Skadeforsikring NUF'!B88+KLP!B88+'KLP Skadeforsikring AS'!B88+'Landkreditt Forsikring'!B88+'Nordea Liv '!B88+'Oslo Pensjonsforsikring'!B88+'Protector Forsikring'!B88+'SHB Liv'!B88+'Sparebank 1'!B88+'Storebrand Livsforsikring'!B88+'Telenor Forsikring'!B88+'Tryg Forsikring'!B88+'WaterCircles F'!B88+'Codan Forsikring'!B88+'Euro Accident'!B88+'Ly Forsikring'!B88+'Youplus Livsforsikring'!B88</f>
        <v>388272581.2256043</v>
      </c>
      <c r="C88" s="230">
        <f>'Fremtind Livsforsikring'!C88+'Storebrand Danica P'!C88+'DNB Livsforsikring'!C88+'Eika Forsikring AS'!C88+'Frende Livsforsikring'!C88+'Frende Skadeforsikring'!C88+'Gjensidige Forsikring'!C88+'Gjensidige Pensjon'!C88+'Handelsbanken Liv'!C88+'If Skadeforsikring NUF'!C88+KLP!C88+'KLP Skadeforsikring AS'!C88+'Landkreditt Forsikring'!C88+'Nordea Liv '!C88+'Oslo Pensjonsforsikring'!C88+'Protector Forsikring'!C88+'SHB Liv'!C88+'Sparebank 1'!C88+'Storebrand Livsforsikring'!C88+'Telenor Forsikring'!C88+'Tryg Forsikring'!C88+'WaterCircles F'!C88+'Codan Forsikring'!C88+'Euro Accident'!C88+'Ly Forsikring'!C88+'Youplus Livsforsikring'!C88</f>
        <v>387018367.03022826</v>
      </c>
      <c r="D88" s="21">
        <f t="shared" si="23"/>
        <v>-0.3</v>
      </c>
      <c r="E88" s="42"/>
      <c r="F88" s="42"/>
      <c r="G88" s="164"/>
      <c r="H88" s="233">
        <f t="shared" si="32"/>
        <v>388272581.2256043</v>
      </c>
      <c r="I88" s="233">
        <f t="shared" si="33"/>
        <v>387018367.03022826</v>
      </c>
      <c r="J88" s="21">
        <f t="shared" si="27"/>
        <v>-0.3</v>
      </c>
      <c r="M88" s="146"/>
    </row>
    <row r="89" spans="1:13" ht="15.75" customHeight="1" x14ac:dyDescent="0.2">
      <c r="A89" s="19" t="s">
        <v>10</v>
      </c>
      <c r="B89" s="230">
        <f>'Fremtind Livsforsikring'!B89+'Storebrand Danica P'!B89+'DNB Livsforsikring'!B89+'Eika Forsikring AS'!B89+'Frende Livsforsikring'!B89+'Frende Skadeforsikring'!B89+'Gjensidige Forsikring'!B89+'Gjensidige Pensjon'!B89+'Handelsbanken Liv'!B89+'If Skadeforsikring NUF'!B89+KLP!B89+'KLP Skadeforsikring AS'!B89+'Landkreditt Forsikring'!B89+'Nordea Liv '!B89+'Oslo Pensjonsforsikring'!B89+'Protector Forsikring'!B89+'SHB Liv'!B89+'Sparebank 1'!B89+'Storebrand Livsforsikring'!B89+'Telenor Forsikring'!B89+'Tryg Forsikring'!B89+'WaterCircles F'!B89+'Codan Forsikring'!B89+'Euro Accident'!B89+'Ly Forsikring'!B89+'Youplus Livsforsikring'!B89</f>
        <v>3086506.71734</v>
      </c>
      <c r="C89" s="230">
        <f>'Fremtind Livsforsikring'!C89+'Storebrand Danica P'!C89+'DNB Livsforsikring'!C89+'Eika Forsikring AS'!C89+'Frende Livsforsikring'!C89+'Frende Skadeforsikring'!C89+'Gjensidige Forsikring'!C89+'Gjensidige Pensjon'!C89+'Handelsbanken Liv'!C89+'If Skadeforsikring NUF'!C89+KLP!C89+'KLP Skadeforsikring AS'!C89+'Landkreditt Forsikring'!C89+'Nordea Liv '!C89+'Oslo Pensjonsforsikring'!C89+'Protector Forsikring'!C89+'SHB Liv'!C89+'Sparebank 1'!C89+'Storebrand Livsforsikring'!C89+'Telenor Forsikring'!C89+'Tryg Forsikring'!C89+'WaterCircles F'!C89+'Codan Forsikring'!C89+'Euro Accident'!C89+'Ly Forsikring'!C89+'Youplus Livsforsikring'!C89</f>
        <v>3323113.22309196</v>
      </c>
      <c r="D89" s="21">
        <f t="shared" si="23"/>
        <v>7.7</v>
      </c>
      <c r="E89" s="42">
        <f>'Fremtind Livsforsikring'!F89+'Storebrand Danica P'!F89+'DNB Livsforsikring'!F89+'Eika Forsikring AS'!F89+'Frende Livsforsikring'!F89+'Frende Skadeforsikring'!F89+'Gjensidige Forsikring'!F89+'Gjensidige Pensjon'!F89+'Handelsbanken Liv'!F89+'If Skadeforsikring NUF'!F89+KLP!F89+'KLP Skadeforsikring AS'!F89+'Landkreditt Forsikring'!F89+'Nordea Liv '!F89+'Oslo Pensjonsforsikring'!F89+'Protector Forsikring'!F89+'SHB Liv'!F89+'Sparebank 1'!F89+'Storebrand Livsforsikring'!F89+'Telenor Forsikring'!F89+'Tryg Forsikring'!F89+'WaterCircles F'!F89+'Codan Forsikring'!F89+'Euro Accident'!F89+'Ly Forsikring'!F89+'Youplus Livsforsikring'!F89</f>
        <v>420757485.13576007</v>
      </c>
      <c r="F89" s="42">
        <f>'Fremtind Livsforsikring'!G89+'Storebrand Danica P'!G89+'DNB Livsforsikring'!G89+'Eika Forsikring AS'!G89+'Frende Livsforsikring'!G89+'Frende Skadeforsikring'!G89+'Gjensidige Forsikring'!G89+'Gjensidige Pensjon'!G89+'Handelsbanken Liv'!G89+'If Skadeforsikring NUF'!G89+KLP!G89+'KLP Skadeforsikring AS'!G89+'Landkreditt Forsikring'!G89+'Nordea Liv '!G89+'Oslo Pensjonsforsikring'!G89+'Protector Forsikring'!G89+'SHB Liv'!G89+'Sparebank 1'!G89+'Storebrand Livsforsikring'!G89+'Telenor Forsikring'!G89+'Tryg Forsikring'!G89+'WaterCircles F'!G89+'Codan Forsikring'!G89+'Euro Accident'!G89+'Ly Forsikring'!G89+'Youplus Livsforsikring'!G89</f>
        <v>408964418.35354</v>
      </c>
      <c r="G89" s="164">
        <f t="shared" si="24"/>
        <v>-2.8</v>
      </c>
      <c r="H89" s="233">
        <f t="shared" si="32"/>
        <v>423843991.85310006</v>
      </c>
      <c r="I89" s="233">
        <f t="shared" si="33"/>
        <v>412287531.57663196</v>
      </c>
      <c r="J89" s="21">
        <f t="shared" si="27"/>
        <v>-2.7</v>
      </c>
      <c r="M89" s="146"/>
    </row>
    <row r="90" spans="1:13" ht="15.75" customHeight="1" x14ac:dyDescent="0.2">
      <c r="A90" s="288" t="s">
        <v>365</v>
      </c>
      <c r="B90" s="231"/>
      <c r="C90" s="231"/>
      <c r="D90" s="25"/>
      <c r="E90" s="231"/>
      <c r="F90" s="231"/>
      <c r="G90" s="164"/>
      <c r="H90" s="231"/>
      <c r="I90" s="231"/>
      <c r="J90" s="21"/>
    </row>
    <row r="91" spans="1:13" ht="15.75" customHeight="1" x14ac:dyDescent="0.2">
      <c r="A91" s="288" t="s">
        <v>12</v>
      </c>
      <c r="B91" s="231"/>
      <c r="C91" s="231"/>
      <c r="D91" s="25"/>
      <c r="E91" s="231"/>
      <c r="F91" s="231"/>
      <c r="G91" s="164"/>
      <c r="H91" s="231"/>
      <c r="I91" s="231"/>
      <c r="J91" s="21"/>
    </row>
    <row r="92" spans="1:13" ht="15.75" customHeight="1" x14ac:dyDescent="0.2">
      <c r="A92" s="288" t="s">
        <v>13</v>
      </c>
      <c r="B92" s="231"/>
      <c r="C92" s="231"/>
      <c r="D92" s="25"/>
      <c r="E92" s="231"/>
      <c r="F92" s="231"/>
      <c r="G92" s="164"/>
      <c r="H92" s="231"/>
      <c r="I92" s="231"/>
      <c r="J92" s="21"/>
    </row>
    <row r="93" spans="1:13" ht="15.75" customHeight="1" x14ac:dyDescent="0.2">
      <c r="A93" s="288" t="s">
        <v>366</v>
      </c>
      <c r="B93" s="231"/>
      <c r="C93" s="231"/>
      <c r="D93" s="25"/>
      <c r="E93" s="231"/>
      <c r="F93" s="231"/>
      <c r="G93" s="164"/>
      <c r="H93" s="231"/>
      <c r="I93" s="231"/>
      <c r="J93" s="21"/>
    </row>
    <row r="94" spans="1:13" ht="15.75" customHeight="1" x14ac:dyDescent="0.2">
      <c r="A94" s="288" t="s">
        <v>12</v>
      </c>
      <c r="B94" s="231"/>
      <c r="C94" s="231"/>
      <c r="D94" s="25"/>
      <c r="E94" s="231"/>
      <c r="F94" s="231"/>
      <c r="G94" s="164"/>
      <c r="H94" s="231"/>
      <c r="I94" s="231"/>
      <c r="J94" s="21"/>
    </row>
    <row r="95" spans="1:13" ht="15.75" customHeight="1" x14ac:dyDescent="0.2">
      <c r="A95" s="288" t="s">
        <v>13</v>
      </c>
      <c r="B95" s="231"/>
      <c r="C95" s="231"/>
      <c r="D95" s="25"/>
      <c r="E95" s="231"/>
      <c r="F95" s="231"/>
      <c r="G95" s="164"/>
      <c r="H95" s="231"/>
      <c r="I95" s="231"/>
      <c r="J95" s="21"/>
    </row>
    <row r="96" spans="1:13" ht="15.75" customHeight="1" x14ac:dyDescent="0.2">
      <c r="A96" s="19" t="s">
        <v>337</v>
      </c>
      <c r="B96" s="230">
        <f>'Fremtind Livsforsikring'!B96+'Storebrand Danica P'!B96+'DNB Livsforsikring'!B96+'Eika Forsikring AS'!B96+'Frende Livsforsikring'!B96+'Frende Skadeforsikring'!B96+'Gjensidige Forsikring'!B96+'Gjensidige Pensjon'!B96+'Handelsbanken Liv'!B96+'If Skadeforsikring NUF'!B96+KLP!B96+'KLP Skadeforsikring AS'!B96+'Landkreditt Forsikring'!B96+'Nordea Liv '!B96+'Oslo Pensjonsforsikring'!B96+'Protector Forsikring'!B96+'SHB Liv'!B96+'Sparebank 1'!B96+'Storebrand Livsforsikring'!B96+'Telenor Forsikring'!B96+'Tryg Forsikring'!B96+'WaterCircles F'!B96+'Codan Forsikring'!B96+'Euro Accident'!B96+'Ly Forsikring'!B96+'Youplus Livsforsikring'!B96</f>
        <v>2518065.5657200003</v>
      </c>
      <c r="C96" s="230">
        <f>'Fremtind Livsforsikring'!C96+'Storebrand Danica P'!C96+'DNB Livsforsikring'!C96+'Eika Forsikring AS'!C96+'Frende Livsforsikring'!C96+'Frende Skadeforsikring'!C96+'Gjensidige Forsikring'!C96+'Gjensidige Pensjon'!C96+'Handelsbanken Liv'!C96+'If Skadeforsikring NUF'!C96+KLP!C96+'KLP Skadeforsikring AS'!C96+'Landkreditt Forsikring'!C96+'Nordea Liv '!C96+'Oslo Pensjonsforsikring'!C96+'Protector Forsikring'!C96+'SHB Liv'!C96+'Sparebank 1'!C96+'Storebrand Livsforsikring'!C96+'Telenor Forsikring'!C96+'Tryg Forsikring'!C96+'WaterCircles F'!C96+'Codan Forsikring'!C96+'Euro Accident'!C96+'Ly Forsikring'!C96+'Youplus Livsforsikring'!C96</f>
        <v>3529793.7596100001</v>
      </c>
      <c r="D96" s="21">
        <f t="shared" si="23"/>
        <v>40.200000000000003</v>
      </c>
      <c r="E96" s="42">
        <f>'Fremtind Livsforsikring'!F96+'Storebrand Danica P'!F96+'DNB Livsforsikring'!F96+'Eika Forsikring AS'!F96+'Frende Livsforsikring'!F96+'Frende Skadeforsikring'!F96+'Gjensidige Forsikring'!F96+'Gjensidige Pensjon'!F96+'Handelsbanken Liv'!F96+'If Skadeforsikring NUF'!F96+KLP!F96+'KLP Skadeforsikring AS'!F96+'Landkreditt Forsikring'!F96+'Nordea Liv '!F96+'Oslo Pensjonsforsikring'!F96+'Protector Forsikring'!F96+'SHB Liv'!F96+'Sparebank 1'!F96+'Storebrand Livsforsikring'!F96+'Telenor Forsikring'!F96+'Tryg Forsikring'!F96+'WaterCircles F'!F96+'Codan Forsikring'!F96+'Euro Accident'!F96+'Ly Forsikring'!F96+'Youplus Livsforsikring'!F96</f>
        <v>4379058.8857399998</v>
      </c>
      <c r="F96" s="42">
        <f>'Fremtind Livsforsikring'!G96+'Storebrand Danica P'!G96+'DNB Livsforsikring'!G96+'Eika Forsikring AS'!G96+'Frende Livsforsikring'!G96+'Frende Skadeforsikring'!G96+'Gjensidige Forsikring'!G96+'Gjensidige Pensjon'!G96+'Handelsbanken Liv'!G96+'If Skadeforsikring NUF'!G96+KLP!G96+'KLP Skadeforsikring AS'!G96+'Landkreditt Forsikring'!G96+'Nordea Liv '!G96+'Oslo Pensjonsforsikring'!G96+'Protector Forsikring'!G96+'SHB Liv'!G96+'Sparebank 1'!G96+'Storebrand Livsforsikring'!G96+'Telenor Forsikring'!G96+'Tryg Forsikring'!G96+'WaterCircles F'!G96+'Codan Forsikring'!G96+'Euro Accident'!G96+'Ly Forsikring'!G96+'Youplus Livsforsikring'!G96</f>
        <v>4951726.1880700001</v>
      </c>
      <c r="G96" s="164">
        <f t="shared" si="24"/>
        <v>13.1</v>
      </c>
      <c r="H96" s="233">
        <f t="shared" si="32"/>
        <v>6897124.4514600001</v>
      </c>
      <c r="I96" s="233">
        <f t="shared" si="33"/>
        <v>8481519.9476800002</v>
      </c>
      <c r="J96" s="21">
        <f t="shared" si="27"/>
        <v>23</v>
      </c>
    </row>
    <row r="97" spans="1:12" ht="15.75" customHeight="1" x14ac:dyDescent="0.2">
      <c r="A97" s="19" t="s">
        <v>336</v>
      </c>
      <c r="B97" s="230">
        <f>'Fremtind Livsforsikring'!B97+'Storebrand Danica P'!B97+'DNB Livsforsikring'!B97+'Eika Forsikring AS'!B97+'Frende Livsforsikring'!B97+'Frende Skadeforsikring'!B97+'Gjensidige Forsikring'!B97+'Gjensidige Pensjon'!B97+'Handelsbanken Liv'!B97+'If Skadeforsikring NUF'!B97+KLP!B97+'KLP Skadeforsikring AS'!B97+'Landkreditt Forsikring'!B97+'Nordea Liv '!B97+'Oslo Pensjonsforsikring'!B97+'Protector Forsikring'!B97+'SHB Liv'!B97+'Sparebank 1'!B97+'Storebrand Livsforsikring'!B97+'Telenor Forsikring'!B97+'Tryg Forsikring'!B97+'WaterCircles F'!B97+'Codan Forsikring'!B97+'Euro Accident'!B97+'Ly Forsikring'!B97+'Youplus Livsforsikring'!B97</f>
        <v>7514022.7334000003</v>
      </c>
      <c r="C97" s="230">
        <f>'Fremtind Livsforsikring'!C97+'Storebrand Danica P'!C97+'DNB Livsforsikring'!C97+'Eika Forsikring AS'!C97+'Frende Livsforsikring'!C97+'Frende Skadeforsikring'!C97+'Gjensidige Forsikring'!C97+'Gjensidige Pensjon'!C97+'Handelsbanken Liv'!C97+'If Skadeforsikring NUF'!C97+KLP!C97+'KLP Skadeforsikring AS'!C97+'Landkreditt Forsikring'!C97+'Nordea Liv '!C97+'Oslo Pensjonsforsikring'!C97+'Protector Forsikring'!C97+'SHB Liv'!C97+'Sparebank 1'!C97+'Storebrand Livsforsikring'!C97+'Telenor Forsikring'!C97+'Tryg Forsikring'!C97+'WaterCircles F'!C97+'Codan Forsikring'!C97+'Euro Accident'!C97+'Ly Forsikring'!C97+'Youplus Livsforsikring'!C97</f>
        <v>8432271.5109400004</v>
      </c>
      <c r="D97" s="21">
        <f t="shared" ref="D97" si="34">IF(B97=0, "    ---- ", IF(ABS(ROUND(100/B97*C97-100,1))&lt;999,ROUND(100/B97*C97-100,1),IF(ROUND(100/B97*C97-100,1)&gt;999,999,-999)))</f>
        <v>12.2</v>
      </c>
      <c r="E97" s="42"/>
      <c r="F97" s="42"/>
      <c r="G97" s="164"/>
      <c r="H97" s="233">
        <f t="shared" ref="H97" si="35">SUM(B97,E97)</f>
        <v>7514022.7334000003</v>
      </c>
      <c r="I97" s="233">
        <f t="shared" ref="I97" si="36">SUM(C97,F97)</f>
        <v>8432271.5109400004</v>
      </c>
      <c r="J97" s="21">
        <f t="shared" ref="J97" si="37">IF(H97=0, "    ---- ", IF(ABS(ROUND(100/H97*I97-100,1))&lt;999,ROUND(100/H97*I97-100,1),IF(ROUND(100/H97*I97-100,1)&gt;999,999,-999)))</f>
        <v>12.2</v>
      </c>
    </row>
    <row r="98" spans="1:12" ht="15.75" customHeight="1" x14ac:dyDescent="0.2">
      <c r="A98" s="19" t="s">
        <v>367</v>
      </c>
      <c r="B98" s="230">
        <f>'Fremtind Livsforsikring'!B98+'Storebrand Danica P'!B98+'DNB Livsforsikring'!B98+'Eika Forsikring AS'!B98+'Frende Livsforsikring'!B98+'Frende Skadeforsikring'!B98+'Gjensidige Forsikring'!B98+'Gjensidige Pensjon'!B98+'Handelsbanken Liv'!B98+'If Skadeforsikring NUF'!B98+KLP!B98+'KLP Skadeforsikring AS'!B98+'Landkreditt Forsikring'!B98+'Nordea Liv '!B98+'Oslo Pensjonsforsikring'!B98+'Protector Forsikring'!B98+'SHB Liv'!B98+'Sparebank 1'!B98+'Storebrand Livsforsikring'!B98+'Telenor Forsikring'!B98+'Tryg Forsikring'!B98+'WaterCircles F'!B98+'Codan Forsikring'!B98+'Euro Accident'!B98+'Ly Forsikring'!B98+'Youplus Livsforsikring'!B98</f>
        <v>386910436.91994429</v>
      </c>
      <c r="C98" s="230">
        <f>'Fremtind Livsforsikring'!C98+'Storebrand Danica P'!C98+'DNB Livsforsikring'!C98+'Eika Forsikring AS'!C98+'Frende Livsforsikring'!C98+'Frende Skadeforsikring'!C98+'Gjensidige Forsikring'!C98+'Gjensidige Pensjon'!C98+'Handelsbanken Liv'!C98+'If Skadeforsikring NUF'!C98+KLP!C98+'KLP Skadeforsikring AS'!C98+'Landkreditt Forsikring'!C98+'Nordea Liv '!C98+'Oslo Pensjonsforsikring'!C98+'Protector Forsikring'!C98+'SHB Liv'!C98+'Sparebank 1'!C98+'Storebrand Livsforsikring'!C98+'Telenor Forsikring'!C98+'Tryg Forsikring'!C98+'WaterCircles F'!C98+'Codan Forsikring'!C98+'Euro Accident'!C98+'Ly Forsikring'!C98+'Youplus Livsforsikring'!C98</f>
        <v>385899862.05570024</v>
      </c>
      <c r="D98" s="21">
        <f t="shared" si="23"/>
        <v>-0.3</v>
      </c>
      <c r="E98" s="42">
        <f>'Fremtind Livsforsikring'!F98+'Storebrand Danica P'!F98+'DNB Livsforsikring'!F98+'Eika Forsikring AS'!F98+'Frende Livsforsikring'!F98+'Frende Skadeforsikring'!F98+'Gjensidige Forsikring'!F98+'Gjensidige Pensjon'!F98+'Handelsbanken Liv'!F98+'If Skadeforsikring NUF'!F98+KLP!F98+'KLP Skadeforsikring AS'!F98+'Landkreditt Forsikring'!F98+'Nordea Liv '!F98+'Oslo Pensjonsforsikring'!F98+'Protector Forsikring'!F98+'SHB Liv'!F98+'Sparebank 1'!F98+'Storebrand Livsforsikring'!F98+'Telenor Forsikring'!F98+'Tryg Forsikring'!F98+'WaterCircles F'!F98+'Codan Forsikring'!F98+'Euro Accident'!F98+'Ly Forsikring'!F98+'Youplus Livsforsikring'!F98</f>
        <v>419690390.60719001</v>
      </c>
      <c r="F98" s="42">
        <f>'Fremtind Livsforsikring'!G98+'Storebrand Danica P'!G98+'DNB Livsforsikring'!G98+'Eika Forsikring AS'!G98+'Frende Livsforsikring'!G98+'Frende Skadeforsikring'!G98+'Gjensidige Forsikring'!G98+'Gjensidige Pensjon'!G98+'Handelsbanken Liv'!G98+'If Skadeforsikring NUF'!G98+KLP!G98+'KLP Skadeforsikring AS'!G98+'Landkreditt Forsikring'!G98+'Nordea Liv '!G98+'Oslo Pensjonsforsikring'!G98+'Protector Forsikring'!G98+'SHB Liv'!G98+'Sparebank 1'!G98+'Storebrand Livsforsikring'!G98+'Telenor Forsikring'!G98+'Tryg Forsikring'!G98+'WaterCircles F'!G98+'Codan Forsikring'!G98+'Euro Accident'!G98+'Ly Forsikring'!G98+'Youplus Livsforsikring'!G98</f>
        <v>408176259.14143002</v>
      </c>
      <c r="G98" s="164">
        <f t="shared" si="24"/>
        <v>-2.7</v>
      </c>
      <c r="H98" s="233">
        <f t="shared" si="32"/>
        <v>806600827.5271343</v>
      </c>
      <c r="I98" s="233">
        <f t="shared" si="33"/>
        <v>794076121.1971302</v>
      </c>
      <c r="J98" s="21">
        <f t="shared" si="27"/>
        <v>-1.6</v>
      </c>
    </row>
    <row r="99" spans="1:12" ht="15.75" customHeight="1" x14ac:dyDescent="0.2">
      <c r="A99" s="19" t="s">
        <v>9</v>
      </c>
      <c r="B99" s="230">
        <f>'Fremtind Livsforsikring'!B99+'Storebrand Danica P'!B99+'DNB Livsforsikring'!B99+'Eika Forsikring AS'!B99+'Frende Livsforsikring'!B99+'Frende Skadeforsikring'!B99+'Gjensidige Forsikring'!B99+'Gjensidige Pensjon'!B99+'Handelsbanken Liv'!B99+'If Skadeforsikring NUF'!B99+KLP!B99+'KLP Skadeforsikring AS'!B99+'Landkreditt Forsikring'!B99+'Nordea Liv '!B99+'Oslo Pensjonsforsikring'!B99+'Protector Forsikring'!B99+'SHB Liv'!B99+'Sparebank 1'!B99+'Storebrand Livsforsikring'!B99+'Telenor Forsikring'!B99+'Tryg Forsikring'!B99+'WaterCircles F'!B99+'Codan Forsikring'!B99+'Euro Accident'!B99+'Ly Forsikring'!B99+'Youplus Livsforsikring'!B99</f>
        <v>383823930.20260429</v>
      </c>
      <c r="C99" s="230">
        <f>'Fremtind Livsforsikring'!C99+'Storebrand Danica P'!C99+'DNB Livsforsikring'!C99+'Eika Forsikring AS'!C99+'Frende Livsforsikring'!C99+'Frende Skadeforsikring'!C99+'Gjensidige Forsikring'!C99+'Gjensidige Pensjon'!C99+'Handelsbanken Liv'!C99+'If Skadeforsikring NUF'!C99+KLP!C99+'KLP Skadeforsikring AS'!C99+'Landkreditt Forsikring'!C99+'Nordea Liv '!C99+'Oslo Pensjonsforsikring'!C99+'Protector Forsikring'!C99+'SHB Liv'!C99+'Sparebank 1'!C99+'Storebrand Livsforsikring'!C99+'Telenor Forsikring'!C99+'Tryg Forsikring'!C99+'WaterCircles F'!C99+'Codan Forsikring'!C99+'Euro Accident'!C99+'Ly Forsikring'!C99+'Youplus Livsforsikring'!C99</f>
        <v>382576748.8322283</v>
      </c>
      <c r="D99" s="21">
        <f t="shared" si="23"/>
        <v>-0.3</v>
      </c>
      <c r="E99" s="42"/>
      <c r="F99" s="42"/>
      <c r="G99" s="164"/>
      <c r="H99" s="233">
        <f t="shared" si="32"/>
        <v>383823930.20260429</v>
      </c>
      <c r="I99" s="233">
        <f t="shared" si="33"/>
        <v>382576748.8322283</v>
      </c>
      <c r="J99" s="21">
        <f t="shared" si="27"/>
        <v>-0.3</v>
      </c>
    </row>
    <row r="100" spans="1:12" ht="15.75" customHeight="1" x14ac:dyDescent="0.2">
      <c r="A100" s="36" t="s">
        <v>400</v>
      </c>
      <c r="B100" s="230">
        <f>'Fremtind Livsforsikring'!B100+'Storebrand Danica P'!B100+'DNB Livsforsikring'!B100+'Eika Forsikring AS'!B100+'Frende Livsforsikring'!B100+'Frende Skadeforsikring'!B100+'Gjensidige Forsikring'!B100+'Gjensidige Pensjon'!B100+'Handelsbanken Liv'!B100+'If Skadeforsikring NUF'!B100+KLP!B100+'KLP Skadeforsikring AS'!B100+'Landkreditt Forsikring'!B100+'Nordea Liv '!B100+'Oslo Pensjonsforsikring'!B100+'Protector Forsikring'!B100+'SHB Liv'!B100+'Sparebank 1'!B100+'Storebrand Livsforsikring'!B100+'Telenor Forsikring'!B100+'Tryg Forsikring'!B100+'WaterCircles F'!B100+'Codan Forsikring'!B100+'Euro Accident'!B100+'Ly Forsikring'!B100+'Youplus Livsforsikring'!B100</f>
        <v>3086506.71734</v>
      </c>
      <c r="C100" s="230">
        <f>'Fremtind Livsforsikring'!C100+'Storebrand Danica P'!C100+'DNB Livsforsikring'!C100+'Eika Forsikring AS'!C100+'Frende Livsforsikring'!C100+'Frende Skadeforsikring'!C100+'Gjensidige Forsikring'!C100+'Gjensidige Pensjon'!C100+'Handelsbanken Liv'!C100+'If Skadeforsikring NUF'!C100+KLP!C100+'KLP Skadeforsikring AS'!C100+'Landkreditt Forsikring'!C100+'Nordea Liv '!C100+'Oslo Pensjonsforsikring'!C100+'Protector Forsikring'!C100+'SHB Liv'!C100+'Sparebank 1'!C100+'Storebrand Livsforsikring'!C100+'Telenor Forsikring'!C100+'Tryg Forsikring'!C100+'WaterCircles F'!C100+'Codan Forsikring'!C100+'Euro Accident'!C100+'Ly Forsikring'!C100+'Youplus Livsforsikring'!C100</f>
        <v>3323113.2234719601</v>
      </c>
      <c r="D100" s="21">
        <f t="shared" si="23"/>
        <v>7.7</v>
      </c>
      <c r="E100" s="42">
        <f>'Fremtind Livsforsikring'!F100+'Storebrand Danica P'!F100+'DNB Livsforsikring'!F100+'Eika Forsikring AS'!F100+'Frende Livsforsikring'!F100+'Frende Skadeforsikring'!F100+'Gjensidige Forsikring'!F100+'Gjensidige Pensjon'!F100+'Handelsbanken Liv'!F100+'If Skadeforsikring NUF'!F100+KLP!F100+'KLP Skadeforsikring AS'!F100+'Landkreditt Forsikring'!F100+'Nordea Liv '!F100+'Oslo Pensjonsforsikring'!F100+'Protector Forsikring'!F100+'SHB Liv'!F100+'Sparebank 1'!F100+'Storebrand Livsforsikring'!F100+'Telenor Forsikring'!F100+'Tryg Forsikring'!F100+'WaterCircles F'!F100+'Codan Forsikring'!F100+'Euro Accident'!F100+'Ly Forsikring'!F100+'Youplus Livsforsikring'!F100</f>
        <v>419690390.60719001</v>
      </c>
      <c r="F100" s="42">
        <f>'Fremtind Livsforsikring'!G100+'Storebrand Danica P'!G100+'DNB Livsforsikring'!G100+'Eika Forsikring AS'!G100+'Frende Livsforsikring'!G100+'Frende Skadeforsikring'!G100+'Gjensidige Forsikring'!G100+'Gjensidige Pensjon'!G100+'Handelsbanken Liv'!G100+'If Skadeforsikring NUF'!G100+KLP!G100+'KLP Skadeforsikring AS'!G100+'Landkreditt Forsikring'!G100+'Nordea Liv '!G100+'Oslo Pensjonsforsikring'!G100+'Protector Forsikring'!G100+'SHB Liv'!G100+'Sparebank 1'!G100+'Storebrand Livsforsikring'!G100+'Telenor Forsikring'!G100+'Tryg Forsikring'!G100+'WaterCircles F'!G100+'Codan Forsikring'!G100+'Euro Accident'!G100+'Ly Forsikring'!G100+'Youplus Livsforsikring'!G100</f>
        <v>408176259.14143002</v>
      </c>
      <c r="G100" s="164">
        <f t="shared" si="24"/>
        <v>-2.7</v>
      </c>
      <c r="H100" s="233">
        <f t="shared" si="32"/>
        <v>422776897.32453001</v>
      </c>
      <c r="I100" s="233">
        <f t="shared" si="33"/>
        <v>411499372.36490196</v>
      </c>
      <c r="J100" s="21">
        <f t="shared" si="27"/>
        <v>-2.7</v>
      </c>
    </row>
    <row r="101" spans="1:12" ht="15.75" customHeight="1" x14ac:dyDescent="0.2">
      <c r="A101" s="288" t="s">
        <v>365</v>
      </c>
      <c r="B101" s="231"/>
      <c r="C101" s="231"/>
      <c r="D101" s="25"/>
      <c r="E101" s="231"/>
      <c r="F101" s="231"/>
      <c r="G101" s="164"/>
      <c r="H101" s="231"/>
      <c r="I101" s="231"/>
      <c r="J101" s="21"/>
    </row>
    <row r="102" spans="1:12" ht="15.75" customHeight="1" x14ac:dyDescent="0.2">
      <c r="A102" s="288" t="s">
        <v>12</v>
      </c>
      <c r="B102" s="231"/>
      <c r="C102" s="231"/>
      <c r="D102" s="25"/>
      <c r="E102" s="231"/>
      <c r="F102" s="231"/>
      <c r="G102" s="164"/>
      <c r="H102" s="231"/>
      <c r="I102" s="231"/>
      <c r="J102" s="21"/>
    </row>
    <row r="103" spans="1:12" ht="15.75" customHeight="1" x14ac:dyDescent="0.2">
      <c r="A103" s="288" t="s">
        <v>13</v>
      </c>
      <c r="B103" s="231"/>
      <c r="C103" s="231"/>
      <c r="D103" s="25"/>
      <c r="E103" s="231"/>
      <c r="F103" s="231"/>
      <c r="G103" s="164"/>
      <c r="H103" s="231"/>
      <c r="I103" s="231"/>
      <c r="J103" s="21"/>
    </row>
    <row r="104" spans="1:12" ht="15.75" customHeight="1" x14ac:dyDescent="0.2">
      <c r="A104" s="288" t="s">
        <v>366</v>
      </c>
      <c r="B104" s="231"/>
      <c r="C104" s="231"/>
      <c r="D104" s="25"/>
      <c r="E104" s="231"/>
      <c r="F104" s="231"/>
      <c r="G104" s="164"/>
      <c r="H104" s="231"/>
      <c r="I104" s="231"/>
      <c r="J104" s="21"/>
    </row>
    <row r="105" spans="1:12" ht="15.75" customHeight="1" x14ac:dyDescent="0.2">
      <c r="A105" s="288" t="s">
        <v>12</v>
      </c>
      <c r="B105" s="231"/>
      <c r="C105" s="231"/>
      <c r="D105" s="25"/>
      <c r="E105" s="231"/>
      <c r="F105" s="231"/>
      <c r="G105" s="164"/>
      <c r="H105" s="231"/>
      <c r="I105" s="231"/>
      <c r="J105" s="21"/>
    </row>
    <row r="106" spans="1:12" ht="15.75" customHeight="1" x14ac:dyDescent="0.2">
      <c r="A106" s="288" t="s">
        <v>13</v>
      </c>
      <c r="B106" s="231"/>
      <c r="C106" s="231"/>
      <c r="D106" s="25"/>
      <c r="E106" s="231"/>
      <c r="F106" s="231"/>
      <c r="G106" s="164"/>
      <c r="H106" s="231"/>
      <c r="I106" s="231"/>
      <c r="J106" s="21"/>
    </row>
    <row r="107" spans="1:12" ht="15.75" customHeight="1" x14ac:dyDescent="0.2">
      <c r="A107" s="19" t="s">
        <v>368</v>
      </c>
      <c r="B107" s="230">
        <f>'Fremtind Livsforsikring'!B107+'Storebrand Danica P'!B107+'DNB Livsforsikring'!B107+'Eika Forsikring AS'!B107+'Frende Livsforsikring'!B107+'Frende Skadeforsikring'!B107+'Gjensidige Forsikring'!B107+'Gjensidige Pensjon'!B107+'Handelsbanken Liv'!B107+'If Skadeforsikring NUF'!B107+KLP!B107+'KLP Skadeforsikring AS'!B107+'Landkreditt Forsikring'!B107+'Nordea Liv '!B107+'Oslo Pensjonsforsikring'!B107+'Protector Forsikring'!B107+'SHB Liv'!B107+'Sparebank 1'!B107+'Storebrand Livsforsikring'!B107+'Telenor Forsikring'!B107+'Tryg Forsikring'!B107+'WaterCircles F'!B107+'Codan Forsikring'!B107+'Euro Accident'!B107+'Ly Forsikring'!B107+'Youplus Livsforsikring'!B107</f>
        <v>4448650.9230000004</v>
      </c>
      <c r="C107" s="230">
        <f>'Fremtind Livsforsikring'!C107+'Storebrand Danica P'!C107+'DNB Livsforsikring'!C107+'Eika Forsikring AS'!C107+'Frende Livsforsikring'!C107+'Frende Skadeforsikring'!C107+'Gjensidige Forsikring'!C107+'Gjensidige Pensjon'!C107+'Handelsbanken Liv'!C107+'If Skadeforsikring NUF'!C107+KLP!C107+'KLP Skadeforsikring AS'!C107+'Landkreditt Forsikring'!C107+'Nordea Liv '!C107+'Oslo Pensjonsforsikring'!C107+'Protector Forsikring'!C107+'SHB Liv'!C107+'Sparebank 1'!C107+'Storebrand Livsforsikring'!C107+'Telenor Forsikring'!C107+'Tryg Forsikring'!C107+'WaterCircles F'!C107+'Codan Forsikring'!C107+'Euro Accident'!C107+'Ly Forsikring'!C107+'Youplus Livsforsikring'!C107</f>
        <v>4441618.1979999999</v>
      </c>
      <c r="D107" s="21">
        <f t="shared" si="23"/>
        <v>-0.2</v>
      </c>
      <c r="E107" s="42">
        <f>'Fremtind Livsforsikring'!F107+'Storebrand Danica P'!F107+'DNB Livsforsikring'!F107+'Eika Forsikring AS'!F107+'Frende Livsforsikring'!F107+'Frende Skadeforsikring'!F107+'Gjensidige Forsikring'!F107+'Gjensidige Pensjon'!F107+'Handelsbanken Liv'!F107+'If Skadeforsikring NUF'!F107+KLP!F107+'KLP Skadeforsikring AS'!F107+'Landkreditt Forsikring'!F107+'Nordea Liv '!F107+'Oslo Pensjonsforsikring'!F107+'Protector Forsikring'!F107+'SHB Liv'!F107+'Sparebank 1'!F107+'Storebrand Livsforsikring'!F107+'Telenor Forsikring'!F107+'Tryg Forsikring'!F107+'WaterCircles F'!F107+'Codan Forsikring'!F107+'Euro Accident'!F107+'Ly Forsikring'!F107+'Youplus Livsforsikring'!F107</f>
        <v>1067094.9315699998</v>
      </c>
      <c r="F107" s="42">
        <f>'Fremtind Livsforsikring'!G107+'Storebrand Danica P'!G107+'DNB Livsforsikring'!G107+'Eika Forsikring AS'!G107+'Frende Livsforsikring'!G107+'Frende Skadeforsikring'!G107+'Gjensidige Forsikring'!G107+'Gjensidige Pensjon'!G107+'Handelsbanken Liv'!G107+'If Skadeforsikring NUF'!G107+KLP!G107+'KLP Skadeforsikring AS'!G107+'Landkreditt Forsikring'!G107+'Nordea Liv '!G107+'Oslo Pensjonsforsikring'!G107+'Protector Forsikring'!G107+'SHB Liv'!G107+'Sparebank 1'!G107+'Storebrand Livsforsikring'!G107+'Telenor Forsikring'!G107+'Tryg Forsikring'!G107+'WaterCircles F'!G107+'Codan Forsikring'!G107+'Euro Accident'!G107+'Ly Forsikring'!G107+'Youplus Livsforsikring'!G107</f>
        <v>788159.21210999985</v>
      </c>
      <c r="G107" s="164">
        <f t="shared" si="24"/>
        <v>-26.1</v>
      </c>
      <c r="H107" s="233">
        <f t="shared" si="32"/>
        <v>5515745.8545700004</v>
      </c>
      <c r="I107" s="233">
        <f t="shared" si="33"/>
        <v>5229777.4101099996</v>
      </c>
      <c r="J107" s="21">
        <f t="shared" si="27"/>
        <v>-5.2</v>
      </c>
    </row>
    <row r="108" spans="1:12" ht="15.75" customHeight="1" x14ac:dyDescent="0.2">
      <c r="A108" s="19" t="s">
        <v>369</v>
      </c>
      <c r="B108" s="230">
        <f>'Fremtind Livsforsikring'!B108+'Storebrand Danica P'!B108+'DNB Livsforsikring'!B108+'Eika Forsikring AS'!B108+'Frende Livsforsikring'!B108+'Frende Skadeforsikring'!B108+'Gjensidige Forsikring'!B108+'Gjensidige Pensjon'!B108+'Handelsbanken Liv'!B108+'If Skadeforsikring NUF'!B108+KLP!B108+'KLP Skadeforsikring AS'!B108+'Landkreditt Forsikring'!B108+'Nordea Liv '!B108+'Oslo Pensjonsforsikring'!B108+'Protector Forsikring'!B108+'SHB Liv'!B108+'Sparebank 1'!B108+'Storebrand Livsforsikring'!B108+'Telenor Forsikring'!B108+'Tryg Forsikring'!B108+'WaterCircles F'!B108+'Codan Forsikring'!B108+'Euro Accident'!B108+'Ly Forsikring'!B108+'Youplus Livsforsikring'!B108</f>
        <v>334309567.87645888</v>
      </c>
      <c r="C108" s="230">
        <f>'Fremtind Livsforsikring'!C108+'Storebrand Danica P'!C108+'DNB Livsforsikring'!C108+'Eika Forsikring AS'!C108+'Frende Livsforsikring'!C108+'Frende Skadeforsikring'!C108+'Gjensidige Forsikring'!C108+'Gjensidige Pensjon'!C108+'Handelsbanken Liv'!C108+'If Skadeforsikring NUF'!C108+KLP!C108+'KLP Skadeforsikring AS'!C108+'Landkreditt Forsikring'!C108+'Nordea Liv '!C108+'Oslo Pensjonsforsikring'!C108+'Protector Forsikring'!C108+'SHB Liv'!C108+'Sparebank 1'!C108+'Storebrand Livsforsikring'!C108+'Telenor Forsikring'!C108+'Tryg Forsikring'!C108+'WaterCircles F'!C108+'Codan Forsikring'!C108+'Euro Accident'!C108+'Ly Forsikring'!C108+'Youplus Livsforsikring'!C108</f>
        <v>333010321.76514018</v>
      </c>
      <c r="D108" s="21">
        <f t="shared" si="23"/>
        <v>-0.4</v>
      </c>
      <c r="E108" s="42">
        <f>'Fremtind Livsforsikring'!F108+'Storebrand Danica P'!F108+'DNB Livsforsikring'!F108+'Eika Forsikring AS'!F108+'Frende Livsforsikring'!F108+'Frende Skadeforsikring'!F108+'Gjensidige Forsikring'!F108+'Gjensidige Pensjon'!F108+'Handelsbanken Liv'!F108+'If Skadeforsikring NUF'!F108+KLP!F108+'KLP Skadeforsikring AS'!F108+'Landkreditt Forsikring'!F108+'Nordea Liv '!F108+'Oslo Pensjonsforsikring'!F108+'Protector Forsikring'!F108+'SHB Liv'!F108+'Sparebank 1'!F108+'Storebrand Livsforsikring'!F108+'Telenor Forsikring'!F108+'Tryg Forsikring'!F108+'WaterCircles F'!F108+'Codan Forsikring'!F108+'Euro Accident'!F108+'Ly Forsikring'!F108+'Youplus Livsforsikring'!F108</f>
        <v>20373786.065000001</v>
      </c>
      <c r="F108" s="42">
        <f>'Fremtind Livsforsikring'!G108+'Storebrand Danica P'!G108+'DNB Livsforsikring'!G108+'Eika Forsikring AS'!G108+'Frende Livsforsikring'!G108+'Frende Skadeforsikring'!G108+'Gjensidige Forsikring'!G108+'Gjensidige Pensjon'!G108+'Handelsbanken Liv'!G108+'If Skadeforsikring NUF'!G108+KLP!G108+'KLP Skadeforsikring AS'!G108+'Landkreditt Forsikring'!G108+'Nordea Liv '!G108+'Oslo Pensjonsforsikring'!G108+'Protector Forsikring'!G108+'SHB Liv'!G108+'Sparebank 1'!G108+'Storebrand Livsforsikring'!G108+'Telenor Forsikring'!G108+'Tryg Forsikring'!G108+'WaterCircles F'!G108+'Codan Forsikring'!G108+'Euro Accident'!G108+'Ly Forsikring'!G108+'Youplus Livsforsikring'!G108</f>
        <v>18532278.422290001</v>
      </c>
      <c r="G108" s="164">
        <f t="shared" si="24"/>
        <v>-9</v>
      </c>
      <c r="H108" s="233">
        <f t="shared" si="32"/>
        <v>354683353.94145888</v>
      </c>
      <c r="I108" s="233">
        <f t="shared" si="33"/>
        <v>351542600.1874302</v>
      </c>
      <c r="J108" s="21">
        <f t="shared" si="27"/>
        <v>-0.9</v>
      </c>
    </row>
    <row r="109" spans="1:12" ht="15.75" customHeight="1" x14ac:dyDescent="0.2">
      <c r="A109" s="36" t="s">
        <v>408</v>
      </c>
      <c r="B109" s="230">
        <f>'Fremtind Livsforsikring'!B109+'Storebrand Danica P'!B109+'DNB Livsforsikring'!B109+'Eika Forsikring AS'!B109+'Frende Livsforsikring'!B109+'Frende Skadeforsikring'!B109+'Gjensidige Forsikring'!B109+'Gjensidige Pensjon'!B109+'Handelsbanken Liv'!B109+'If Skadeforsikring NUF'!B109+KLP!B109+'KLP Skadeforsikring AS'!B109+'Landkreditt Forsikring'!B109+'Nordea Liv '!B109+'Oslo Pensjonsforsikring'!B109+'Protector Forsikring'!B109+'SHB Liv'!B109+'Sparebank 1'!B109+'Storebrand Livsforsikring'!B109+'Telenor Forsikring'!B109+'Tryg Forsikring'!B109+'WaterCircles F'!B109+'Codan Forsikring'!B109+'Euro Accident'!B109+'Ly Forsikring'!B109+'Youplus Livsforsikring'!B109</f>
        <v>1576718.8441099999</v>
      </c>
      <c r="C109" s="230">
        <f>'Fremtind Livsforsikring'!C109+'Storebrand Danica P'!C109+'DNB Livsforsikring'!C109+'Eika Forsikring AS'!C109+'Frende Livsforsikring'!C109+'Frende Skadeforsikring'!C109+'Gjensidige Forsikring'!C109+'Gjensidige Pensjon'!C109+'Handelsbanken Liv'!C109+'If Skadeforsikring NUF'!C109+KLP!C109+'KLP Skadeforsikring AS'!C109+'Landkreditt Forsikring'!C109+'Nordea Liv '!C109+'Oslo Pensjonsforsikring'!C109+'Protector Forsikring'!C109+'SHB Liv'!C109+'Sparebank 1'!C109+'Storebrand Livsforsikring'!C109+'Telenor Forsikring'!C109+'Tryg Forsikring'!C109+'WaterCircles F'!C109+'Codan Forsikring'!C109+'Euro Accident'!C109+'Ly Forsikring'!C109+'Youplus Livsforsikring'!C109</f>
        <v>1867598.019577675</v>
      </c>
      <c r="D109" s="21">
        <f t="shared" si="23"/>
        <v>18.399999999999999</v>
      </c>
      <c r="E109" s="42">
        <f>'Fremtind Livsforsikring'!F109+'Storebrand Danica P'!F109+'DNB Livsforsikring'!F109+'Eika Forsikring AS'!F109+'Frende Livsforsikring'!F109+'Frende Skadeforsikring'!F109+'Gjensidige Forsikring'!F109+'Gjensidige Pensjon'!F109+'Handelsbanken Liv'!F109+'If Skadeforsikring NUF'!F109+KLP!F109+'KLP Skadeforsikring AS'!F109+'Landkreditt Forsikring'!F109+'Nordea Liv '!F109+'Oslo Pensjonsforsikring'!F109+'Protector Forsikring'!F109+'SHB Liv'!F109+'Sparebank 1'!F109+'Storebrand Livsforsikring'!F109+'Telenor Forsikring'!F109+'Tryg Forsikring'!F109+'WaterCircles F'!F109+'Codan Forsikring'!F109+'Euro Accident'!F109+'Ly Forsikring'!F109+'Youplus Livsforsikring'!F109</f>
        <v>151535831.53504601</v>
      </c>
      <c r="F109" s="42">
        <f>'Fremtind Livsforsikring'!G109+'Storebrand Danica P'!G109+'DNB Livsforsikring'!G109+'Eika Forsikring AS'!G109+'Frende Livsforsikring'!G109+'Frende Skadeforsikring'!G109+'Gjensidige Forsikring'!G109+'Gjensidige Pensjon'!G109+'Handelsbanken Liv'!G109+'If Skadeforsikring NUF'!G109+KLP!G109+'KLP Skadeforsikring AS'!G109+'Landkreditt Forsikring'!G109+'Nordea Liv '!G109+'Oslo Pensjonsforsikring'!G109+'Protector Forsikring'!G109+'SHB Liv'!G109+'Sparebank 1'!G109+'Storebrand Livsforsikring'!G109+'Telenor Forsikring'!G109+'Tryg Forsikring'!G109+'WaterCircles F'!G109+'Codan Forsikring'!G109+'Euro Accident'!G109+'Ly Forsikring'!G109+'Youplus Livsforsikring'!G109</f>
        <v>151701125.25734729</v>
      </c>
      <c r="G109" s="164">
        <f t="shared" si="24"/>
        <v>0.1</v>
      </c>
      <c r="H109" s="233">
        <f t="shared" si="32"/>
        <v>153112550.37915602</v>
      </c>
      <c r="I109" s="233">
        <f t="shared" si="33"/>
        <v>153568723.27692497</v>
      </c>
      <c r="J109" s="21">
        <f t="shared" si="27"/>
        <v>0.3</v>
      </c>
      <c r="L109" s="3"/>
    </row>
    <row r="110" spans="1:12" ht="15.75" customHeight="1" x14ac:dyDescent="0.2">
      <c r="A110" s="19" t="s">
        <v>370</v>
      </c>
      <c r="B110" s="230">
        <f>'Fremtind Livsforsikring'!B110+'Storebrand Danica P'!B110+'DNB Livsforsikring'!B110+'Eika Forsikring AS'!B110+'Frende Livsforsikring'!B110+'Frende Skadeforsikring'!B110+'Gjensidige Forsikring'!B110+'Gjensidige Pensjon'!B110+'Handelsbanken Liv'!B110+'If Skadeforsikring NUF'!B110+KLP!B110+'KLP Skadeforsikring AS'!B110+'Landkreditt Forsikring'!B110+'Nordea Liv '!B110+'Oslo Pensjonsforsikring'!B110+'Protector Forsikring'!B110+'SHB Liv'!B110+'Sparebank 1'!B110+'Storebrand Livsforsikring'!B110+'Telenor Forsikring'!B110+'Tryg Forsikring'!B110+'WaterCircles F'!B110+'Codan Forsikring'!B110+'Euro Accident'!B110+'Ly Forsikring'!B110+'Youplus Livsforsikring'!B110</f>
        <v>719723.88043999998</v>
      </c>
      <c r="C110" s="230">
        <f>'Fremtind Livsforsikring'!C110+'Storebrand Danica P'!C110+'DNB Livsforsikring'!C110+'Eika Forsikring AS'!C110+'Frende Livsforsikring'!C110+'Frende Skadeforsikring'!C110+'Gjensidige Forsikring'!C110+'Gjensidige Pensjon'!C110+'Handelsbanken Liv'!C110+'If Skadeforsikring NUF'!C110+KLP!C110+'KLP Skadeforsikring AS'!C110+'Landkreditt Forsikring'!C110+'Nordea Liv '!C110+'Oslo Pensjonsforsikring'!C110+'Protector Forsikring'!C110+'SHB Liv'!C110+'Sparebank 1'!C110+'Storebrand Livsforsikring'!C110+'Telenor Forsikring'!C110+'Tryg Forsikring'!C110+'WaterCircles F'!C110+'Codan Forsikring'!C110+'Euro Accident'!C110+'Ly Forsikring'!C110+'Youplus Livsforsikring'!C110</f>
        <v>1320963.0650599999</v>
      </c>
      <c r="D110" s="21">
        <f t="shared" si="23"/>
        <v>83.5</v>
      </c>
      <c r="E110" s="42"/>
      <c r="F110" s="42"/>
      <c r="G110" s="164"/>
      <c r="H110" s="233">
        <f t="shared" si="32"/>
        <v>719723.88043999998</v>
      </c>
      <c r="I110" s="233">
        <f t="shared" si="33"/>
        <v>1320963.0650599999</v>
      </c>
      <c r="J110" s="21">
        <f t="shared" si="27"/>
        <v>83.5</v>
      </c>
    </row>
    <row r="111" spans="1:12" s="41" customFormat="1" ht="15.75" customHeight="1" x14ac:dyDescent="0.2">
      <c r="A111" s="13" t="s">
        <v>351</v>
      </c>
      <c r="B111" s="300">
        <f>'Fremtind Livsforsikring'!B111+'Storebrand Danica P'!B111+'DNB Livsforsikring'!B111+'Eika Forsikring AS'!B111+'Frende Livsforsikring'!B111+'Frende Skadeforsikring'!B111+'Gjensidige Forsikring'!B111+'Gjensidige Pensjon'!B111+'Handelsbanken Liv'!B111+'If Skadeforsikring NUF'!B111+KLP!B111+'KLP Skadeforsikring AS'!B111+'Landkreditt Forsikring'!B111+'Nordea Liv '!B111+'Oslo Pensjonsforsikring'!B111+'Protector Forsikring'!B111+'SHB Liv'!B111+'Sparebank 1'!B111+'Storebrand Livsforsikring'!B111+'Telenor Forsikring'!B111+'Tryg Forsikring'!B111+'WaterCircles F'!B111+'Codan Forsikring'!B111+'Euro Accident'!B111+'Ly Forsikring'!B111+'Youplus Livsforsikring'!B111</f>
        <v>459485.86124</v>
      </c>
      <c r="C111" s="300">
        <f>'Fremtind Livsforsikring'!C111+'Storebrand Danica P'!C111+'DNB Livsforsikring'!C111+'Eika Forsikring AS'!C111+'Frende Livsforsikring'!C111+'Frende Skadeforsikring'!C111+'Gjensidige Forsikring'!C111+'Gjensidige Pensjon'!C111+'Handelsbanken Liv'!C111+'If Skadeforsikring NUF'!C111+KLP!C111+'KLP Skadeforsikring AS'!C111+'Landkreditt Forsikring'!C111+'Nordea Liv '!C111+'Oslo Pensjonsforsikring'!C111+'Protector Forsikring'!C111+'SHB Liv'!C111+'Sparebank 1'!C111+'Storebrand Livsforsikring'!C111+'Telenor Forsikring'!C111+'Tryg Forsikring'!C111+'WaterCircles F'!C111+'Codan Forsikring'!C111+'Euro Accident'!C111+'Ly Forsikring'!C111+'Youplus Livsforsikring'!C111</f>
        <v>620057.50439999998</v>
      </c>
      <c r="D111" s="22">
        <f t="shared" si="23"/>
        <v>34.9</v>
      </c>
      <c r="E111" s="232">
        <f>'Fremtind Livsforsikring'!F111+'Storebrand Danica P'!F111+'DNB Livsforsikring'!F111+'Eika Forsikring AS'!F111+'Frende Livsforsikring'!F111+'Frende Skadeforsikring'!F111+'Gjensidige Forsikring'!F111+'Gjensidige Pensjon'!F111+'Handelsbanken Liv'!F111+'If Skadeforsikring NUF'!F111+KLP!F111+'KLP Skadeforsikring AS'!F111+'Landkreditt Forsikring'!F111+'Nordea Liv '!F111+'Oslo Pensjonsforsikring'!F111+'Protector Forsikring'!F111+'SHB Liv'!F111+'Sparebank 1'!F111+'Storebrand Livsforsikring'!F111+'Telenor Forsikring'!F111+'Tryg Forsikring'!F111+'WaterCircles F'!F111+'Codan Forsikring'!F111+'Euro Accident'!F111+'Ly Forsikring'!F111+'Youplus Livsforsikring'!F111</f>
        <v>53008611.131979994</v>
      </c>
      <c r="F111" s="232">
        <f>'Fremtind Livsforsikring'!G111+'Storebrand Danica P'!G111+'DNB Livsforsikring'!G111+'Eika Forsikring AS'!G111+'Frende Livsforsikring'!G111+'Frende Skadeforsikring'!G111+'Gjensidige Forsikring'!G111+'Gjensidige Pensjon'!G111+'Handelsbanken Liv'!G111+'If Skadeforsikring NUF'!G111+KLP!G111+'KLP Skadeforsikring AS'!G111+'Landkreditt Forsikring'!G111+'Nordea Liv '!G111+'Oslo Pensjonsforsikring'!G111+'Protector Forsikring'!G111+'SHB Liv'!G111+'Sparebank 1'!G111+'Storebrand Livsforsikring'!G111+'Telenor Forsikring'!G111+'Tryg Forsikring'!G111+'WaterCircles F'!G111+'Codan Forsikring'!G111+'Euro Accident'!G111+'Ly Forsikring'!G111+'Youplus Livsforsikring'!G111</f>
        <v>29487543.947020002</v>
      </c>
      <c r="G111" s="169">
        <f t="shared" si="24"/>
        <v>-44.4</v>
      </c>
      <c r="H111" s="320">
        <f t="shared" si="32"/>
        <v>53468096.993219994</v>
      </c>
      <c r="I111" s="320">
        <f t="shared" si="33"/>
        <v>30107601.451420002</v>
      </c>
      <c r="J111" s="22">
        <f t="shared" si="27"/>
        <v>-43.7</v>
      </c>
    </row>
    <row r="112" spans="1:12" ht="15.75" customHeight="1" x14ac:dyDescent="0.2">
      <c r="A112" s="19" t="s">
        <v>9</v>
      </c>
      <c r="B112" s="230">
        <f>'Fremtind Livsforsikring'!B112+'Storebrand Danica P'!B112+'DNB Livsforsikring'!B112+'Eika Forsikring AS'!B112+'Frende Livsforsikring'!B112+'Frende Skadeforsikring'!B112+'Gjensidige Forsikring'!B112+'Gjensidige Pensjon'!B112+'Handelsbanken Liv'!B112+'If Skadeforsikring NUF'!B112+KLP!B112+'KLP Skadeforsikring AS'!B112+'Landkreditt Forsikring'!B112+'Nordea Liv '!B112+'Oslo Pensjonsforsikring'!B112+'Protector Forsikring'!B112+'SHB Liv'!B112+'Sparebank 1'!B112+'Storebrand Livsforsikring'!B112+'Telenor Forsikring'!B112+'Tryg Forsikring'!B112+'WaterCircles F'!B112+'Codan Forsikring'!B112+'Euro Accident'!B112+'Ly Forsikring'!B112+'Youplus Livsforsikring'!B112</f>
        <v>346062.54638000001</v>
      </c>
      <c r="C112" s="230">
        <f>'Fremtind Livsforsikring'!C112+'Storebrand Danica P'!C112+'DNB Livsforsikring'!C112+'Eika Forsikring AS'!C112+'Frende Livsforsikring'!C112+'Frende Skadeforsikring'!C112+'Gjensidige Forsikring'!C112+'Gjensidige Pensjon'!C112+'Handelsbanken Liv'!C112+'If Skadeforsikring NUF'!C112+KLP!C112+'KLP Skadeforsikring AS'!C112+'Landkreditt Forsikring'!C112+'Nordea Liv '!C112+'Oslo Pensjonsforsikring'!C112+'Protector Forsikring'!C112+'SHB Liv'!C112+'Sparebank 1'!C112+'Storebrand Livsforsikring'!C112+'Telenor Forsikring'!C112+'Tryg Forsikring'!C112+'WaterCircles F'!C112+'Codan Forsikring'!C112+'Euro Accident'!C112+'Ly Forsikring'!C112+'Youplus Livsforsikring'!C112</f>
        <v>354963.70757000003</v>
      </c>
      <c r="D112" s="21">
        <f t="shared" ref="D112:D126" si="38">IF(B112=0, "    ---- ", IF(ABS(ROUND(100/B112*C112-100,1))&lt;999,ROUND(100/B112*C112-100,1),IF(ROUND(100/B112*C112-100,1)&gt;999,999,-999)))</f>
        <v>2.6</v>
      </c>
      <c r="E112" s="42">
        <f>'Fremtind Livsforsikring'!F112+'Storebrand Danica P'!F112+'DNB Livsforsikring'!F112+'Eika Forsikring AS'!F112+'Frende Livsforsikring'!F112+'Frende Skadeforsikring'!F112+'Gjensidige Forsikring'!F112+'Gjensidige Pensjon'!F112+'Handelsbanken Liv'!F112+'If Skadeforsikring NUF'!F112+KLP!F112+'KLP Skadeforsikring AS'!F112+'Landkreditt Forsikring'!F112+'Nordea Liv '!F112+'Oslo Pensjonsforsikring'!F112+'Protector Forsikring'!F112+'SHB Liv'!F112+'Sparebank 1'!F112+'Storebrand Livsforsikring'!F112+'Telenor Forsikring'!F112+'Tryg Forsikring'!F112+'WaterCircles F'!F112+'Codan Forsikring'!F112+'Euro Accident'!F112+'Ly Forsikring'!F112+'Youplus Livsforsikring'!F112</f>
        <v>11255.638000000001</v>
      </c>
      <c r="F112" s="42">
        <f>'Fremtind Livsforsikring'!G112+'Storebrand Danica P'!G112+'DNB Livsforsikring'!G112+'Eika Forsikring AS'!G112+'Frende Livsforsikring'!G112+'Frende Skadeforsikring'!G112+'Gjensidige Forsikring'!G112+'Gjensidige Pensjon'!G112+'Handelsbanken Liv'!G112+'If Skadeforsikring NUF'!G112+KLP!G112+'KLP Skadeforsikring AS'!G112+'Landkreditt Forsikring'!G112+'Nordea Liv '!G112+'Oslo Pensjonsforsikring'!G112+'Protector Forsikring'!G112+'SHB Liv'!G112+'Sparebank 1'!G112+'Storebrand Livsforsikring'!G112+'Telenor Forsikring'!G112+'Tryg Forsikring'!G112+'WaterCircles F'!G112+'Codan Forsikring'!G112+'Euro Accident'!G112+'Ly Forsikring'!G112+'Youplus Livsforsikring'!G112</f>
        <v>3112.3429999999998</v>
      </c>
      <c r="G112" s="164">
        <f t="shared" si="24"/>
        <v>-72.3</v>
      </c>
      <c r="H112" s="233">
        <f t="shared" ref="H112:H126" si="39">SUM(B112,E112)</f>
        <v>357318.18437999999</v>
      </c>
      <c r="I112" s="233">
        <f t="shared" ref="I112:I126" si="40">SUM(C112,F112)</f>
        <v>358076.05057000002</v>
      </c>
      <c r="J112" s="21">
        <f t="shared" ref="J112:J126" si="41">IF(H112=0, "    ---- ", IF(ABS(ROUND(100/H112*I112-100,1))&lt;999,ROUND(100/H112*I112-100,1),IF(ROUND(100/H112*I112-100,1)&gt;999,999,-999)))</f>
        <v>0.2</v>
      </c>
    </row>
    <row r="113" spans="1:10" ht="15.75" customHeight="1" x14ac:dyDescent="0.2">
      <c r="A113" s="19" t="s">
        <v>10</v>
      </c>
      <c r="B113" s="230">
        <f>'Fremtind Livsforsikring'!B113+'Storebrand Danica P'!B113+'DNB Livsforsikring'!B113+'Eika Forsikring AS'!B113+'Frende Livsforsikring'!B113+'Frende Skadeforsikring'!B113+'Gjensidige Forsikring'!B113+'Gjensidige Pensjon'!B113+'Handelsbanken Liv'!B113+'If Skadeforsikring NUF'!B113+KLP!B113+'KLP Skadeforsikring AS'!B113+'Landkreditt Forsikring'!B113+'Nordea Liv '!B113+'Oslo Pensjonsforsikring'!B113+'Protector Forsikring'!B113+'SHB Liv'!B113+'Sparebank 1'!B113+'Storebrand Livsforsikring'!B113+'Telenor Forsikring'!B113+'Tryg Forsikring'!B113+'WaterCircles F'!B113+'Codan Forsikring'!B113+'Euro Accident'!B113+'Ly Forsikring'!B113+'Youplus Livsforsikring'!B113</f>
        <v>229.13946999999999</v>
      </c>
      <c r="C113" s="230">
        <f>'Fremtind Livsforsikring'!C113+'Storebrand Danica P'!C113+'DNB Livsforsikring'!C113+'Eika Forsikring AS'!C113+'Frende Livsforsikring'!C113+'Frende Skadeforsikring'!C113+'Gjensidige Forsikring'!C113+'Gjensidige Pensjon'!C113+'Handelsbanken Liv'!C113+'If Skadeforsikring NUF'!C113+KLP!C113+'KLP Skadeforsikring AS'!C113+'Landkreditt Forsikring'!C113+'Nordea Liv '!C113+'Oslo Pensjonsforsikring'!C113+'Protector Forsikring'!C113+'SHB Liv'!C113+'Sparebank 1'!C113+'Storebrand Livsforsikring'!C113+'Telenor Forsikring'!C113+'Tryg Forsikring'!C113+'WaterCircles F'!C113+'Codan Forsikring'!C113+'Euro Accident'!C113+'Ly Forsikring'!C113+'Youplus Livsforsikring'!C113</f>
        <v>181.03</v>
      </c>
      <c r="D113" s="21">
        <f t="shared" si="38"/>
        <v>-21</v>
      </c>
      <c r="E113" s="42">
        <f>'Fremtind Livsforsikring'!F113+'Storebrand Danica P'!F113+'DNB Livsforsikring'!F113+'Eika Forsikring AS'!F113+'Frende Livsforsikring'!F113+'Frende Skadeforsikring'!F113+'Gjensidige Forsikring'!F113+'Gjensidige Pensjon'!F113+'Handelsbanken Liv'!F113+'If Skadeforsikring NUF'!F113+KLP!F113+'KLP Skadeforsikring AS'!F113+'Landkreditt Forsikring'!F113+'Nordea Liv '!F113+'Oslo Pensjonsforsikring'!F113+'Protector Forsikring'!F113+'SHB Liv'!F113+'Sparebank 1'!F113+'Storebrand Livsforsikring'!F113+'Telenor Forsikring'!F113+'Tryg Forsikring'!F113+'WaterCircles F'!F113+'Codan Forsikring'!F113+'Euro Accident'!F113+'Ly Forsikring'!F113+'Youplus Livsforsikring'!F113</f>
        <v>52997355.49397999</v>
      </c>
      <c r="F113" s="42">
        <f>'Fremtind Livsforsikring'!G113+'Storebrand Danica P'!G113+'DNB Livsforsikring'!G113+'Eika Forsikring AS'!G113+'Frende Livsforsikring'!G113+'Frende Skadeforsikring'!G113+'Gjensidige Forsikring'!G113+'Gjensidige Pensjon'!G113+'Handelsbanken Liv'!G113+'If Skadeforsikring NUF'!G113+KLP!G113+'KLP Skadeforsikring AS'!G113+'Landkreditt Forsikring'!G113+'Nordea Liv '!G113+'Oslo Pensjonsforsikring'!G113+'Protector Forsikring'!G113+'SHB Liv'!G113+'Sparebank 1'!G113+'Storebrand Livsforsikring'!G113+'Telenor Forsikring'!G113+'Tryg Forsikring'!G113+'WaterCircles F'!G113+'Codan Forsikring'!G113+'Euro Accident'!G113+'Ly Forsikring'!G113+'Youplus Livsforsikring'!G113</f>
        <v>29483371.14302</v>
      </c>
      <c r="G113" s="169">
        <f t="shared" si="24"/>
        <v>-44.4</v>
      </c>
      <c r="H113" s="233">
        <f t="shared" si="39"/>
        <v>52997584.633449994</v>
      </c>
      <c r="I113" s="233">
        <f t="shared" si="40"/>
        <v>29483552.173020002</v>
      </c>
      <c r="J113" s="22">
        <f t="shared" si="41"/>
        <v>-44.4</v>
      </c>
    </row>
    <row r="114" spans="1:10" ht="15.75" customHeight="1" x14ac:dyDescent="0.2">
      <c r="A114" s="19" t="s">
        <v>26</v>
      </c>
      <c r="B114" s="230">
        <f>'Fremtind Livsforsikring'!B114+'Storebrand Danica P'!B114+'DNB Livsforsikring'!B114+'Eika Forsikring AS'!B114+'Frende Livsforsikring'!B114+'Frende Skadeforsikring'!B114+'Gjensidige Forsikring'!B114+'Gjensidige Pensjon'!B114+'Handelsbanken Liv'!B114+'If Skadeforsikring NUF'!B114+KLP!B114+'KLP Skadeforsikring AS'!B114+'Landkreditt Forsikring'!B114+'Nordea Liv '!B114+'Oslo Pensjonsforsikring'!B114+'Protector Forsikring'!B114+'SHB Liv'!B114+'Sparebank 1'!B114+'Storebrand Livsforsikring'!B114+'Telenor Forsikring'!B114+'Tryg Forsikring'!B114+'WaterCircles F'!B114+'Codan Forsikring'!B114+'Euro Accident'!B114+'Ly Forsikring'!B114+'Youplus Livsforsikring'!B114</f>
        <v>113194.17539</v>
      </c>
      <c r="C114" s="230">
        <f>'Fremtind Livsforsikring'!C114+'Storebrand Danica P'!C114+'DNB Livsforsikring'!C114+'Eika Forsikring AS'!C114+'Frende Livsforsikring'!C114+'Frende Skadeforsikring'!C114+'Gjensidige Forsikring'!C114+'Gjensidige Pensjon'!C114+'Handelsbanken Liv'!C114+'If Skadeforsikring NUF'!C114+KLP!C114+'KLP Skadeforsikring AS'!C114+'Landkreditt Forsikring'!C114+'Nordea Liv '!C114+'Oslo Pensjonsforsikring'!C114+'Protector Forsikring'!C114+'SHB Liv'!C114+'Sparebank 1'!C114+'Storebrand Livsforsikring'!C114+'Telenor Forsikring'!C114+'Tryg Forsikring'!C114+'WaterCircles F'!C114+'Codan Forsikring'!C114+'Euro Accident'!C114+'Ly Forsikring'!C114+'Youplus Livsforsikring'!C114</f>
        <v>264912.76682999998</v>
      </c>
      <c r="D114" s="21">
        <f t="shared" si="38"/>
        <v>134</v>
      </c>
      <c r="E114" s="42">
        <f>'Fremtind Livsforsikring'!F114+'Storebrand Danica P'!F114+'DNB Livsforsikring'!F114+'Eika Forsikring AS'!F114+'Frende Livsforsikring'!F114+'Frende Skadeforsikring'!F114+'Gjensidige Forsikring'!F114+'Gjensidige Pensjon'!F114+'Handelsbanken Liv'!F114+'If Skadeforsikring NUF'!F114+KLP!F114+'KLP Skadeforsikring AS'!F114+'Landkreditt Forsikring'!F114+'Nordea Liv '!F114+'Oslo Pensjonsforsikring'!F114+'Protector Forsikring'!F114+'SHB Liv'!F114+'Sparebank 1'!F114+'Storebrand Livsforsikring'!F114+'Telenor Forsikring'!F114+'Tryg Forsikring'!F114+'WaterCircles F'!F114+'Codan Forsikring'!F114+'Euro Accident'!F114+'Ly Forsikring'!F114+'Youplus Livsforsikring'!F114</f>
        <v>0</v>
      </c>
      <c r="F114" s="42">
        <f>'Fremtind Livsforsikring'!G114+'Storebrand Danica P'!G114+'DNB Livsforsikring'!G114+'Eika Forsikring AS'!G114+'Frende Livsforsikring'!G114+'Frende Skadeforsikring'!G114+'Gjensidige Forsikring'!G114+'Gjensidige Pensjon'!G114+'Handelsbanken Liv'!G114+'If Skadeforsikring NUF'!G114+KLP!G114+'KLP Skadeforsikring AS'!G114+'Landkreditt Forsikring'!G114+'Nordea Liv '!G114+'Oslo Pensjonsforsikring'!G114+'Protector Forsikring'!G114+'SHB Liv'!G114+'Sparebank 1'!G114+'Storebrand Livsforsikring'!G114+'Telenor Forsikring'!G114+'Tryg Forsikring'!G114+'WaterCircles F'!G114+'Codan Forsikring'!G114+'Euro Accident'!G114+'Ly Forsikring'!G114+'Youplus Livsforsikring'!G114</f>
        <v>1060.461</v>
      </c>
      <c r="G114" s="169" t="str">
        <f t="shared" si="24"/>
        <v xml:space="preserve">    ---- </v>
      </c>
      <c r="H114" s="233">
        <f t="shared" si="39"/>
        <v>113194.17539</v>
      </c>
      <c r="I114" s="233">
        <f t="shared" si="40"/>
        <v>265973.22782999999</v>
      </c>
      <c r="J114" s="22">
        <f t="shared" si="41"/>
        <v>135</v>
      </c>
    </row>
    <row r="115" spans="1:10" ht="15.75" customHeight="1" x14ac:dyDescent="0.2">
      <c r="A115" s="288" t="s">
        <v>15</v>
      </c>
      <c r="B115" s="231"/>
      <c r="C115" s="231"/>
      <c r="D115" s="25"/>
      <c r="E115" s="231"/>
      <c r="F115" s="231"/>
      <c r="G115" s="164"/>
      <c r="H115" s="231"/>
      <c r="I115" s="231"/>
      <c r="J115" s="21"/>
    </row>
    <row r="116" spans="1:10" ht="15.75" customHeight="1" x14ac:dyDescent="0.2">
      <c r="A116" s="19" t="s">
        <v>371</v>
      </c>
      <c r="B116" s="230">
        <f>'Fremtind Livsforsikring'!B116+'Storebrand Danica P'!B116+'DNB Livsforsikring'!B116+'Eika Forsikring AS'!B116+'Frende Livsforsikring'!B116+'Frende Skadeforsikring'!B116+'Gjensidige Forsikring'!B116+'Gjensidige Pensjon'!B116+'Handelsbanken Liv'!B116+'If Skadeforsikring NUF'!B116+KLP!B116+'KLP Skadeforsikring AS'!B116+'Landkreditt Forsikring'!B116+'Nordea Liv '!B116+'Oslo Pensjonsforsikring'!B116+'Protector Forsikring'!B116+'SHB Liv'!B116+'Sparebank 1'!B116+'Storebrand Livsforsikring'!B116+'Telenor Forsikring'!B116+'Tryg Forsikring'!B116+'WaterCircles F'!B116+'Codan Forsikring'!B116+'Euro Accident'!B116+'Ly Forsikring'!B116+'Youplus Livsforsikring'!B116</f>
        <v>73790.706789999997</v>
      </c>
      <c r="C116" s="230">
        <f>'Fremtind Livsforsikring'!C116+'Storebrand Danica P'!C116+'DNB Livsforsikring'!C116+'Eika Forsikring AS'!C116+'Frende Livsforsikring'!C116+'Frende Skadeforsikring'!C116+'Gjensidige Forsikring'!C116+'Gjensidige Pensjon'!C116+'Handelsbanken Liv'!C116+'If Skadeforsikring NUF'!C116+KLP!C116+'KLP Skadeforsikring AS'!C116+'Landkreditt Forsikring'!C116+'Nordea Liv '!C116+'Oslo Pensjonsforsikring'!C116+'Protector Forsikring'!C116+'SHB Liv'!C116+'Sparebank 1'!C116+'Storebrand Livsforsikring'!C116+'Telenor Forsikring'!C116+'Tryg Forsikring'!C116+'WaterCircles F'!C116+'Codan Forsikring'!C116+'Euro Accident'!C116+'Ly Forsikring'!C116+'Youplus Livsforsikring'!C116</f>
        <v>107120.93195</v>
      </c>
      <c r="D116" s="21">
        <f t="shared" si="38"/>
        <v>45.2</v>
      </c>
      <c r="E116" s="42">
        <f>'Fremtind Livsforsikring'!F116+'Storebrand Danica P'!F116+'DNB Livsforsikring'!F116+'Eika Forsikring AS'!F116+'Frende Livsforsikring'!F116+'Frende Skadeforsikring'!F116+'Gjensidige Forsikring'!F116+'Gjensidige Pensjon'!F116+'Handelsbanken Liv'!F116+'If Skadeforsikring NUF'!F116+KLP!F116+'KLP Skadeforsikring AS'!F116+'Landkreditt Forsikring'!F116+'Nordea Liv '!F116+'Oslo Pensjonsforsikring'!F116+'Protector Forsikring'!F116+'SHB Liv'!F116+'Sparebank 1'!F116+'Storebrand Livsforsikring'!F116+'Telenor Forsikring'!F116+'Tryg Forsikring'!F116+'WaterCircles F'!F116+'Codan Forsikring'!F116+'Euro Accident'!F116+'Ly Forsikring'!F116+'Youplus Livsforsikring'!F116</f>
        <v>11255.638000000001</v>
      </c>
      <c r="F116" s="42">
        <f>'Fremtind Livsforsikring'!G116+'Storebrand Danica P'!G116+'DNB Livsforsikring'!G116+'Eika Forsikring AS'!G116+'Frende Livsforsikring'!G116+'Frende Skadeforsikring'!G116+'Gjensidige Forsikring'!G116+'Gjensidige Pensjon'!G116+'Handelsbanken Liv'!G116+'If Skadeforsikring NUF'!G116+KLP!G116+'KLP Skadeforsikring AS'!G116+'Landkreditt Forsikring'!G116+'Nordea Liv '!G116+'Oslo Pensjonsforsikring'!G116+'Protector Forsikring'!G116+'SHB Liv'!G116+'Sparebank 1'!G116+'Storebrand Livsforsikring'!G116+'Telenor Forsikring'!G116+'Tryg Forsikring'!G116+'WaterCircles F'!G116+'Codan Forsikring'!G116+'Euro Accident'!G116+'Ly Forsikring'!G116+'Youplus Livsforsikring'!G116</f>
        <v>4486.2449999999999</v>
      </c>
      <c r="G116" s="164">
        <f t="shared" si="24"/>
        <v>-60.1</v>
      </c>
      <c r="H116" s="233">
        <f t="shared" si="39"/>
        <v>85046.344790000003</v>
      </c>
      <c r="I116" s="233">
        <f t="shared" si="40"/>
        <v>111607.17694999999</v>
      </c>
      <c r="J116" s="21">
        <f t="shared" si="41"/>
        <v>31.2</v>
      </c>
    </row>
    <row r="117" spans="1:10" ht="15.75" customHeight="1" x14ac:dyDescent="0.2">
      <c r="A117" s="36" t="s">
        <v>408</v>
      </c>
      <c r="B117" s="230">
        <f>'Fremtind Livsforsikring'!B117+'Storebrand Danica P'!B117+'DNB Livsforsikring'!B117+'Eika Forsikring AS'!B117+'Frende Livsforsikring'!B117+'Frende Skadeforsikring'!B117+'Gjensidige Forsikring'!B117+'Gjensidige Pensjon'!B117+'Handelsbanken Liv'!B117+'If Skadeforsikring NUF'!B117+KLP!B117+'KLP Skadeforsikring AS'!B117+'Landkreditt Forsikring'!B117+'Nordea Liv '!B117+'Oslo Pensjonsforsikring'!B117+'Protector Forsikring'!B117+'SHB Liv'!B117+'Sparebank 1'!B117+'Storebrand Livsforsikring'!B117+'Telenor Forsikring'!B117+'Tryg Forsikring'!B117+'WaterCircles F'!B117+'Codan Forsikring'!B117+'Euro Accident'!B117+'Ly Forsikring'!B117+'Youplus Livsforsikring'!B117</f>
        <v>0</v>
      </c>
      <c r="C117" s="230">
        <f>'Fremtind Livsforsikring'!C117+'Storebrand Danica P'!C117+'DNB Livsforsikring'!C117+'Eika Forsikring AS'!C117+'Frende Livsforsikring'!C117+'Frende Skadeforsikring'!C117+'Gjensidige Forsikring'!C117+'Gjensidige Pensjon'!C117+'Handelsbanken Liv'!C117+'If Skadeforsikring NUF'!C117+KLP!C117+'KLP Skadeforsikring AS'!C117+'Landkreditt Forsikring'!C117+'Nordea Liv '!C117+'Oslo Pensjonsforsikring'!C117+'Protector Forsikring'!C117+'SHB Liv'!C117+'Sparebank 1'!C117+'Storebrand Livsforsikring'!C117+'Telenor Forsikring'!C117+'Tryg Forsikring'!C117+'WaterCircles F'!C117+'Codan Forsikring'!C117+'Euro Accident'!C117+'Ly Forsikring'!C117+'Youplus Livsforsikring'!C117</f>
        <v>180.96299999999999</v>
      </c>
      <c r="D117" s="21" t="str">
        <f t="shared" si="38"/>
        <v xml:space="preserve">    ---- </v>
      </c>
      <c r="E117" s="42">
        <f>'Fremtind Livsforsikring'!F117+'Storebrand Danica P'!F117+'DNB Livsforsikring'!F117+'Eika Forsikring AS'!F117+'Frende Livsforsikring'!F117+'Frende Skadeforsikring'!F117+'Gjensidige Forsikring'!F117+'Gjensidige Pensjon'!F117+'Handelsbanken Liv'!F117+'If Skadeforsikring NUF'!F117+KLP!F117+'KLP Skadeforsikring AS'!F117+'Landkreditt Forsikring'!F117+'Nordea Liv '!F117+'Oslo Pensjonsforsikring'!F117+'Protector Forsikring'!F117+'SHB Liv'!F117+'Sparebank 1'!F117+'Storebrand Livsforsikring'!F117+'Telenor Forsikring'!F117+'Tryg Forsikring'!F117+'WaterCircles F'!F117+'Codan Forsikring'!F117+'Euro Accident'!F117+'Ly Forsikring'!F117+'Youplus Livsforsikring'!F117</f>
        <v>7537295.8789000018</v>
      </c>
      <c r="F117" s="42">
        <f>'Fremtind Livsforsikring'!G117+'Storebrand Danica P'!G117+'DNB Livsforsikring'!G117+'Eika Forsikring AS'!G117+'Frende Livsforsikring'!G117+'Frende Skadeforsikring'!G117+'Gjensidige Forsikring'!G117+'Gjensidige Pensjon'!G117+'Handelsbanken Liv'!G117+'If Skadeforsikring NUF'!G117+KLP!G117+'KLP Skadeforsikring AS'!G117+'Landkreditt Forsikring'!G117+'Nordea Liv '!G117+'Oslo Pensjonsforsikring'!G117+'Protector Forsikring'!G117+'SHB Liv'!G117+'Sparebank 1'!G117+'Storebrand Livsforsikring'!G117+'Telenor Forsikring'!G117+'Tryg Forsikring'!G117+'WaterCircles F'!G117+'Codan Forsikring'!G117+'Euro Accident'!G117+'Ly Forsikring'!G117+'Youplus Livsforsikring'!G117</f>
        <v>16736211.148630001</v>
      </c>
      <c r="G117" s="164">
        <f t="shared" si="24"/>
        <v>122</v>
      </c>
      <c r="H117" s="233">
        <f t="shared" si="39"/>
        <v>7537295.8789000018</v>
      </c>
      <c r="I117" s="233">
        <f t="shared" si="40"/>
        <v>16736392.11163</v>
      </c>
      <c r="J117" s="21">
        <f t="shared" si="41"/>
        <v>122</v>
      </c>
    </row>
    <row r="118" spans="1:10" ht="15.75" customHeight="1" x14ac:dyDescent="0.2">
      <c r="A118" s="19" t="s">
        <v>370</v>
      </c>
      <c r="B118" s="230"/>
      <c r="C118" s="230"/>
      <c r="D118" s="21"/>
      <c r="E118" s="42"/>
      <c r="F118" s="42"/>
      <c r="G118" s="164"/>
      <c r="H118" s="233"/>
      <c r="I118" s="233"/>
      <c r="J118" s="21"/>
    </row>
    <row r="119" spans="1:10" s="41" customFormat="1" ht="15.75" customHeight="1" x14ac:dyDescent="0.2">
      <c r="A119" s="13" t="s">
        <v>352</v>
      </c>
      <c r="B119" s="320">
        <f>'Fremtind Livsforsikring'!B119+'Storebrand Danica P'!B119+'DNB Livsforsikring'!B119+'Eika Forsikring AS'!B119+'Frende Livsforsikring'!B119+'Frende Skadeforsikring'!B119+'Gjensidige Forsikring'!B119+'Gjensidige Pensjon'!B119+'Handelsbanken Liv'!B119+'If Skadeforsikring NUF'!B119+KLP!B119+'KLP Skadeforsikring AS'!B119+'Landkreditt Forsikring'!B119+'Nordea Liv '!B119+'Oslo Pensjonsforsikring'!B119+'Protector Forsikring'!B119+'SHB Liv'!B119+'Sparebank 1'!B119+'Storebrand Livsforsikring'!B119+'Telenor Forsikring'!B119+'Tryg Forsikring'!B119+'WaterCircles F'!B119+'Codan Forsikring'!B119+'Euro Accident'!B119+'Ly Forsikring'!B119+'Youplus Livsforsikring'!B119</f>
        <v>454027.20446000004</v>
      </c>
      <c r="C119" s="320">
        <f>'Fremtind Livsforsikring'!C119+'Storebrand Danica P'!C119+'DNB Livsforsikring'!C119+'Eika Forsikring AS'!C119+'Frende Livsforsikring'!C119+'Frende Skadeforsikring'!C119+'Gjensidige Forsikring'!C119+'Gjensidige Pensjon'!C119+'Handelsbanken Liv'!C119+'If Skadeforsikring NUF'!C119+KLP!C119+'KLP Skadeforsikring AS'!C119+'Landkreditt Forsikring'!C119+'Nordea Liv '!C119+'Oslo Pensjonsforsikring'!C119+'Protector Forsikring'!C119+'SHB Liv'!C119+'Sparebank 1'!C119+'Storebrand Livsforsikring'!C119+'Telenor Forsikring'!C119+'Tryg Forsikring'!C119+'WaterCircles F'!C119+'Codan Forsikring'!C119+'Euro Accident'!C119+'Ly Forsikring'!C119+'Youplus Livsforsikring'!C119</f>
        <v>561526.15474999987</v>
      </c>
      <c r="D119" s="22">
        <f t="shared" si="38"/>
        <v>23.7</v>
      </c>
      <c r="E119" s="232">
        <f>'Fremtind Livsforsikring'!F119+'Storebrand Danica P'!F119+'DNB Livsforsikring'!F119+'Eika Forsikring AS'!F119+'Frende Livsforsikring'!F119+'Frende Skadeforsikring'!F119+'Gjensidige Forsikring'!F119+'Gjensidige Pensjon'!F119+'Handelsbanken Liv'!F119+'If Skadeforsikring NUF'!F119+KLP!F119+'KLP Skadeforsikring AS'!F119+'Landkreditt Forsikring'!F119+'Nordea Liv '!F119+'Oslo Pensjonsforsikring'!F119+'Protector Forsikring'!F119+'SHB Liv'!F119+'Sparebank 1'!F119+'Storebrand Livsforsikring'!F119+'Telenor Forsikring'!F119+'Tryg Forsikring'!F119+'WaterCircles F'!F119+'Codan Forsikring'!F119+'Euro Accident'!F119+'Ly Forsikring'!F119+'Youplus Livsforsikring'!F119</f>
        <v>60821831.252059996</v>
      </c>
      <c r="F119" s="232">
        <f>'Fremtind Livsforsikring'!G119+'Storebrand Danica P'!G119+'DNB Livsforsikring'!G119+'Eika Forsikring AS'!G119+'Frende Livsforsikring'!G119+'Frende Skadeforsikring'!G119+'Gjensidige Forsikring'!G119+'Gjensidige Pensjon'!G119+'Handelsbanken Liv'!G119+'If Skadeforsikring NUF'!G119+KLP!G119+'KLP Skadeforsikring AS'!G119+'Landkreditt Forsikring'!G119+'Nordea Liv '!G119+'Oslo Pensjonsforsikring'!G119+'Protector Forsikring'!G119+'SHB Liv'!G119+'Sparebank 1'!G119+'Storebrand Livsforsikring'!G119+'Telenor Forsikring'!G119+'Tryg Forsikring'!G119+'WaterCircles F'!G119+'Codan Forsikring'!G119+'Euro Accident'!G119+'Ly Forsikring'!G119+'Youplus Livsforsikring'!G119</f>
        <v>31960256.72566</v>
      </c>
      <c r="G119" s="169">
        <f t="shared" si="24"/>
        <v>-47.5</v>
      </c>
      <c r="H119" s="320">
        <f t="shared" si="39"/>
        <v>61275858.456519999</v>
      </c>
      <c r="I119" s="320">
        <f t="shared" si="40"/>
        <v>32521782.880410001</v>
      </c>
      <c r="J119" s="22">
        <f t="shared" si="41"/>
        <v>-46.9</v>
      </c>
    </row>
    <row r="120" spans="1:10" ht="15.75" customHeight="1" x14ac:dyDescent="0.2">
      <c r="A120" s="19" t="s">
        <v>9</v>
      </c>
      <c r="B120" s="233">
        <f>'Fremtind Livsforsikring'!B120+'Storebrand Danica P'!B120+'DNB Livsforsikring'!B120+'Eika Forsikring AS'!B120+'Frende Livsforsikring'!B120+'Frende Skadeforsikring'!B120+'Gjensidige Forsikring'!B120+'Gjensidige Pensjon'!B120+'Handelsbanken Liv'!B120+'If Skadeforsikring NUF'!B120+KLP!B120+'KLP Skadeforsikring AS'!B120+'Landkreditt Forsikring'!B120+'Nordea Liv '!B120+'Oslo Pensjonsforsikring'!B120+'Protector Forsikring'!B120+'SHB Liv'!B120+'Sparebank 1'!B120+'Storebrand Livsforsikring'!B120+'Telenor Forsikring'!B120+'Tryg Forsikring'!B120+'WaterCircles F'!B120+'Codan Forsikring'!B120+'Euro Accident'!B120+'Ly Forsikring'!B120+'Youplus Livsforsikring'!B120</f>
        <v>317392.66688999999</v>
      </c>
      <c r="C120" s="233">
        <f>'Fremtind Livsforsikring'!C120+'Storebrand Danica P'!C120+'DNB Livsforsikring'!C120+'Eika Forsikring AS'!C120+'Frende Livsforsikring'!C120+'Frende Skadeforsikring'!C120+'Gjensidige Forsikring'!C120+'Gjensidige Pensjon'!C120+'Handelsbanken Liv'!C120+'If Skadeforsikring NUF'!C120+KLP!C120+'KLP Skadeforsikring AS'!C120+'Landkreditt Forsikring'!C120+'Nordea Liv '!C120+'Oslo Pensjonsforsikring'!C120+'Protector Forsikring'!C120+'SHB Liv'!C120+'Sparebank 1'!C120+'Storebrand Livsforsikring'!C120+'Telenor Forsikring'!C120+'Tryg Forsikring'!C120+'WaterCircles F'!C120+'Codan Forsikring'!C120+'Euro Accident'!C120+'Ly Forsikring'!C120+'Youplus Livsforsikring'!C120</f>
        <v>197090.83821999983</v>
      </c>
      <c r="D120" s="21">
        <f t="shared" si="38"/>
        <v>-37.9</v>
      </c>
      <c r="E120" s="42"/>
      <c r="F120" s="42"/>
      <c r="G120" s="164"/>
      <c r="H120" s="233">
        <f t="shared" si="39"/>
        <v>317392.66688999999</v>
      </c>
      <c r="I120" s="233">
        <f t="shared" si="40"/>
        <v>197090.83821999983</v>
      </c>
      <c r="J120" s="21">
        <f t="shared" si="41"/>
        <v>-37.9</v>
      </c>
    </row>
    <row r="121" spans="1:10" ht="15.75" customHeight="1" x14ac:dyDescent="0.2">
      <c r="A121" s="19" t="s">
        <v>10</v>
      </c>
      <c r="B121" s="233">
        <f>'Fremtind Livsforsikring'!B121+'Storebrand Danica P'!B121+'DNB Livsforsikring'!B121+'Eika Forsikring AS'!B121+'Frende Livsforsikring'!B121+'Frende Skadeforsikring'!B121+'Gjensidige Forsikring'!B121+'Gjensidige Pensjon'!B121+'Handelsbanken Liv'!B121+'If Skadeforsikring NUF'!B121+KLP!B121+'KLP Skadeforsikring AS'!B121+'Landkreditt Forsikring'!B121+'Nordea Liv '!B121+'Oslo Pensjonsforsikring'!B121+'Protector Forsikring'!B121+'SHB Liv'!B121+'Sparebank 1'!B121+'Storebrand Livsforsikring'!B121+'Telenor Forsikring'!B121+'Tryg Forsikring'!B121+'WaterCircles F'!B121+'Codan Forsikring'!B121+'Euro Accident'!B121+'Ly Forsikring'!B121+'Youplus Livsforsikring'!B121</f>
        <v>10249.906709999999</v>
      </c>
      <c r="C121" s="233">
        <f>'Fremtind Livsforsikring'!C121+'Storebrand Danica P'!C121+'DNB Livsforsikring'!C121+'Eika Forsikring AS'!C121+'Frende Livsforsikring'!C121+'Frende Skadeforsikring'!C121+'Gjensidige Forsikring'!C121+'Gjensidige Pensjon'!C121+'Handelsbanken Liv'!C121+'If Skadeforsikring NUF'!C121+KLP!C121+'KLP Skadeforsikring AS'!C121+'Landkreditt Forsikring'!C121+'Nordea Liv '!C121+'Oslo Pensjonsforsikring'!C121+'Protector Forsikring'!C121+'SHB Liv'!C121+'Sparebank 1'!C121+'Storebrand Livsforsikring'!C121+'Telenor Forsikring'!C121+'Tryg Forsikring'!C121+'WaterCircles F'!C121+'Codan Forsikring'!C121+'Euro Accident'!C121+'Ly Forsikring'!C121+'Youplus Livsforsikring'!C121</f>
        <v>5962.0209800000002</v>
      </c>
      <c r="D121" s="21">
        <f t="shared" si="38"/>
        <v>-41.8</v>
      </c>
      <c r="E121" s="42">
        <f>'Fremtind Livsforsikring'!F121+'Storebrand Danica P'!F121+'DNB Livsforsikring'!F121+'Eika Forsikring AS'!F121+'Frende Livsforsikring'!F121+'Frende Skadeforsikring'!F121+'Gjensidige Forsikring'!F121+'Gjensidige Pensjon'!F121+'Handelsbanken Liv'!F121+'If Skadeforsikring NUF'!F121+KLP!F121+'KLP Skadeforsikring AS'!F121+'Landkreditt Forsikring'!F121+'Nordea Liv '!F121+'Oslo Pensjonsforsikring'!F121+'Protector Forsikring'!F121+'SHB Liv'!F121+'Sparebank 1'!F121+'Storebrand Livsforsikring'!F121+'Telenor Forsikring'!F121+'Tryg Forsikring'!F121+'WaterCircles F'!F121+'Codan Forsikring'!F121+'Euro Accident'!F121+'Ly Forsikring'!F121+'Youplus Livsforsikring'!F121</f>
        <v>60821831.252059996</v>
      </c>
      <c r="F121" s="42">
        <f>'Fremtind Livsforsikring'!G121+'Storebrand Danica P'!G121+'DNB Livsforsikring'!G121+'Eika Forsikring AS'!G121+'Frende Livsforsikring'!G121+'Frende Skadeforsikring'!G121+'Gjensidige Forsikring'!G121+'Gjensidige Pensjon'!G121+'Handelsbanken Liv'!G121+'If Skadeforsikring NUF'!G121+KLP!G121+'KLP Skadeforsikring AS'!G121+'Landkreditt Forsikring'!G121+'Nordea Liv '!G121+'Oslo Pensjonsforsikring'!G121+'Protector Forsikring'!G121+'SHB Liv'!G121+'Sparebank 1'!G121+'Storebrand Livsforsikring'!G121+'Telenor Forsikring'!G121+'Tryg Forsikring'!G121+'WaterCircles F'!G121+'Codan Forsikring'!G121+'Euro Accident'!G121+'Ly Forsikring'!G121+'Youplus Livsforsikring'!G121</f>
        <v>31960256.72566</v>
      </c>
      <c r="G121" s="164">
        <f t="shared" si="24"/>
        <v>-47.5</v>
      </c>
      <c r="H121" s="233">
        <f t="shared" si="39"/>
        <v>60832081.158769995</v>
      </c>
      <c r="I121" s="233">
        <f t="shared" si="40"/>
        <v>31966218.74664</v>
      </c>
      <c r="J121" s="21">
        <f t="shared" si="41"/>
        <v>-47.5</v>
      </c>
    </row>
    <row r="122" spans="1:10" ht="15.75" customHeight="1" x14ac:dyDescent="0.2">
      <c r="A122" s="19" t="s">
        <v>26</v>
      </c>
      <c r="B122" s="233">
        <f>'Fremtind Livsforsikring'!B122+'Storebrand Danica P'!B122+'DNB Livsforsikring'!B122+'Eika Forsikring AS'!B122+'Frende Livsforsikring'!B122+'Frende Skadeforsikring'!B122+'Gjensidige Forsikring'!B122+'Gjensidige Pensjon'!B122+'Handelsbanken Liv'!B122+'If Skadeforsikring NUF'!B122+KLP!B122+'KLP Skadeforsikring AS'!B122+'Landkreditt Forsikring'!B122+'Nordea Liv '!B122+'Oslo Pensjonsforsikring'!B122+'Protector Forsikring'!B122+'SHB Liv'!B122+'Sparebank 1'!B122+'Storebrand Livsforsikring'!B122+'Telenor Forsikring'!B122+'Tryg Forsikring'!B122+'WaterCircles F'!B122+'Codan Forsikring'!B122+'Euro Accident'!B122+'Ly Forsikring'!B122+'Youplus Livsforsikring'!B122</f>
        <v>126384.63086</v>
      </c>
      <c r="C122" s="233">
        <f>'Fremtind Livsforsikring'!C122+'Storebrand Danica P'!C122+'DNB Livsforsikring'!C122+'Eika Forsikring AS'!C122+'Frende Livsforsikring'!C122+'Frende Skadeforsikring'!C122+'Gjensidige Forsikring'!C122+'Gjensidige Pensjon'!C122+'Handelsbanken Liv'!C122+'If Skadeforsikring NUF'!C122+KLP!C122+'KLP Skadeforsikring AS'!C122+'Landkreditt Forsikring'!C122+'Nordea Liv '!C122+'Oslo Pensjonsforsikring'!C122+'Protector Forsikring'!C122+'SHB Liv'!C122+'Sparebank 1'!C122+'Storebrand Livsforsikring'!C122+'Telenor Forsikring'!C122+'Tryg Forsikring'!C122+'WaterCircles F'!C122+'Codan Forsikring'!C122+'Euro Accident'!C122+'Ly Forsikring'!C122+'Youplus Livsforsikring'!C122</f>
        <v>358473.29555000004</v>
      </c>
      <c r="D122" s="21">
        <f t="shared" si="38"/>
        <v>183.6</v>
      </c>
      <c r="E122" s="42"/>
      <c r="F122" s="42"/>
      <c r="G122" s="164"/>
      <c r="H122" s="233">
        <f t="shared" si="39"/>
        <v>126384.63086</v>
      </c>
      <c r="I122" s="233">
        <f t="shared" si="40"/>
        <v>358473.29555000004</v>
      </c>
      <c r="J122" s="21">
        <f t="shared" si="41"/>
        <v>183.6</v>
      </c>
    </row>
    <row r="123" spans="1:10" ht="15.75" customHeight="1" x14ac:dyDescent="0.2">
      <c r="A123" s="288" t="s">
        <v>14</v>
      </c>
      <c r="B123" s="231"/>
      <c r="C123" s="231"/>
      <c r="D123" s="25"/>
      <c r="E123" s="231"/>
      <c r="F123" s="231"/>
      <c r="G123" s="164"/>
      <c r="H123" s="231"/>
      <c r="I123" s="231"/>
      <c r="J123" s="21"/>
    </row>
    <row r="124" spans="1:10" ht="15.75" customHeight="1" x14ac:dyDescent="0.2">
      <c r="A124" s="19" t="s">
        <v>369</v>
      </c>
      <c r="B124" s="233">
        <f>'Fremtind Livsforsikring'!B124+'Storebrand Danica P'!B124+'DNB Livsforsikring'!B124+'Eika Forsikring AS'!B124+'Frende Livsforsikring'!B124+'Frende Skadeforsikring'!B124+'Gjensidige Forsikring'!B124+'Gjensidige Pensjon'!B124+'Handelsbanken Liv'!B124+'If Skadeforsikring NUF'!B124+KLP!B124+'KLP Skadeforsikring AS'!B124+'Landkreditt Forsikring'!B124+'Nordea Liv '!B124+'Oslo Pensjonsforsikring'!B124+'Protector Forsikring'!B124+'SHB Liv'!B124+'Sparebank 1'!B124+'Storebrand Livsforsikring'!B124+'Telenor Forsikring'!B124+'Tryg Forsikring'!B124+'WaterCircles F'!B124+'Codan Forsikring'!B124+'Euro Accident'!B124+'Ly Forsikring'!B124+'Youplus Livsforsikring'!B124</f>
        <v>25438.027999999998</v>
      </c>
      <c r="C124" s="233">
        <f>'Fremtind Livsforsikring'!C124+'Storebrand Danica P'!C124+'DNB Livsforsikring'!C124+'Eika Forsikring AS'!C124+'Frende Livsforsikring'!C124+'Frende Skadeforsikring'!C124+'Gjensidige Forsikring'!C124+'Gjensidige Pensjon'!C124+'Handelsbanken Liv'!C124+'If Skadeforsikring NUF'!C124+KLP!C124+'KLP Skadeforsikring AS'!C124+'Landkreditt Forsikring'!C124+'Nordea Liv '!C124+'Oslo Pensjonsforsikring'!C124+'Protector Forsikring'!C124+'SHB Liv'!C124+'Sparebank 1'!C124+'Storebrand Livsforsikring'!C124+'Telenor Forsikring'!C124+'Tryg Forsikring'!C124+'WaterCircles F'!C124+'Codan Forsikring'!C124+'Euro Accident'!C124+'Ly Forsikring'!C124+'Youplus Livsforsikring'!C124</f>
        <v>61471.459000000003</v>
      </c>
      <c r="D124" s="21">
        <f t="shared" si="38"/>
        <v>141.69999999999999</v>
      </c>
      <c r="E124" s="42">
        <f>'Fremtind Livsforsikring'!F124+'Storebrand Danica P'!F124+'DNB Livsforsikring'!F124+'Eika Forsikring AS'!F124+'Frende Livsforsikring'!F124+'Frende Skadeforsikring'!F124+'Gjensidige Forsikring'!F124+'Gjensidige Pensjon'!F124+'Handelsbanken Liv'!F124+'If Skadeforsikring NUF'!F124+KLP!F124+'KLP Skadeforsikring AS'!F124+'Landkreditt Forsikring'!F124+'Nordea Liv '!F124+'Oslo Pensjonsforsikring'!F124+'Protector Forsikring'!F124+'SHB Liv'!F124+'Sparebank 1'!F124+'Storebrand Livsforsikring'!F124+'Telenor Forsikring'!F124+'Tryg Forsikring'!F124+'WaterCircles F'!F124+'Codan Forsikring'!F124+'Euro Accident'!F124+'Ly Forsikring'!F124+'Youplus Livsforsikring'!F124</f>
        <v>42123.902000000002</v>
      </c>
      <c r="F124" s="42">
        <f>'Fremtind Livsforsikring'!G124+'Storebrand Danica P'!G124+'DNB Livsforsikring'!G124+'Eika Forsikring AS'!G124+'Frende Livsforsikring'!G124+'Frende Skadeforsikring'!G124+'Gjensidige Forsikring'!G124+'Gjensidige Pensjon'!G124+'Handelsbanken Liv'!G124+'If Skadeforsikring NUF'!G124+KLP!G124+'KLP Skadeforsikring AS'!G124+'Landkreditt Forsikring'!G124+'Nordea Liv '!G124+'Oslo Pensjonsforsikring'!G124+'Protector Forsikring'!G124+'SHB Liv'!G124+'Sparebank 1'!G124+'Storebrand Livsforsikring'!G124+'Telenor Forsikring'!G124+'Tryg Forsikring'!G124+'WaterCircles F'!G124+'Codan Forsikring'!G124+'Euro Accident'!G124+'Ly Forsikring'!G124+'Youplus Livsforsikring'!G124</f>
        <v>9657.9230000000007</v>
      </c>
      <c r="G124" s="164">
        <f t="shared" si="24"/>
        <v>-77.099999999999994</v>
      </c>
      <c r="H124" s="233">
        <f t="shared" si="39"/>
        <v>67561.929999999993</v>
      </c>
      <c r="I124" s="233">
        <f t="shared" si="40"/>
        <v>71129.381999999998</v>
      </c>
      <c r="J124" s="21">
        <f t="shared" si="41"/>
        <v>5.3</v>
      </c>
    </row>
    <row r="125" spans="1:10" ht="15.75" customHeight="1" x14ac:dyDescent="0.2">
      <c r="A125" s="36" t="s">
        <v>408</v>
      </c>
      <c r="B125" s="233">
        <f>'Fremtind Livsforsikring'!B125+'Storebrand Danica P'!B125+'DNB Livsforsikring'!B125+'Eika Forsikring AS'!B125+'Frende Livsforsikring'!B125+'Frende Skadeforsikring'!B125+'Gjensidige Forsikring'!B125+'Gjensidige Pensjon'!B125+'Handelsbanken Liv'!B125+'If Skadeforsikring NUF'!B125+KLP!B125+'KLP Skadeforsikring AS'!B125+'Landkreditt Forsikring'!B125+'Nordea Liv '!B125+'Oslo Pensjonsforsikring'!B125+'Protector Forsikring'!B125+'SHB Liv'!B125+'Sparebank 1'!B125+'Storebrand Livsforsikring'!B125+'Telenor Forsikring'!B125+'Tryg Forsikring'!B125+'WaterCircles F'!B125+'Codan Forsikring'!B125+'Euro Accident'!B125+'Ly Forsikring'!B125+'Youplus Livsforsikring'!B125</f>
        <v>2218.2343900000001</v>
      </c>
      <c r="C125" s="233">
        <f>'Fremtind Livsforsikring'!C125+'Storebrand Danica P'!C125+'DNB Livsforsikring'!C125+'Eika Forsikring AS'!C125+'Frende Livsforsikring'!C125+'Frende Skadeforsikring'!C125+'Gjensidige Forsikring'!C125+'Gjensidige Pensjon'!C125+'Handelsbanken Liv'!C125+'If Skadeforsikring NUF'!C125+KLP!C125+'KLP Skadeforsikring AS'!C125+'Landkreditt Forsikring'!C125+'Nordea Liv '!C125+'Oslo Pensjonsforsikring'!C125+'Protector Forsikring'!C125+'SHB Liv'!C125+'Sparebank 1'!C125+'Storebrand Livsforsikring'!C125+'Telenor Forsikring'!C125+'Tryg Forsikring'!C125+'WaterCircles F'!C125+'Codan Forsikring'!C125+'Euro Accident'!C125+'Ly Forsikring'!C125+'Youplus Livsforsikring'!C125</f>
        <v>861.87797</v>
      </c>
      <c r="D125" s="21">
        <f t="shared" si="38"/>
        <v>-61.1</v>
      </c>
      <c r="E125" s="42">
        <f>'Fremtind Livsforsikring'!F125+'Storebrand Danica P'!F125+'DNB Livsforsikring'!F125+'Eika Forsikring AS'!F125+'Frende Livsforsikring'!F125+'Frende Skadeforsikring'!F125+'Gjensidige Forsikring'!F125+'Gjensidige Pensjon'!F125+'Handelsbanken Liv'!F125+'If Skadeforsikring NUF'!F125+KLP!F125+'KLP Skadeforsikring AS'!F125+'Landkreditt Forsikring'!F125+'Nordea Liv '!F125+'Oslo Pensjonsforsikring'!F125+'Protector Forsikring'!F125+'SHB Liv'!F125+'Sparebank 1'!F125+'Storebrand Livsforsikring'!F125+'Telenor Forsikring'!F125+'Tryg Forsikring'!F125+'WaterCircles F'!F125+'Codan Forsikring'!F125+'Euro Accident'!F125+'Ly Forsikring'!F125+'Youplus Livsforsikring'!F125</f>
        <v>23605981.111050002</v>
      </c>
      <c r="F125" s="42">
        <f>'Fremtind Livsforsikring'!G125+'Storebrand Danica P'!G125+'DNB Livsforsikring'!G125+'Eika Forsikring AS'!G125+'Frende Livsforsikring'!G125+'Frende Skadeforsikring'!G125+'Gjensidige Forsikring'!G125+'Gjensidige Pensjon'!G125+'Handelsbanken Liv'!G125+'If Skadeforsikring NUF'!G125+KLP!G125+'KLP Skadeforsikring AS'!G125+'Landkreditt Forsikring'!G125+'Nordea Liv '!G125+'Oslo Pensjonsforsikring'!G125+'Protector Forsikring'!G125+'SHB Liv'!G125+'Sparebank 1'!G125+'Storebrand Livsforsikring'!G125+'Telenor Forsikring'!G125+'Tryg Forsikring'!G125+'WaterCircles F'!G125+'Codan Forsikring'!G125+'Euro Accident'!G125+'Ly Forsikring'!G125+'Youplus Livsforsikring'!G125</f>
        <v>16478740.100090001</v>
      </c>
      <c r="G125" s="164">
        <f t="shared" si="24"/>
        <v>-30.2</v>
      </c>
      <c r="H125" s="233">
        <f t="shared" si="39"/>
        <v>23608199.345440004</v>
      </c>
      <c r="I125" s="233">
        <f t="shared" si="40"/>
        <v>16479601.978060002</v>
      </c>
      <c r="J125" s="21">
        <f t="shared" si="41"/>
        <v>-30.2</v>
      </c>
    </row>
    <row r="126" spans="1:10" ht="15.75" customHeight="1" x14ac:dyDescent="0.2">
      <c r="A126" s="10" t="s">
        <v>370</v>
      </c>
      <c r="B126" s="234">
        <f>'Fremtind Livsforsikring'!B126+'Storebrand Danica P'!B126+'DNB Livsforsikring'!B126+'Eika Forsikring AS'!B126+'Frende Livsforsikring'!B126+'Frende Skadeforsikring'!B126+'Gjensidige Forsikring'!B126+'Gjensidige Pensjon'!B126+'Handelsbanken Liv'!B126+'If Skadeforsikring NUF'!B126+KLP!B126+'KLP Skadeforsikring AS'!B126+'Landkreditt Forsikring'!B126+'Nordea Liv '!B126+'Oslo Pensjonsforsikring'!B126+'Protector Forsikring'!B126+'SHB Liv'!B126+'Sparebank 1'!B126+'Storebrand Livsforsikring'!B126+'Telenor Forsikring'!B126+'Tryg Forsikring'!B126+'WaterCircles F'!B126+'Codan Forsikring'!B126+'Euro Accident'!B126+'Ly Forsikring'!B126+'Youplus Livsforsikring'!B126</f>
        <v>0</v>
      </c>
      <c r="C126" s="234">
        <f>'Fremtind Livsforsikring'!C126+'Storebrand Danica P'!C126+'DNB Livsforsikring'!C126+'Eika Forsikring AS'!C126+'Frende Livsforsikring'!C126+'Frende Skadeforsikring'!C126+'Gjensidige Forsikring'!C126+'Gjensidige Pensjon'!C126+'Handelsbanken Liv'!C126+'If Skadeforsikring NUF'!C126+KLP!C126+'KLP Skadeforsikring AS'!C126+'Landkreditt Forsikring'!C126+'Nordea Liv '!C126+'Oslo Pensjonsforsikring'!C126+'Protector Forsikring'!C126+'SHB Liv'!C126+'Sparebank 1'!C126+'Storebrand Livsforsikring'!C126+'Telenor Forsikring'!C126+'Tryg Forsikring'!C126+'WaterCircles F'!C126+'Codan Forsikring'!C126+'Euro Accident'!C126+'Ly Forsikring'!C126+'Youplus Livsforsikring'!C126</f>
        <v>121.40765</v>
      </c>
      <c r="D126" s="20" t="str">
        <f t="shared" si="38"/>
        <v xml:space="preserve">    ---- </v>
      </c>
      <c r="E126" s="43"/>
      <c r="F126" s="43"/>
      <c r="G126" s="165"/>
      <c r="H126" s="234">
        <f t="shared" si="39"/>
        <v>0</v>
      </c>
      <c r="I126" s="235">
        <f t="shared" si="40"/>
        <v>121.40765</v>
      </c>
      <c r="J126" s="20" t="str">
        <f t="shared" si="41"/>
        <v xml:space="preserve">    ---- </v>
      </c>
    </row>
    <row r="127" spans="1:10" ht="15.75" customHeight="1" x14ac:dyDescent="0.2">
      <c r="A127" s="153"/>
    </row>
    <row r="128" spans="1:10" ht="15.75" customHeight="1" x14ac:dyDescent="0.2">
      <c r="A128" s="147"/>
    </row>
    <row r="129" spans="1:10" ht="15.75" customHeight="1" x14ac:dyDescent="0.25">
      <c r="A129" s="163" t="s">
        <v>27</v>
      </c>
    </row>
    <row r="130" spans="1:10" ht="15.75" customHeight="1" x14ac:dyDescent="0.25">
      <c r="A130" s="147"/>
      <c r="B130" s="702"/>
      <c r="C130" s="702"/>
      <c r="D130" s="702"/>
      <c r="E130" s="702"/>
      <c r="F130" s="702"/>
      <c r="G130" s="702"/>
      <c r="H130" s="702"/>
      <c r="I130" s="702"/>
      <c r="J130" s="702"/>
    </row>
    <row r="131" spans="1:10" s="3" customFormat="1" ht="20.100000000000001" customHeight="1" x14ac:dyDescent="0.2">
      <c r="A131" s="142"/>
      <c r="B131" s="699" t="s">
        <v>0</v>
      </c>
      <c r="C131" s="700"/>
      <c r="D131" s="701"/>
      <c r="E131" s="700" t="s">
        <v>1</v>
      </c>
      <c r="F131" s="700"/>
      <c r="G131" s="700"/>
      <c r="H131" s="699" t="s">
        <v>2</v>
      </c>
      <c r="I131" s="700"/>
      <c r="J131" s="701"/>
    </row>
    <row r="132" spans="1:10" s="3" customFormat="1" ht="15.75" customHeight="1" x14ac:dyDescent="0.2">
      <c r="A132" s="138"/>
      <c r="B132" s="673">
        <v>44469</v>
      </c>
      <c r="C132" s="673">
        <v>44834</v>
      </c>
      <c r="D132" s="245" t="s">
        <v>3</v>
      </c>
      <c r="E132" s="673">
        <v>44469</v>
      </c>
      <c r="F132" s="673">
        <v>44834</v>
      </c>
      <c r="G132" s="245" t="s">
        <v>3</v>
      </c>
      <c r="H132" s="673">
        <v>44469</v>
      </c>
      <c r="I132" s="673">
        <v>44834</v>
      </c>
      <c r="J132" s="245" t="s">
        <v>3</v>
      </c>
    </row>
    <row r="133" spans="1:10" s="3" customFormat="1" ht="15.75" customHeight="1" x14ac:dyDescent="0.2">
      <c r="A133" s="672"/>
      <c r="B133" s="15"/>
      <c r="C133" s="15"/>
      <c r="D133" s="17" t="s">
        <v>4</v>
      </c>
      <c r="E133" s="16"/>
      <c r="F133" s="16"/>
      <c r="G133" s="15" t="s">
        <v>4</v>
      </c>
      <c r="H133" s="16"/>
      <c r="I133" s="16"/>
      <c r="J133" s="15" t="s">
        <v>4</v>
      </c>
    </row>
    <row r="134" spans="1:10" s="406" customFormat="1" ht="15.75" customHeight="1" x14ac:dyDescent="0.2">
      <c r="A134" s="14" t="s">
        <v>372</v>
      </c>
      <c r="B134" s="232">
        <f>'Fremtind Livsforsikring'!B134+'Storebrand Danica P'!B134+'DNB Livsforsikring'!B134+'Eika Forsikring AS'!B134+'Frende Livsforsikring'!B134+'Frende Skadeforsikring'!B134+'Gjensidige Forsikring'!B134+'Gjensidige Pensjon'!B134+'Handelsbanken Liv'!B134+'If Skadeforsikring NUF'!B134+KLP!B134+'KLP Skadeforsikring AS'!B134+'Landkreditt Forsikring'!B134+'Nordea Liv '!B134+'Oslo Pensjonsforsikring'!B134+'Protector Forsikring'!B134+'SHB Liv'!B134+'Sparebank 1'!B134+'Storebrand Livsforsikring'!B134+'Telenor Forsikring'!B134+'Tryg Forsikring'!B134+'WaterCircles F'!B134+'Codan Forsikring'!B134+'Euro Accident'!B134+'Ly Forsikring'!B134+'Youplus Livsforsikring'!B134</f>
        <v>47741240.697339997</v>
      </c>
      <c r="C134" s="232">
        <f>'Fremtind Livsforsikring'!C134+'Storebrand Danica P'!C134+'DNB Livsforsikring'!C134+'Eika Forsikring AS'!C134+'Frende Livsforsikring'!C134+'Frende Skadeforsikring'!C134+'Gjensidige Forsikring'!C134+'Gjensidige Pensjon'!C134+'Handelsbanken Liv'!C134+'If Skadeforsikring NUF'!C134+KLP!C134+'KLP Skadeforsikring AS'!C134+'Landkreditt Forsikring'!C134+'Nordea Liv '!C134+'Oslo Pensjonsforsikring'!C134+'Protector Forsikring'!C134+'SHB Liv'!C134+'Sparebank 1'!C134+'Storebrand Livsforsikring'!C134+'Telenor Forsikring'!C134+'Tryg Forsikring'!C134+'WaterCircles F'!C134+'Codan Forsikring'!C134+'Euro Accident'!C134+'Ly Forsikring'!C134+'Youplus Livsforsikring'!C134</f>
        <v>48200907.117570005</v>
      </c>
      <c r="D134" s="11">
        <f t="shared" ref="D134:D137" si="42">IF(B134=0, "    ---- ", IF(ABS(ROUND(100/B134*C134-100,1))&lt;999,ROUND(100/B134*C134-100,1),IF(ROUND(100/B134*C134-100,1)&gt;999,999,-999)))</f>
        <v>1</v>
      </c>
      <c r="E134" s="232">
        <f>'Fremtind Livsforsikring'!F134+'Storebrand Danica P'!F134+'DNB Livsforsikring'!F134+'Eika Forsikring AS'!F134+'Frende Livsforsikring'!F134+'Frende Skadeforsikring'!F134+'Gjensidige Forsikring'!F134+'Gjensidige Pensjon'!F134+'Handelsbanken Liv'!F134+'If Skadeforsikring NUF'!F134+KLP!F134+'KLP Skadeforsikring AS'!F134+'Landkreditt Forsikring'!F134+'Nordea Liv '!F134+'Oslo Pensjonsforsikring'!F134+'Protector Forsikring'!F134+'SHB Liv'!F134+'Sparebank 1'!F134+'Storebrand Livsforsikring'!F134+'Telenor Forsikring'!F134+'Tryg Forsikring'!F134+'WaterCircles F'!F134+'Codan Forsikring'!F134+'Euro Accident'!F134+'Ly Forsikring'!F134+'Youplus Livsforsikring'!F134</f>
        <v>116273.039</v>
      </c>
      <c r="F134" s="232">
        <f>'Fremtind Livsforsikring'!G134+'Storebrand Danica P'!G134+'DNB Livsforsikring'!G134+'Eika Forsikring AS'!G134+'Frende Livsforsikring'!G134+'Frende Skadeforsikring'!G134+'Gjensidige Forsikring'!G134+'Gjensidige Pensjon'!G134+'Handelsbanken Liv'!G134+'If Skadeforsikring NUF'!G134+KLP!G134+'KLP Skadeforsikring AS'!G134+'Landkreditt Forsikring'!G134+'Nordea Liv '!G134+'Oslo Pensjonsforsikring'!G134+'Protector Forsikring'!G134+'SHB Liv'!G134+'Sparebank 1'!G134+'Storebrand Livsforsikring'!G134+'Telenor Forsikring'!G134+'Tryg Forsikring'!G134+'WaterCircles F'!G134+'Codan Forsikring'!G134+'Euro Accident'!G134+'Ly Forsikring'!G134+'Youplus Livsforsikring'!G134</f>
        <v>131709.47200000001</v>
      </c>
      <c r="G134" s="11">
        <f t="shared" ref="G134:G136" si="43">IF(E134=0, "    ---- ", IF(ABS(ROUND(100/E134*F134-100,1))&lt;999,ROUND(100/E134*F134-100,1),IF(ROUND(100/E134*F134-100,1)&gt;999,999,-999)))</f>
        <v>13.3</v>
      </c>
      <c r="H134" s="232">
        <f t="shared" ref="H134:I137" si="44">SUM(B134,E134)</f>
        <v>47857513.736339994</v>
      </c>
      <c r="I134" s="232">
        <f t="shared" si="44"/>
        <v>48332616.589570008</v>
      </c>
      <c r="J134" s="11">
        <f t="shared" ref="J134:J137" si="45">IF(H134=0, "    ---- ", IF(ABS(ROUND(100/H134*I134-100,1))&lt;999,ROUND(100/H134*I134-100,1),IF(ROUND(100/H134*I134-100,1)&gt;999,999,-999)))</f>
        <v>1</v>
      </c>
    </row>
    <row r="135" spans="1:10" s="406" customFormat="1" ht="15.75" customHeight="1" x14ac:dyDescent="0.2">
      <c r="A135" s="13" t="s">
        <v>373</v>
      </c>
      <c r="B135" s="232">
        <f>'Fremtind Livsforsikring'!B135+'Storebrand Danica P'!B135+'DNB Livsforsikring'!B135+'Eika Forsikring AS'!B135+'Frende Livsforsikring'!B135+'Frende Skadeforsikring'!B135+'Gjensidige Forsikring'!B135+'Gjensidige Pensjon'!B135+'Handelsbanken Liv'!B135+'If Skadeforsikring NUF'!B135+KLP!B135+'KLP Skadeforsikring AS'!B135+'Landkreditt Forsikring'!B135+'Nordea Liv '!B135+'Oslo Pensjonsforsikring'!B135+'Protector Forsikring'!B135+'SHB Liv'!B135+'Sparebank 1'!B135+'Storebrand Livsforsikring'!B135+'Telenor Forsikring'!B135+'Tryg Forsikring'!B135+'WaterCircles F'!B135+'Codan Forsikring'!B135+'Euro Accident'!B135+'Ly Forsikring'!B135+'Youplus Livsforsikring'!B135</f>
        <v>665071384.51682997</v>
      </c>
      <c r="C135" s="232">
        <f>'Fremtind Livsforsikring'!C135+'Storebrand Danica P'!C135+'DNB Livsforsikring'!C135+'Eika Forsikring AS'!C135+'Frende Livsforsikring'!C135+'Frende Skadeforsikring'!C135+'Gjensidige Forsikring'!C135+'Gjensidige Pensjon'!C135+'Handelsbanken Liv'!C135+'If Skadeforsikring NUF'!C135+KLP!C135+'KLP Skadeforsikring AS'!C135+'Landkreditt Forsikring'!C135+'Nordea Liv '!C135+'Oslo Pensjonsforsikring'!C135+'Protector Forsikring'!C135+'SHB Liv'!C135+'Sparebank 1'!C135+'Storebrand Livsforsikring'!C135+'Telenor Forsikring'!C135+'Tryg Forsikring'!C135+'WaterCircles F'!C135+'Codan Forsikring'!C135+'Euro Accident'!C135+'Ly Forsikring'!C135+'Youplus Livsforsikring'!C135</f>
        <v>740916103.81475997</v>
      </c>
      <c r="D135" s="11">
        <f t="shared" si="42"/>
        <v>11.4</v>
      </c>
      <c r="E135" s="232">
        <f>'Fremtind Livsforsikring'!F135+'Storebrand Danica P'!F135+'DNB Livsforsikring'!F135+'Eika Forsikring AS'!F135+'Frende Livsforsikring'!F135+'Frende Skadeforsikring'!F135+'Gjensidige Forsikring'!F135+'Gjensidige Pensjon'!F135+'Handelsbanken Liv'!F135+'If Skadeforsikring NUF'!F135+KLP!F135+'KLP Skadeforsikring AS'!F135+'Landkreditt Forsikring'!F135+'Nordea Liv '!F135+'Oslo Pensjonsforsikring'!F135+'Protector Forsikring'!F135+'SHB Liv'!F135+'Sparebank 1'!F135+'Storebrand Livsforsikring'!F135+'Telenor Forsikring'!F135+'Tryg Forsikring'!F135+'WaterCircles F'!F135+'Codan Forsikring'!F135+'Euro Accident'!F135+'Ly Forsikring'!F135+'Youplus Livsforsikring'!F135</f>
        <v>2172918.8607600001</v>
      </c>
      <c r="F135" s="232">
        <f>'Fremtind Livsforsikring'!G135+'Storebrand Danica P'!G135+'DNB Livsforsikring'!G135+'Eika Forsikring AS'!G135+'Frende Livsforsikring'!G135+'Frende Skadeforsikring'!G135+'Gjensidige Forsikring'!G135+'Gjensidige Pensjon'!G135+'Handelsbanken Liv'!G135+'If Skadeforsikring NUF'!G135+KLP!G135+'KLP Skadeforsikring AS'!G135+'Landkreditt Forsikring'!G135+'Nordea Liv '!G135+'Oslo Pensjonsforsikring'!G135+'Protector Forsikring'!G135+'SHB Liv'!G135+'Sparebank 1'!G135+'Storebrand Livsforsikring'!G135+'Telenor Forsikring'!G135+'Tryg Forsikring'!G135+'WaterCircles F'!G135+'Codan Forsikring'!G135+'Euro Accident'!G135+'Ly Forsikring'!G135+'Youplus Livsforsikring'!G135</f>
        <v>2548669.2979299999</v>
      </c>
      <c r="G135" s="11">
        <f t="shared" si="43"/>
        <v>17.3</v>
      </c>
      <c r="H135" s="232">
        <f t="shared" si="44"/>
        <v>667244303.37758994</v>
      </c>
      <c r="I135" s="232">
        <f t="shared" si="44"/>
        <v>743464773.11268997</v>
      </c>
      <c r="J135" s="11">
        <f t="shared" si="45"/>
        <v>11.4</v>
      </c>
    </row>
    <row r="136" spans="1:10" s="406" customFormat="1" ht="15.75" customHeight="1" x14ac:dyDescent="0.2">
      <c r="A136" s="13" t="s">
        <v>374</v>
      </c>
      <c r="B136" s="232">
        <f>'Fremtind Livsforsikring'!B136+'Storebrand Danica P'!B136+'DNB Livsforsikring'!B136+'Eika Forsikring AS'!B136+'Frende Livsforsikring'!B136+'Frende Skadeforsikring'!B136+'Gjensidige Forsikring'!B136+'Gjensidige Pensjon'!B136+'Handelsbanken Liv'!B136+'If Skadeforsikring NUF'!B136+KLP!B136+'KLP Skadeforsikring AS'!B136+'Landkreditt Forsikring'!B136+'Nordea Liv '!B136+'Oslo Pensjonsforsikring'!B136+'Protector Forsikring'!B136+'SHB Liv'!B136+'Sparebank 1'!B136+'Storebrand Livsforsikring'!B136+'Telenor Forsikring'!B136+'Tryg Forsikring'!B136+'WaterCircles F'!B136+'Codan Forsikring'!B136+'Euro Accident'!B136+'Ly Forsikring'!B136+'Youplus Livsforsikring'!B136</f>
        <v>6414360.4139999999</v>
      </c>
      <c r="C136" s="232">
        <f>'Fremtind Livsforsikring'!C136+'Storebrand Danica P'!C136+'DNB Livsforsikring'!C136+'Eika Forsikring AS'!C136+'Frende Livsforsikring'!C136+'Frende Skadeforsikring'!C136+'Gjensidige Forsikring'!C136+'Gjensidige Pensjon'!C136+'Handelsbanken Liv'!C136+'If Skadeforsikring NUF'!C136+KLP!C136+'KLP Skadeforsikring AS'!C136+'Landkreditt Forsikring'!C136+'Nordea Liv '!C136+'Oslo Pensjonsforsikring'!C136+'Protector Forsikring'!C136+'SHB Liv'!C136+'Sparebank 1'!C136+'Storebrand Livsforsikring'!C136+'Telenor Forsikring'!C136+'Tryg Forsikring'!C136+'WaterCircles F'!C136+'Codan Forsikring'!C136+'Euro Accident'!C136+'Ly Forsikring'!C136+'Youplus Livsforsikring'!C136</f>
        <v>3419760.1890000002</v>
      </c>
      <c r="D136" s="11">
        <f t="shared" si="42"/>
        <v>-46.7</v>
      </c>
      <c r="E136" s="232">
        <f>'Fremtind Livsforsikring'!F136+'Storebrand Danica P'!F136+'DNB Livsforsikring'!F136+'Eika Forsikring AS'!F136+'Frende Livsforsikring'!F136+'Frende Skadeforsikring'!F136+'Gjensidige Forsikring'!F136+'Gjensidige Pensjon'!F136+'Handelsbanken Liv'!F136+'If Skadeforsikring NUF'!F136+KLP!F136+'KLP Skadeforsikring AS'!F136+'Landkreditt Forsikring'!F136+'Nordea Liv '!F136+'Oslo Pensjonsforsikring'!F136+'Protector Forsikring'!F136+'SHB Liv'!F136+'Sparebank 1'!F136+'Storebrand Livsforsikring'!F136+'Telenor Forsikring'!F136+'Tryg Forsikring'!F136+'WaterCircles F'!F136+'Codan Forsikring'!F136+'Euro Accident'!F136+'Ly Forsikring'!F136+'Youplus Livsforsikring'!F136</f>
        <v>0</v>
      </c>
      <c r="F136" s="232">
        <f>'Fremtind Livsforsikring'!G136+'Storebrand Danica P'!G136+'DNB Livsforsikring'!G136+'Eika Forsikring AS'!G136+'Frende Livsforsikring'!G136+'Frende Skadeforsikring'!G136+'Gjensidige Forsikring'!G136+'Gjensidige Pensjon'!G136+'Handelsbanken Liv'!G136+'If Skadeforsikring NUF'!G136+KLP!G136+'KLP Skadeforsikring AS'!G136+'Landkreditt Forsikring'!G136+'Nordea Liv '!G136+'Oslo Pensjonsforsikring'!G136+'Protector Forsikring'!G136+'SHB Liv'!G136+'Sparebank 1'!G136+'Storebrand Livsforsikring'!G136+'Telenor Forsikring'!G136+'Tryg Forsikring'!G136+'WaterCircles F'!G136+'Codan Forsikring'!G136+'Euro Accident'!G136+'Ly Forsikring'!G136+'Youplus Livsforsikring'!G136</f>
        <v>376440.52899999998</v>
      </c>
      <c r="G136" s="11" t="str">
        <f t="shared" si="43"/>
        <v xml:space="preserve">    ---- </v>
      </c>
      <c r="H136" s="232">
        <f t="shared" si="44"/>
        <v>6414360.4139999999</v>
      </c>
      <c r="I136" s="232">
        <f t="shared" si="44"/>
        <v>3796200.7180000003</v>
      </c>
      <c r="J136" s="11">
        <f t="shared" si="45"/>
        <v>-40.799999999999997</v>
      </c>
    </row>
    <row r="137" spans="1:10" s="406" customFormat="1" ht="15.75" customHeight="1" x14ac:dyDescent="0.2">
      <c r="A137" s="39" t="s">
        <v>375</v>
      </c>
      <c r="B137" s="271">
        <f>'Fremtind Livsforsikring'!B137+'Storebrand Danica P'!B137+'DNB Livsforsikring'!B137+'Eika Forsikring AS'!B137+'Frende Livsforsikring'!B137+'Frende Skadeforsikring'!B137+'Gjensidige Forsikring'!B137+'Gjensidige Pensjon'!B137+'Handelsbanken Liv'!B137+'If Skadeforsikring NUF'!B137+KLP!B137+'KLP Skadeforsikring AS'!B137+'Landkreditt Forsikring'!B137+'Nordea Liv '!B137+'Oslo Pensjonsforsikring'!B137+'Protector Forsikring'!B137+'SHB Liv'!B137+'Sparebank 1'!B137+'Storebrand Livsforsikring'!B137+'Telenor Forsikring'!B137+'Tryg Forsikring'!B137+'WaterCircles F'!B137+'Codan Forsikring'!B137+'Euro Accident'!B137+'Ly Forsikring'!B137+'Youplus Livsforsikring'!B137</f>
        <v>8346122.3590000002</v>
      </c>
      <c r="C137" s="271">
        <f>'Fremtind Livsforsikring'!C137+'Storebrand Danica P'!C137+'DNB Livsforsikring'!C137+'Eika Forsikring AS'!C137+'Frende Livsforsikring'!C137+'Frende Skadeforsikring'!C137+'Gjensidige Forsikring'!C137+'Gjensidige Pensjon'!C137+'Handelsbanken Liv'!C137+'If Skadeforsikring NUF'!C137+KLP!C137+'KLP Skadeforsikring AS'!C137+'Landkreditt Forsikring'!C137+'Nordea Liv '!C137+'Oslo Pensjonsforsikring'!C137+'Protector Forsikring'!C137+'SHB Liv'!C137+'Sparebank 1'!C137+'Storebrand Livsforsikring'!C137+'Telenor Forsikring'!C137+'Tryg Forsikring'!C137+'WaterCircles F'!C137+'Codan Forsikring'!C137+'Euro Accident'!C137+'Ly Forsikring'!C137+'Youplus Livsforsikring'!C137</f>
        <v>4668893.5379999997</v>
      </c>
      <c r="D137" s="9">
        <f t="shared" si="42"/>
        <v>-44.1</v>
      </c>
      <c r="E137" s="271"/>
      <c r="F137" s="271"/>
      <c r="G137" s="9"/>
      <c r="H137" s="271">
        <f t="shared" si="44"/>
        <v>8346122.3590000002</v>
      </c>
      <c r="I137" s="271">
        <f t="shared" si="44"/>
        <v>4668893.5379999997</v>
      </c>
      <c r="J137" s="9">
        <f t="shared" si="45"/>
        <v>-44.1</v>
      </c>
    </row>
    <row r="138" spans="1:10" s="3" customFormat="1" ht="15.75" customHeight="1" x14ac:dyDescent="0.2">
      <c r="A138" s="8"/>
      <c r="E138" s="7"/>
      <c r="F138" s="7"/>
      <c r="G138" s="6"/>
      <c r="H138" s="7"/>
      <c r="I138" s="7"/>
      <c r="J138" s="6"/>
    </row>
    <row r="139" spans="1:10" ht="15.75" customHeight="1" x14ac:dyDescent="0.2"/>
    <row r="140" spans="1:10" ht="15.75" customHeight="1" x14ac:dyDescent="0.2"/>
    <row r="141" spans="1:10" ht="15.75" customHeight="1" x14ac:dyDescent="0.2"/>
    <row r="142" spans="1:10" ht="15.75" customHeight="1" x14ac:dyDescent="0.2"/>
    <row r="143" spans="1:10" ht="15.75" customHeight="1" x14ac:dyDescent="0.2"/>
    <row r="144" spans="1:10"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sheetData>
  <mergeCells count="27">
    <mergeCell ref="B18:D18"/>
    <mergeCell ref="E18:G18"/>
    <mergeCell ref="H18:J18"/>
    <mergeCell ref="B2:D2"/>
    <mergeCell ref="E2:G2"/>
    <mergeCell ref="H2:J2"/>
    <mergeCell ref="B4:D4"/>
    <mergeCell ref="E4:G4"/>
    <mergeCell ref="H4:J4"/>
    <mergeCell ref="B63:D63"/>
    <mergeCell ref="E63:G63"/>
    <mergeCell ref="H63:J63"/>
    <mergeCell ref="B19:D19"/>
    <mergeCell ref="E19:G19"/>
    <mergeCell ref="H19:J19"/>
    <mergeCell ref="B62:D62"/>
    <mergeCell ref="E62:G62"/>
    <mergeCell ref="H62:J62"/>
    <mergeCell ref="B42:D42"/>
    <mergeCell ref="E42:G42"/>
    <mergeCell ref="H42:J42"/>
    <mergeCell ref="B131:D131"/>
    <mergeCell ref="E131:G131"/>
    <mergeCell ref="H131:J131"/>
    <mergeCell ref="B130:D130"/>
    <mergeCell ref="E130:G130"/>
    <mergeCell ref="H130:J130"/>
  </mergeCells>
  <conditionalFormatting sqref="A50:A52">
    <cfRule type="expression" dxfId="436" priority="58">
      <formula>kvartal &lt; 4</formula>
    </cfRule>
  </conditionalFormatting>
  <conditionalFormatting sqref="A69:A74">
    <cfRule type="expression" dxfId="435" priority="56">
      <formula>kvartal &lt; 4</formula>
    </cfRule>
  </conditionalFormatting>
  <conditionalFormatting sqref="A80:A85">
    <cfRule type="expression" dxfId="434" priority="55">
      <formula>kvartal &lt; 4</formula>
    </cfRule>
  </conditionalFormatting>
  <conditionalFormatting sqref="A90:A95">
    <cfRule type="expression" dxfId="433" priority="52">
      <formula>kvartal &lt; 4</formula>
    </cfRule>
  </conditionalFormatting>
  <conditionalFormatting sqref="A101:A106">
    <cfRule type="expression" dxfId="432" priority="51">
      <formula>kvartal &lt; 4</formula>
    </cfRule>
  </conditionalFormatting>
  <conditionalFormatting sqref="A115">
    <cfRule type="expression" dxfId="431" priority="50">
      <formula>kvartal &lt; 4</formula>
    </cfRule>
  </conditionalFormatting>
  <conditionalFormatting sqref="A123">
    <cfRule type="expression" dxfId="430" priority="49">
      <formula>kvartal &lt; 4</formula>
    </cfRule>
  </conditionalFormatting>
  <conditionalFormatting sqref="B69">
    <cfRule type="expression" dxfId="429" priority="40">
      <formula>kvartal&lt;4</formula>
    </cfRule>
  </conditionalFormatting>
  <conditionalFormatting sqref="B72">
    <cfRule type="expression" dxfId="428" priority="39">
      <formula>kvartal&lt;4</formula>
    </cfRule>
  </conditionalFormatting>
  <conditionalFormatting sqref="B80">
    <cfRule type="expression" dxfId="427" priority="38">
      <formula>kvartal&lt;4</formula>
    </cfRule>
  </conditionalFormatting>
  <conditionalFormatting sqref="B83">
    <cfRule type="expression" dxfId="426" priority="37">
      <formula>kvartal&lt;4</formula>
    </cfRule>
  </conditionalFormatting>
  <conditionalFormatting sqref="B90">
    <cfRule type="expression" dxfId="425" priority="32">
      <formula>kvartal&lt;4</formula>
    </cfRule>
  </conditionalFormatting>
  <conditionalFormatting sqref="B93">
    <cfRule type="expression" dxfId="424" priority="31">
      <formula>kvartal&lt;4</formula>
    </cfRule>
  </conditionalFormatting>
  <conditionalFormatting sqref="C69">
    <cfRule type="expression" dxfId="423" priority="16">
      <formula>kvartal&lt;4</formula>
    </cfRule>
  </conditionalFormatting>
  <conditionalFormatting sqref="C72">
    <cfRule type="expression" dxfId="422" priority="15">
      <formula>kvartal&lt;4</formula>
    </cfRule>
  </conditionalFormatting>
  <conditionalFormatting sqref="C80">
    <cfRule type="expression" dxfId="421" priority="14">
      <formula>kvartal&lt;4</formula>
    </cfRule>
  </conditionalFormatting>
  <conditionalFormatting sqref="C83">
    <cfRule type="expression" dxfId="420" priority="13">
      <formula>kvartal&lt;4</formula>
    </cfRule>
  </conditionalFormatting>
  <conditionalFormatting sqref="C90">
    <cfRule type="expression" dxfId="419" priority="12">
      <formula>kvartal&lt;4</formula>
    </cfRule>
  </conditionalFormatting>
  <conditionalFormatting sqref="C93">
    <cfRule type="expression" dxfId="418" priority="11">
      <formula>kvartal&lt;4</formula>
    </cfRule>
  </conditionalFormatting>
  <pageMargins left="0.23622047244094491" right="0.23622047244094491" top="0.62992125984251968" bottom="0.59055118110236227" header="0.51181102362204722" footer="0.51181102362204722"/>
  <pageSetup paperSize="9" scale="55" fitToHeight="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94B19-5AA5-4C19-88FF-6DC20058C969}">
  <dimension ref="A1:N144"/>
  <sheetViews>
    <sheetView showGridLines="0" zoomScaleNormal="100" workbookViewId="0"/>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244" t="s">
        <v>398</v>
      </c>
      <c r="D1" s="24"/>
      <c r="E1" s="24"/>
      <c r="F1" s="24"/>
      <c r="G1" s="24"/>
      <c r="H1" s="24"/>
      <c r="I1" s="24"/>
      <c r="J1" s="24"/>
      <c r="K1" s="24"/>
      <c r="L1" s="24"/>
      <c r="M1" s="24"/>
    </row>
    <row r="2" spans="1:14" ht="15.75" x14ac:dyDescent="0.25">
      <c r="A2" s="163" t="s">
        <v>28</v>
      </c>
      <c r="B2" s="704"/>
      <c r="C2" s="704"/>
      <c r="D2" s="704"/>
      <c r="E2" s="557"/>
      <c r="F2" s="704"/>
      <c r="G2" s="704"/>
      <c r="H2" s="704"/>
      <c r="I2" s="557"/>
      <c r="J2" s="704"/>
      <c r="K2" s="704"/>
      <c r="L2" s="704"/>
      <c r="M2" s="557"/>
    </row>
    <row r="3" spans="1:14" ht="15.75" x14ac:dyDescent="0.25">
      <c r="A3" s="161"/>
      <c r="B3" s="557"/>
      <c r="C3" s="557"/>
      <c r="D3" s="557"/>
      <c r="E3" s="557"/>
      <c r="F3" s="557"/>
      <c r="G3" s="557"/>
      <c r="H3" s="557"/>
      <c r="I3" s="557"/>
      <c r="J3" s="557"/>
      <c r="K3" s="557"/>
      <c r="L3" s="557"/>
      <c r="M3" s="557"/>
    </row>
    <row r="4" spans="1:14" x14ac:dyDescent="0.2">
      <c r="A4" s="142"/>
      <c r="B4" s="705" t="s">
        <v>0</v>
      </c>
      <c r="C4" s="706"/>
      <c r="D4" s="706"/>
      <c r="E4" s="555"/>
      <c r="F4" s="705" t="s">
        <v>1</v>
      </c>
      <c r="G4" s="706"/>
      <c r="H4" s="706"/>
      <c r="I4" s="556"/>
      <c r="J4" s="705" t="s">
        <v>2</v>
      </c>
      <c r="K4" s="706"/>
      <c r="L4" s="706"/>
      <c r="M4" s="556"/>
    </row>
    <row r="5" spans="1:14" x14ac:dyDescent="0.2">
      <c r="A5" s="156"/>
      <c r="B5" s="673">
        <v>44469</v>
      </c>
      <c r="C5" s="673">
        <v>44834</v>
      </c>
      <c r="D5" s="241" t="s">
        <v>3</v>
      </c>
      <c r="E5" s="297" t="s">
        <v>29</v>
      </c>
      <c r="F5" s="673">
        <v>44469</v>
      </c>
      <c r="G5" s="673">
        <v>44834</v>
      </c>
      <c r="H5" s="241" t="s">
        <v>3</v>
      </c>
      <c r="I5" s="160" t="s">
        <v>29</v>
      </c>
      <c r="J5" s="673">
        <v>44469</v>
      </c>
      <c r="K5" s="673">
        <v>44834</v>
      </c>
      <c r="L5" s="241" t="s">
        <v>3</v>
      </c>
      <c r="M5" s="160"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c r="C7" s="299"/>
      <c r="D7" s="341"/>
      <c r="E7" s="11"/>
      <c r="F7" s="298"/>
      <c r="G7" s="299"/>
      <c r="H7" s="341"/>
      <c r="I7" s="158"/>
      <c r="J7" s="300"/>
      <c r="K7" s="301"/>
      <c r="L7" s="413"/>
      <c r="M7" s="11"/>
    </row>
    <row r="8" spans="1:14" ht="15.75" x14ac:dyDescent="0.2">
      <c r="A8" s="19" t="s">
        <v>25</v>
      </c>
      <c r="B8" s="276"/>
      <c r="C8" s="277"/>
      <c r="D8" s="164"/>
      <c r="E8" s="25"/>
      <c r="F8" s="280"/>
      <c r="G8" s="281"/>
      <c r="H8" s="164"/>
      <c r="I8" s="172"/>
      <c r="J8" s="230"/>
      <c r="K8" s="282"/>
      <c r="L8" s="164"/>
      <c r="M8" s="25"/>
    </row>
    <row r="9" spans="1:14" ht="15.75" x14ac:dyDescent="0.2">
      <c r="A9" s="19" t="s">
        <v>24</v>
      </c>
      <c r="B9" s="276"/>
      <c r="C9" s="277"/>
      <c r="D9" s="164"/>
      <c r="E9" s="25"/>
      <c r="F9" s="280"/>
      <c r="G9" s="281"/>
      <c r="H9" s="164"/>
      <c r="I9" s="172"/>
      <c r="J9" s="230"/>
      <c r="K9" s="282"/>
      <c r="L9" s="164"/>
      <c r="M9" s="25"/>
    </row>
    <row r="10" spans="1:14" ht="15.75" x14ac:dyDescent="0.2">
      <c r="A10" s="13" t="s">
        <v>350</v>
      </c>
      <c r="B10" s="302"/>
      <c r="C10" s="303"/>
      <c r="D10" s="169"/>
      <c r="E10" s="11"/>
      <c r="F10" s="302"/>
      <c r="G10" s="303"/>
      <c r="H10" s="169"/>
      <c r="I10" s="158"/>
      <c r="J10" s="300"/>
      <c r="K10" s="301"/>
      <c r="L10" s="414"/>
      <c r="M10" s="11"/>
    </row>
    <row r="11" spans="1:14" s="41" customFormat="1" ht="15.75" x14ac:dyDescent="0.2">
      <c r="A11" s="13" t="s">
        <v>351</v>
      </c>
      <c r="B11" s="302"/>
      <c r="C11" s="303"/>
      <c r="D11" s="169"/>
      <c r="E11" s="11"/>
      <c r="F11" s="302"/>
      <c r="G11" s="303"/>
      <c r="H11" s="169"/>
      <c r="I11" s="158"/>
      <c r="J11" s="300"/>
      <c r="K11" s="301"/>
      <c r="L11" s="414"/>
      <c r="M11" s="11"/>
      <c r="N11" s="141"/>
    </row>
    <row r="12" spans="1:14" s="41" customFormat="1" ht="15.75" x14ac:dyDescent="0.2">
      <c r="A12" s="39" t="s">
        <v>352</v>
      </c>
      <c r="B12" s="304"/>
      <c r="C12" s="305"/>
      <c r="D12" s="167"/>
      <c r="E12" s="34"/>
      <c r="F12" s="304"/>
      <c r="G12" s="305"/>
      <c r="H12" s="167"/>
      <c r="I12" s="167"/>
      <c r="J12" s="306"/>
      <c r="K12" s="307"/>
      <c r="L12" s="415"/>
      <c r="M12" s="34"/>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557"/>
      <c r="F18" s="707"/>
      <c r="G18" s="707"/>
      <c r="H18" s="707"/>
      <c r="I18" s="557"/>
      <c r="J18" s="707"/>
      <c r="K18" s="707"/>
      <c r="L18" s="707"/>
      <c r="M18" s="557"/>
    </row>
    <row r="19" spans="1:14" x14ac:dyDescent="0.2">
      <c r="A19" s="142"/>
      <c r="B19" s="705" t="s">
        <v>0</v>
      </c>
      <c r="C19" s="706"/>
      <c r="D19" s="706"/>
      <c r="E19" s="555"/>
      <c r="F19" s="705" t="s">
        <v>1</v>
      </c>
      <c r="G19" s="706"/>
      <c r="H19" s="706"/>
      <c r="I19" s="556"/>
      <c r="J19" s="705" t="s">
        <v>2</v>
      </c>
      <c r="K19" s="706"/>
      <c r="L19" s="706"/>
      <c r="M19" s="556"/>
    </row>
    <row r="20" spans="1:14" x14ac:dyDescent="0.2">
      <c r="A20" s="138" t="s">
        <v>5</v>
      </c>
      <c r="B20" s="673">
        <v>44469</v>
      </c>
      <c r="C20" s="673">
        <v>44834</v>
      </c>
      <c r="D20" s="241" t="s">
        <v>3</v>
      </c>
      <c r="E20" s="297" t="s">
        <v>29</v>
      </c>
      <c r="F20" s="673">
        <v>44469</v>
      </c>
      <c r="G20" s="673">
        <v>44834</v>
      </c>
      <c r="H20" s="241" t="s">
        <v>3</v>
      </c>
      <c r="I20" s="160" t="s">
        <v>29</v>
      </c>
      <c r="J20" s="673">
        <v>44469</v>
      </c>
      <c r="K20" s="673">
        <v>44834</v>
      </c>
      <c r="L20" s="241" t="s">
        <v>3</v>
      </c>
      <c r="M20" s="160" t="s">
        <v>29</v>
      </c>
    </row>
    <row r="21" spans="1:14" x14ac:dyDescent="0.2">
      <c r="A21" s="672"/>
      <c r="B21" s="154"/>
      <c r="C21" s="154"/>
      <c r="D21" s="242" t="s">
        <v>4</v>
      </c>
      <c r="E21" s="402" t="s">
        <v>30</v>
      </c>
      <c r="F21" s="159"/>
      <c r="G21" s="159"/>
      <c r="H21" s="241" t="s">
        <v>4</v>
      </c>
      <c r="I21" s="154" t="s">
        <v>30</v>
      </c>
      <c r="J21" s="159"/>
      <c r="K21" s="159"/>
      <c r="L21" s="154" t="s">
        <v>4</v>
      </c>
      <c r="M21" s="154" t="s">
        <v>30</v>
      </c>
    </row>
    <row r="22" spans="1:14" ht="15.75" x14ac:dyDescent="0.2">
      <c r="A22" s="14" t="s">
        <v>23</v>
      </c>
      <c r="B22" s="302"/>
      <c r="C22" s="302"/>
      <c r="D22" s="341"/>
      <c r="E22" s="11"/>
      <c r="F22" s="310"/>
      <c r="G22" s="310"/>
      <c r="H22" s="341"/>
      <c r="I22" s="158"/>
      <c r="J22" s="308"/>
      <c r="K22" s="308"/>
      <c r="L22" s="413"/>
      <c r="M22" s="22"/>
    </row>
    <row r="23" spans="1:14" ht="15.75" x14ac:dyDescent="0.2">
      <c r="A23" s="496" t="s">
        <v>353</v>
      </c>
      <c r="B23" s="276"/>
      <c r="C23" s="276"/>
      <c r="D23" s="164"/>
      <c r="E23" s="11"/>
      <c r="F23" s="285"/>
      <c r="G23" s="285"/>
      <c r="H23" s="164"/>
      <c r="I23" s="236"/>
      <c r="J23" s="285"/>
      <c r="K23" s="285"/>
      <c r="L23" s="164"/>
      <c r="M23" s="21"/>
    </row>
    <row r="24" spans="1:14" ht="15.75" x14ac:dyDescent="0.2">
      <c r="A24" s="496" t="s">
        <v>354</v>
      </c>
      <c r="B24" s="276"/>
      <c r="C24" s="276"/>
      <c r="D24" s="164"/>
      <c r="E24" s="11"/>
      <c r="F24" s="285"/>
      <c r="G24" s="285"/>
      <c r="H24" s="164"/>
      <c r="I24" s="236"/>
      <c r="J24" s="285"/>
      <c r="K24" s="285"/>
      <c r="L24" s="164"/>
      <c r="M24" s="21"/>
    </row>
    <row r="25" spans="1:14" ht="15.75" x14ac:dyDescent="0.2">
      <c r="A25" s="496" t="s">
        <v>355</v>
      </c>
      <c r="B25" s="276"/>
      <c r="C25" s="276"/>
      <c r="D25" s="164"/>
      <c r="E25" s="11"/>
      <c r="F25" s="285"/>
      <c r="G25" s="285"/>
      <c r="H25" s="164"/>
      <c r="I25" s="236"/>
      <c r="J25" s="285"/>
      <c r="K25" s="285"/>
      <c r="L25" s="164"/>
      <c r="M25" s="21"/>
    </row>
    <row r="26" spans="1:14" ht="15.75" x14ac:dyDescent="0.2">
      <c r="A26" s="496" t="s">
        <v>356</v>
      </c>
      <c r="B26" s="276"/>
      <c r="C26" s="276"/>
      <c r="D26" s="164"/>
      <c r="E26" s="11"/>
      <c r="F26" s="285"/>
      <c r="G26" s="285"/>
      <c r="H26" s="164"/>
      <c r="I26" s="236"/>
      <c r="J26" s="285"/>
      <c r="K26" s="285"/>
      <c r="L26" s="164"/>
      <c r="M26" s="21"/>
    </row>
    <row r="27" spans="1:14" x14ac:dyDescent="0.2">
      <c r="A27" s="496" t="s">
        <v>11</v>
      </c>
      <c r="B27" s="276"/>
      <c r="C27" s="276"/>
      <c r="D27" s="164"/>
      <c r="E27" s="11"/>
      <c r="F27" s="285"/>
      <c r="G27" s="285"/>
      <c r="H27" s="164"/>
      <c r="I27" s="236"/>
      <c r="J27" s="285"/>
      <c r="K27" s="285"/>
      <c r="L27" s="164"/>
      <c r="M27" s="21"/>
    </row>
    <row r="28" spans="1:14" ht="15.75" x14ac:dyDescent="0.2">
      <c r="A28" s="47" t="s">
        <v>271</v>
      </c>
      <c r="B28" s="42"/>
      <c r="C28" s="282"/>
      <c r="D28" s="164"/>
      <c r="E28" s="11"/>
      <c r="F28" s="230"/>
      <c r="G28" s="282"/>
      <c r="H28" s="164"/>
      <c r="I28" s="172"/>
      <c r="J28" s="42"/>
      <c r="K28" s="42"/>
      <c r="L28" s="249"/>
      <c r="M28" s="21"/>
    </row>
    <row r="29" spans="1:14" s="3" customFormat="1" ht="15.75" x14ac:dyDescent="0.2">
      <c r="A29" s="13" t="s">
        <v>350</v>
      </c>
      <c r="B29" s="232"/>
      <c r="C29" s="232"/>
      <c r="D29" s="169"/>
      <c r="E29" s="11"/>
      <c r="F29" s="300"/>
      <c r="G29" s="300"/>
      <c r="H29" s="169"/>
      <c r="I29" s="158"/>
      <c r="J29" s="232"/>
      <c r="K29" s="232"/>
      <c r="L29" s="414"/>
      <c r="M29" s="22"/>
      <c r="N29" s="146"/>
    </row>
    <row r="30" spans="1:14" s="3" customFormat="1" ht="15.75" x14ac:dyDescent="0.2">
      <c r="A30" s="496" t="s">
        <v>353</v>
      </c>
      <c r="B30" s="276"/>
      <c r="C30" s="276"/>
      <c r="D30" s="164"/>
      <c r="E30" s="11"/>
      <c r="F30" s="285"/>
      <c r="G30" s="285"/>
      <c r="H30" s="164"/>
      <c r="I30" s="236"/>
      <c r="J30" s="285"/>
      <c r="K30" s="285"/>
      <c r="L30" s="164"/>
      <c r="M30" s="21"/>
      <c r="N30" s="146"/>
    </row>
    <row r="31" spans="1:14" s="3" customFormat="1" ht="15.75" x14ac:dyDescent="0.2">
      <c r="A31" s="496" t="s">
        <v>354</v>
      </c>
      <c r="B31" s="276"/>
      <c r="C31" s="276"/>
      <c r="D31" s="164"/>
      <c r="E31" s="11"/>
      <c r="F31" s="285"/>
      <c r="G31" s="285"/>
      <c r="H31" s="164"/>
      <c r="I31" s="236"/>
      <c r="J31" s="285"/>
      <c r="K31" s="285"/>
      <c r="L31" s="164"/>
      <c r="M31" s="21"/>
      <c r="N31" s="146"/>
    </row>
    <row r="32" spans="1:14" ht="15.75" x14ac:dyDescent="0.2">
      <c r="A32" s="496" t="s">
        <v>355</v>
      </c>
      <c r="B32" s="276"/>
      <c r="C32" s="276"/>
      <c r="D32" s="164"/>
      <c r="E32" s="11"/>
      <c r="F32" s="285"/>
      <c r="G32" s="285"/>
      <c r="H32" s="164"/>
      <c r="I32" s="236"/>
      <c r="J32" s="285"/>
      <c r="K32" s="285"/>
      <c r="L32" s="164"/>
      <c r="M32" s="21"/>
    </row>
    <row r="33" spans="1:14" ht="15.75" x14ac:dyDescent="0.2">
      <c r="A33" s="496" t="s">
        <v>356</v>
      </c>
      <c r="B33" s="276"/>
      <c r="C33" s="276"/>
      <c r="D33" s="164"/>
      <c r="E33" s="11"/>
      <c r="F33" s="285"/>
      <c r="G33" s="285"/>
      <c r="H33" s="164"/>
      <c r="I33" s="236"/>
      <c r="J33" s="285"/>
      <c r="K33" s="285"/>
      <c r="L33" s="164"/>
      <c r="M33" s="21"/>
    </row>
    <row r="34" spans="1:14" ht="15.75" x14ac:dyDescent="0.2">
      <c r="A34" s="13" t="s">
        <v>351</v>
      </c>
      <c r="B34" s="232"/>
      <c r="C34" s="301"/>
      <c r="D34" s="169"/>
      <c r="E34" s="11"/>
      <c r="F34" s="300"/>
      <c r="G34" s="301"/>
      <c r="H34" s="169"/>
      <c r="I34" s="158"/>
      <c r="J34" s="232"/>
      <c r="K34" s="232"/>
      <c r="L34" s="414"/>
      <c r="M34" s="22"/>
    </row>
    <row r="35" spans="1:14" ht="15.75" x14ac:dyDescent="0.2">
      <c r="A35" s="13" t="s">
        <v>352</v>
      </c>
      <c r="B35" s="232"/>
      <c r="C35" s="301"/>
      <c r="D35" s="169"/>
      <c r="E35" s="11"/>
      <c r="F35" s="300"/>
      <c r="G35" s="301"/>
      <c r="H35" s="169"/>
      <c r="I35" s="158"/>
      <c r="J35" s="232"/>
      <c r="K35" s="232"/>
      <c r="L35" s="414"/>
      <c r="M35" s="22"/>
    </row>
    <row r="36" spans="1:14" ht="15.75" x14ac:dyDescent="0.2">
      <c r="A36" s="12" t="s">
        <v>279</v>
      </c>
      <c r="B36" s="232"/>
      <c r="C36" s="301"/>
      <c r="D36" s="169"/>
      <c r="E36" s="11"/>
      <c r="F36" s="311"/>
      <c r="G36" s="312"/>
      <c r="H36" s="169"/>
      <c r="I36" s="416"/>
      <c r="J36" s="232"/>
      <c r="K36" s="232"/>
      <c r="L36" s="414"/>
      <c r="M36" s="22"/>
    </row>
    <row r="37" spans="1:14" ht="15.75" x14ac:dyDescent="0.2">
      <c r="A37" s="12" t="s">
        <v>358</v>
      </c>
      <c r="B37" s="232"/>
      <c r="C37" s="301"/>
      <c r="D37" s="169"/>
      <c r="E37" s="11"/>
      <c r="F37" s="311"/>
      <c r="G37" s="313"/>
      <c r="H37" s="169"/>
      <c r="I37" s="416"/>
      <c r="J37" s="232"/>
      <c r="K37" s="232"/>
      <c r="L37" s="414"/>
      <c r="M37" s="22"/>
    </row>
    <row r="38" spans="1:14" ht="15.75" x14ac:dyDescent="0.2">
      <c r="A38" s="12" t="s">
        <v>359</v>
      </c>
      <c r="B38" s="232"/>
      <c r="C38" s="301"/>
      <c r="D38" s="169"/>
      <c r="E38" s="22"/>
      <c r="F38" s="311"/>
      <c r="G38" s="312"/>
      <c r="H38" s="169"/>
      <c r="I38" s="416"/>
      <c r="J38" s="232"/>
      <c r="K38" s="232"/>
      <c r="L38" s="414"/>
      <c r="M38" s="22"/>
    </row>
    <row r="39" spans="1:14" ht="15.75" x14ac:dyDescent="0.2">
      <c r="A39" s="18" t="s">
        <v>360</v>
      </c>
      <c r="B39" s="271"/>
      <c r="C39" s="307"/>
      <c r="D39" s="167"/>
      <c r="E39" s="34"/>
      <c r="F39" s="314"/>
      <c r="G39" s="315"/>
      <c r="H39" s="167"/>
      <c r="I39" s="167"/>
      <c r="J39" s="232"/>
      <c r="K39" s="232"/>
      <c r="L39" s="415"/>
      <c r="M39" s="34"/>
    </row>
    <row r="40" spans="1:14" ht="15.75" x14ac:dyDescent="0.25">
      <c r="A40" s="45"/>
      <c r="B40" s="248"/>
      <c r="C40" s="248"/>
      <c r="D40" s="708"/>
      <c r="E40" s="708"/>
      <c r="F40" s="708"/>
      <c r="G40" s="708"/>
      <c r="H40" s="708"/>
      <c r="I40" s="708"/>
      <c r="J40" s="708"/>
      <c r="K40" s="708"/>
      <c r="L40" s="708"/>
      <c r="M40" s="558"/>
    </row>
    <row r="41" spans="1:14" x14ac:dyDescent="0.2">
      <c r="A41" s="153"/>
    </row>
    <row r="42" spans="1:14" ht="15.75" x14ac:dyDescent="0.25">
      <c r="A42" s="145" t="s">
        <v>268</v>
      </c>
      <c r="B42" s="704"/>
      <c r="C42" s="704"/>
      <c r="D42" s="704"/>
      <c r="E42" s="557"/>
      <c r="F42" s="709"/>
      <c r="G42" s="709"/>
      <c r="H42" s="709"/>
      <c r="I42" s="558"/>
      <c r="J42" s="709"/>
      <c r="K42" s="709"/>
      <c r="L42" s="709"/>
      <c r="M42" s="558"/>
    </row>
    <row r="43" spans="1:14" ht="15.75" x14ac:dyDescent="0.25">
      <c r="A43" s="161"/>
      <c r="B43" s="553"/>
      <c r="C43" s="553"/>
      <c r="D43" s="553"/>
      <c r="E43" s="553"/>
      <c r="F43" s="558"/>
      <c r="G43" s="558"/>
      <c r="H43" s="558"/>
      <c r="I43" s="558"/>
      <c r="J43" s="558"/>
      <c r="K43" s="558"/>
      <c r="L43" s="558"/>
      <c r="M43" s="558"/>
    </row>
    <row r="44" spans="1:14" ht="15.75" x14ac:dyDescent="0.25">
      <c r="A44" s="243"/>
      <c r="B44" s="705" t="s">
        <v>0</v>
      </c>
      <c r="C44" s="706"/>
      <c r="D44" s="706"/>
      <c r="E44" s="239"/>
      <c r="F44" s="558"/>
      <c r="G44" s="558"/>
      <c r="H44" s="558"/>
      <c r="I44" s="558"/>
      <c r="J44" s="558"/>
      <c r="K44" s="558"/>
      <c r="L44" s="558"/>
      <c r="M44" s="558"/>
    </row>
    <row r="45" spans="1:14" s="3" customFormat="1" x14ac:dyDescent="0.2">
      <c r="A45" s="138"/>
      <c r="B45" s="673">
        <v>44469</v>
      </c>
      <c r="C45" s="673">
        <v>44834</v>
      </c>
      <c r="D45" s="241" t="s">
        <v>3</v>
      </c>
      <c r="E45" s="297" t="s">
        <v>29</v>
      </c>
      <c r="F45" s="673"/>
      <c r="G45" s="674"/>
      <c r="H45" s="675"/>
      <c r="I45" s="675"/>
      <c r="J45" s="674"/>
      <c r="K45" s="674"/>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v>73022</v>
      </c>
      <c r="C47" s="303"/>
      <c r="D47" s="413">
        <f t="shared" ref="D47:D57" si="0">IF(B47=0, "    ---- ", IF(ABS(ROUND(100/B47*C47-100,1))&lt;999,ROUND(100/B47*C47-100,1),IF(ROUND(100/B47*C47-100,1)&gt;999,999,-999)))</f>
        <v>-100</v>
      </c>
      <c r="E47" s="11">
        <f>IFERROR(100/'Skjema total MA'!C47*C47,0)</f>
        <v>0</v>
      </c>
      <c r="F47" s="143"/>
      <c r="G47" s="31"/>
      <c r="H47" s="157"/>
      <c r="I47" s="157"/>
      <c r="J47" s="35"/>
      <c r="K47" s="35"/>
      <c r="L47" s="157"/>
      <c r="M47" s="157"/>
      <c r="N47" s="146"/>
    </row>
    <row r="48" spans="1:14" s="3" customFormat="1" ht="15.75" x14ac:dyDescent="0.2">
      <c r="A48" s="36" t="s">
        <v>361</v>
      </c>
      <c r="B48" s="276">
        <v>73022</v>
      </c>
      <c r="C48" s="277"/>
      <c r="D48" s="249">
        <f t="shared" si="0"/>
        <v>-100</v>
      </c>
      <c r="E48" s="25">
        <f>IFERROR(100/'Skjema total MA'!C48*C48,0)</f>
        <v>0</v>
      </c>
      <c r="F48" s="143"/>
      <c r="G48" s="31"/>
      <c r="H48" s="143"/>
      <c r="I48" s="143"/>
      <c r="J48" s="31"/>
      <c r="K48" s="31"/>
      <c r="L48" s="157"/>
      <c r="M48" s="157"/>
      <c r="N48" s="146"/>
    </row>
    <row r="49" spans="1:14" s="3" customFormat="1" ht="15.75" x14ac:dyDescent="0.2">
      <c r="A49" s="36" t="s">
        <v>362</v>
      </c>
      <c r="B49" s="42">
        <v>0</v>
      </c>
      <c r="C49" s="282"/>
      <c r="D49" s="249"/>
      <c r="E49" s="25">
        <f>IFERROR(100/'Skjema total MA'!C49*C49,0)</f>
        <v>0</v>
      </c>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v>4727</v>
      </c>
      <c r="C53" s="303"/>
      <c r="D53" s="414">
        <f t="shared" si="0"/>
        <v>-100</v>
      </c>
      <c r="E53" s="11">
        <f>IFERROR(100/'Skjema total MA'!C53*C53,0)</f>
        <v>0</v>
      </c>
      <c r="F53" s="143"/>
      <c r="G53" s="31"/>
      <c r="H53" s="143"/>
      <c r="I53" s="143"/>
      <c r="J53" s="31"/>
      <c r="K53" s="31"/>
      <c r="L53" s="157"/>
      <c r="M53" s="157"/>
      <c r="N53" s="146"/>
    </row>
    <row r="54" spans="1:14" s="3" customFormat="1" ht="15.75" x14ac:dyDescent="0.2">
      <c r="A54" s="36" t="s">
        <v>361</v>
      </c>
      <c r="B54" s="276">
        <v>4727</v>
      </c>
      <c r="C54" s="277"/>
      <c r="D54" s="249">
        <f t="shared" si="0"/>
        <v>-100</v>
      </c>
      <c r="E54" s="25">
        <f>IFERROR(100/'Skjema total MA'!C54*C54,0)</f>
        <v>0</v>
      </c>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v>6212</v>
      </c>
      <c r="C56" s="303"/>
      <c r="D56" s="414">
        <f t="shared" si="0"/>
        <v>-100</v>
      </c>
      <c r="E56" s="11">
        <f>IFERROR(100/'Skjema total MA'!C56*C56,0)</f>
        <v>0</v>
      </c>
      <c r="F56" s="143"/>
      <c r="G56" s="31"/>
      <c r="H56" s="143"/>
      <c r="I56" s="143"/>
      <c r="J56" s="31"/>
      <c r="K56" s="31"/>
      <c r="L56" s="157"/>
      <c r="M56" s="157"/>
      <c r="N56" s="146"/>
    </row>
    <row r="57" spans="1:14" s="3" customFormat="1" ht="15.75" x14ac:dyDescent="0.2">
      <c r="A57" s="36" t="s">
        <v>361</v>
      </c>
      <c r="B57" s="276">
        <v>6212</v>
      </c>
      <c r="C57" s="277"/>
      <c r="D57" s="249">
        <f t="shared" si="0"/>
        <v>-100</v>
      </c>
      <c r="E57" s="25">
        <f>IFERROR(100/'Skjema total MA'!C57*C57,0)</f>
        <v>0</v>
      </c>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557"/>
      <c r="F62" s="707"/>
      <c r="G62" s="707"/>
      <c r="H62" s="707"/>
      <c r="I62" s="557"/>
      <c r="J62" s="707"/>
      <c r="K62" s="707"/>
      <c r="L62" s="707"/>
      <c r="M62" s="557"/>
    </row>
    <row r="63" spans="1:14" x14ac:dyDescent="0.2">
      <c r="A63" s="142"/>
      <c r="B63" s="705" t="s">
        <v>0</v>
      </c>
      <c r="C63" s="706"/>
      <c r="D63" s="710"/>
      <c r="E63" s="554"/>
      <c r="F63" s="706" t="s">
        <v>1</v>
      </c>
      <c r="G63" s="706"/>
      <c r="H63" s="706"/>
      <c r="I63" s="556"/>
      <c r="J63" s="705" t="s">
        <v>2</v>
      </c>
      <c r="K63" s="706"/>
      <c r="L63" s="706"/>
      <c r="M63" s="556"/>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c r="C66" s="344"/>
      <c r="D66" s="341"/>
      <c r="E66" s="11"/>
      <c r="F66" s="343"/>
      <c r="G66" s="343"/>
      <c r="H66" s="341"/>
      <c r="I66" s="11"/>
      <c r="J66" s="301"/>
      <c r="K66" s="308"/>
      <c r="L66" s="414"/>
      <c r="M66" s="11"/>
    </row>
    <row r="67" spans="1:14" x14ac:dyDescent="0.2">
      <c r="A67" s="19" t="s">
        <v>9</v>
      </c>
      <c r="B67" s="42"/>
      <c r="C67" s="143"/>
      <c r="D67" s="164"/>
      <c r="E67" s="25"/>
      <c r="F67" s="230"/>
      <c r="G67" s="143"/>
      <c r="H67" s="164"/>
      <c r="I67" s="25"/>
      <c r="J67" s="282"/>
      <c r="K67" s="42"/>
      <c r="L67" s="249"/>
      <c r="M67" s="25"/>
    </row>
    <row r="68" spans="1:14" x14ac:dyDescent="0.2">
      <c r="A68" s="19" t="s">
        <v>10</v>
      </c>
      <c r="B68" s="286"/>
      <c r="C68" s="287"/>
      <c r="D68" s="164"/>
      <c r="E68" s="25"/>
      <c r="F68" s="286"/>
      <c r="G68" s="287"/>
      <c r="H68" s="164"/>
      <c r="I68" s="25"/>
      <c r="J68" s="282"/>
      <c r="K68" s="42"/>
      <c r="L68" s="249"/>
      <c r="M68" s="25"/>
    </row>
    <row r="69" spans="1:14" ht="15.75" x14ac:dyDescent="0.2">
      <c r="A69" s="288" t="s">
        <v>365</v>
      </c>
      <c r="B69" s="311"/>
      <c r="C69" s="311"/>
      <c r="D69" s="164"/>
      <c r="E69" s="677"/>
      <c r="F69" s="316"/>
      <c r="G69" s="311"/>
      <c r="H69" s="164"/>
      <c r="I69" s="21"/>
      <c r="J69" s="311"/>
      <c r="K69" s="311"/>
      <c r="L69" s="164"/>
      <c r="M69" s="21"/>
    </row>
    <row r="70" spans="1:14" x14ac:dyDescent="0.2">
      <c r="A70" s="288" t="s">
        <v>12</v>
      </c>
      <c r="B70" s="311"/>
      <c r="C70" s="311"/>
      <c r="D70" s="164"/>
      <c r="E70" s="677"/>
      <c r="F70" s="316"/>
      <c r="G70" s="311"/>
      <c r="H70" s="164"/>
      <c r="I70" s="21"/>
      <c r="J70" s="311"/>
      <c r="K70" s="311"/>
      <c r="L70" s="164"/>
      <c r="M70" s="21"/>
    </row>
    <row r="71" spans="1:14" x14ac:dyDescent="0.2">
      <c r="A71" s="288" t="s">
        <v>13</v>
      </c>
      <c r="B71" s="311"/>
      <c r="C71" s="311"/>
      <c r="D71" s="164"/>
      <c r="E71" s="677"/>
      <c r="F71" s="316"/>
      <c r="G71" s="311"/>
      <c r="H71" s="164"/>
      <c r="I71" s="21"/>
      <c r="J71" s="311"/>
      <c r="K71" s="311"/>
      <c r="L71" s="164"/>
      <c r="M71" s="21"/>
    </row>
    <row r="72" spans="1:14" ht="15.75" x14ac:dyDescent="0.2">
      <c r="A72" s="288" t="s">
        <v>366</v>
      </c>
      <c r="B72" s="311"/>
      <c r="C72" s="311"/>
      <c r="D72" s="164"/>
      <c r="E72" s="677"/>
      <c r="F72" s="316"/>
      <c r="G72" s="311"/>
      <c r="H72" s="164"/>
      <c r="I72" s="21"/>
      <c r="J72" s="311"/>
      <c r="K72" s="311"/>
      <c r="L72" s="164"/>
      <c r="M72" s="21"/>
    </row>
    <row r="73" spans="1:14" x14ac:dyDescent="0.2">
      <c r="A73" s="288" t="s">
        <v>12</v>
      </c>
      <c r="B73" s="311"/>
      <c r="C73" s="311"/>
      <c r="D73" s="164"/>
      <c r="E73" s="677"/>
      <c r="F73" s="316"/>
      <c r="G73" s="311"/>
      <c r="H73" s="164"/>
      <c r="I73" s="21"/>
      <c r="J73" s="311"/>
      <c r="K73" s="311"/>
      <c r="L73" s="164"/>
      <c r="M73" s="21"/>
    </row>
    <row r="74" spans="1:14" s="3" customFormat="1" x14ac:dyDescent="0.2">
      <c r="A74" s="288" t="s">
        <v>13</v>
      </c>
      <c r="B74" s="231"/>
      <c r="C74" s="284"/>
      <c r="D74" s="164"/>
      <c r="E74" s="677"/>
      <c r="F74" s="316"/>
      <c r="G74" s="311"/>
      <c r="H74" s="164"/>
      <c r="I74" s="21"/>
      <c r="J74" s="311"/>
      <c r="K74" s="311"/>
      <c r="L74" s="164"/>
      <c r="M74" s="21"/>
      <c r="N74" s="146"/>
    </row>
    <row r="75" spans="1:14" s="3" customFormat="1" x14ac:dyDescent="0.2">
      <c r="A75" s="19" t="s">
        <v>337</v>
      </c>
      <c r="B75" s="230"/>
      <c r="C75" s="143"/>
      <c r="D75" s="164"/>
      <c r="E75" s="403"/>
      <c r="F75" s="42"/>
      <c r="G75" s="143"/>
      <c r="H75" s="164"/>
      <c r="I75" s="21"/>
      <c r="J75" s="230"/>
      <c r="K75" s="42"/>
      <c r="L75" s="249"/>
      <c r="M75" s="25"/>
      <c r="N75" s="146"/>
    </row>
    <row r="76" spans="1:14" s="3" customFormat="1" x14ac:dyDescent="0.2">
      <c r="A76" s="19" t="s">
        <v>336</v>
      </c>
      <c r="B76" s="230"/>
      <c r="C76" s="143"/>
      <c r="D76" s="164"/>
      <c r="E76" s="403"/>
      <c r="F76" s="42"/>
      <c r="G76" s="143"/>
      <c r="H76" s="164"/>
      <c r="I76" s="21"/>
      <c r="J76" s="230"/>
      <c r="K76" s="42"/>
      <c r="L76" s="249"/>
      <c r="M76" s="25"/>
      <c r="N76" s="146"/>
    </row>
    <row r="77" spans="1:14" ht="15.75" x14ac:dyDescent="0.2">
      <c r="A77" s="19" t="s">
        <v>367</v>
      </c>
      <c r="B77" s="230"/>
      <c r="C77" s="230"/>
      <c r="D77" s="164"/>
      <c r="E77" s="403"/>
      <c r="F77" s="42"/>
      <c r="G77" s="143"/>
      <c r="H77" s="164"/>
      <c r="I77" s="21"/>
      <c r="J77" s="230"/>
      <c r="K77" s="42"/>
      <c r="L77" s="249"/>
      <c r="M77" s="25"/>
    </row>
    <row r="78" spans="1:14" x14ac:dyDescent="0.2">
      <c r="A78" s="19" t="s">
        <v>9</v>
      </c>
      <c r="B78" s="230"/>
      <c r="C78" s="143"/>
      <c r="D78" s="164"/>
      <c r="E78" s="403"/>
      <c r="F78" s="42"/>
      <c r="G78" s="143"/>
      <c r="H78" s="164"/>
      <c r="I78" s="21"/>
      <c r="J78" s="230"/>
      <c r="K78" s="42"/>
      <c r="L78" s="249"/>
      <c r="M78" s="25"/>
    </row>
    <row r="79" spans="1:14" x14ac:dyDescent="0.2">
      <c r="A79" s="36" t="s">
        <v>400</v>
      </c>
      <c r="B79" s="286"/>
      <c r="C79" s="287"/>
      <c r="D79" s="164"/>
      <c r="E79" s="403"/>
      <c r="F79" s="186"/>
      <c r="G79" s="287"/>
      <c r="H79" s="164"/>
      <c r="I79" s="21"/>
      <c r="J79" s="230"/>
      <c r="K79" s="42"/>
      <c r="L79" s="249"/>
      <c r="M79" s="25"/>
    </row>
    <row r="80" spans="1:14" ht="15.75" x14ac:dyDescent="0.2">
      <c r="A80" s="288" t="s">
        <v>365</v>
      </c>
      <c r="B80" s="311"/>
      <c r="C80" s="311"/>
      <c r="D80" s="164"/>
      <c r="E80" s="403"/>
      <c r="F80" s="316"/>
      <c r="G80" s="311"/>
      <c r="H80" s="164"/>
      <c r="I80" s="21"/>
      <c r="J80" s="311"/>
      <c r="K80" s="311"/>
      <c r="L80" s="164"/>
      <c r="M80" s="21"/>
    </row>
    <row r="81" spans="1:13" x14ac:dyDescent="0.2">
      <c r="A81" s="288" t="s">
        <v>12</v>
      </c>
      <c r="B81" s="311"/>
      <c r="C81" s="311"/>
      <c r="D81" s="164"/>
      <c r="E81" s="403"/>
      <c r="F81" s="316"/>
      <c r="G81" s="311"/>
      <c r="H81" s="164"/>
      <c r="I81" s="21"/>
      <c r="J81" s="311"/>
      <c r="K81" s="311"/>
      <c r="L81" s="164"/>
      <c r="M81" s="21"/>
    </row>
    <row r="82" spans="1:13" x14ac:dyDescent="0.2">
      <c r="A82" s="288" t="s">
        <v>13</v>
      </c>
      <c r="B82" s="311"/>
      <c r="C82" s="311"/>
      <c r="D82" s="164"/>
      <c r="E82" s="403"/>
      <c r="F82" s="316"/>
      <c r="G82" s="311"/>
      <c r="H82" s="164"/>
      <c r="I82" s="21"/>
      <c r="J82" s="311"/>
      <c r="K82" s="311"/>
      <c r="L82" s="164"/>
      <c r="M82" s="21"/>
    </row>
    <row r="83" spans="1:13" ht="15.75" x14ac:dyDescent="0.2">
      <c r="A83" s="288" t="s">
        <v>366</v>
      </c>
      <c r="B83" s="311"/>
      <c r="C83" s="311"/>
      <c r="D83" s="164"/>
      <c r="E83" s="403"/>
      <c r="F83" s="316"/>
      <c r="G83" s="311"/>
      <c r="H83" s="164"/>
      <c r="I83" s="21"/>
      <c r="J83" s="311"/>
      <c r="K83" s="311"/>
      <c r="L83" s="164"/>
      <c r="M83" s="21"/>
    </row>
    <row r="84" spans="1:13" x14ac:dyDescent="0.2">
      <c r="A84" s="288" t="s">
        <v>12</v>
      </c>
      <c r="B84" s="311"/>
      <c r="C84" s="311"/>
      <c r="D84" s="164"/>
      <c r="E84" s="403"/>
      <c r="F84" s="316"/>
      <c r="G84" s="311"/>
      <c r="H84" s="164"/>
      <c r="I84" s="21"/>
      <c r="J84" s="311"/>
      <c r="K84" s="311"/>
      <c r="L84" s="164"/>
      <c r="M84" s="21"/>
    </row>
    <row r="85" spans="1:13" x14ac:dyDescent="0.2">
      <c r="A85" s="288" t="s">
        <v>13</v>
      </c>
      <c r="B85" s="311"/>
      <c r="C85" s="311"/>
      <c r="D85" s="164"/>
      <c r="E85" s="403"/>
      <c r="F85" s="316"/>
      <c r="G85" s="311"/>
      <c r="H85" s="164"/>
      <c r="I85" s="21"/>
      <c r="J85" s="311"/>
      <c r="K85" s="311"/>
      <c r="L85" s="164"/>
      <c r="M85" s="21"/>
    </row>
    <row r="86" spans="1:13" ht="15.75" x14ac:dyDescent="0.2">
      <c r="A86" s="19" t="s">
        <v>368</v>
      </c>
      <c r="B86" s="230"/>
      <c r="C86" s="143"/>
      <c r="D86" s="164"/>
      <c r="E86" s="403"/>
      <c r="F86" s="42"/>
      <c r="G86" s="143"/>
      <c r="H86" s="164"/>
      <c r="I86" s="21"/>
      <c r="J86" s="230"/>
      <c r="K86" s="42"/>
      <c r="L86" s="249"/>
      <c r="M86" s="25"/>
    </row>
    <row r="87" spans="1:13" ht="15.75" x14ac:dyDescent="0.2">
      <c r="A87" s="13" t="s">
        <v>350</v>
      </c>
      <c r="B87" s="344"/>
      <c r="C87" s="344"/>
      <c r="D87" s="169"/>
      <c r="E87" s="420"/>
      <c r="F87" s="273"/>
      <c r="G87" s="343"/>
      <c r="H87" s="169"/>
      <c r="I87" s="22"/>
      <c r="J87" s="300"/>
      <c r="K87" s="232"/>
      <c r="L87" s="414"/>
      <c r="M87" s="11"/>
    </row>
    <row r="88" spans="1:13" x14ac:dyDescent="0.2">
      <c r="A88" s="19" t="s">
        <v>9</v>
      </c>
      <c r="B88" s="230"/>
      <c r="C88" s="143"/>
      <c r="D88" s="164"/>
      <c r="E88" s="403"/>
      <c r="F88" s="42"/>
      <c r="G88" s="143"/>
      <c r="H88" s="164"/>
      <c r="I88" s="21"/>
      <c r="J88" s="230"/>
      <c r="K88" s="42"/>
      <c r="L88" s="249"/>
      <c r="M88" s="25"/>
    </row>
    <row r="89" spans="1:13" x14ac:dyDescent="0.2">
      <c r="A89" s="19" t="s">
        <v>10</v>
      </c>
      <c r="B89" s="230"/>
      <c r="C89" s="143"/>
      <c r="D89" s="164"/>
      <c r="E89" s="403"/>
      <c r="F89" s="42"/>
      <c r="G89" s="143"/>
      <c r="H89" s="164"/>
      <c r="I89" s="21"/>
      <c r="J89" s="230"/>
      <c r="K89" s="42"/>
      <c r="L89" s="249"/>
      <c r="M89" s="25"/>
    </row>
    <row r="90" spans="1:13" ht="15.75" x14ac:dyDescent="0.2">
      <c r="A90" s="288" t="s">
        <v>365</v>
      </c>
      <c r="B90" s="311"/>
      <c r="C90" s="311"/>
      <c r="D90" s="164"/>
      <c r="E90" s="403"/>
      <c r="F90" s="316"/>
      <c r="G90" s="311"/>
      <c r="H90" s="164"/>
      <c r="I90" s="21"/>
      <c r="J90" s="311"/>
      <c r="K90" s="311"/>
      <c r="L90" s="164"/>
      <c r="M90" s="21"/>
    </row>
    <row r="91" spans="1:13" x14ac:dyDescent="0.2">
      <c r="A91" s="288" t="s">
        <v>12</v>
      </c>
      <c r="B91" s="311"/>
      <c r="C91" s="311"/>
      <c r="D91" s="164"/>
      <c r="E91" s="403"/>
      <c r="F91" s="316"/>
      <c r="G91" s="311"/>
      <c r="H91" s="164"/>
      <c r="I91" s="21"/>
      <c r="J91" s="311"/>
      <c r="K91" s="311"/>
      <c r="L91" s="164"/>
      <c r="M91" s="21"/>
    </row>
    <row r="92" spans="1:13" x14ac:dyDescent="0.2">
      <c r="A92" s="288" t="s">
        <v>13</v>
      </c>
      <c r="B92" s="311"/>
      <c r="C92" s="311"/>
      <c r="D92" s="164"/>
      <c r="E92" s="403"/>
      <c r="F92" s="316"/>
      <c r="G92" s="311"/>
      <c r="H92" s="164"/>
      <c r="I92" s="21"/>
      <c r="J92" s="311"/>
      <c r="K92" s="311"/>
      <c r="L92" s="164"/>
      <c r="M92" s="21"/>
    </row>
    <row r="93" spans="1:13" ht="15.75" x14ac:dyDescent="0.2">
      <c r="A93" s="288" t="s">
        <v>366</v>
      </c>
      <c r="B93" s="311"/>
      <c r="C93" s="311"/>
      <c r="D93" s="164"/>
      <c r="E93" s="403"/>
      <c r="F93" s="316"/>
      <c r="G93" s="311"/>
      <c r="H93" s="164"/>
      <c r="I93" s="21"/>
      <c r="J93" s="311"/>
      <c r="K93" s="311"/>
      <c r="L93" s="164"/>
      <c r="M93" s="21"/>
    </row>
    <row r="94" spans="1:13" x14ac:dyDescent="0.2">
      <c r="A94" s="288" t="s">
        <v>12</v>
      </c>
      <c r="B94" s="311"/>
      <c r="C94" s="311"/>
      <c r="D94" s="164"/>
      <c r="E94" s="403"/>
      <c r="F94" s="316"/>
      <c r="G94" s="311"/>
      <c r="H94" s="164"/>
      <c r="I94" s="21"/>
      <c r="J94" s="311"/>
      <c r="K94" s="311"/>
      <c r="L94" s="164"/>
      <c r="M94" s="21"/>
    </row>
    <row r="95" spans="1:13" x14ac:dyDescent="0.2">
      <c r="A95" s="288" t="s">
        <v>13</v>
      </c>
      <c r="B95" s="311"/>
      <c r="C95" s="311"/>
      <c r="D95" s="164"/>
      <c r="E95" s="403"/>
      <c r="F95" s="316"/>
      <c r="G95" s="311"/>
      <c r="H95" s="164"/>
      <c r="I95" s="21"/>
      <c r="J95" s="311"/>
      <c r="K95" s="311"/>
      <c r="L95" s="164"/>
      <c r="M95" s="21"/>
    </row>
    <row r="96" spans="1:13" x14ac:dyDescent="0.2">
      <c r="A96" s="19" t="s">
        <v>335</v>
      </c>
      <c r="B96" s="230"/>
      <c r="C96" s="143"/>
      <c r="D96" s="164"/>
      <c r="E96" s="403"/>
      <c r="F96" s="42"/>
      <c r="G96" s="143"/>
      <c r="H96" s="164"/>
      <c r="I96" s="21"/>
      <c r="J96" s="230"/>
      <c r="K96" s="42"/>
      <c r="L96" s="249"/>
      <c r="M96" s="25"/>
    </row>
    <row r="97" spans="1:13" x14ac:dyDescent="0.2">
      <c r="A97" s="19" t="s">
        <v>334</v>
      </c>
      <c r="B97" s="230"/>
      <c r="C97" s="143"/>
      <c r="D97" s="164"/>
      <c r="E97" s="403"/>
      <c r="F97" s="42"/>
      <c r="G97" s="143"/>
      <c r="H97" s="164"/>
      <c r="I97" s="21"/>
      <c r="J97" s="230"/>
      <c r="K97" s="42"/>
      <c r="L97" s="249"/>
      <c r="M97" s="25"/>
    </row>
    <row r="98" spans="1:13" ht="15.75" x14ac:dyDescent="0.2">
      <c r="A98" s="19" t="s">
        <v>367</v>
      </c>
      <c r="B98" s="230"/>
      <c r="C98" s="230"/>
      <c r="D98" s="164"/>
      <c r="E98" s="403"/>
      <c r="F98" s="186"/>
      <c r="G98" s="286"/>
      <c r="H98" s="164"/>
      <c r="I98" s="21"/>
      <c r="J98" s="230"/>
      <c r="K98" s="42"/>
      <c r="L98" s="249"/>
      <c r="M98" s="25"/>
    </row>
    <row r="99" spans="1:13" x14ac:dyDescent="0.2">
      <c r="A99" s="19" t="s">
        <v>9</v>
      </c>
      <c r="B99" s="286"/>
      <c r="C99" s="287"/>
      <c r="D99" s="164"/>
      <c r="E99" s="403"/>
      <c r="F99" s="42"/>
      <c r="G99" s="143"/>
      <c r="H99" s="164"/>
      <c r="I99" s="21"/>
      <c r="J99" s="230"/>
      <c r="K99" s="42"/>
      <c r="L99" s="249"/>
      <c r="M99" s="25"/>
    </row>
    <row r="100" spans="1:13" x14ac:dyDescent="0.2">
      <c r="A100" s="36" t="s">
        <v>400</v>
      </c>
      <c r="B100" s="286"/>
      <c r="C100" s="287"/>
      <c r="D100" s="164"/>
      <c r="E100" s="403"/>
      <c r="F100" s="42"/>
      <c r="G100" s="230"/>
      <c r="H100" s="164"/>
      <c r="I100" s="21"/>
      <c r="J100" s="230"/>
      <c r="K100" s="42"/>
      <c r="L100" s="249"/>
      <c r="M100" s="25"/>
    </row>
    <row r="101" spans="1:13" ht="15.75" x14ac:dyDescent="0.2">
      <c r="A101" s="288" t="s">
        <v>365</v>
      </c>
      <c r="B101" s="311"/>
      <c r="C101" s="311"/>
      <c r="D101" s="164"/>
      <c r="E101" s="403"/>
      <c r="F101" s="316"/>
      <c r="G101" s="311"/>
      <c r="H101" s="164"/>
      <c r="I101" s="21"/>
      <c r="J101" s="311"/>
      <c r="K101" s="311"/>
      <c r="L101" s="164"/>
      <c r="M101" s="21"/>
    </row>
    <row r="102" spans="1:13" x14ac:dyDescent="0.2">
      <c r="A102" s="288" t="s">
        <v>12</v>
      </c>
      <c r="B102" s="311"/>
      <c r="C102" s="311"/>
      <c r="D102" s="164"/>
      <c r="E102" s="403"/>
      <c r="F102" s="316"/>
      <c r="G102" s="311"/>
      <c r="H102" s="164"/>
      <c r="I102" s="21"/>
      <c r="J102" s="311"/>
      <c r="K102" s="311"/>
      <c r="L102" s="164"/>
      <c r="M102" s="21"/>
    </row>
    <row r="103" spans="1:13" x14ac:dyDescent="0.2">
      <c r="A103" s="288" t="s">
        <v>13</v>
      </c>
      <c r="B103" s="311"/>
      <c r="C103" s="311"/>
      <c r="D103" s="164"/>
      <c r="E103" s="403"/>
      <c r="F103" s="316"/>
      <c r="G103" s="311"/>
      <c r="H103" s="164"/>
      <c r="I103" s="21"/>
      <c r="J103" s="311"/>
      <c r="K103" s="311"/>
      <c r="L103" s="164"/>
      <c r="M103" s="21"/>
    </row>
    <row r="104" spans="1:13" ht="15.75" x14ac:dyDescent="0.2">
      <c r="A104" s="288" t="s">
        <v>366</v>
      </c>
      <c r="B104" s="311"/>
      <c r="C104" s="311"/>
      <c r="D104" s="164"/>
      <c r="E104" s="403"/>
      <c r="F104" s="316"/>
      <c r="G104" s="311"/>
      <c r="H104" s="164"/>
      <c r="I104" s="21"/>
      <c r="J104" s="311"/>
      <c r="K104" s="311"/>
      <c r="L104" s="164"/>
      <c r="M104" s="21"/>
    </row>
    <row r="105" spans="1:13" x14ac:dyDescent="0.2">
      <c r="A105" s="288" t="s">
        <v>12</v>
      </c>
      <c r="B105" s="311"/>
      <c r="C105" s="311"/>
      <c r="D105" s="164"/>
      <c r="E105" s="403"/>
      <c r="F105" s="316"/>
      <c r="G105" s="311"/>
      <c r="H105" s="164"/>
      <c r="I105" s="21"/>
      <c r="J105" s="311"/>
      <c r="K105" s="311"/>
      <c r="L105" s="164"/>
      <c r="M105" s="21"/>
    </row>
    <row r="106" spans="1:13" x14ac:dyDescent="0.2">
      <c r="A106" s="288" t="s">
        <v>13</v>
      </c>
      <c r="B106" s="311"/>
      <c r="C106" s="311"/>
      <c r="D106" s="164"/>
      <c r="E106" s="403"/>
      <c r="F106" s="316"/>
      <c r="G106" s="311"/>
      <c r="H106" s="164"/>
      <c r="I106" s="21"/>
      <c r="J106" s="311"/>
      <c r="K106" s="311"/>
      <c r="L106" s="164"/>
      <c r="M106" s="21"/>
    </row>
    <row r="107" spans="1:13" ht="15.75" x14ac:dyDescent="0.2">
      <c r="A107" s="19" t="s">
        <v>368</v>
      </c>
      <c r="B107" s="230"/>
      <c r="C107" s="143"/>
      <c r="D107" s="164"/>
      <c r="E107" s="25"/>
      <c r="F107" s="230"/>
      <c r="G107" s="143"/>
      <c r="H107" s="164"/>
      <c r="I107" s="25"/>
      <c r="J107" s="282"/>
      <c r="K107" s="42"/>
      <c r="L107" s="249"/>
      <c r="M107" s="25"/>
    </row>
    <row r="108" spans="1:13" ht="15.75" x14ac:dyDescent="0.2">
      <c r="A108" s="19" t="s">
        <v>369</v>
      </c>
      <c r="B108" s="230"/>
      <c r="C108" s="230"/>
      <c r="D108" s="164"/>
      <c r="E108" s="25"/>
      <c r="F108" s="230"/>
      <c r="G108" s="230"/>
      <c r="H108" s="164"/>
      <c r="I108" s="25"/>
      <c r="J108" s="282"/>
      <c r="K108" s="42"/>
      <c r="L108" s="249"/>
      <c r="M108" s="25"/>
    </row>
    <row r="109" spans="1:13" ht="15.75" x14ac:dyDescent="0.2">
      <c r="A109" s="36" t="s">
        <v>408</v>
      </c>
      <c r="B109" s="230"/>
      <c r="C109" s="230"/>
      <c r="D109" s="164"/>
      <c r="E109" s="25"/>
      <c r="F109" s="230"/>
      <c r="G109" s="230"/>
      <c r="H109" s="164"/>
      <c r="I109" s="25"/>
      <c r="J109" s="282"/>
      <c r="K109" s="42"/>
      <c r="L109" s="249"/>
      <c r="M109" s="25"/>
    </row>
    <row r="110" spans="1:13" ht="15.75" x14ac:dyDescent="0.2">
      <c r="A110" s="19" t="s">
        <v>370</v>
      </c>
      <c r="B110" s="230"/>
      <c r="C110" s="230"/>
      <c r="D110" s="164"/>
      <c r="E110" s="25"/>
      <c r="F110" s="230"/>
      <c r="G110" s="230"/>
      <c r="H110" s="164"/>
      <c r="I110" s="25"/>
      <c r="J110" s="282"/>
      <c r="K110" s="42"/>
      <c r="L110" s="249"/>
      <c r="M110" s="25"/>
    </row>
    <row r="111" spans="1:13" ht="15.75" x14ac:dyDescent="0.2">
      <c r="A111" s="13" t="s">
        <v>351</v>
      </c>
      <c r="B111" s="300"/>
      <c r="C111" s="157"/>
      <c r="D111" s="169"/>
      <c r="E111" s="11"/>
      <c r="F111" s="300"/>
      <c r="G111" s="157"/>
      <c r="H111" s="169"/>
      <c r="I111" s="11"/>
      <c r="J111" s="301"/>
      <c r="K111" s="232"/>
      <c r="L111" s="414"/>
      <c r="M111" s="11"/>
    </row>
    <row r="112" spans="1:13" x14ac:dyDescent="0.2">
      <c r="A112" s="19" t="s">
        <v>9</v>
      </c>
      <c r="B112" s="230"/>
      <c r="C112" s="143"/>
      <c r="D112" s="164"/>
      <c r="E112" s="25"/>
      <c r="F112" s="230"/>
      <c r="G112" s="143"/>
      <c r="H112" s="164"/>
      <c r="I112" s="25"/>
      <c r="J112" s="282"/>
      <c r="K112" s="42"/>
      <c r="L112" s="249"/>
      <c r="M112" s="25"/>
    </row>
    <row r="113" spans="1:14" x14ac:dyDescent="0.2">
      <c r="A113" s="19" t="s">
        <v>10</v>
      </c>
      <c r="B113" s="230"/>
      <c r="C113" s="143"/>
      <c r="D113" s="164"/>
      <c r="E113" s="25"/>
      <c r="F113" s="230"/>
      <c r="G113" s="143"/>
      <c r="H113" s="164"/>
      <c r="I113" s="25"/>
      <c r="J113" s="282"/>
      <c r="K113" s="42"/>
      <c r="L113" s="249"/>
      <c r="M113" s="25"/>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c r="C116" s="230"/>
      <c r="D116" s="164"/>
      <c r="E116" s="25"/>
      <c r="F116" s="230"/>
      <c r="G116" s="230"/>
      <c r="H116" s="164"/>
      <c r="I116" s="25"/>
      <c r="J116" s="282"/>
      <c r="K116" s="42"/>
      <c r="L116" s="249"/>
      <c r="M116" s="25"/>
    </row>
    <row r="117" spans="1:14" ht="15.75" x14ac:dyDescent="0.2">
      <c r="A117" s="36" t="s">
        <v>408</v>
      </c>
      <c r="B117" s="230"/>
      <c r="C117" s="230"/>
      <c r="D117" s="164"/>
      <c r="E117" s="25"/>
      <c r="F117" s="230"/>
      <c r="G117" s="230"/>
      <c r="H117" s="164"/>
      <c r="I117" s="25"/>
      <c r="J117" s="282"/>
      <c r="K117" s="42"/>
      <c r="L117" s="249"/>
      <c r="M117" s="25"/>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c r="C119" s="157"/>
      <c r="D119" s="169"/>
      <c r="E119" s="11"/>
      <c r="F119" s="300"/>
      <c r="G119" s="157"/>
      <c r="H119" s="169"/>
      <c r="I119" s="11"/>
      <c r="J119" s="301"/>
      <c r="K119" s="232"/>
      <c r="L119" s="414"/>
      <c r="M119" s="11"/>
    </row>
    <row r="120" spans="1:14" x14ac:dyDescent="0.2">
      <c r="A120" s="19" t="s">
        <v>9</v>
      </c>
      <c r="B120" s="230"/>
      <c r="C120" s="143"/>
      <c r="D120" s="164"/>
      <c r="E120" s="25"/>
      <c r="F120" s="230"/>
      <c r="G120" s="143"/>
      <c r="H120" s="164"/>
      <c r="I120" s="25"/>
      <c r="J120" s="282"/>
      <c r="K120" s="42"/>
      <c r="L120" s="249"/>
      <c r="M120" s="25"/>
    </row>
    <row r="121" spans="1:14" x14ac:dyDescent="0.2">
      <c r="A121" s="19" t="s">
        <v>10</v>
      </c>
      <c r="B121" s="230"/>
      <c r="C121" s="143"/>
      <c r="D121" s="164"/>
      <c r="E121" s="25"/>
      <c r="F121" s="230"/>
      <c r="G121" s="143"/>
      <c r="H121" s="164"/>
      <c r="I121" s="25"/>
      <c r="J121" s="282"/>
      <c r="K121" s="42"/>
      <c r="L121" s="249"/>
      <c r="M121" s="25"/>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c r="C125" s="230"/>
      <c r="D125" s="164"/>
      <c r="E125" s="25"/>
      <c r="F125" s="230"/>
      <c r="G125" s="230"/>
      <c r="H125" s="164"/>
      <c r="I125" s="25"/>
      <c r="J125" s="282"/>
      <c r="K125" s="42"/>
      <c r="L125" s="249"/>
      <c r="M125" s="25"/>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557"/>
      <c r="F130" s="707"/>
      <c r="G130" s="707"/>
      <c r="H130" s="707"/>
      <c r="I130" s="557"/>
      <c r="J130" s="707"/>
      <c r="K130" s="707"/>
      <c r="L130" s="707"/>
      <c r="M130" s="557"/>
    </row>
    <row r="131" spans="1:14" s="3" customFormat="1" x14ac:dyDescent="0.2">
      <c r="A131" s="142"/>
      <c r="B131" s="705" t="s">
        <v>0</v>
      </c>
      <c r="C131" s="706"/>
      <c r="D131" s="706"/>
      <c r="E131" s="555"/>
      <c r="F131" s="705" t="s">
        <v>1</v>
      </c>
      <c r="G131" s="706"/>
      <c r="H131" s="706"/>
      <c r="I131" s="556"/>
      <c r="J131" s="705" t="s">
        <v>2</v>
      </c>
      <c r="K131" s="706"/>
      <c r="L131" s="706"/>
      <c r="M131" s="556"/>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297"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c r="C134" s="301"/>
      <c r="D134" s="341"/>
      <c r="E134" s="11"/>
      <c r="F134" s="308"/>
      <c r="G134" s="309"/>
      <c r="H134" s="417"/>
      <c r="I134" s="22"/>
      <c r="J134" s="310"/>
      <c r="K134" s="310"/>
      <c r="L134" s="413"/>
      <c r="M134" s="11"/>
      <c r="N134" s="146"/>
    </row>
    <row r="135" spans="1:14" s="3" customFormat="1" ht="15.75" x14ac:dyDescent="0.2">
      <c r="A135" s="13" t="s">
        <v>377</v>
      </c>
      <c r="B135" s="232"/>
      <c r="C135" s="301"/>
      <c r="D135" s="169"/>
      <c r="E135" s="11"/>
      <c r="F135" s="232"/>
      <c r="G135" s="301"/>
      <c r="H135" s="418"/>
      <c r="I135" s="22"/>
      <c r="J135" s="300"/>
      <c r="K135" s="300"/>
      <c r="L135" s="414"/>
      <c r="M135" s="11"/>
      <c r="N135" s="146"/>
    </row>
    <row r="136" spans="1:14" s="3" customFormat="1" ht="15.75" x14ac:dyDescent="0.2">
      <c r="A136" s="13" t="s">
        <v>374</v>
      </c>
      <c r="B136" s="232"/>
      <c r="C136" s="301"/>
      <c r="D136" s="169"/>
      <c r="E136" s="11"/>
      <c r="F136" s="232"/>
      <c r="G136" s="301"/>
      <c r="H136" s="418"/>
      <c r="I136" s="22"/>
      <c r="J136" s="300"/>
      <c r="K136" s="300"/>
      <c r="L136" s="414"/>
      <c r="M136" s="11"/>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30:D130"/>
    <mergeCell ref="F130:H130"/>
    <mergeCell ref="J130:L130"/>
    <mergeCell ref="B131:D131"/>
    <mergeCell ref="F131:H131"/>
    <mergeCell ref="J131:L131"/>
    <mergeCell ref="B44:D44"/>
    <mergeCell ref="B62:D62"/>
    <mergeCell ref="F62:H62"/>
    <mergeCell ref="J62:L62"/>
    <mergeCell ref="B63:D63"/>
    <mergeCell ref="F63:H63"/>
    <mergeCell ref="J63:L63"/>
    <mergeCell ref="D40:F40"/>
    <mergeCell ref="G40:I40"/>
    <mergeCell ref="J40:L40"/>
    <mergeCell ref="B42:D42"/>
    <mergeCell ref="F42:H42"/>
    <mergeCell ref="J42:L42"/>
    <mergeCell ref="B18:D18"/>
    <mergeCell ref="F18:H18"/>
    <mergeCell ref="J18:L18"/>
    <mergeCell ref="B19:D19"/>
    <mergeCell ref="F19:H19"/>
    <mergeCell ref="J19:L19"/>
    <mergeCell ref="B2:D2"/>
    <mergeCell ref="F2:H2"/>
    <mergeCell ref="J2:L2"/>
    <mergeCell ref="B4:D4"/>
    <mergeCell ref="F4:H4"/>
    <mergeCell ref="J4:L4"/>
  </mergeCells>
  <conditionalFormatting sqref="A50:A52">
    <cfRule type="expression" dxfId="417" priority="7">
      <formula>kvartal &lt; 4</formula>
    </cfRule>
  </conditionalFormatting>
  <conditionalFormatting sqref="A69:A74">
    <cfRule type="expression" dxfId="416" priority="6">
      <formula>kvartal &lt; 4</formula>
    </cfRule>
  </conditionalFormatting>
  <conditionalFormatting sqref="A80:A85">
    <cfRule type="expression" dxfId="415" priority="5">
      <formula>kvartal &lt; 4</formula>
    </cfRule>
  </conditionalFormatting>
  <conditionalFormatting sqref="A90:A95">
    <cfRule type="expression" dxfId="414" priority="4">
      <formula>kvartal &lt; 4</formula>
    </cfRule>
  </conditionalFormatting>
  <conditionalFormatting sqref="A101:A106">
    <cfRule type="expression" dxfId="413" priority="3">
      <formula>kvartal &lt; 4</formula>
    </cfRule>
  </conditionalFormatting>
  <conditionalFormatting sqref="A115">
    <cfRule type="expression" dxfId="412" priority="2">
      <formula>kvartal &lt; 4</formula>
    </cfRule>
  </conditionalFormatting>
  <conditionalFormatting sqref="A123">
    <cfRule type="expression" dxfId="411" priority="1">
      <formula>kvartal &lt; 4</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8"/>
  <dimension ref="A1:N144"/>
  <sheetViews>
    <sheetView showGridLines="0" zoomScaleNormal="100" workbookViewId="0">
      <selection activeCell="F42" sqref="F42:H42"/>
    </sheetView>
  </sheetViews>
  <sheetFormatPr baseColWidth="10" defaultColWidth="11.42578125" defaultRowHeight="12.75" x14ac:dyDescent="0.2"/>
  <cols>
    <col min="1" max="1" width="46.140625" style="147" customWidth="1"/>
    <col min="2" max="2" width="10.7109375" style="147" customWidth="1"/>
    <col min="3" max="3" width="11" style="147" customWidth="1"/>
    <col min="4" max="5" width="8.7109375" style="147" customWidth="1"/>
    <col min="6" max="7" width="10.7109375" style="147" customWidth="1"/>
    <col min="8" max="9" width="8.7109375" style="147" customWidth="1"/>
    <col min="10" max="11" width="10.7109375" style="147" customWidth="1"/>
    <col min="12" max="13" width="8.7109375" style="147" customWidth="1"/>
    <col min="14" max="14" width="11.42578125" style="147"/>
    <col min="15" max="16384" width="11.42578125" style="1"/>
  </cols>
  <sheetData>
    <row r="1" spans="1:14" x14ac:dyDescent="0.2">
      <c r="A1" s="170" t="s">
        <v>133</v>
      </c>
      <c r="B1" s="670"/>
      <c r="C1" s="495" t="s">
        <v>437</v>
      </c>
      <c r="D1" s="24"/>
      <c r="E1" s="24"/>
      <c r="F1" s="24"/>
      <c r="G1" s="24"/>
      <c r="H1" s="24"/>
      <c r="I1" s="24"/>
      <c r="J1" s="24"/>
      <c r="K1" s="24"/>
      <c r="L1" s="24"/>
      <c r="M1" s="24"/>
    </row>
    <row r="2" spans="1:14" ht="15.75" x14ac:dyDescent="0.25">
      <c r="A2" s="163" t="s">
        <v>28</v>
      </c>
      <c r="B2" s="704"/>
      <c r="C2" s="704"/>
      <c r="D2" s="704"/>
      <c r="E2" s="392"/>
      <c r="F2" s="704"/>
      <c r="G2" s="704"/>
      <c r="H2" s="704"/>
      <c r="I2" s="392"/>
      <c r="J2" s="704"/>
      <c r="K2" s="704"/>
      <c r="L2" s="704"/>
      <c r="M2" s="392"/>
    </row>
    <row r="3" spans="1:14" ht="15.75" x14ac:dyDescent="0.25">
      <c r="A3" s="161"/>
      <c r="B3" s="392"/>
      <c r="C3" s="392"/>
      <c r="D3" s="392"/>
      <c r="E3" s="392"/>
      <c r="F3" s="392"/>
      <c r="G3" s="392"/>
      <c r="H3" s="392"/>
      <c r="I3" s="392"/>
      <c r="J3" s="392"/>
      <c r="K3" s="392"/>
      <c r="L3" s="392"/>
      <c r="M3" s="392"/>
    </row>
    <row r="4" spans="1:14" x14ac:dyDescent="0.2">
      <c r="A4" s="142"/>
      <c r="B4" s="705" t="s">
        <v>0</v>
      </c>
      <c r="C4" s="706"/>
      <c r="D4" s="706"/>
      <c r="E4" s="391"/>
      <c r="F4" s="705" t="s">
        <v>1</v>
      </c>
      <c r="G4" s="706"/>
      <c r="H4" s="706"/>
      <c r="I4" s="394"/>
      <c r="J4" s="705" t="s">
        <v>2</v>
      </c>
      <c r="K4" s="706"/>
      <c r="L4" s="706"/>
      <c r="M4" s="394"/>
    </row>
    <row r="5" spans="1:14" x14ac:dyDescent="0.2">
      <c r="A5" s="156"/>
      <c r="B5" s="673">
        <v>44469</v>
      </c>
      <c r="C5" s="673">
        <v>44834</v>
      </c>
      <c r="D5" s="241" t="s">
        <v>3</v>
      </c>
      <c r="E5" s="297" t="s">
        <v>29</v>
      </c>
      <c r="F5" s="673">
        <v>44469</v>
      </c>
      <c r="G5" s="673">
        <v>44834</v>
      </c>
      <c r="H5" s="241" t="s">
        <v>3</v>
      </c>
      <c r="I5" s="297" t="s">
        <v>29</v>
      </c>
      <c r="J5" s="673">
        <v>44469</v>
      </c>
      <c r="K5" s="673">
        <v>44834</v>
      </c>
      <c r="L5" s="241" t="s">
        <v>3</v>
      </c>
      <c r="M5" s="297" t="s">
        <v>29</v>
      </c>
    </row>
    <row r="6" spans="1:14" x14ac:dyDescent="0.2">
      <c r="A6" s="671"/>
      <c r="B6" s="154"/>
      <c r="C6" s="154"/>
      <c r="D6" s="242" t="s">
        <v>4</v>
      </c>
      <c r="E6" s="154" t="s">
        <v>30</v>
      </c>
      <c r="F6" s="159"/>
      <c r="G6" s="159"/>
      <c r="H6" s="241" t="s">
        <v>4</v>
      </c>
      <c r="I6" s="154" t="s">
        <v>30</v>
      </c>
      <c r="J6" s="159"/>
      <c r="K6" s="159"/>
      <c r="L6" s="241" t="s">
        <v>4</v>
      </c>
      <c r="M6" s="154" t="s">
        <v>30</v>
      </c>
    </row>
    <row r="7" spans="1:14" ht="15.75" x14ac:dyDescent="0.2">
      <c r="A7" s="14" t="s">
        <v>23</v>
      </c>
      <c r="B7" s="298">
        <v>207341.53400000001</v>
      </c>
      <c r="C7" s="299">
        <v>209403.2205</v>
      </c>
      <c r="D7" s="341">
        <f>IF(B7=0, "    ---- ", IF(ABS(ROUND(100/B7*C7-100,1))&lt;999,ROUND(100/B7*C7-100,1),IF(ROUND(100/B7*C7-100,1)&gt;999,999,-999)))</f>
        <v>1</v>
      </c>
      <c r="E7" s="11">
        <f>IFERROR(100/'Skjema total MA'!C7*C7,0)</f>
        <v>5.2537447654507252</v>
      </c>
      <c r="F7" s="298">
        <v>214762.978</v>
      </c>
      <c r="G7" s="299">
        <v>171695.63597999999</v>
      </c>
      <c r="H7" s="341">
        <f>IF(F7=0, "    ---- ", IF(ABS(ROUND(100/F7*G7-100,1))&lt;999,ROUND(100/F7*G7-100,1),IF(ROUND(100/F7*G7-100,1)&gt;999,999,-999)))</f>
        <v>-20.100000000000001</v>
      </c>
      <c r="I7" s="158">
        <f>IFERROR(100/'Skjema total MA'!F7*G7,0)</f>
        <v>2.380632350700874</v>
      </c>
      <c r="J7" s="300">
        <f t="shared" ref="J7:K12" si="0">SUM(B7,F7)</f>
        <v>422104.51199999999</v>
      </c>
      <c r="K7" s="301">
        <f t="shared" si="0"/>
        <v>381098.85647999996</v>
      </c>
      <c r="L7" s="413">
        <f>IF(J7=0, "    ---- ", IF(ABS(ROUND(100/J7*K7-100,1))&lt;999,ROUND(100/J7*K7-100,1),IF(ROUND(100/J7*K7-100,1)&gt;999,999,-999)))</f>
        <v>-9.6999999999999993</v>
      </c>
      <c r="M7" s="11">
        <f>IFERROR(100/'Skjema total MA'!I7*K7,0)</f>
        <v>3.4032834218251433</v>
      </c>
    </row>
    <row r="8" spans="1:14" ht="15.75" x14ac:dyDescent="0.2">
      <c r="A8" s="19" t="s">
        <v>25</v>
      </c>
      <c r="B8" s="276">
        <v>103604.49800000001</v>
      </c>
      <c r="C8" s="277">
        <v>103917.74017</v>
      </c>
      <c r="D8" s="164">
        <f t="shared" ref="D8:D10" si="1">IF(B8=0, "    ---- ", IF(ABS(ROUND(100/B8*C8-100,1))&lt;999,ROUND(100/B8*C8-100,1),IF(ROUND(100/B8*C8-100,1)&gt;999,999,-999)))</f>
        <v>0.3</v>
      </c>
      <c r="E8" s="25">
        <f>IFERROR(100/'Skjema total MA'!C8*C8,0)</f>
        <v>3.9860924560529525</v>
      </c>
      <c r="F8" s="280"/>
      <c r="G8" s="281"/>
      <c r="H8" s="164"/>
      <c r="I8" s="172"/>
      <c r="J8" s="230">
        <f t="shared" si="0"/>
        <v>103604.49800000001</v>
      </c>
      <c r="K8" s="282">
        <f t="shared" si="0"/>
        <v>103917.74017</v>
      </c>
      <c r="L8" s="164">
        <f t="shared" ref="L8:L9" si="2">IF(J8=0, "    ---- ", IF(ABS(ROUND(100/J8*K8-100,1))&lt;999,ROUND(100/J8*K8-100,1),IF(ROUND(100/J8*K8-100,1)&gt;999,999,-999)))</f>
        <v>0.3</v>
      </c>
      <c r="M8" s="25">
        <f>IFERROR(100/'Skjema total MA'!I8*K8,0)</f>
        <v>3.9860924560529525</v>
      </c>
    </row>
    <row r="9" spans="1:14" ht="15.75" x14ac:dyDescent="0.2">
      <c r="A9" s="19" t="s">
        <v>24</v>
      </c>
      <c r="B9" s="276">
        <v>48558.667000000001</v>
      </c>
      <c r="C9" s="277">
        <v>46474.293109999999</v>
      </c>
      <c r="D9" s="164">
        <f t="shared" si="1"/>
        <v>-4.3</v>
      </c>
      <c r="E9" s="25">
        <f>IFERROR(100/'Skjema total MA'!C9*C9,0)</f>
        <v>5.7297282363499233</v>
      </c>
      <c r="F9" s="280"/>
      <c r="G9" s="281"/>
      <c r="H9" s="164"/>
      <c r="I9" s="172"/>
      <c r="J9" s="230">
        <f t="shared" si="0"/>
        <v>48558.667000000001</v>
      </c>
      <c r="K9" s="282">
        <f t="shared" si="0"/>
        <v>46474.293109999999</v>
      </c>
      <c r="L9" s="164">
        <f t="shared" si="2"/>
        <v>-4.3</v>
      </c>
      <c r="M9" s="25">
        <f>IFERROR(100/'Skjema total MA'!I9*K9,0)</f>
        <v>5.7297282363499233</v>
      </c>
    </row>
    <row r="10" spans="1:14" ht="15.75" x14ac:dyDescent="0.2">
      <c r="A10" s="13" t="s">
        <v>350</v>
      </c>
      <c r="B10" s="302">
        <v>305799.25699999998</v>
      </c>
      <c r="C10" s="303">
        <v>450120.01400000002</v>
      </c>
      <c r="D10" s="169">
        <f t="shared" si="1"/>
        <v>47.2</v>
      </c>
      <c r="E10" s="11">
        <f>IFERROR(100/'Skjema total MA'!C10*C10,0)</f>
        <v>2.861236010863065</v>
      </c>
      <c r="F10" s="302">
        <v>3154571.977</v>
      </c>
      <c r="G10" s="303">
        <v>2762432.58029</v>
      </c>
      <c r="H10" s="169">
        <f t="shared" ref="H10:H12" si="3">IF(F10=0, "    ---- ", IF(ABS(ROUND(100/F10*G10-100,1))&lt;999,ROUND(100/F10*G10-100,1),IF(ROUND(100/F10*G10-100,1)&gt;999,999,-999)))</f>
        <v>-12.4</v>
      </c>
      <c r="I10" s="158">
        <f>IFERROR(100/'Skjema total MA'!F10*G10,0)</f>
        <v>4.0047143370368135</v>
      </c>
      <c r="J10" s="300">
        <f t="shared" si="0"/>
        <v>3460371.2340000002</v>
      </c>
      <c r="K10" s="301">
        <f t="shared" si="0"/>
        <v>3212552.5942899999</v>
      </c>
      <c r="L10" s="414">
        <f t="shared" ref="L10:L12" si="4">IF(J10=0, "    ---- ", IF(ABS(ROUND(100/J10*K10-100,1))&lt;999,ROUND(100/J10*K10-100,1),IF(ROUND(100/J10*K10-100,1)&gt;999,999,-999)))</f>
        <v>-7.2</v>
      </c>
      <c r="M10" s="11">
        <f>IFERROR(100/'Skjema total MA'!I10*K10,0)</f>
        <v>3.792359650812358</v>
      </c>
    </row>
    <row r="11" spans="1:14" s="41" customFormat="1" ht="15.75" x14ac:dyDescent="0.2">
      <c r="A11" s="13" t="s">
        <v>351</v>
      </c>
      <c r="B11" s="302"/>
      <c r="C11" s="303"/>
      <c r="D11" s="169"/>
      <c r="E11" s="11"/>
      <c r="F11" s="302">
        <v>3780.78</v>
      </c>
      <c r="G11" s="303">
        <v>3708.268</v>
      </c>
      <c r="H11" s="169">
        <f t="shared" si="3"/>
        <v>-1.9</v>
      </c>
      <c r="I11" s="158">
        <f>IFERROR(100/'Skjema total MA'!F11*G11,0)</f>
        <v>2.1936971262180052</v>
      </c>
      <c r="J11" s="300">
        <f t="shared" si="0"/>
        <v>3780.78</v>
      </c>
      <c r="K11" s="301">
        <f t="shared" si="0"/>
        <v>3708.268</v>
      </c>
      <c r="L11" s="414">
        <f t="shared" si="4"/>
        <v>-1.9</v>
      </c>
      <c r="M11" s="11">
        <f>IFERROR(100/'Skjema total MA'!I11*K11,0)</f>
        <v>1.837787506812443</v>
      </c>
      <c r="N11" s="141"/>
    </row>
    <row r="12" spans="1:14" s="41" customFormat="1" ht="15.75" x14ac:dyDescent="0.2">
      <c r="A12" s="39" t="s">
        <v>352</v>
      </c>
      <c r="B12" s="304"/>
      <c r="C12" s="305"/>
      <c r="D12" s="167"/>
      <c r="E12" s="34"/>
      <c r="F12" s="304">
        <v>34375.345000000001</v>
      </c>
      <c r="G12" s="305">
        <v>21478.312999999998</v>
      </c>
      <c r="H12" s="167">
        <f t="shared" si="3"/>
        <v>-37.5</v>
      </c>
      <c r="I12" s="167">
        <f>IFERROR(100/'Skjema total MA'!F12*G12,0)</f>
        <v>16.231850257864483</v>
      </c>
      <c r="J12" s="306">
        <f t="shared" si="0"/>
        <v>34375.345000000001</v>
      </c>
      <c r="K12" s="307">
        <f t="shared" si="0"/>
        <v>21478.312999999998</v>
      </c>
      <c r="L12" s="415">
        <f t="shared" si="4"/>
        <v>-37.5</v>
      </c>
      <c r="M12" s="34">
        <f>IFERROR(100/'Skjema total MA'!I12*K12,0)</f>
        <v>15.881272218748855</v>
      </c>
      <c r="N12" s="141"/>
    </row>
    <row r="13" spans="1:14" s="41" customFormat="1" x14ac:dyDescent="0.2">
      <c r="A13" s="166"/>
      <c r="B13" s="143"/>
      <c r="C13" s="31"/>
      <c r="D13" s="157"/>
      <c r="E13" s="157"/>
      <c r="F13" s="143"/>
      <c r="G13" s="31"/>
      <c r="H13" s="157"/>
      <c r="I13" s="157"/>
      <c r="J13" s="46"/>
      <c r="K13" s="46"/>
      <c r="L13" s="157"/>
      <c r="M13" s="157"/>
      <c r="N13" s="141"/>
    </row>
    <row r="14" spans="1:14" x14ac:dyDescent="0.2">
      <c r="A14" s="151" t="s">
        <v>270</v>
      </c>
      <c r="B14" s="24"/>
    </row>
    <row r="15" spans="1:14" x14ac:dyDescent="0.2">
      <c r="F15" s="144"/>
      <c r="G15" s="144"/>
      <c r="H15" s="144"/>
      <c r="I15" s="144"/>
      <c r="J15" s="144"/>
      <c r="K15" s="144"/>
      <c r="L15" s="144"/>
      <c r="M15" s="144"/>
    </row>
    <row r="16" spans="1:14" s="3" customFormat="1" ht="15.75" x14ac:dyDescent="0.25">
      <c r="A16" s="162"/>
      <c r="B16" s="146"/>
      <c r="C16" s="152"/>
      <c r="D16" s="152"/>
      <c r="E16" s="152"/>
      <c r="F16" s="152"/>
      <c r="G16" s="152"/>
      <c r="H16" s="152"/>
      <c r="I16" s="152"/>
      <c r="J16" s="152"/>
      <c r="K16" s="152"/>
      <c r="L16" s="152"/>
      <c r="M16" s="152"/>
      <c r="N16" s="146"/>
    </row>
    <row r="17" spans="1:14" ht="15.75" x14ac:dyDescent="0.25">
      <c r="A17" s="145" t="s">
        <v>267</v>
      </c>
      <c r="B17" s="155"/>
      <c r="C17" s="155"/>
      <c r="D17" s="149"/>
      <c r="E17" s="149"/>
      <c r="F17" s="155"/>
      <c r="G17" s="155"/>
      <c r="H17" s="155"/>
      <c r="I17" s="155"/>
      <c r="J17" s="155"/>
      <c r="K17" s="155"/>
      <c r="L17" s="155"/>
      <c r="M17" s="155"/>
    </row>
    <row r="18" spans="1:14" ht="15.75" x14ac:dyDescent="0.25">
      <c r="B18" s="707"/>
      <c r="C18" s="707"/>
      <c r="D18" s="707"/>
      <c r="E18" s="392"/>
      <c r="F18" s="707"/>
      <c r="G18" s="707"/>
      <c r="H18" s="707"/>
      <c r="I18" s="392"/>
      <c r="J18" s="707"/>
      <c r="K18" s="707"/>
      <c r="L18" s="707"/>
      <c r="M18" s="392"/>
    </row>
    <row r="19" spans="1:14" x14ac:dyDescent="0.2">
      <c r="A19" s="142"/>
      <c r="B19" s="705" t="s">
        <v>0</v>
      </c>
      <c r="C19" s="706"/>
      <c r="D19" s="706"/>
      <c r="E19" s="391"/>
      <c r="F19" s="705" t="s">
        <v>1</v>
      </c>
      <c r="G19" s="706"/>
      <c r="H19" s="706"/>
      <c r="I19" s="394"/>
      <c r="J19" s="705" t="s">
        <v>2</v>
      </c>
      <c r="K19" s="706"/>
      <c r="L19" s="706"/>
      <c r="M19" s="394"/>
    </row>
    <row r="20" spans="1:14" x14ac:dyDescent="0.2">
      <c r="A20" s="138" t="s">
        <v>5</v>
      </c>
      <c r="B20" s="673">
        <v>44469</v>
      </c>
      <c r="C20" s="673">
        <v>44834</v>
      </c>
      <c r="D20" s="241" t="s">
        <v>3</v>
      </c>
      <c r="E20" s="297" t="s">
        <v>29</v>
      </c>
      <c r="F20" s="673">
        <v>44469</v>
      </c>
      <c r="G20" s="673">
        <v>44834</v>
      </c>
      <c r="H20" s="241" t="s">
        <v>3</v>
      </c>
      <c r="I20" s="297" t="s">
        <v>29</v>
      </c>
      <c r="J20" s="673">
        <v>44469</v>
      </c>
      <c r="K20" s="673">
        <v>44834</v>
      </c>
      <c r="L20" s="241" t="s">
        <v>3</v>
      </c>
      <c r="M20" s="297" t="s">
        <v>29</v>
      </c>
    </row>
    <row r="21" spans="1:14" x14ac:dyDescent="0.2">
      <c r="A21" s="672"/>
      <c r="B21" s="154"/>
      <c r="C21" s="154"/>
      <c r="D21" s="242" t="s">
        <v>4</v>
      </c>
      <c r="E21" s="402" t="s">
        <v>30</v>
      </c>
      <c r="F21" s="159"/>
      <c r="G21" s="159"/>
      <c r="H21" s="241" t="s">
        <v>4</v>
      </c>
      <c r="I21" s="154" t="s">
        <v>30</v>
      </c>
      <c r="J21" s="159"/>
      <c r="K21" s="159"/>
      <c r="L21" s="154" t="s">
        <v>4</v>
      </c>
      <c r="M21" s="154" t="s">
        <v>30</v>
      </c>
    </row>
    <row r="22" spans="1:14" ht="15.75" x14ac:dyDescent="0.2">
      <c r="A22" s="14" t="s">
        <v>23</v>
      </c>
      <c r="B22" s="302">
        <v>10422.823</v>
      </c>
      <c r="C22" s="302">
        <v>10074.13342</v>
      </c>
      <c r="D22" s="341">
        <f t="shared" ref="D22:D29" si="5">IF(B22=0, "    ---- ", IF(ABS(ROUND(100/B22*C22-100,1))&lt;999,ROUND(100/B22*C22-100,1),IF(ROUND(100/B22*C22-100,1)&gt;999,999,-999)))</f>
        <v>-3.3</v>
      </c>
      <c r="E22" s="11">
        <f>IFERROR(100/'Skjema total MA'!C22*C22,0)</f>
        <v>0.60070383582263265</v>
      </c>
      <c r="F22" s="310">
        <v>47619.093999999997</v>
      </c>
      <c r="G22" s="310">
        <v>27639.125840000001</v>
      </c>
      <c r="H22" s="341">
        <f t="shared" ref="H22:H35" si="6">IF(F22=0, "    ---- ", IF(ABS(ROUND(100/F22*G22-100,1))&lt;999,ROUND(100/F22*G22-100,1),IF(ROUND(100/F22*G22-100,1)&gt;999,999,-999)))</f>
        <v>-42</v>
      </c>
      <c r="I22" s="158">
        <f>IFERROR(100/'Skjema total MA'!F22*G22,0)</f>
        <v>3.9271315124056025</v>
      </c>
      <c r="J22" s="308">
        <f t="shared" ref="J22:K35" si="7">SUM(B22,F22)</f>
        <v>58041.917000000001</v>
      </c>
      <c r="K22" s="308">
        <f t="shared" si="7"/>
        <v>37713.259259999999</v>
      </c>
      <c r="L22" s="413">
        <f t="shared" ref="L22:L35" si="8">IF(J22=0, "    ---- ", IF(ABS(ROUND(100/J22*K22-100,1))&lt;999,ROUND(100/J22*K22-100,1),IF(ROUND(100/J22*K22-100,1)&gt;999,999,-999)))</f>
        <v>-35</v>
      </c>
      <c r="M22" s="22">
        <f>IFERROR(100/'Skjema total MA'!I22*K22,0)</f>
        <v>1.5840221441010434</v>
      </c>
    </row>
    <row r="23" spans="1:14" ht="15.75" x14ac:dyDescent="0.2">
      <c r="A23" s="496" t="s">
        <v>353</v>
      </c>
      <c r="B23" s="276"/>
      <c r="C23" s="276"/>
      <c r="D23" s="164"/>
      <c r="E23" s="11"/>
      <c r="F23" s="285">
        <v>3842.5859999999998</v>
      </c>
      <c r="G23" s="285">
        <v>3072.5799299999999</v>
      </c>
      <c r="H23" s="164">
        <f t="shared" si="6"/>
        <v>-20</v>
      </c>
      <c r="I23" s="236">
        <f>IFERROR(100/'Skjema total MA'!F23*G23,0)</f>
        <v>4.2213305257734479</v>
      </c>
      <c r="J23" s="285">
        <f t="shared" ref="J23:J26" si="9">SUM(B23,F23)</f>
        <v>3842.5859999999998</v>
      </c>
      <c r="K23" s="285">
        <f t="shared" ref="K23:K26" si="10">SUM(C23,G23)</f>
        <v>3072.5799299999999</v>
      </c>
      <c r="L23" s="164">
        <f t="shared" si="8"/>
        <v>-20</v>
      </c>
      <c r="M23" s="21">
        <f>IFERROR(100/'Skjema total MA'!I23*K23,0)</f>
        <v>0.45230011265764097</v>
      </c>
    </row>
    <row r="24" spans="1:14" ht="15.75" x14ac:dyDescent="0.2">
      <c r="A24" s="496" t="s">
        <v>354</v>
      </c>
      <c r="B24" s="276"/>
      <c r="C24" s="276"/>
      <c r="D24" s="164"/>
      <c r="E24" s="11"/>
      <c r="F24" s="285"/>
      <c r="G24" s="285"/>
      <c r="H24" s="164"/>
      <c r="I24" s="236"/>
      <c r="J24" s="285"/>
      <c r="K24" s="285"/>
      <c r="L24" s="164"/>
      <c r="M24" s="21"/>
    </row>
    <row r="25" spans="1:14" ht="15.75" x14ac:dyDescent="0.2">
      <c r="A25" s="496" t="s">
        <v>355</v>
      </c>
      <c r="B25" s="276"/>
      <c r="C25" s="276"/>
      <c r="D25" s="164"/>
      <c r="E25" s="11"/>
      <c r="F25" s="285">
        <v>990.58299999999997</v>
      </c>
      <c r="G25" s="285">
        <v>787.16200000000003</v>
      </c>
      <c r="H25" s="164">
        <f t="shared" si="6"/>
        <v>-20.5</v>
      </c>
      <c r="I25" s="236">
        <f>IFERROR(100/'Skjema total MA'!F25*G25,0)</f>
        <v>5.9888641540020684</v>
      </c>
      <c r="J25" s="285">
        <f t="shared" si="9"/>
        <v>990.58299999999997</v>
      </c>
      <c r="K25" s="285">
        <f t="shared" si="10"/>
        <v>787.16200000000003</v>
      </c>
      <c r="L25" s="164">
        <f t="shared" si="8"/>
        <v>-20.5</v>
      </c>
      <c r="M25" s="21">
        <f>IFERROR(100/'Skjema total MA'!I25*K25,0)</f>
        <v>2.2937452025479819</v>
      </c>
    </row>
    <row r="26" spans="1:14" ht="15.75" x14ac:dyDescent="0.2">
      <c r="A26" s="496" t="s">
        <v>356</v>
      </c>
      <c r="B26" s="276"/>
      <c r="C26" s="276"/>
      <c r="D26" s="164"/>
      <c r="E26" s="11"/>
      <c r="F26" s="285">
        <v>42785.925000000003</v>
      </c>
      <c r="G26" s="285">
        <v>23779.38391</v>
      </c>
      <c r="H26" s="164">
        <f t="shared" si="6"/>
        <v>-44.4</v>
      </c>
      <c r="I26" s="236">
        <f>IFERROR(100/'Skjema total MA'!F26*G26,0)</f>
        <v>3.855058478120009</v>
      </c>
      <c r="J26" s="285">
        <f t="shared" si="9"/>
        <v>42785.925000000003</v>
      </c>
      <c r="K26" s="285">
        <f t="shared" si="10"/>
        <v>23779.38391</v>
      </c>
      <c r="L26" s="164">
        <f t="shared" si="8"/>
        <v>-44.4</v>
      </c>
      <c r="M26" s="21">
        <f>IFERROR(100/'Skjema total MA'!I26*K26,0)</f>
        <v>3.855058478120009</v>
      </c>
    </row>
    <row r="27" spans="1:14" x14ac:dyDescent="0.2">
      <c r="A27" s="496" t="s">
        <v>11</v>
      </c>
      <c r="B27" s="276"/>
      <c r="C27" s="276"/>
      <c r="D27" s="164"/>
      <c r="E27" s="11"/>
      <c r="F27" s="285"/>
      <c r="G27" s="285"/>
      <c r="H27" s="164"/>
      <c r="I27" s="236"/>
      <c r="J27" s="285"/>
      <c r="K27" s="285"/>
      <c r="L27" s="164"/>
      <c r="M27" s="21"/>
    </row>
    <row r="28" spans="1:14" ht="15.75" x14ac:dyDescent="0.2">
      <c r="A28" s="47" t="s">
        <v>271</v>
      </c>
      <c r="B28" s="42">
        <v>10422.823</v>
      </c>
      <c r="C28" s="282">
        <v>10074.13342</v>
      </c>
      <c r="D28" s="164">
        <f t="shared" si="5"/>
        <v>-3.3</v>
      </c>
      <c r="E28" s="11">
        <f>IFERROR(100/'Skjema total MA'!C28*C28,0)</f>
        <v>0.53511945455122534</v>
      </c>
      <c r="F28" s="230"/>
      <c r="G28" s="282"/>
      <c r="H28" s="164"/>
      <c r="I28" s="172"/>
      <c r="J28" s="42">
        <f t="shared" si="7"/>
        <v>10422.823</v>
      </c>
      <c r="K28" s="42">
        <f t="shared" si="7"/>
        <v>10074.13342</v>
      </c>
      <c r="L28" s="249">
        <f t="shared" si="8"/>
        <v>-3.3</v>
      </c>
      <c r="M28" s="21">
        <f>IFERROR(100/'Skjema total MA'!I28*K28,0)</f>
        <v>0.53511945455122534</v>
      </c>
    </row>
    <row r="29" spans="1:14" s="3" customFormat="1" ht="15.75" x14ac:dyDescent="0.2">
      <c r="A29" s="13" t="s">
        <v>350</v>
      </c>
      <c r="B29" s="232">
        <v>143270.58799999999</v>
      </c>
      <c r="C29" s="232">
        <v>155456.95600000001</v>
      </c>
      <c r="D29" s="169">
        <f t="shared" si="5"/>
        <v>8.5</v>
      </c>
      <c r="E29" s="11">
        <f>IFERROR(100/'Skjema total MA'!C29*C29,0)</f>
        <v>0.34878113516478992</v>
      </c>
      <c r="F29" s="300">
        <v>2269450.6460000002</v>
      </c>
      <c r="G29" s="300">
        <v>1852850.5419399999</v>
      </c>
      <c r="H29" s="169">
        <f t="shared" si="6"/>
        <v>-18.399999999999999</v>
      </c>
      <c r="I29" s="158">
        <f>IFERROR(100/'Skjema total MA'!F29*G29,0)</f>
        <v>8.0203626201774281</v>
      </c>
      <c r="J29" s="232">
        <f t="shared" si="7"/>
        <v>2412721.2340000002</v>
      </c>
      <c r="K29" s="232">
        <f t="shared" si="7"/>
        <v>2008307.4979399999</v>
      </c>
      <c r="L29" s="414">
        <f t="shared" si="8"/>
        <v>-16.8</v>
      </c>
      <c r="M29" s="22">
        <f>IFERROR(100/'Skjema total MA'!I29*K29,0)</f>
        <v>2.9676502276340502</v>
      </c>
      <c r="N29" s="146"/>
    </row>
    <row r="30" spans="1:14" s="3" customFormat="1" ht="15.75" x14ac:dyDescent="0.2">
      <c r="A30" s="496" t="s">
        <v>353</v>
      </c>
      <c r="B30" s="276"/>
      <c r="C30" s="276"/>
      <c r="D30" s="164"/>
      <c r="E30" s="11"/>
      <c r="F30" s="285">
        <v>632998.16</v>
      </c>
      <c r="G30" s="285">
        <v>508827.13008999999</v>
      </c>
      <c r="H30" s="164">
        <f t="shared" si="6"/>
        <v>-19.600000000000001</v>
      </c>
      <c r="I30" s="236">
        <f>IFERROR(100/'Skjema total MA'!F30*G30,0)</f>
        <v>14.886686277161441</v>
      </c>
      <c r="J30" s="285">
        <f t="shared" ref="J30:J33" si="11">SUM(B30,F30)</f>
        <v>632998.16</v>
      </c>
      <c r="K30" s="285">
        <f t="shared" ref="K30:K33" si="12">SUM(C30,G30)</f>
        <v>508827.13008999999</v>
      </c>
      <c r="L30" s="164">
        <f t="shared" si="8"/>
        <v>-19.600000000000001</v>
      </c>
      <c r="M30" s="21">
        <f>IFERROR(100/'Skjema total MA'!I30*K30,0)</f>
        <v>3.8532162419937905</v>
      </c>
      <c r="N30" s="146"/>
    </row>
    <row r="31" spans="1:14" s="3" customFormat="1" ht="15.75" x14ac:dyDescent="0.2">
      <c r="A31" s="496" t="s">
        <v>354</v>
      </c>
      <c r="B31" s="276"/>
      <c r="C31" s="276"/>
      <c r="D31" s="164"/>
      <c r="E31" s="11"/>
      <c r="F31" s="285">
        <v>1175927.8149999999</v>
      </c>
      <c r="G31" s="285">
        <v>904296.40485999803</v>
      </c>
      <c r="H31" s="164">
        <f t="shared" si="6"/>
        <v>-23.1</v>
      </c>
      <c r="I31" s="236">
        <f>IFERROR(100/'Skjema total MA'!F31*G31,0)</f>
        <v>11.988860158101129</v>
      </c>
      <c r="J31" s="285">
        <f t="shared" si="11"/>
        <v>1175927.8149999999</v>
      </c>
      <c r="K31" s="285">
        <f t="shared" si="12"/>
        <v>904296.40485999803</v>
      </c>
      <c r="L31" s="164">
        <f t="shared" si="8"/>
        <v>-23.1</v>
      </c>
      <c r="M31" s="21">
        <f>IFERROR(100/'Skjema total MA'!I31*K31,0)</f>
        <v>2.7696484396724026</v>
      </c>
      <c r="N31" s="146"/>
    </row>
    <row r="32" spans="1:14" ht="15.75" x14ac:dyDescent="0.2">
      <c r="A32" s="496" t="s">
        <v>355</v>
      </c>
      <c r="B32" s="276"/>
      <c r="C32" s="276"/>
      <c r="D32" s="164"/>
      <c r="E32" s="11"/>
      <c r="F32" s="285">
        <v>97131.565000000002</v>
      </c>
      <c r="G32" s="285">
        <v>81560.784440000105</v>
      </c>
      <c r="H32" s="164">
        <f t="shared" si="6"/>
        <v>-16</v>
      </c>
      <c r="I32" s="236">
        <f>IFERROR(100/'Skjema total MA'!F32*G32,0)</f>
        <v>1.5735023085916509</v>
      </c>
      <c r="J32" s="285">
        <f t="shared" si="11"/>
        <v>97131.565000000002</v>
      </c>
      <c r="K32" s="285">
        <f t="shared" si="12"/>
        <v>81560.784440000105</v>
      </c>
      <c r="L32" s="164">
        <f t="shared" si="8"/>
        <v>-16</v>
      </c>
      <c r="M32" s="21">
        <f>IFERROR(100/'Skjema total MA'!I32*K32,0)</f>
        <v>1.0680185951597043</v>
      </c>
    </row>
    <row r="33" spans="1:14" ht="15.75" x14ac:dyDescent="0.2">
      <c r="A33" s="496" t="s">
        <v>356</v>
      </c>
      <c r="B33" s="276"/>
      <c r="C33" s="276"/>
      <c r="D33" s="164"/>
      <c r="E33" s="11"/>
      <c r="F33" s="285">
        <v>363393.10600000003</v>
      </c>
      <c r="G33" s="285">
        <v>358166.22255000198</v>
      </c>
      <c r="H33" s="164">
        <f t="shared" si="6"/>
        <v>-1.4</v>
      </c>
      <c r="I33" s="236">
        <f>IFERROR(100/'Skjema total MA'!F34*G33,0)</f>
        <v>520.28742450812274</v>
      </c>
      <c r="J33" s="285">
        <f t="shared" si="11"/>
        <v>363393.10600000003</v>
      </c>
      <c r="K33" s="285">
        <f t="shared" si="12"/>
        <v>358166.22255000198</v>
      </c>
      <c r="L33" s="164">
        <f t="shared" si="8"/>
        <v>-1.4</v>
      </c>
      <c r="M33" s="21">
        <f>IFERROR(100/'Skjema total MA'!I34*K33,0)</f>
        <v>389.38628430953707</v>
      </c>
    </row>
    <row r="34" spans="1:14" ht="15.75" x14ac:dyDescent="0.2">
      <c r="A34" s="13" t="s">
        <v>351</v>
      </c>
      <c r="B34" s="232"/>
      <c r="C34" s="301"/>
      <c r="D34" s="169"/>
      <c r="E34" s="11"/>
      <c r="F34" s="300">
        <v>13593.841</v>
      </c>
      <c r="G34" s="301">
        <v>2653.32159</v>
      </c>
      <c r="H34" s="169">
        <f t="shared" si="6"/>
        <v>-80.5</v>
      </c>
      <c r="I34" s="158">
        <f>IFERROR(100/'Skjema total MA'!F34*G34,0)</f>
        <v>3.8543273193780108</v>
      </c>
      <c r="J34" s="232">
        <f t="shared" si="7"/>
        <v>13593.841</v>
      </c>
      <c r="K34" s="232">
        <f t="shared" si="7"/>
        <v>2653.32159</v>
      </c>
      <c r="L34" s="414">
        <f t="shared" si="8"/>
        <v>-80.5</v>
      </c>
      <c r="M34" s="22">
        <f>IFERROR(100/'Skjema total MA'!I34*K34,0)</f>
        <v>2.884602092438064</v>
      </c>
    </row>
    <row r="35" spans="1:14" ht="15.75" x14ac:dyDescent="0.2">
      <c r="A35" s="13" t="s">
        <v>352</v>
      </c>
      <c r="B35" s="232"/>
      <c r="C35" s="301"/>
      <c r="D35" s="169"/>
      <c r="E35" s="11"/>
      <c r="F35" s="300">
        <v>20930.88</v>
      </c>
      <c r="G35" s="301">
        <v>11552.883</v>
      </c>
      <c r="H35" s="169">
        <f t="shared" si="6"/>
        <v>-44.8</v>
      </c>
      <c r="I35" s="158">
        <f>IFERROR(100/'Skjema total MA'!F35*G35,0)</f>
        <v>15.207222790800806</v>
      </c>
      <c r="J35" s="232">
        <f t="shared" si="7"/>
        <v>20930.88</v>
      </c>
      <c r="K35" s="232">
        <f t="shared" si="7"/>
        <v>11552.883</v>
      </c>
      <c r="L35" s="414">
        <f t="shared" si="8"/>
        <v>-44.8</v>
      </c>
      <c r="M35" s="22">
        <f>IFERROR(100/'Skjema total MA'!I35*K35,0)</f>
        <v>20.904693147991896</v>
      </c>
    </row>
    <row r="36" spans="1:14" ht="15.75" x14ac:dyDescent="0.2">
      <c r="A36" s="12" t="s">
        <v>279</v>
      </c>
      <c r="B36" s="232"/>
      <c r="C36" s="301"/>
      <c r="D36" s="169"/>
      <c r="E36" s="11"/>
      <c r="F36" s="311"/>
      <c r="G36" s="312"/>
      <c r="H36" s="169"/>
      <c r="I36" s="416"/>
      <c r="J36" s="232"/>
      <c r="K36" s="232"/>
      <c r="L36" s="414"/>
      <c r="M36" s="22"/>
    </row>
    <row r="37" spans="1:14" ht="15.75" x14ac:dyDescent="0.2">
      <c r="A37" s="12" t="s">
        <v>358</v>
      </c>
      <c r="B37" s="232"/>
      <c r="C37" s="301"/>
      <c r="D37" s="169"/>
      <c r="E37" s="11"/>
      <c r="F37" s="311"/>
      <c r="G37" s="313"/>
      <c r="H37" s="169"/>
      <c r="I37" s="416"/>
      <c r="J37" s="232"/>
      <c r="K37" s="232"/>
      <c r="L37" s="414"/>
      <c r="M37" s="22"/>
    </row>
    <row r="38" spans="1:14" ht="15.75" x14ac:dyDescent="0.2">
      <c r="A38" s="12" t="s">
        <v>359</v>
      </c>
      <c r="B38" s="232"/>
      <c r="C38" s="301"/>
      <c r="D38" s="169"/>
      <c r="E38" s="22"/>
      <c r="F38" s="311"/>
      <c r="G38" s="312"/>
      <c r="H38" s="169"/>
      <c r="I38" s="416"/>
      <c r="J38" s="232"/>
      <c r="K38" s="232"/>
      <c r="L38" s="414"/>
      <c r="M38" s="22"/>
    </row>
    <row r="39" spans="1:14" ht="15.75" x14ac:dyDescent="0.2">
      <c r="A39" s="18" t="s">
        <v>360</v>
      </c>
      <c r="B39" s="271"/>
      <c r="C39" s="307"/>
      <c r="D39" s="167"/>
      <c r="E39" s="34"/>
      <c r="F39" s="314"/>
      <c r="G39" s="315"/>
      <c r="H39" s="167"/>
      <c r="I39" s="167"/>
      <c r="J39" s="232"/>
      <c r="K39" s="232"/>
      <c r="L39" s="415"/>
      <c r="M39" s="34"/>
    </row>
    <row r="40" spans="1:14" ht="15.75" x14ac:dyDescent="0.25">
      <c r="A40" s="45"/>
      <c r="B40" s="248"/>
      <c r="C40" s="248"/>
      <c r="D40" s="708"/>
      <c r="E40" s="708"/>
      <c r="F40" s="708"/>
      <c r="G40" s="708"/>
      <c r="H40" s="708"/>
      <c r="I40" s="708"/>
      <c r="J40" s="708"/>
      <c r="K40" s="708"/>
      <c r="L40" s="708"/>
      <c r="M40" s="393"/>
    </row>
    <row r="41" spans="1:14" x14ac:dyDescent="0.2">
      <c r="A41" s="153"/>
    </row>
    <row r="42" spans="1:14" ht="15.75" x14ac:dyDescent="0.25">
      <c r="A42" s="145" t="s">
        <v>268</v>
      </c>
      <c r="B42" s="704"/>
      <c r="C42" s="704"/>
      <c r="D42" s="704"/>
      <c r="E42" s="392"/>
      <c r="F42" s="709"/>
      <c r="G42" s="709"/>
      <c r="H42" s="709"/>
      <c r="I42" s="393"/>
      <c r="J42" s="709"/>
      <c r="K42" s="709"/>
      <c r="L42" s="709"/>
      <c r="M42" s="393"/>
    </row>
    <row r="43" spans="1:14" ht="15.75" x14ac:dyDescent="0.25">
      <c r="A43" s="161"/>
      <c r="B43" s="389"/>
      <c r="C43" s="389"/>
      <c r="D43" s="389"/>
      <c r="E43" s="389"/>
      <c r="F43" s="393"/>
      <c r="G43" s="393"/>
      <c r="H43" s="393"/>
      <c r="I43" s="393"/>
      <c r="J43" s="393"/>
      <c r="K43" s="393"/>
      <c r="L43" s="393"/>
      <c r="M43" s="393"/>
    </row>
    <row r="44" spans="1:14" ht="15.75" x14ac:dyDescent="0.25">
      <c r="A44" s="243"/>
      <c r="B44" s="705" t="s">
        <v>0</v>
      </c>
      <c r="C44" s="706"/>
      <c r="D44" s="706"/>
      <c r="E44" s="239"/>
      <c r="F44" s="393"/>
      <c r="G44" s="393"/>
      <c r="H44" s="393"/>
      <c r="I44" s="393"/>
      <c r="J44" s="393"/>
      <c r="K44" s="393"/>
      <c r="L44" s="393"/>
      <c r="M44" s="393"/>
    </row>
    <row r="45" spans="1:14" s="3" customFormat="1" x14ac:dyDescent="0.2">
      <c r="A45" s="138"/>
      <c r="B45" s="673">
        <v>44469</v>
      </c>
      <c r="C45" s="673">
        <v>44834</v>
      </c>
      <c r="D45" s="241" t="s">
        <v>3</v>
      </c>
      <c r="E45" s="297" t="s">
        <v>29</v>
      </c>
      <c r="F45" s="150"/>
      <c r="G45" s="676"/>
      <c r="H45" s="675"/>
      <c r="I45" s="675"/>
      <c r="J45" s="676"/>
      <c r="K45" s="676"/>
      <c r="L45" s="675"/>
      <c r="M45" s="675"/>
      <c r="N45" s="144"/>
    </row>
    <row r="46" spans="1:14" s="3" customFormat="1" x14ac:dyDescent="0.2">
      <c r="A46" s="672"/>
      <c r="B46" s="240"/>
      <c r="C46" s="240"/>
      <c r="D46" s="241" t="s">
        <v>4</v>
      </c>
      <c r="E46" s="154" t="s">
        <v>30</v>
      </c>
      <c r="F46" s="171"/>
      <c r="G46" s="171"/>
      <c r="H46" s="171"/>
      <c r="I46" s="171"/>
      <c r="J46" s="171"/>
      <c r="K46" s="171"/>
      <c r="L46" s="171"/>
      <c r="M46" s="171"/>
      <c r="N46" s="146"/>
    </row>
    <row r="47" spans="1:14" s="3" customFormat="1" ht="15.75" x14ac:dyDescent="0.2">
      <c r="A47" s="14" t="s">
        <v>23</v>
      </c>
      <c r="B47" s="302">
        <v>6059.9129999999996</v>
      </c>
      <c r="C47" s="303">
        <v>6174.6272600000002</v>
      </c>
      <c r="D47" s="413">
        <f t="shared" ref="D47:D48" si="13">IF(B47=0, "    ---- ", IF(ABS(ROUND(100/B47*C47-100,1))&lt;999,ROUND(100/B47*C47-100,1),IF(ROUND(100/B47*C47-100,1)&gt;999,999,-999)))</f>
        <v>1.9</v>
      </c>
      <c r="E47" s="11">
        <f>IFERROR(100/'Skjema total MA'!C47*C47,0)</f>
        <v>0.12698668616656764</v>
      </c>
      <c r="F47" s="143"/>
      <c r="G47" s="31"/>
      <c r="H47" s="157"/>
      <c r="I47" s="157"/>
      <c r="J47" s="35"/>
      <c r="K47" s="35"/>
      <c r="L47" s="157"/>
      <c r="M47" s="157"/>
      <c r="N47" s="146"/>
    </row>
    <row r="48" spans="1:14" s="3" customFormat="1" ht="15.75" x14ac:dyDescent="0.2">
      <c r="A48" s="36" t="s">
        <v>361</v>
      </c>
      <c r="B48" s="276">
        <v>6059.9129999999996</v>
      </c>
      <c r="C48" s="277">
        <v>6174.6272600000002</v>
      </c>
      <c r="D48" s="249">
        <f t="shared" si="13"/>
        <v>1.9</v>
      </c>
      <c r="E48" s="25">
        <f>IFERROR(100/'Skjema total MA'!C48*C48,0)</f>
        <v>0.22767731978792849</v>
      </c>
      <c r="F48" s="143"/>
      <c r="G48" s="31"/>
      <c r="H48" s="143"/>
      <c r="I48" s="143"/>
      <c r="J48" s="31"/>
      <c r="K48" s="31"/>
      <c r="L48" s="157"/>
      <c r="M48" s="157"/>
      <c r="N48" s="146"/>
    </row>
    <row r="49" spans="1:14" s="3" customFormat="1" ht="15.75" x14ac:dyDescent="0.2">
      <c r="A49" s="36" t="s">
        <v>362</v>
      </c>
      <c r="B49" s="42"/>
      <c r="C49" s="282"/>
      <c r="D49" s="249"/>
      <c r="E49" s="25"/>
      <c r="F49" s="143"/>
      <c r="G49" s="31"/>
      <c r="H49" s="143"/>
      <c r="I49" s="143"/>
      <c r="J49" s="35"/>
      <c r="K49" s="35"/>
      <c r="L49" s="157"/>
      <c r="M49" s="157"/>
      <c r="N49" s="146"/>
    </row>
    <row r="50" spans="1:14" s="3" customFormat="1" x14ac:dyDescent="0.2">
      <c r="A50" s="288" t="s">
        <v>6</v>
      </c>
      <c r="B50" s="311"/>
      <c r="C50" s="311"/>
      <c r="D50" s="249"/>
      <c r="E50" s="21"/>
      <c r="F50" s="143"/>
      <c r="G50" s="31"/>
      <c r="H50" s="143"/>
      <c r="I50" s="143"/>
      <c r="J50" s="31"/>
      <c r="K50" s="31"/>
      <c r="L50" s="157"/>
      <c r="M50" s="157"/>
      <c r="N50" s="146"/>
    </row>
    <row r="51" spans="1:14" s="3" customFormat="1" x14ac:dyDescent="0.2">
      <c r="A51" s="288" t="s">
        <v>7</v>
      </c>
      <c r="B51" s="311"/>
      <c r="C51" s="311"/>
      <c r="D51" s="249"/>
      <c r="E51" s="21"/>
      <c r="F51" s="143"/>
      <c r="G51" s="31"/>
      <c r="H51" s="143"/>
      <c r="I51" s="143"/>
      <c r="J51" s="31"/>
      <c r="K51" s="31"/>
      <c r="L51" s="157"/>
      <c r="M51" s="157"/>
      <c r="N51" s="146"/>
    </row>
    <row r="52" spans="1:14" s="3" customFormat="1" x14ac:dyDescent="0.2">
      <c r="A52" s="288" t="s">
        <v>8</v>
      </c>
      <c r="B52" s="311"/>
      <c r="C52" s="311"/>
      <c r="D52" s="249"/>
      <c r="E52" s="21"/>
      <c r="F52" s="143"/>
      <c r="G52" s="31"/>
      <c r="H52" s="143"/>
      <c r="I52" s="143"/>
      <c r="J52" s="31"/>
      <c r="K52" s="31"/>
      <c r="L52" s="157"/>
      <c r="M52" s="157"/>
      <c r="N52" s="146"/>
    </row>
    <row r="53" spans="1:14" s="3" customFormat="1" ht="15.75" x14ac:dyDescent="0.2">
      <c r="A53" s="37" t="s">
        <v>363</v>
      </c>
      <c r="B53" s="302"/>
      <c r="C53" s="303"/>
      <c r="D53" s="414"/>
      <c r="E53" s="11"/>
      <c r="F53" s="143"/>
      <c r="G53" s="31"/>
      <c r="H53" s="143"/>
      <c r="I53" s="143"/>
      <c r="J53" s="31"/>
      <c r="K53" s="31"/>
      <c r="L53" s="157"/>
      <c r="M53" s="157"/>
      <c r="N53" s="146"/>
    </row>
    <row r="54" spans="1:14" s="3" customFormat="1" ht="15.75" x14ac:dyDescent="0.2">
      <c r="A54" s="36" t="s">
        <v>361</v>
      </c>
      <c r="B54" s="276"/>
      <c r="C54" s="277"/>
      <c r="D54" s="249"/>
      <c r="E54" s="25"/>
      <c r="F54" s="143"/>
      <c r="G54" s="31"/>
      <c r="H54" s="143"/>
      <c r="I54" s="143"/>
      <c r="J54" s="31"/>
      <c r="K54" s="31"/>
      <c r="L54" s="157"/>
      <c r="M54" s="157"/>
      <c r="N54" s="146"/>
    </row>
    <row r="55" spans="1:14" s="3" customFormat="1" ht="15.75" x14ac:dyDescent="0.2">
      <c r="A55" s="36" t="s">
        <v>362</v>
      </c>
      <c r="B55" s="276"/>
      <c r="C55" s="277"/>
      <c r="D55" s="249"/>
      <c r="E55" s="25"/>
      <c r="F55" s="143"/>
      <c r="G55" s="31"/>
      <c r="H55" s="143"/>
      <c r="I55" s="143"/>
      <c r="J55" s="31"/>
      <c r="K55" s="31"/>
      <c r="L55" s="157"/>
      <c r="M55" s="157"/>
      <c r="N55" s="146"/>
    </row>
    <row r="56" spans="1:14" s="3" customFormat="1" ht="15.75" x14ac:dyDescent="0.2">
      <c r="A56" s="37" t="s">
        <v>364</v>
      </c>
      <c r="B56" s="302"/>
      <c r="C56" s="303"/>
      <c r="D56" s="414"/>
      <c r="E56" s="11"/>
      <c r="F56" s="143"/>
      <c r="G56" s="31"/>
      <c r="H56" s="143"/>
      <c r="I56" s="143"/>
      <c r="J56" s="31"/>
      <c r="K56" s="31"/>
      <c r="L56" s="157"/>
      <c r="M56" s="157"/>
      <c r="N56" s="146"/>
    </row>
    <row r="57" spans="1:14" s="3" customFormat="1" ht="15.75" x14ac:dyDescent="0.2">
      <c r="A57" s="36" t="s">
        <v>361</v>
      </c>
      <c r="B57" s="276"/>
      <c r="C57" s="277"/>
      <c r="D57" s="249"/>
      <c r="E57" s="25"/>
      <c r="F57" s="143"/>
      <c r="G57" s="31"/>
      <c r="H57" s="143"/>
      <c r="I57" s="143"/>
      <c r="J57" s="31"/>
      <c r="K57" s="31"/>
      <c r="L57" s="157"/>
      <c r="M57" s="157"/>
      <c r="N57" s="146"/>
    </row>
    <row r="58" spans="1:14" s="3" customFormat="1" ht="15.75" x14ac:dyDescent="0.2">
      <c r="A58" s="44" t="s">
        <v>362</v>
      </c>
      <c r="B58" s="278"/>
      <c r="C58" s="279"/>
      <c r="D58" s="250"/>
      <c r="E58" s="20"/>
      <c r="F58" s="143"/>
      <c r="G58" s="31"/>
      <c r="H58" s="143"/>
      <c r="I58" s="143"/>
      <c r="J58" s="31"/>
      <c r="K58" s="31"/>
      <c r="L58" s="157"/>
      <c r="M58" s="157"/>
      <c r="N58" s="146"/>
    </row>
    <row r="59" spans="1:14" s="3" customFormat="1" ht="15.75" x14ac:dyDescent="0.25">
      <c r="A59" s="162"/>
      <c r="B59" s="152"/>
      <c r="C59" s="152"/>
      <c r="D59" s="152"/>
      <c r="E59" s="152"/>
      <c r="F59" s="140"/>
      <c r="G59" s="140"/>
      <c r="H59" s="140"/>
      <c r="I59" s="140"/>
      <c r="J59" s="140"/>
      <c r="K59" s="140"/>
      <c r="L59" s="140"/>
      <c r="M59" s="140"/>
      <c r="N59" s="146"/>
    </row>
    <row r="60" spans="1:14" x14ac:dyDescent="0.2">
      <c r="A60" s="153"/>
    </row>
    <row r="61" spans="1:14" ht="15.75" x14ac:dyDescent="0.25">
      <c r="A61" s="145" t="s">
        <v>269</v>
      </c>
      <c r="C61" s="24"/>
      <c r="D61" s="24"/>
      <c r="E61" s="24"/>
      <c r="F61" s="24"/>
      <c r="G61" s="24"/>
      <c r="H61" s="24"/>
      <c r="I61" s="24"/>
      <c r="J61" s="24"/>
      <c r="K61" s="24"/>
      <c r="L61" s="24"/>
      <c r="M61" s="24"/>
    </row>
    <row r="62" spans="1:14" ht="15.75" x14ac:dyDescent="0.25">
      <c r="B62" s="707"/>
      <c r="C62" s="707"/>
      <c r="D62" s="707"/>
      <c r="E62" s="392"/>
      <c r="F62" s="707"/>
      <c r="G62" s="707"/>
      <c r="H62" s="707"/>
      <c r="I62" s="392"/>
      <c r="J62" s="707"/>
      <c r="K62" s="707"/>
      <c r="L62" s="707"/>
      <c r="M62" s="392"/>
    </row>
    <row r="63" spans="1:14" x14ac:dyDescent="0.2">
      <c r="A63" s="142"/>
      <c r="B63" s="705" t="s">
        <v>0</v>
      </c>
      <c r="C63" s="706"/>
      <c r="D63" s="710"/>
      <c r="E63" s="390"/>
      <c r="F63" s="706" t="s">
        <v>1</v>
      </c>
      <c r="G63" s="706"/>
      <c r="H63" s="706"/>
      <c r="I63" s="394"/>
      <c r="J63" s="705" t="s">
        <v>2</v>
      </c>
      <c r="K63" s="706"/>
      <c r="L63" s="706"/>
      <c r="M63" s="394"/>
    </row>
    <row r="64" spans="1:14" x14ac:dyDescent="0.2">
      <c r="A64" s="138"/>
      <c r="B64" s="673">
        <v>44469</v>
      </c>
      <c r="C64" s="673">
        <v>44834</v>
      </c>
      <c r="D64" s="241" t="s">
        <v>3</v>
      </c>
      <c r="E64" s="297" t="s">
        <v>29</v>
      </c>
      <c r="F64" s="673">
        <v>44469</v>
      </c>
      <c r="G64" s="673">
        <v>44834</v>
      </c>
      <c r="H64" s="241" t="s">
        <v>3</v>
      </c>
      <c r="I64" s="297" t="s">
        <v>29</v>
      </c>
      <c r="J64" s="673">
        <v>44469</v>
      </c>
      <c r="K64" s="673">
        <v>44834</v>
      </c>
      <c r="L64" s="241" t="s">
        <v>3</v>
      </c>
      <c r="M64" s="297" t="s">
        <v>29</v>
      </c>
    </row>
    <row r="65" spans="1:14" x14ac:dyDescent="0.2">
      <c r="A65" s="672"/>
      <c r="B65" s="154"/>
      <c r="C65" s="154"/>
      <c r="D65" s="242" t="s">
        <v>4</v>
      </c>
      <c r="E65" s="154" t="s">
        <v>30</v>
      </c>
      <c r="F65" s="159"/>
      <c r="G65" s="159"/>
      <c r="H65" s="241" t="s">
        <v>4</v>
      </c>
      <c r="I65" s="154" t="s">
        <v>30</v>
      </c>
      <c r="J65" s="159"/>
      <c r="K65" s="202"/>
      <c r="L65" s="154" t="s">
        <v>4</v>
      </c>
      <c r="M65" s="154" t="s">
        <v>30</v>
      </c>
    </row>
    <row r="66" spans="1:14" ht="15.75" x14ac:dyDescent="0.2">
      <c r="A66" s="14" t="s">
        <v>23</v>
      </c>
      <c r="B66" s="344">
        <v>101559.81600000001</v>
      </c>
      <c r="C66" s="344">
        <v>111639.26734000001</v>
      </c>
      <c r="D66" s="341">
        <f t="shared" ref="D66:D120" si="14">IF(B66=0, "    ---- ", IF(ABS(ROUND(100/B66*C66-100,1))&lt;999,ROUND(100/B66*C66-100,1),IF(ROUND(100/B66*C66-100,1)&gt;999,999,-999)))</f>
        <v>9.9</v>
      </c>
      <c r="E66" s="11">
        <f>IFERROR(100/'Skjema total MA'!C66*C66,0)</f>
        <v>1.813134095598649</v>
      </c>
      <c r="F66" s="343">
        <v>1465380.395</v>
      </c>
      <c r="G66" s="343">
        <v>1612452.5282699999</v>
      </c>
      <c r="H66" s="341">
        <f t="shared" ref="H66:H125" si="15">IF(F66=0, "    ---- ", IF(ABS(ROUND(100/F66*G66-100,1))&lt;999,ROUND(100/F66*G66-100,1),IF(ROUND(100/F66*G66-100,1)&gt;999,999,-999)))</f>
        <v>10</v>
      </c>
      <c r="I66" s="11">
        <f>IFERROR(100/'Skjema total MA'!F66*G66,0)</f>
        <v>5.1181988369452451</v>
      </c>
      <c r="J66" s="301">
        <f t="shared" ref="J66:K79" si="16">SUM(B66,F66)</f>
        <v>1566940.2110000001</v>
      </c>
      <c r="K66" s="308">
        <f t="shared" si="16"/>
        <v>1724091.7956099999</v>
      </c>
      <c r="L66" s="414">
        <f t="shared" ref="L66:L125" si="17">IF(J66=0, "    ---- ", IF(ABS(ROUND(100/J66*K66-100,1))&lt;999,ROUND(100/J66*K66-100,1),IF(ROUND(100/J66*K66-100,1)&gt;999,999,-999)))</f>
        <v>10</v>
      </c>
      <c r="M66" s="11">
        <f>IFERROR(100/'Skjema total MA'!I66*K66,0)</f>
        <v>4.5778567037136169</v>
      </c>
    </row>
    <row r="67" spans="1:14" x14ac:dyDescent="0.2">
      <c r="A67" s="19" t="s">
        <v>9</v>
      </c>
      <c r="B67" s="42">
        <v>101559.81600000001</v>
      </c>
      <c r="C67" s="143">
        <v>111639.26734000001</v>
      </c>
      <c r="D67" s="164">
        <f t="shared" si="14"/>
        <v>9.9</v>
      </c>
      <c r="E67" s="25">
        <f>IFERROR(100/'Skjema total MA'!C67*C67,0)</f>
        <v>2.794902955346104</v>
      </c>
      <c r="F67" s="230"/>
      <c r="G67" s="143"/>
      <c r="H67" s="164"/>
      <c r="I67" s="25"/>
      <c r="J67" s="282">
        <f t="shared" si="16"/>
        <v>101559.81600000001</v>
      </c>
      <c r="K67" s="42">
        <f t="shared" si="16"/>
        <v>111639.26734000001</v>
      </c>
      <c r="L67" s="249">
        <f t="shared" si="17"/>
        <v>9.9</v>
      </c>
      <c r="M67" s="25">
        <f>IFERROR(100/'Skjema total MA'!I67*K67,0)</f>
        <v>2.794902955346104</v>
      </c>
    </row>
    <row r="68" spans="1:14" x14ac:dyDescent="0.2">
      <c r="A68" s="19" t="s">
        <v>10</v>
      </c>
      <c r="B68" s="286"/>
      <c r="C68" s="287"/>
      <c r="D68" s="164"/>
      <c r="E68" s="25"/>
      <c r="F68" s="286">
        <v>1465380.395</v>
      </c>
      <c r="G68" s="287">
        <v>1612452.5282699999</v>
      </c>
      <c r="H68" s="164">
        <f t="shared" si="15"/>
        <v>10</v>
      </c>
      <c r="I68" s="25">
        <f>IFERROR(100/'Skjema total MA'!F68*G68,0)</f>
        <v>5.321512916148083</v>
      </c>
      <c r="J68" s="282">
        <f t="shared" si="16"/>
        <v>1465380.395</v>
      </c>
      <c r="K68" s="42">
        <f t="shared" si="16"/>
        <v>1612452.5282699999</v>
      </c>
      <c r="L68" s="249">
        <f t="shared" si="17"/>
        <v>10</v>
      </c>
      <c r="M68" s="25">
        <f>IFERROR(100/'Skjema total MA'!I68*K68,0)</f>
        <v>5.3137428843421555</v>
      </c>
    </row>
    <row r="69" spans="1:14" ht="15.75" x14ac:dyDescent="0.2">
      <c r="A69" s="288" t="s">
        <v>365</v>
      </c>
      <c r="B69" s="311"/>
      <c r="C69" s="311"/>
      <c r="D69" s="164"/>
      <c r="E69" s="21"/>
      <c r="F69" s="311"/>
      <c r="G69" s="311"/>
      <c r="H69" s="164"/>
      <c r="I69" s="21"/>
      <c r="J69" s="311"/>
      <c r="K69" s="311"/>
      <c r="L69" s="164"/>
      <c r="M69" s="21"/>
    </row>
    <row r="70" spans="1:14" x14ac:dyDescent="0.2">
      <c r="A70" s="288" t="s">
        <v>12</v>
      </c>
      <c r="B70" s="311"/>
      <c r="C70" s="311"/>
      <c r="D70" s="164"/>
      <c r="E70" s="21"/>
      <c r="F70" s="311"/>
      <c r="G70" s="311"/>
      <c r="H70" s="164"/>
      <c r="I70" s="21"/>
      <c r="J70" s="311"/>
      <c r="K70" s="311"/>
      <c r="L70" s="164"/>
      <c r="M70" s="21"/>
    </row>
    <row r="71" spans="1:14" x14ac:dyDescent="0.2">
      <c r="A71" s="288" t="s">
        <v>13</v>
      </c>
      <c r="B71" s="311"/>
      <c r="C71" s="311"/>
      <c r="D71" s="164"/>
      <c r="E71" s="21"/>
      <c r="F71" s="311"/>
      <c r="G71" s="311"/>
      <c r="H71" s="164"/>
      <c r="I71" s="21"/>
      <c r="J71" s="311"/>
      <c r="K71" s="311"/>
      <c r="L71" s="164"/>
      <c r="M71" s="21"/>
    </row>
    <row r="72" spans="1:14" ht="15.75" x14ac:dyDescent="0.2">
      <c r="A72" s="288" t="s">
        <v>366</v>
      </c>
      <c r="B72" s="311"/>
      <c r="C72" s="311"/>
      <c r="D72" s="164"/>
      <c r="E72" s="21"/>
      <c r="F72" s="311"/>
      <c r="G72" s="311"/>
      <c r="H72" s="164"/>
      <c r="I72" s="21"/>
      <c r="J72" s="311"/>
      <c r="K72" s="311"/>
      <c r="L72" s="164"/>
      <c r="M72" s="21"/>
    </row>
    <row r="73" spans="1:14" x14ac:dyDescent="0.2">
      <c r="A73" s="288" t="s">
        <v>12</v>
      </c>
      <c r="B73" s="231"/>
      <c r="C73" s="284"/>
      <c r="D73" s="164"/>
      <c r="E73" s="21"/>
      <c r="F73" s="311"/>
      <c r="G73" s="311"/>
      <c r="H73" s="164"/>
      <c r="I73" s="21"/>
      <c r="J73" s="311"/>
      <c r="K73" s="311"/>
      <c r="L73" s="164"/>
      <c r="M73" s="21"/>
    </row>
    <row r="74" spans="1:14" s="3" customFormat="1" x14ac:dyDescent="0.2">
      <c r="A74" s="288" t="s">
        <v>13</v>
      </c>
      <c r="B74" s="231"/>
      <c r="C74" s="284"/>
      <c r="D74" s="164"/>
      <c r="E74" s="21"/>
      <c r="F74" s="311"/>
      <c r="G74" s="311"/>
      <c r="H74" s="164"/>
      <c r="I74" s="21"/>
      <c r="J74" s="311"/>
      <c r="K74" s="311"/>
      <c r="L74" s="164"/>
      <c r="M74" s="21"/>
      <c r="N74" s="146"/>
    </row>
    <row r="75" spans="1:14" s="3" customFormat="1" x14ac:dyDescent="0.2">
      <c r="A75" s="19" t="s">
        <v>337</v>
      </c>
      <c r="B75" s="230"/>
      <c r="C75" s="143"/>
      <c r="D75" s="164"/>
      <c r="E75" s="25"/>
      <c r="F75" s="230"/>
      <c r="G75" s="143"/>
      <c r="H75" s="164"/>
      <c r="I75" s="25"/>
      <c r="J75" s="282"/>
      <c r="K75" s="42"/>
      <c r="L75" s="249"/>
      <c r="M75" s="25"/>
      <c r="N75" s="146"/>
    </row>
    <row r="76" spans="1:14" s="3" customFormat="1" x14ac:dyDescent="0.2">
      <c r="A76" s="19" t="s">
        <v>336</v>
      </c>
      <c r="B76" s="230"/>
      <c r="C76" s="143"/>
      <c r="D76" s="164"/>
      <c r="E76" s="25"/>
      <c r="F76" s="230"/>
      <c r="G76" s="143"/>
      <c r="H76" s="164"/>
      <c r="I76" s="25"/>
      <c r="J76" s="282"/>
      <c r="K76" s="42"/>
      <c r="L76" s="249"/>
      <c r="M76" s="25"/>
      <c r="N76" s="146"/>
    </row>
    <row r="77" spans="1:14" ht="15.75" x14ac:dyDescent="0.2">
      <c r="A77" s="19" t="s">
        <v>367</v>
      </c>
      <c r="B77" s="230">
        <v>101559.81600000001</v>
      </c>
      <c r="C77" s="230">
        <v>111639.26734000001</v>
      </c>
      <c r="D77" s="164">
        <f t="shared" si="14"/>
        <v>9.9</v>
      </c>
      <c r="E77" s="25">
        <f>IFERROR(100/'Skjema total MA'!C77*C77,0)</f>
        <v>2.8198446248846012</v>
      </c>
      <c r="F77" s="230">
        <v>1465380.395</v>
      </c>
      <c r="G77" s="143">
        <v>1612452.5282699999</v>
      </c>
      <c r="H77" s="164">
        <f t="shared" si="15"/>
        <v>10</v>
      </c>
      <c r="I77" s="25">
        <f>IFERROR(100/'Skjema total MA'!F77*G77,0)</f>
        <v>5.3232451031642212</v>
      </c>
      <c r="J77" s="282">
        <f t="shared" si="16"/>
        <v>1566940.2110000001</v>
      </c>
      <c r="K77" s="42">
        <f t="shared" si="16"/>
        <v>1724091.7956099999</v>
      </c>
      <c r="L77" s="249">
        <f t="shared" si="17"/>
        <v>10</v>
      </c>
      <c r="M77" s="25">
        <f>IFERROR(100/'Skjema total MA'!I77*K77,0)</f>
        <v>5.0338683764257723</v>
      </c>
    </row>
    <row r="78" spans="1:14" x14ac:dyDescent="0.2">
      <c r="A78" s="19" t="s">
        <v>9</v>
      </c>
      <c r="B78" s="230">
        <v>101559.81600000001</v>
      </c>
      <c r="C78" s="143">
        <v>111639.26734000001</v>
      </c>
      <c r="D78" s="164">
        <f t="shared" si="14"/>
        <v>9.9</v>
      </c>
      <c r="E78" s="25">
        <f>IFERROR(100/'Skjema total MA'!C78*C78,0)</f>
        <v>2.8502593195949233</v>
      </c>
      <c r="F78" s="230"/>
      <c r="G78" s="143"/>
      <c r="H78" s="164"/>
      <c r="I78" s="25"/>
      <c r="J78" s="282">
        <f t="shared" si="16"/>
        <v>101559.81600000001</v>
      </c>
      <c r="K78" s="42">
        <f t="shared" si="16"/>
        <v>111639.26734000001</v>
      </c>
      <c r="L78" s="249">
        <f t="shared" si="17"/>
        <v>9.9</v>
      </c>
      <c r="M78" s="25">
        <f>IFERROR(100/'Skjema total MA'!I78*K78,0)</f>
        <v>2.8502593195949233</v>
      </c>
    </row>
    <row r="79" spans="1:14" x14ac:dyDescent="0.2">
      <c r="A79" s="36" t="s">
        <v>400</v>
      </c>
      <c r="B79" s="286"/>
      <c r="C79" s="287"/>
      <c r="D79" s="164"/>
      <c r="E79" s="25"/>
      <c r="F79" s="286">
        <v>1465380.395</v>
      </c>
      <c r="G79" s="287">
        <v>1612452.5282699999</v>
      </c>
      <c r="H79" s="164">
        <f t="shared" si="15"/>
        <v>10</v>
      </c>
      <c r="I79" s="25">
        <f>IFERROR(100/'Skjema total MA'!F79*G79,0)</f>
        <v>5.3232451031642212</v>
      </c>
      <c r="J79" s="282">
        <f t="shared" si="16"/>
        <v>1465380.395</v>
      </c>
      <c r="K79" s="42">
        <f t="shared" si="16"/>
        <v>1612452.5282699999</v>
      </c>
      <c r="L79" s="249">
        <f t="shared" si="17"/>
        <v>10</v>
      </c>
      <c r="M79" s="25">
        <f>IFERROR(100/'Skjema total MA'!I79*K79,0)</f>
        <v>5.3158311201494284</v>
      </c>
    </row>
    <row r="80" spans="1:14" ht="15.75" x14ac:dyDescent="0.2">
      <c r="A80" s="288" t="s">
        <v>365</v>
      </c>
      <c r="B80" s="311"/>
      <c r="C80" s="311"/>
      <c r="D80" s="164"/>
      <c r="E80" s="21"/>
      <c r="F80" s="311"/>
      <c r="G80" s="311"/>
      <c r="H80" s="164"/>
      <c r="I80" s="21"/>
      <c r="J80" s="311"/>
      <c r="K80" s="311"/>
      <c r="L80" s="164"/>
      <c r="M80" s="21"/>
    </row>
    <row r="81" spans="1:13" x14ac:dyDescent="0.2">
      <c r="A81" s="288" t="s">
        <v>12</v>
      </c>
      <c r="B81" s="311"/>
      <c r="C81" s="311"/>
      <c r="D81" s="164"/>
      <c r="E81" s="21"/>
      <c r="F81" s="311"/>
      <c r="G81" s="311"/>
      <c r="H81" s="164"/>
      <c r="I81" s="21"/>
      <c r="J81" s="311"/>
      <c r="K81" s="311"/>
      <c r="L81" s="164"/>
      <c r="M81" s="21"/>
    </row>
    <row r="82" spans="1:13" x14ac:dyDescent="0.2">
      <c r="A82" s="288" t="s">
        <v>13</v>
      </c>
      <c r="B82" s="311"/>
      <c r="C82" s="311"/>
      <c r="D82" s="164"/>
      <c r="E82" s="21"/>
      <c r="F82" s="311"/>
      <c r="G82" s="311"/>
      <c r="H82" s="164"/>
      <c r="I82" s="21"/>
      <c r="J82" s="311"/>
      <c r="K82" s="311"/>
      <c r="L82" s="164"/>
      <c r="M82" s="21"/>
    </row>
    <row r="83" spans="1:13" ht="15.75" x14ac:dyDescent="0.2">
      <c r="A83" s="288" t="s">
        <v>366</v>
      </c>
      <c r="B83" s="311"/>
      <c r="C83" s="311"/>
      <c r="D83" s="164"/>
      <c r="E83" s="21"/>
      <c r="F83" s="311"/>
      <c r="G83" s="311"/>
      <c r="H83" s="164"/>
      <c r="I83" s="21"/>
      <c r="J83" s="311"/>
      <c r="K83" s="311"/>
      <c r="L83" s="164"/>
      <c r="M83" s="21"/>
    </row>
    <row r="84" spans="1:13" x14ac:dyDescent="0.2">
      <c r="A84" s="288" t="s">
        <v>12</v>
      </c>
      <c r="B84" s="231"/>
      <c r="C84" s="284"/>
      <c r="D84" s="164"/>
      <c r="E84" s="21"/>
      <c r="F84" s="311"/>
      <c r="G84" s="311"/>
      <c r="H84" s="164"/>
      <c r="I84" s="21"/>
      <c r="J84" s="311"/>
      <c r="K84" s="311"/>
      <c r="L84" s="164"/>
      <c r="M84" s="21"/>
    </row>
    <row r="85" spans="1:13" x14ac:dyDescent="0.2">
      <c r="A85" s="288" t="s">
        <v>13</v>
      </c>
      <c r="B85" s="231"/>
      <c r="C85" s="284"/>
      <c r="D85" s="164"/>
      <c r="E85" s="21"/>
      <c r="F85" s="311"/>
      <c r="G85" s="311"/>
      <c r="H85" s="164"/>
      <c r="I85" s="21"/>
      <c r="J85" s="311"/>
      <c r="K85" s="311"/>
      <c r="L85" s="164"/>
      <c r="M85" s="21"/>
    </row>
    <row r="86" spans="1:13" ht="15.75" x14ac:dyDescent="0.2">
      <c r="A86" s="19" t="s">
        <v>368</v>
      </c>
      <c r="B86" s="230"/>
      <c r="C86" s="143"/>
      <c r="D86" s="164"/>
      <c r="E86" s="25"/>
      <c r="F86" s="230"/>
      <c r="G86" s="143"/>
      <c r="H86" s="164"/>
      <c r="I86" s="25"/>
      <c r="J86" s="282"/>
      <c r="K86" s="42"/>
      <c r="L86" s="249"/>
      <c r="M86" s="25"/>
    </row>
    <row r="87" spans="1:13" ht="15.75" x14ac:dyDescent="0.2">
      <c r="A87" s="13" t="s">
        <v>350</v>
      </c>
      <c r="B87" s="344">
        <v>921177.37</v>
      </c>
      <c r="C87" s="344">
        <v>905483.26399999997</v>
      </c>
      <c r="D87" s="169">
        <f t="shared" si="14"/>
        <v>-1.7</v>
      </c>
      <c r="E87" s="11">
        <f>IFERROR(100/'Skjema total MA'!C87*C87,0)</f>
        <v>0.22507464179091458</v>
      </c>
      <c r="F87" s="343">
        <v>22105032.054000001</v>
      </c>
      <c r="G87" s="343">
        <v>21431347.567570001</v>
      </c>
      <c r="H87" s="169">
        <f t="shared" si="15"/>
        <v>-3</v>
      </c>
      <c r="I87" s="11">
        <f>IFERROR(100/'Skjema total MA'!F87*G87,0)</f>
        <v>5.1777027424972939</v>
      </c>
      <c r="J87" s="301">
        <f t="shared" ref="J87:K111" si="18">SUM(B87,F87)</f>
        <v>23026209.424000002</v>
      </c>
      <c r="K87" s="232">
        <f t="shared" si="18"/>
        <v>22336830.831569999</v>
      </c>
      <c r="L87" s="414">
        <f t="shared" si="17"/>
        <v>-3</v>
      </c>
      <c r="M87" s="11">
        <f>IFERROR(100/'Skjema total MA'!I87*K87,0)</f>
        <v>2.7366199447820296</v>
      </c>
    </row>
    <row r="88" spans="1:13" x14ac:dyDescent="0.2">
      <c r="A88" s="19" t="s">
        <v>9</v>
      </c>
      <c r="B88" s="230">
        <v>921177.37</v>
      </c>
      <c r="C88" s="143">
        <v>905483.26399999997</v>
      </c>
      <c r="D88" s="164">
        <f t="shared" si="14"/>
        <v>-1.7</v>
      </c>
      <c r="E88" s="25">
        <f>IFERROR(100/'Skjema total MA'!C88*C88,0)</f>
        <v>0.23396389968470846</v>
      </c>
      <c r="F88" s="230"/>
      <c r="G88" s="143"/>
      <c r="H88" s="164"/>
      <c r="I88" s="25"/>
      <c r="J88" s="282">
        <f t="shared" si="18"/>
        <v>921177.37</v>
      </c>
      <c r="K88" s="42">
        <f t="shared" si="18"/>
        <v>905483.26399999997</v>
      </c>
      <c r="L88" s="249">
        <f t="shared" si="17"/>
        <v>-1.7</v>
      </c>
      <c r="M88" s="25">
        <f>IFERROR(100/'Skjema total MA'!I88*K88,0)</f>
        <v>0.23396389968470846</v>
      </c>
    </row>
    <row r="89" spans="1:13" x14ac:dyDescent="0.2">
      <c r="A89" s="19" t="s">
        <v>10</v>
      </c>
      <c r="B89" s="230"/>
      <c r="C89" s="143"/>
      <c r="D89" s="164"/>
      <c r="E89" s="25"/>
      <c r="F89" s="230">
        <v>22105032.054000001</v>
      </c>
      <c r="G89" s="143">
        <v>21431347.567570001</v>
      </c>
      <c r="H89" s="164">
        <f t="shared" si="15"/>
        <v>-3</v>
      </c>
      <c r="I89" s="25">
        <f>IFERROR(100/'Skjema total MA'!F89*G89,0)</f>
        <v>5.2403941775304057</v>
      </c>
      <c r="J89" s="282">
        <f t="shared" si="18"/>
        <v>22105032.054000001</v>
      </c>
      <c r="K89" s="42">
        <f t="shared" si="18"/>
        <v>21431347.567570001</v>
      </c>
      <c r="L89" s="249">
        <f t="shared" si="17"/>
        <v>-3</v>
      </c>
      <c r="M89" s="25">
        <f>IFERROR(100/'Skjema total MA'!I89*K89,0)</f>
        <v>5.1981556380359644</v>
      </c>
    </row>
    <row r="90" spans="1:13" ht="15.75" x14ac:dyDescent="0.2">
      <c r="A90" s="288" t="s">
        <v>365</v>
      </c>
      <c r="B90" s="311"/>
      <c r="C90" s="311"/>
      <c r="D90" s="164"/>
      <c r="E90" s="21"/>
      <c r="F90" s="311"/>
      <c r="G90" s="311"/>
      <c r="H90" s="164"/>
      <c r="I90" s="21"/>
      <c r="J90" s="311"/>
      <c r="K90" s="311"/>
      <c r="L90" s="164"/>
      <c r="M90" s="21"/>
    </row>
    <row r="91" spans="1:13" x14ac:dyDescent="0.2">
      <c r="A91" s="288" t="s">
        <v>12</v>
      </c>
      <c r="B91" s="311"/>
      <c r="C91" s="311"/>
      <c r="D91" s="164"/>
      <c r="E91" s="21"/>
      <c r="F91" s="311"/>
      <c r="G91" s="311"/>
      <c r="H91" s="164"/>
      <c r="I91" s="21"/>
      <c r="J91" s="311"/>
      <c r="K91" s="311"/>
      <c r="L91" s="164"/>
      <c r="M91" s="21"/>
    </row>
    <row r="92" spans="1:13" x14ac:dyDescent="0.2">
      <c r="A92" s="288" t="s">
        <v>13</v>
      </c>
      <c r="B92" s="311"/>
      <c r="C92" s="311"/>
      <c r="D92" s="164"/>
      <c r="E92" s="21"/>
      <c r="F92" s="311"/>
      <c r="G92" s="311"/>
      <c r="H92" s="164"/>
      <c r="I92" s="21"/>
      <c r="J92" s="311"/>
      <c r="K92" s="311"/>
      <c r="L92" s="164"/>
      <c r="M92" s="21"/>
    </row>
    <row r="93" spans="1:13" ht="15.75" x14ac:dyDescent="0.2">
      <c r="A93" s="288" t="s">
        <v>366</v>
      </c>
      <c r="B93" s="311"/>
      <c r="C93" s="311"/>
      <c r="D93" s="164"/>
      <c r="E93" s="21"/>
      <c r="F93" s="311"/>
      <c r="G93" s="311"/>
      <c r="H93" s="164"/>
      <c r="I93" s="21"/>
      <c r="J93" s="311"/>
      <c r="K93" s="311"/>
      <c r="L93" s="164"/>
      <c r="M93" s="21"/>
    </row>
    <row r="94" spans="1:13" x14ac:dyDescent="0.2">
      <c r="A94" s="288" t="s">
        <v>12</v>
      </c>
      <c r="B94" s="231"/>
      <c r="C94" s="284"/>
      <c r="D94" s="164"/>
      <c r="E94" s="21"/>
      <c r="F94" s="311"/>
      <c r="G94" s="311"/>
      <c r="H94" s="164"/>
      <c r="I94" s="21"/>
      <c r="J94" s="311"/>
      <c r="K94" s="311"/>
      <c r="L94" s="164"/>
      <c r="M94" s="21"/>
    </row>
    <row r="95" spans="1:13" x14ac:dyDescent="0.2">
      <c r="A95" s="288" t="s">
        <v>13</v>
      </c>
      <c r="B95" s="231"/>
      <c r="C95" s="284"/>
      <c r="D95" s="164"/>
      <c r="E95" s="21"/>
      <c r="F95" s="311"/>
      <c r="G95" s="311"/>
      <c r="H95" s="164"/>
      <c r="I95" s="21"/>
      <c r="J95" s="311"/>
      <c r="K95" s="311"/>
      <c r="L95" s="164"/>
      <c r="M95" s="21"/>
    </row>
    <row r="96" spans="1:13" x14ac:dyDescent="0.2">
      <c r="A96" s="19" t="s">
        <v>335</v>
      </c>
      <c r="B96" s="230"/>
      <c r="C96" s="143"/>
      <c r="D96" s="164"/>
      <c r="E96" s="25"/>
      <c r="F96" s="230"/>
      <c r="G96" s="143"/>
      <c r="H96" s="164"/>
      <c r="I96" s="25"/>
      <c r="J96" s="282"/>
      <c r="K96" s="42"/>
      <c r="L96" s="249"/>
      <c r="M96" s="25"/>
    </row>
    <row r="97" spans="1:13" x14ac:dyDescent="0.2">
      <c r="A97" s="19" t="s">
        <v>334</v>
      </c>
      <c r="B97" s="230"/>
      <c r="C97" s="143"/>
      <c r="D97" s="164"/>
      <c r="E97" s="25"/>
      <c r="F97" s="230"/>
      <c r="G97" s="143"/>
      <c r="H97" s="164"/>
      <c r="I97" s="25"/>
      <c r="J97" s="282"/>
      <c r="K97" s="42"/>
      <c r="L97" s="249"/>
      <c r="M97" s="25"/>
    </row>
    <row r="98" spans="1:13" ht="15.75" x14ac:dyDescent="0.2">
      <c r="A98" s="19" t="s">
        <v>367</v>
      </c>
      <c r="B98" s="230">
        <v>921177.37</v>
      </c>
      <c r="C98" s="230">
        <v>905483.26399999997</v>
      </c>
      <c r="D98" s="164">
        <f t="shared" si="14"/>
        <v>-1.7</v>
      </c>
      <c r="E98" s="25">
        <f>IFERROR(100/'Skjema total MA'!C98*C98,0)</f>
        <v>0.23464202842065382</v>
      </c>
      <c r="F98" s="286">
        <v>22105032.054000001</v>
      </c>
      <c r="G98" s="286">
        <v>21431347.567570001</v>
      </c>
      <c r="H98" s="164">
        <f t="shared" si="15"/>
        <v>-3</v>
      </c>
      <c r="I98" s="25">
        <f>IFERROR(100/'Skjema total MA'!F98*G98,0)</f>
        <v>5.2505130045165611</v>
      </c>
      <c r="J98" s="282">
        <f t="shared" si="18"/>
        <v>23026209.424000002</v>
      </c>
      <c r="K98" s="42">
        <f t="shared" si="18"/>
        <v>22336830.831569999</v>
      </c>
      <c r="L98" s="249">
        <f t="shared" si="17"/>
        <v>-3</v>
      </c>
      <c r="M98" s="25">
        <f>IFERROR(100/'Skjema total MA'!I98*K98,0)</f>
        <v>2.8129331981291075</v>
      </c>
    </row>
    <row r="99" spans="1:13" x14ac:dyDescent="0.2">
      <c r="A99" s="19" t="s">
        <v>9</v>
      </c>
      <c r="B99" s="286">
        <v>921177.37</v>
      </c>
      <c r="C99" s="287">
        <v>905483.26399999997</v>
      </c>
      <c r="D99" s="164">
        <f t="shared" si="14"/>
        <v>-1.7</v>
      </c>
      <c r="E99" s="25">
        <f>IFERROR(100/'Skjema total MA'!C99*C99,0)</f>
        <v>0.23668016071647946</v>
      </c>
      <c r="F99" s="230"/>
      <c r="G99" s="143"/>
      <c r="H99" s="164"/>
      <c r="I99" s="25"/>
      <c r="J99" s="282">
        <f t="shared" si="18"/>
        <v>921177.37</v>
      </c>
      <c r="K99" s="42">
        <f t="shared" si="18"/>
        <v>905483.26399999997</v>
      </c>
      <c r="L99" s="249">
        <f t="shared" si="17"/>
        <v>-1.7</v>
      </c>
      <c r="M99" s="25">
        <f>IFERROR(100/'Skjema total MA'!I99*K99,0)</f>
        <v>0.23668016071647946</v>
      </c>
    </row>
    <row r="100" spans="1:13" x14ac:dyDescent="0.2">
      <c r="A100" s="36" t="s">
        <v>400</v>
      </c>
      <c r="B100" s="286"/>
      <c r="C100" s="287"/>
      <c r="D100" s="164"/>
      <c r="E100" s="25"/>
      <c r="F100" s="230">
        <v>22105032.054000001</v>
      </c>
      <c r="G100" s="230">
        <v>21431347.567570001</v>
      </c>
      <c r="H100" s="164">
        <f t="shared" si="15"/>
        <v>-3</v>
      </c>
      <c r="I100" s="25">
        <f>IFERROR(100/'Skjema total MA'!F100*G100,0)</f>
        <v>5.2505130045165611</v>
      </c>
      <c r="J100" s="282">
        <f t="shared" si="18"/>
        <v>22105032.054000001</v>
      </c>
      <c r="K100" s="42">
        <f t="shared" si="18"/>
        <v>21431347.567570001</v>
      </c>
      <c r="L100" s="249">
        <f t="shared" si="17"/>
        <v>-3</v>
      </c>
      <c r="M100" s="25">
        <f>IFERROR(100/'Skjema total MA'!I100*K100,0)</f>
        <v>5.2081118482400743</v>
      </c>
    </row>
    <row r="101" spans="1:13" ht="15.75" x14ac:dyDescent="0.2">
      <c r="A101" s="288" t="s">
        <v>365</v>
      </c>
      <c r="B101" s="311"/>
      <c r="C101" s="311"/>
      <c r="D101" s="164"/>
      <c r="E101" s="21"/>
      <c r="F101" s="311"/>
      <c r="G101" s="311"/>
      <c r="H101" s="164"/>
      <c r="I101" s="21"/>
      <c r="J101" s="311"/>
      <c r="K101" s="311"/>
      <c r="L101" s="164"/>
      <c r="M101" s="21"/>
    </row>
    <row r="102" spans="1:13" x14ac:dyDescent="0.2">
      <c r="A102" s="288" t="s">
        <v>12</v>
      </c>
      <c r="B102" s="311"/>
      <c r="C102" s="311"/>
      <c r="D102" s="164"/>
      <c r="E102" s="21"/>
      <c r="F102" s="311"/>
      <c r="G102" s="311"/>
      <c r="H102" s="164"/>
      <c r="I102" s="21"/>
      <c r="J102" s="311"/>
      <c r="K102" s="311"/>
      <c r="L102" s="164"/>
      <c r="M102" s="21"/>
    </row>
    <row r="103" spans="1:13" x14ac:dyDescent="0.2">
      <c r="A103" s="288" t="s">
        <v>13</v>
      </c>
      <c r="B103" s="311"/>
      <c r="C103" s="311"/>
      <c r="D103" s="164"/>
      <c r="E103" s="21"/>
      <c r="F103" s="311"/>
      <c r="G103" s="311"/>
      <c r="H103" s="164"/>
      <c r="I103" s="21"/>
      <c r="J103" s="311"/>
      <c r="K103" s="311"/>
      <c r="L103" s="164"/>
      <c r="M103" s="21"/>
    </row>
    <row r="104" spans="1:13" ht="15.75" x14ac:dyDescent="0.2">
      <c r="A104" s="288" t="s">
        <v>366</v>
      </c>
      <c r="B104" s="311"/>
      <c r="C104" s="311"/>
      <c r="D104" s="164"/>
      <c r="E104" s="21"/>
      <c r="F104" s="311"/>
      <c r="G104" s="311"/>
      <c r="H104" s="164"/>
      <c r="I104" s="21"/>
      <c r="J104" s="311"/>
      <c r="K104" s="311"/>
      <c r="L104" s="164"/>
      <c r="M104" s="21"/>
    </row>
    <row r="105" spans="1:13" x14ac:dyDescent="0.2">
      <c r="A105" s="288" t="s">
        <v>12</v>
      </c>
      <c r="B105" s="231"/>
      <c r="C105" s="284"/>
      <c r="D105" s="164"/>
      <c r="E105" s="21"/>
      <c r="F105" s="311"/>
      <c r="G105" s="311"/>
      <c r="H105" s="164"/>
      <c r="I105" s="21"/>
      <c r="J105" s="311"/>
      <c r="K105" s="311"/>
      <c r="L105" s="164"/>
      <c r="M105" s="21"/>
    </row>
    <row r="106" spans="1:13" x14ac:dyDescent="0.2">
      <c r="A106" s="288" t="s">
        <v>13</v>
      </c>
      <c r="B106" s="231"/>
      <c r="C106" s="284"/>
      <c r="D106" s="164"/>
      <c r="E106" s="21"/>
      <c r="F106" s="311"/>
      <c r="G106" s="311"/>
      <c r="H106" s="164"/>
      <c r="I106" s="21"/>
      <c r="J106" s="311"/>
      <c r="K106" s="311"/>
      <c r="L106" s="164"/>
      <c r="M106" s="21"/>
    </row>
    <row r="107" spans="1:13" ht="15.75" x14ac:dyDescent="0.2">
      <c r="A107" s="19" t="s">
        <v>368</v>
      </c>
      <c r="B107" s="230"/>
      <c r="C107" s="143"/>
      <c r="D107" s="164"/>
      <c r="E107" s="25"/>
      <c r="F107" s="230"/>
      <c r="G107" s="143"/>
      <c r="H107" s="164"/>
      <c r="I107" s="25"/>
      <c r="J107" s="282"/>
      <c r="K107" s="42"/>
      <c r="L107" s="249"/>
      <c r="M107" s="25"/>
    </row>
    <row r="108" spans="1:13" ht="15.75" x14ac:dyDescent="0.2">
      <c r="A108" s="19" t="s">
        <v>369</v>
      </c>
      <c r="B108" s="230">
        <v>224635.22899999999</v>
      </c>
      <c r="C108" s="230">
        <v>154152.4785</v>
      </c>
      <c r="D108" s="164">
        <f t="shared" si="14"/>
        <v>-31.4</v>
      </c>
      <c r="E108" s="25">
        <f>IFERROR(100/'Skjema total MA'!C108*C108,0)</f>
        <v>4.629060074862125E-2</v>
      </c>
      <c r="F108" s="230">
        <v>224635.329</v>
      </c>
      <c r="G108" s="230">
        <v>190619.62729</v>
      </c>
      <c r="H108" s="164">
        <f t="shared" si="15"/>
        <v>-15.1</v>
      </c>
      <c r="I108" s="25">
        <f>IFERROR(100/'Skjema total MA'!F108*G108,0)</f>
        <v>1.0285817153530843</v>
      </c>
      <c r="J108" s="282">
        <f t="shared" si="18"/>
        <v>449270.55799999996</v>
      </c>
      <c r="K108" s="42">
        <f t="shared" si="18"/>
        <v>344772.10579</v>
      </c>
      <c r="L108" s="249">
        <f t="shared" si="17"/>
        <v>-23.3</v>
      </c>
      <c r="M108" s="25">
        <f>IFERROR(100/'Skjema total MA'!I108*K108,0)</f>
        <v>9.8074061466854823E-2</v>
      </c>
    </row>
    <row r="109" spans="1:13" ht="15.75" x14ac:dyDescent="0.2">
      <c r="A109" s="36" t="s">
        <v>408</v>
      </c>
      <c r="B109" s="230"/>
      <c r="C109" s="230"/>
      <c r="D109" s="164"/>
      <c r="E109" s="25"/>
      <c r="F109" s="230">
        <v>8662425.6380000003</v>
      </c>
      <c r="G109" s="230">
        <v>8840078.2292601001</v>
      </c>
      <c r="H109" s="164">
        <f t="shared" si="15"/>
        <v>2.1</v>
      </c>
      <c r="I109" s="25">
        <f>IFERROR(100/'Skjema total MA'!F109*G109,0)</f>
        <v>5.8272990488789747</v>
      </c>
      <c r="J109" s="282">
        <f t="shared" si="18"/>
        <v>8662425.6380000003</v>
      </c>
      <c r="K109" s="42">
        <f t="shared" si="18"/>
        <v>8840078.2292601001</v>
      </c>
      <c r="L109" s="249">
        <f t="shared" si="17"/>
        <v>2.1</v>
      </c>
      <c r="M109" s="25">
        <f>IFERROR(100/'Skjema total MA'!I109*K109,0)</f>
        <v>5.7564314143050499</v>
      </c>
    </row>
    <row r="110" spans="1:13" ht="15.75" x14ac:dyDescent="0.2">
      <c r="A110" s="19" t="s">
        <v>370</v>
      </c>
      <c r="B110" s="230"/>
      <c r="C110" s="230"/>
      <c r="D110" s="164"/>
      <c r="E110" s="25"/>
      <c r="F110" s="230"/>
      <c r="G110" s="230"/>
      <c r="H110" s="164"/>
      <c r="I110" s="25"/>
      <c r="J110" s="282"/>
      <c r="K110" s="42"/>
      <c r="L110" s="249"/>
      <c r="M110" s="25"/>
    </row>
    <row r="111" spans="1:13" ht="15.75" x14ac:dyDescent="0.2">
      <c r="A111" s="13" t="s">
        <v>351</v>
      </c>
      <c r="B111" s="300">
        <v>19164.733</v>
      </c>
      <c r="C111" s="157">
        <v>26333.541089999999</v>
      </c>
      <c r="D111" s="169">
        <f t="shared" si="14"/>
        <v>37.4</v>
      </c>
      <c r="E111" s="11">
        <f>IFERROR(100/'Skjema total MA'!C111*C111,0)</f>
        <v>4.2469514364609955</v>
      </c>
      <c r="F111" s="300">
        <v>3748748.287</v>
      </c>
      <c r="G111" s="157">
        <v>1923616.9618500001</v>
      </c>
      <c r="H111" s="169">
        <f t="shared" si="15"/>
        <v>-48.7</v>
      </c>
      <c r="I111" s="11">
        <f>IFERROR(100/'Skjema total MA'!F111*G111,0)</f>
        <v>6.5234899363139398</v>
      </c>
      <c r="J111" s="301">
        <f t="shared" si="18"/>
        <v>3767913.02</v>
      </c>
      <c r="K111" s="232">
        <f t="shared" si="18"/>
        <v>1949950.50294</v>
      </c>
      <c r="L111" s="414">
        <f t="shared" si="17"/>
        <v>-48.2</v>
      </c>
      <c r="M111" s="11">
        <f>IFERROR(100/'Skjema total MA'!I111*K111,0)</f>
        <v>6.4766052722145098</v>
      </c>
    </row>
    <row r="112" spans="1:13" x14ac:dyDescent="0.2">
      <c r="A112" s="19" t="s">
        <v>9</v>
      </c>
      <c r="B112" s="230">
        <v>19164.733</v>
      </c>
      <c r="C112" s="143">
        <v>26333.541089999999</v>
      </c>
      <c r="D112" s="164">
        <f t="shared" si="14"/>
        <v>37.4</v>
      </c>
      <c r="E112" s="25">
        <f>IFERROR(100/'Skjema total MA'!C112*C112,0)</f>
        <v>7.4186573242299527</v>
      </c>
      <c r="F112" s="230"/>
      <c r="G112" s="143"/>
      <c r="H112" s="164"/>
      <c r="I112" s="25"/>
      <c r="J112" s="282">
        <f t="shared" ref="J112:K125" si="19">SUM(B112,F112)</f>
        <v>19164.733</v>
      </c>
      <c r="K112" s="42">
        <f t="shared" si="19"/>
        <v>26333.541089999999</v>
      </c>
      <c r="L112" s="249">
        <f t="shared" si="17"/>
        <v>37.4</v>
      </c>
      <c r="M112" s="25">
        <f>IFERROR(100/'Skjema total MA'!I112*K112,0)</f>
        <v>7.3541754741991818</v>
      </c>
    </row>
    <row r="113" spans="1:14" x14ac:dyDescent="0.2">
      <c r="A113" s="19" t="s">
        <v>10</v>
      </c>
      <c r="B113" s="230"/>
      <c r="C113" s="143"/>
      <c r="D113" s="164"/>
      <c r="E113" s="25"/>
      <c r="F113" s="230">
        <v>3748748.287</v>
      </c>
      <c r="G113" s="143">
        <v>1923616.9618500001</v>
      </c>
      <c r="H113" s="164">
        <f t="shared" si="15"/>
        <v>-48.7</v>
      </c>
      <c r="I113" s="25">
        <f>IFERROR(100/'Skjema total MA'!F113*G113,0)</f>
        <v>6.5244132108190218</v>
      </c>
      <c r="J113" s="282">
        <f t="shared" si="19"/>
        <v>3748748.287</v>
      </c>
      <c r="K113" s="42">
        <f t="shared" si="19"/>
        <v>1923616.9618500001</v>
      </c>
      <c r="L113" s="249">
        <f t="shared" si="17"/>
        <v>-48.7</v>
      </c>
      <c r="M113" s="25">
        <f>IFERROR(100/'Skjema total MA'!I113*K113,0)</f>
        <v>6.5243731507029059</v>
      </c>
    </row>
    <row r="114" spans="1:14" x14ac:dyDescent="0.2">
      <c r="A114" s="19" t="s">
        <v>26</v>
      </c>
      <c r="B114" s="230"/>
      <c r="C114" s="143"/>
      <c r="D114" s="164"/>
      <c r="E114" s="25"/>
      <c r="F114" s="230"/>
      <c r="G114" s="143"/>
      <c r="H114" s="164"/>
      <c r="I114" s="25"/>
      <c r="J114" s="282"/>
      <c r="K114" s="42"/>
      <c r="L114" s="249"/>
      <c r="M114" s="25"/>
    </row>
    <row r="115" spans="1:14" x14ac:dyDescent="0.2">
      <c r="A115" s="288" t="s">
        <v>15</v>
      </c>
      <c r="B115" s="311"/>
      <c r="C115" s="311"/>
      <c r="D115" s="164"/>
      <c r="E115" s="21"/>
      <c r="F115" s="311"/>
      <c r="G115" s="311"/>
      <c r="H115" s="164"/>
      <c r="I115" s="21"/>
      <c r="J115" s="311"/>
      <c r="K115" s="311"/>
      <c r="L115" s="164"/>
      <c r="M115" s="21"/>
    </row>
    <row r="116" spans="1:14" ht="15.75" x14ac:dyDescent="0.2">
      <c r="A116" s="19" t="s">
        <v>371</v>
      </c>
      <c r="B116" s="230"/>
      <c r="C116" s="230"/>
      <c r="D116" s="164"/>
      <c r="E116" s="25"/>
      <c r="F116" s="230"/>
      <c r="G116" s="230"/>
      <c r="H116" s="164"/>
      <c r="I116" s="25"/>
      <c r="J116" s="282"/>
      <c r="K116" s="42"/>
      <c r="L116" s="249"/>
      <c r="M116" s="25"/>
    </row>
    <row r="117" spans="1:14" ht="15.75" x14ac:dyDescent="0.2">
      <c r="A117" s="36" t="s">
        <v>408</v>
      </c>
      <c r="B117" s="230"/>
      <c r="C117" s="230"/>
      <c r="D117" s="164"/>
      <c r="E117" s="25"/>
      <c r="F117" s="230">
        <v>108069.276</v>
      </c>
      <c r="G117" s="230">
        <v>1422895.57871</v>
      </c>
      <c r="H117" s="164">
        <f t="shared" si="15"/>
        <v>999</v>
      </c>
      <c r="I117" s="25">
        <f>IFERROR(100/'Skjema total MA'!F117*G117,0)</f>
        <v>8.5018978672868624</v>
      </c>
      <c r="J117" s="282">
        <f t="shared" si="19"/>
        <v>108069.276</v>
      </c>
      <c r="K117" s="42">
        <f t="shared" si="19"/>
        <v>1422895.57871</v>
      </c>
      <c r="L117" s="249">
        <f t="shared" si="17"/>
        <v>999</v>
      </c>
      <c r="M117" s="25">
        <f>IFERROR(100/'Skjema total MA'!I117*K117,0)</f>
        <v>8.5018059401299517</v>
      </c>
    </row>
    <row r="118" spans="1:14" ht="15.75" x14ac:dyDescent="0.2">
      <c r="A118" s="19" t="s">
        <v>370</v>
      </c>
      <c r="B118" s="230"/>
      <c r="C118" s="230"/>
      <c r="D118" s="164"/>
      <c r="E118" s="25"/>
      <c r="F118" s="230"/>
      <c r="G118" s="230"/>
      <c r="H118" s="164"/>
      <c r="I118" s="25"/>
      <c r="J118" s="282"/>
      <c r="K118" s="42"/>
      <c r="L118" s="249"/>
      <c r="M118" s="25"/>
    </row>
    <row r="119" spans="1:14" ht="15.75" x14ac:dyDescent="0.2">
      <c r="A119" s="13" t="s">
        <v>352</v>
      </c>
      <c r="B119" s="300">
        <v>18334.780999999999</v>
      </c>
      <c r="C119" s="157">
        <v>21622.896100000002</v>
      </c>
      <c r="D119" s="169">
        <f t="shared" si="14"/>
        <v>17.899999999999999</v>
      </c>
      <c r="E119" s="11">
        <f>IFERROR(100/'Skjema total MA'!C119*C119,0)</f>
        <v>3.8507371236566619</v>
      </c>
      <c r="F119" s="300">
        <v>3454866.5010000002</v>
      </c>
      <c r="G119" s="157">
        <v>2311441.929</v>
      </c>
      <c r="H119" s="169">
        <f t="shared" si="15"/>
        <v>-33.1</v>
      </c>
      <c r="I119" s="11">
        <f>IFERROR(100/'Skjema total MA'!F119*G119,0)</f>
        <v>7.2322383040941212</v>
      </c>
      <c r="J119" s="301">
        <f t="shared" si="19"/>
        <v>3473201.2820000001</v>
      </c>
      <c r="K119" s="232">
        <f t="shared" si="19"/>
        <v>2333064.8251</v>
      </c>
      <c r="L119" s="414">
        <f t="shared" si="17"/>
        <v>-32.799999999999997</v>
      </c>
      <c r="M119" s="11">
        <f>IFERROR(100/'Skjema total MA'!I119*K119,0)</f>
        <v>7.1738527794715639</v>
      </c>
    </row>
    <row r="120" spans="1:14" x14ac:dyDescent="0.2">
      <c r="A120" s="19" t="s">
        <v>9</v>
      </c>
      <c r="B120" s="230">
        <v>18334.780999999999</v>
      </c>
      <c r="C120" s="143">
        <v>21622.896100000002</v>
      </c>
      <c r="D120" s="164">
        <f t="shared" si="14"/>
        <v>17.899999999999999</v>
      </c>
      <c r="E120" s="25">
        <f>IFERROR(100/'Skjema total MA'!C120*C120,0)</f>
        <v>10.971030564020309</v>
      </c>
      <c r="F120" s="230"/>
      <c r="G120" s="143"/>
      <c r="H120" s="164"/>
      <c r="I120" s="25"/>
      <c r="J120" s="282">
        <f t="shared" si="19"/>
        <v>18334.780999999999</v>
      </c>
      <c r="K120" s="42">
        <f t="shared" si="19"/>
        <v>21622.896100000002</v>
      </c>
      <c r="L120" s="249">
        <f t="shared" si="17"/>
        <v>17.899999999999999</v>
      </c>
      <c r="M120" s="25">
        <f>IFERROR(100/'Skjema total MA'!I120*K120,0)</f>
        <v>10.971030564020309</v>
      </c>
    </row>
    <row r="121" spans="1:14" x14ac:dyDescent="0.2">
      <c r="A121" s="19" t="s">
        <v>10</v>
      </c>
      <c r="B121" s="230"/>
      <c r="C121" s="143"/>
      <c r="D121" s="164"/>
      <c r="E121" s="25"/>
      <c r="F121" s="230">
        <v>3454866.5010000002</v>
      </c>
      <c r="G121" s="143">
        <v>2311441.929</v>
      </c>
      <c r="H121" s="164">
        <f t="shared" si="15"/>
        <v>-33.1</v>
      </c>
      <c r="I121" s="25">
        <f>IFERROR(100/'Skjema total MA'!F121*G121,0)</f>
        <v>7.2322383040941212</v>
      </c>
      <c r="J121" s="282">
        <f t="shared" si="19"/>
        <v>3454866.5010000002</v>
      </c>
      <c r="K121" s="42">
        <f t="shared" si="19"/>
        <v>2311441.929</v>
      </c>
      <c r="L121" s="249">
        <f t="shared" si="17"/>
        <v>-33.1</v>
      </c>
      <c r="M121" s="25">
        <f>IFERROR(100/'Skjema total MA'!I121*K121,0)</f>
        <v>7.230889418983776</v>
      </c>
    </row>
    <row r="122" spans="1:14" x14ac:dyDescent="0.2">
      <c r="A122" s="19" t="s">
        <v>26</v>
      </c>
      <c r="B122" s="230"/>
      <c r="C122" s="143"/>
      <c r="D122" s="164"/>
      <c r="E122" s="25"/>
      <c r="F122" s="230"/>
      <c r="G122" s="143"/>
      <c r="H122" s="164"/>
      <c r="I122" s="25"/>
      <c r="J122" s="282"/>
      <c r="K122" s="42"/>
      <c r="L122" s="249"/>
      <c r="M122" s="25"/>
    </row>
    <row r="123" spans="1:14" x14ac:dyDescent="0.2">
      <c r="A123" s="288" t="s">
        <v>14</v>
      </c>
      <c r="B123" s="311"/>
      <c r="C123" s="311"/>
      <c r="D123" s="164"/>
      <c r="E123" s="21"/>
      <c r="F123" s="311"/>
      <c r="G123" s="311"/>
      <c r="H123" s="164"/>
      <c r="I123" s="21"/>
      <c r="J123" s="311"/>
      <c r="K123" s="311"/>
      <c r="L123" s="164"/>
      <c r="M123" s="21"/>
    </row>
    <row r="124" spans="1:14" ht="15.75" x14ac:dyDescent="0.2">
      <c r="A124" s="19" t="s">
        <v>376</v>
      </c>
      <c r="B124" s="230"/>
      <c r="C124" s="230"/>
      <c r="D124" s="164"/>
      <c r="E124" s="25"/>
      <c r="F124" s="230"/>
      <c r="G124" s="230"/>
      <c r="H124" s="164"/>
      <c r="I124" s="25"/>
      <c r="J124" s="282"/>
      <c r="K124" s="42"/>
      <c r="L124" s="249"/>
      <c r="M124" s="25"/>
    </row>
    <row r="125" spans="1:14" ht="15.75" x14ac:dyDescent="0.2">
      <c r="A125" s="36" t="s">
        <v>408</v>
      </c>
      <c r="B125" s="230"/>
      <c r="C125" s="230"/>
      <c r="D125" s="164"/>
      <c r="E125" s="25"/>
      <c r="F125" s="230">
        <v>124199.042</v>
      </c>
      <c r="G125" s="230">
        <v>1996307.9439999999</v>
      </c>
      <c r="H125" s="164">
        <f t="shared" si="15"/>
        <v>999</v>
      </c>
      <c r="I125" s="25">
        <f>IFERROR(100/'Skjema total MA'!F125*G125,0)</f>
        <v>12.114445229881966</v>
      </c>
      <c r="J125" s="282">
        <f t="shared" si="19"/>
        <v>124199.042</v>
      </c>
      <c r="K125" s="42">
        <f t="shared" si="19"/>
        <v>1996307.9439999999</v>
      </c>
      <c r="L125" s="249">
        <f t="shared" si="17"/>
        <v>999</v>
      </c>
      <c r="M125" s="25">
        <f>IFERROR(100/'Skjema total MA'!I125*K125,0)</f>
        <v>12.113811648228944</v>
      </c>
    </row>
    <row r="126" spans="1:14" ht="15.75" x14ac:dyDescent="0.2">
      <c r="A126" s="10" t="s">
        <v>370</v>
      </c>
      <c r="B126" s="43"/>
      <c r="C126" s="43"/>
      <c r="D126" s="165"/>
      <c r="E126" s="404"/>
      <c r="F126" s="43"/>
      <c r="G126" s="43"/>
      <c r="H126" s="165"/>
      <c r="I126" s="20"/>
      <c r="J126" s="283"/>
      <c r="K126" s="43"/>
      <c r="L126" s="250"/>
      <c r="M126" s="20"/>
    </row>
    <row r="127" spans="1:14" x14ac:dyDescent="0.2">
      <c r="A127" s="153"/>
      <c r="L127" s="24"/>
      <c r="M127" s="24"/>
      <c r="N127" s="24"/>
    </row>
    <row r="128" spans="1:14" x14ac:dyDescent="0.2">
      <c r="L128" s="24"/>
      <c r="M128" s="24"/>
      <c r="N128" s="24"/>
    </row>
    <row r="129" spans="1:14" ht="15.75" x14ac:dyDescent="0.25">
      <c r="A129" s="163" t="s">
        <v>27</v>
      </c>
    </row>
    <row r="130" spans="1:14" ht="15.75" x14ac:dyDescent="0.25">
      <c r="B130" s="707"/>
      <c r="C130" s="707"/>
      <c r="D130" s="707"/>
      <c r="E130" s="392"/>
      <c r="F130" s="707"/>
      <c r="G130" s="707"/>
      <c r="H130" s="707"/>
      <c r="I130" s="392"/>
      <c r="J130" s="707"/>
      <c r="K130" s="707"/>
      <c r="L130" s="707"/>
      <c r="M130" s="392"/>
    </row>
    <row r="131" spans="1:14" s="3" customFormat="1" x14ac:dyDescent="0.2">
      <c r="A131" s="142"/>
      <c r="B131" s="705" t="s">
        <v>0</v>
      </c>
      <c r="C131" s="706"/>
      <c r="D131" s="706"/>
      <c r="E131" s="391"/>
      <c r="F131" s="705" t="s">
        <v>1</v>
      </c>
      <c r="G131" s="706"/>
      <c r="H131" s="706"/>
      <c r="I131" s="394"/>
      <c r="J131" s="705" t="s">
        <v>2</v>
      </c>
      <c r="K131" s="706"/>
      <c r="L131" s="706"/>
      <c r="M131" s="394"/>
      <c r="N131" s="146"/>
    </row>
    <row r="132" spans="1:14" s="3" customFormat="1" x14ac:dyDescent="0.2">
      <c r="A132" s="138"/>
      <c r="B132" s="673">
        <v>44469</v>
      </c>
      <c r="C132" s="673">
        <v>44834</v>
      </c>
      <c r="D132" s="241" t="s">
        <v>3</v>
      </c>
      <c r="E132" s="297" t="s">
        <v>29</v>
      </c>
      <c r="F132" s="673">
        <v>44469</v>
      </c>
      <c r="G132" s="673">
        <v>44834</v>
      </c>
      <c r="H132" s="241" t="s">
        <v>3</v>
      </c>
      <c r="I132" s="297" t="s">
        <v>29</v>
      </c>
      <c r="J132" s="673">
        <v>44469</v>
      </c>
      <c r="K132" s="673">
        <v>44834</v>
      </c>
      <c r="L132" s="241" t="s">
        <v>3</v>
      </c>
      <c r="M132" s="160" t="s">
        <v>29</v>
      </c>
      <c r="N132" s="146"/>
    </row>
    <row r="133" spans="1:14" s="3" customFormat="1" x14ac:dyDescent="0.2">
      <c r="A133" s="672"/>
      <c r="B133" s="154"/>
      <c r="C133" s="154"/>
      <c r="D133" s="242" t="s">
        <v>4</v>
      </c>
      <c r="E133" s="154" t="s">
        <v>30</v>
      </c>
      <c r="F133" s="159"/>
      <c r="G133" s="159"/>
      <c r="H133" s="202" t="s">
        <v>4</v>
      </c>
      <c r="I133" s="154" t="s">
        <v>30</v>
      </c>
      <c r="J133" s="154"/>
      <c r="K133" s="154"/>
      <c r="L133" s="148" t="s">
        <v>4</v>
      </c>
      <c r="M133" s="154" t="s">
        <v>30</v>
      </c>
      <c r="N133" s="146"/>
    </row>
    <row r="134" spans="1:14" s="3" customFormat="1" ht="15.75" x14ac:dyDescent="0.2">
      <c r="A134" s="14" t="s">
        <v>372</v>
      </c>
      <c r="B134" s="232"/>
      <c r="C134" s="301"/>
      <c r="D134" s="341"/>
      <c r="E134" s="11"/>
      <c r="F134" s="308"/>
      <c r="G134" s="309"/>
      <c r="H134" s="417"/>
      <c r="I134" s="22"/>
      <c r="J134" s="310"/>
      <c r="K134" s="310"/>
      <c r="L134" s="413"/>
      <c r="M134" s="11"/>
      <c r="N134" s="146"/>
    </row>
    <row r="135" spans="1:14" s="3" customFormat="1" ht="15.75" x14ac:dyDescent="0.2">
      <c r="A135" s="13" t="s">
        <v>377</v>
      </c>
      <c r="B135" s="232"/>
      <c r="C135" s="301"/>
      <c r="D135" s="169"/>
      <c r="E135" s="11"/>
      <c r="F135" s="232"/>
      <c r="G135" s="301"/>
      <c r="H135" s="418"/>
      <c r="I135" s="22"/>
      <c r="J135" s="300"/>
      <c r="K135" s="300"/>
      <c r="L135" s="414"/>
      <c r="M135" s="11"/>
      <c r="N135" s="146"/>
    </row>
    <row r="136" spans="1:14" s="3" customFormat="1" ht="15.75" x14ac:dyDescent="0.2">
      <c r="A136" s="13" t="s">
        <v>374</v>
      </c>
      <c r="B136" s="232"/>
      <c r="C136" s="301"/>
      <c r="D136" s="169"/>
      <c r="E136" s="11"/>
      <c r="F136" s="232"/>
      <c r="G136" s="301"/>
      <c r="H136" s="418"/>
      <c r="I136" s="22"/>
      <c r="J136" s="300"/>
      <c r="K136" s="300"/>
      <c r="L136" s="414"/>
      <c r="M136" s="11"/>
      <c r="N136" s="146"/>
    </row>
    <row r="137" spans="1:14" s="3" customFormat="1" ht="15.75" x14ac:dyDescent="0.2">
      <c r="A137" s="39" t="s">
        <v>375</v>
      </c>
      <c r="B137" s="271"/>
      <c r="C137" s="307"/>
      <c r="D137" s="167"/>
      <c r="E137" s="9"/>
      <c r="F137" s="271"/>
      <c r="G137" s="307"/>
      <c r="H137" s="419"/>
      <c r="I137" s="34"/>
      <c r="J137" s="306"/>
      <c r="K137" s="306"/>
      <c r="L137" s="415"/>
      <c r="M137" s="34"/>
      <c r="N137" s="146"/>
    </row>
    <row r="138" spans="1:14" s="3" customFormat="1" x14ac:dyDescent="0.2">
      <c r="A138" s="166"/>
      <c r="B138" s="31"/>
      <c r="C138" s="31"/>
      <c r="D138" s="157"/>
      <c r="E138" s="157"/>
      <c r="F138" s="31"/>
      <c r="G138" s="31"/>
      <c r="H138" s="157"/>
      <c r="I138" s="157"/>
      <c r="J138" s="31"/>
      <c r="K138" s="31"/>
      <c r="L138" s="157"/>
      <c r="M138" s="157"/>
      <c r="N138" s="146"/>
    </row>
    <row r="139" spans="1:14" x14ac:dyDescent="0.2">
      <c r="A139" s="166"/>
      <c r="B139" s="31"/>
      <c r="C139" s="31"/>
      <c r="D139" s="157"/>
      <c r="E139" s="157"/>
      <c r="F139" s="31"/>
      <c r="G139" s="31"/>
      <c r="H139" s="157"/>
      <c r="I139" s="157"/>
      <c r="J139" s="31"/>
      <c r="K139" s="31"/>
      <c r="L139" s="157"/>
      <c r="M139" s="157"/>
      <c r="N139" s="146"/>
    </row>
    <row r="140" spans="1:14" x14ac:dyDescent="0.2">
      <c r="A140" s="166"/>
      <c r="B140" s="31"/>
      <c r="C140" s="31"/>
      <c r="D140" s="157"/>
      <c r="E140" s="157"/>
      <c r="F140" s="31"/>
      <c r="G140" s="31"/>
      <c r="H140" s="157"/>
      <c r="I140" s="157"/>
      <c r="J140" s="31"/>
      <c r="K140" s="31"/>
      <c r="L140" s="157"/>
      <c r="M140" s="157"/>
      <c r="N140" s="146"/>
    </row>
    <row r="141" spans="1:14" x14ac:dyDescent="0.2">
      <c r="A141" s="144"/>
      <c r="B141" s="144"/>
      <c r="C141" s="144"/>
      <c r="D141" s="144"/>
      <c r="E141" s="144"/>
      <c r="F141" s="144"/>
      <c r="G141" s="144"/>
      <c r="H141" s="144"/>
      <c r="I141" s="144"/>
      <c r="J141" s="144"/>
      <c r="K141" s="144"/>
      <c r="L141" s="144"/>
      <c r="M141" s="144"/>
      <c r="N141" s="144"/>
    </row>
    <row r="142" spans="1:14" ht="15.75" x14ac:dyDescent="0.25">
      <c r="B142" s="140"/>
      <c r="C142" s="140"/>
      <c r="D142" s="140"/>
      <c r="E142" s="140"/>
      <c r="F142" s="140"/>
      <c r="G142" s="140"/>
      <c r="H142" s="140"/>
      <c r="I142" s="140"/>
      <c r="J142" s="140"/>
      <c r="K142" s="140"/>
      <c r="L142" s="140"/>
      <c r="M142" s="140"/>
      <c r="N142" s="140"/>
    </row>
    <row r="143" spans="1:14" ht="15.75" x14ac:dyDescent="0.25">
      <c r="B143" s="155"/>
      <c r="C143" s="155"/>
      <c r="D143" s="155"/>
      <c r="E143" s="155"/>
      <c r="F143" s="155"/>
      <c r="G143" s="155"/>
      <c r="H143" s="155"/>
      <c r="I143" s="155"/>
      <c r="J143" s="155"/>
      <c r="K143" s="155"/>
      <c r="L143" s="155"/>
      <c r="M143" s="155"/>
      <c r="N143" s="155"/>
    </row>
    <row r="144" spans="1:14" ht="15.75" x14ac:dyDescent="0.25">
      <c r="B144" s="155"/>
      <c r="C144" s="155"/>
      <c r="D144" s="155"/>
      <c r="E144" s="155"/>
      <c r="F144" s="155"/>
      <c r="G144" s="155"/>
      <c r="H144" s="155"/>
      <c r="I144" s="155"/>
      <c r="J144" s="155"/>
      <c r="K144" s="155"/>
      <c r="L144" s="155"/>
      <c r="M144" s="155"/>
      <c r="N144" s="155"/>
    </row>
  </sheetData>
  <mergeCells count="31">
    <mergeCell ref="B130:D130"/>
    <mergeCell ref="F130:H130"/>
    <mergeCell ref="J130:L130"/>
    <mergeCell ref="B131:D131"/>
    <mergeCell ref="F131:H131"/>
    <mergeCell ref="J131:L131"/>
    <mergeCell ref="B44:D44"/>
    <mergeCell ref="B62:D62"/>
    <mergeCell ref="F62:H62"/>
    <mergeCell ref="J62:L62"/>
    <mergeCell ref="B63:D63"/>
    <mergeCell ref="F63:H63"/>
    <mergeCell ref="J63:L63"/>
    <mergeCell ref="D40:F40"/>
    <mergeCell ref="G40:I40"/>
    <mergeCell ref="J40:L40"/>
    <mergeCell ref="B42:D42"/>
    <mergeCell ref="F42:H42"/>
    <mergeCell ref="J42:L42"/>
    <mergeCell ref="B18:D18"/>
    <mergeCell ref="F18:H18"/>
    <mergeCell ref="J18:L18"/>
    <mergeCell ref="B19:D19"/>
    <mergeCell ref="F19:H19"/>
    <mergeCell ref="J19:L19"/>
    <mergeCell ref="B2:D2"/>
    <mergeCell ref="F2:H2"/>
    <mergeCell ref="J2:L2"/>
    <mergeCell ref="B4:D4"/>
    <mergeCell ref="F4:H4"/>
    <mergeCell ref="J4:L4"/>
  </mergeCells>
  <conditionalFormatting sqref="A50:A52">
    <cfRule type="expression" dxfId="410" priority="8">
      <formula>kvartal &lt; 4</formula>
    </cfRule>
  </conditionalFormatting>
  <conditionalFormatting sqref="A69:A74">
    <cfRule type="expression" dxfId="409" priority="7">
      <formula>kvartal &lt; 4</formula>
    </cfRule>
  </conditionalFormatting>
  <conditionalFormatting sqref="A80:A85">
    <cfRule type="expression" dxfId="408" priority="6">
      <formula>kvartal &lt; 4</formula>
    </cfRule>
  </conditionalFormatting>
  <conditionalFormatting sqref="A90:A95">
    <cfRule type="expression" dxfId="407" priority="5">
      <formula>kvartal &lt; 4</formula>
    </cfRule>
  </conditionalFormatting>
  <conditionalFormatting sqref="A101:A106">
    <cfRule type="expression" dxfId="406" priority="4">
      <formula>kvartal &lt; 4</formula>
    </cfRule>
  </conditionalFormatting>
  <conditionalFormatting sqref="A115">
    <cfRule type="expression" dxfId="405" priority="3">
      <formula>kvartal &lt; 4</formula>
    </cfRule>
  </conditionalFormatting>
  <conditionalFormatting sqref="A123">
    <cfRule type="expression" dxfId="404" priority="2">
      <formula>kvartal &lt; 4</formula>
    </cfRule>
  </conditionalFormatting>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s q m i d = " 8 f 6 9 7 3 f 7 - 0 8 c 0 - 4 5 7 9 - b f 5 c - 6 c 7 f a d 0 9 0 d 4 1 "   x m l n s = " h t t p : / / s c h e m a s . m i c r o s o f t . c o m / D a t a M a s h u p " > A A A A A A M E A A B Q S w M E F A A C A A g A k X F u V a 6 R t m y j A A A A 9 g A A A B I A H A B D b 2 5 m a W c v U G F j a 2 F n Z S 5 4 b W w g o h g A K K A U A A A A A A A A A A A A A A A A A A A A A A A A A A A A h Y + x D o I w G I R f h X S n L X U x 5 K c M r q I m J s a 1 l g q N 8 G O g W N 7 N w U f y F c Q o 6 u Z 4 d 9 8 l d / f r D d K h r o K L a T v b Y E I i y k l g U D e 5 x S I h v T u G c 5 J K 2 C h 9 U o U J R h i 7 e O h s Q k r n z j F j 3 n v q Z 7 R p C y Y 4 j 9 g + W 2 5 1 a W o V W u y c Q m 3 I p 5 X / b x E J u 9 c Y K W j E B R V 8 3 A R s M i G z + A X E m D 3 T H x M W f e X 6 1 k g 8 h K s 1 s E k C e 3 + Q D 1 B L A w Q U A A I A C A C R c W 5 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X F u V Q b 6 + e n + A A A A Y g E A A B M A H A B G b 3 J t d W x h c y 9 T Z W N 0 a W 9 u M S 5 t I K I Y A C i g F A A A A A A A A A A A A A A A A A A A A A A A A A A A A H 2 P w U r D Q B C G z w 3 0 H Y Y 9 l A b S E D 0 J I S C k Q a R Q l A Q t r E v Y N A P G b L J 1 s i m V 0 q O P 4 p P 0 x b q x R f H i X G Z g / m / + + T t c m 0 q 3 k J 7 7 V T h 2 x k 7 3 K g l L m E s j I Q K F x g F b D 5 J k g w b p C a m s 7 C L Z r V H 5 c U + E r X n W V B d a 1 1 N 3 z 5 d W F 7 E f P T J x 4 L F u j Z U J D 7 6 P L S p V o r 2 R v i t / 8 C l k h 1 O W 3 c 3 S 1 f w m m Q X B 9 c u 9 B a i V i n n A V L X N G 2 k n / t g j f U Q s W S U x 8 L L Q w u e b H I d P 8 g 1 h Z y 1 k 9 6 Z b 4 Y x G t 8 c v s h Y M J r D s m w L J z 3 S G O z P 9 m 4 Q f P 0 n s g 4 M L E + Y N W L 2 V Z K S 6 o P + z i 7 P 2 w g M L m X C d q v 3 N G J 4 A U E s B A i 0 A F A A C A A g A k X F u V a 6 R t m y j A A A A 9 g A A A B I A A A A A A A A A A A A A A A A A A A A A A E N v b m Z p Z y 9 Q Y W N r Y W d l L n h t b F B L A Q I t A B Q A A g A I A J F x b l U P y u m r p A A A A O k A A A A T A A A A A A A A A A A A A A A A A O 8 A A A B b Q 2 9 u d G V u d F 9 U e X B l c 1 0 u e G 1 s U E s B A i 0 A F A A C A A g A k X F u V Q b 6 + e n + A A A A Y g E A A B M A A A A A A A A A A A A A A A A A 4 A E A A E Z v c m 1 1 b G F z L 1 N l Y 3 R p b 2 4 x L m 1 Q S w U G A A A A A A M A A w D C A A A A K w M A A A A A P Q 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x X b 3 J r Y m 9 v a 0 d y b 3 V w V H l w Z T 5 Q d W J s a W M 8 L 1 d v c m t i b 2 9 r R 3 J v d X B U e X B l P j w v U G V y b W l z c 2 l v b k x p c 3 Q + o w w A A A A A A A C B D 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R G F 0 Y T w v S X R l b V B h d G g + P C 9 J d G V t T G 9 j Y X R p b 2 4 + P F N 0 Y W J s Z U V u d H J p Z X M + P E V u d H J 5 I F R 5 c G U 9 I k l z U H J p d m F 0 Z S I g V m F s d W U 9 I m w w I i A v P j x F b n R y e S B U e X B l P S J C d W Z m Z X J O Z X h 0 U m V m c m V z a C I g V m F s d W U 9 I m w x I i A v P j x F b n R y e S B U e X B l P S J G a W x s R W 5 h Y m x l Z C I g V m F s d W U 9 I m w w I i A v P j x F b n R y e S B U e X B l P S J G a W x s V G 9 E Y X R h T W 9 k Z W x F b m F i b G V k I i B W Y W x 1 Z T 0 i b D A i I C 8 + P E V u d H J 5 I F R 5 c G U 9 I l J l c 3 V s d F R 5 c G U i I F Z h b H V l P S J z V G F i b G U i I C 8 + P E V u d H J 5 I F R 5 c G U 9 I k 5 h b W V V c G R h d G V k Q W Z 0 Z X J G a W x s I i B W Y W x 1 Z T 0 i b D A i I C 8 + P E V u d H J 5 I F R 5 c G U 9 I k Z p b G x l Z E N v b X B s Z X R l U m V z d W x 0 V G 9 X b 3 J r c 2 h l Z X Q i I F Z h b H V l P S J s M S I g L z 4 8 R W 5 0 c n k g V H l w Z T 0 i U m V j b 3 Z l c n l U Y X J n Z X R T a G V l d C I g V m F s d W U 9 I n N B c m s y I i A v P j x F b n R y e S B U e X B l P S J S Z W N v d m V y e V R h c m d l d E N v b H V t b i I g V m F s d W U 9 I m w x I i A v P j x F b n R y e S B U e X B l P S J S Z W N v d m V y e V R h c m d l d F J v d y I g V m F s d W U 9 I m w x I i A v P j x F b n R y e S B U e X B l P S J R d W V y e U l E I i B W Y W x 1 Z T 0 i c z R l O D N h Z G Q 5 L W V j Y 2 I t N G V m N i 0 5 Y 2 Y 4 L T Z i M j k 4 Z G Y w N D R j O S I g L z 4 8 R W 5 0 c n k g V H l w Z T 0 i T m F 2 a W d h d G l v b l N 0 Z X B O Y W 1 l I i B W Y W x 1 Z T 0 i c 0 5 h d m l n Y X R p b 2 4 i I C 8 + P E V u d H J 5 I F R 5 c G U 9 I k Z p b G x M Y X N 0 V X B k Y X R l Z C I g V m F s d W U 9 I m Q y M D I y L T E x L T E 0 V D E z O j A w O j M x L j A y M j c 1 N T F a I i A v P j x F b n R y e S B U e X B l P S J G a W x s Q 2 9 s d W 1 u V H l w Z X M i I F Z h b H V l P S J z Q m d J Q 0 F n S U N B Z 1 U 9 I i A v P j x F b n R y e S B U e X B l P S J G a W x s Q 2 9 s d W 1 u T m F t Z X M i I F Z h b H V l P S J z W y Z x d W 9 0 O 3 P D u G t l b s O 4 a 2 t l b C Z x d W 9 0 O y w m c X V v d D t z Z W x z a 2 F w X 2 l k J n F 1 b 3 Q 7 L C Z x d W 9 0 O 8 O l c i Z x d W 9 0 O y w m c X V v d D t r d m F y d G F s J n F 1 b 3 Q 7 L C Z x d W 9 0 O 3 R h Y m V s b F 9 p Z C Z x d W 9 0 O y w m c X V v d D t y Y W R f a W Q m c X V v d D s s J n F 1 b 3 Q 7 a 2 F 0 Z W d v c m l f a W Q m c X V v d D s s J n F 1 b 3 Q 7 d m V y Z G k m c X V v d D t d I i A v P j x F b n R y e S B U e X B l P S J G a W x s R X J y b 3 J D b 3 V u d C I g V m F s d W U 9 I m w w I i A v P j x F b n R y e S B U e X B l P S J G a W x s U 3 R h d H V z I i B W Y W x 1 Z T 0 i c 0 N v b X B s Z X R l I i A v P j x F b n R y e S B U e X B l P S J G a W x s R X J y b 3 J D b 2 R l I i B W Y W x 1 Z T 0 i c 1 V u a 2 5 v d 2 4 i I C 8 + P E V u d H J 5 I F R 5 c G U 9 I k Z p b G x D b 3 V u d C I g V m F s d W U 9 I m w 4 N j I w I i A v P j x F b n R y e S B U e X B l P S J B Z G R l Z F R v R G F 0 Y U 1 v Z G V s I i B W Y W x 1 Z T 0 i b D A i I C 8 + P E V u d H J 5 I F R 5 c G U 9 I l J l b G F 0 a W 9 u c 2 h p c E l u Z m 9 D b 2 5 0 Y W l u Z X I i I F Z h b H V l P S J z e y Z x d W 9 0 O 2 N v b H V t b k N v d W 5 0 J n F 1 b 3 Q 7 O j g s J n F 1 b 3 Q 7 a 2 V 5 Q 2 9 s d W 1 u T m F t Z X M m c X V v d D s 6 W 1 0 s J n F 1 b 3 Q 7 c X V l c n l S Z W x h d G l v b n N o a X B z J n F 1 b 3 Q 7 O l t d L C Z x d W 9 0 O 2 N v b H V t b k l k Z W 5 0 a X R p Z X M m c X V v d D s 6 W y Z x d W 9 0 O 1 N l Y 3 R p b 2 4 x L 0 R h d G E v Q X V 0 b 1 J l b W 9 2 Z W R D b 2 x 1 b W 5 z M S 5 7 c 8 O 4 a 2 V u w 7 h r a 2 V s L D B 9 J n F 1 b 3 Q 7 L C Z x d W 9 0 O 1 N l Y 3 R p b 2 4 x L 0 R h d G E v Q X V 0 b 1 J l b W 9 2 Z W R D b 2 x 1 b W 5 z M S 5 7 c 2 V s c 2 t h c F 9 p Z C w x f S Z x d W 9 0 O y w m c X V v d D t T Z W N 0 a W 9 u M S 9 E Y X R h L 0 F 1 d G 9 S Z W 1 v d m V k Q 2 9 s d W 1 u c z E u e 8 O l c i w y f S Z x d W 9 0 O y w m c X V v d D t T Z W N 0 a W 9 u M S 9 E Y X R h L 0 F 1 d G 9 S Z W 1 v d m V k Q 2 9 s d W 1 u c z E u e 2 t 2 Y X J 0 Y W w s M 3 0 m c X V v d D s s J n F 1 b 3 Q 7 U 2 V j d G l v b j E v R G F 0 Y S 9 B d X R v U m V t b 3 Z l Z E N v b H V t b n M x L n t 0 Y W J l b G x f a W Q s N H 0 m c X V v d D s s J n F 1 b 3 Q 7 U 2 V j d G l v b j E v R G F 0 Y S 9 B d X R v U m V t b 3 Z l Z E N v b H V t b n M x L n t y Y W R f a W Q s N X 0 m c X V v d D s s J n F 1 b 3 Q 7 U 2 V j d G l v b j E v R G F 0 Y S 9 B d X R v U m V t b 3 Z l Z E N v b H V t b n M x L n t r Y X R l Z 2 9 y a V 9 p Z C w 2 f S Z x d W 9 0 O y w m c X V v d D t T Z W N 0 a W 9 u M S 9 E Y X R h L 0 F 1 d G 9 S Z W 1 v d m V k Q 2 9 s d W 1 u c z E u e 3 Z l c m R p L D d 9 J n F 1 b 3 Q 7 X S w m c X V v d D t D b 2 x 1 b W 5 D b 3 V u d C Z x d W 9 0 O z o 4 L C Z x d W 9 0 O 0 t l e U N v b H V t b k 5 h b W V z J n F 1 b 3 Q 7 O l t d L C Z x d W 9 0 O 0 N v b H V t b k l k Z W 5 0 a X R p Z X M m c X V v d D s 6 W y Z x d W 9 0 O 1 N l Y 3 R p b 2 4 x L 0 R h d G E v Q X V 0 b 1 J l b W 9 2 Z W R D b 2 x 1 b W 5 z M S 5 7 c 8 O 4 a 2 V u w 7 h r a 2 V s L D B 9 J n F 1 b 3 Q 7 L C Z x d W 9 0 O 1 N l Y 3 R p b 2 4 x L 0 R h d G E v Q X V 0 b 1 J l b W 9 2 Z W R D b 2 x 1 b W 5 z M S 5 7 c 2 V s c 2 t h c F 9 p Z C w x f S Z x d W 9 0 O y w m c X V v d D t T Z W N 0 a W 9 u M S 9 E Y X R h L 0 F 1 d G 9 S Z W 1 v d m V k Q 2 9 s d W 1 u c z E u e 8 O l c i w y f S Z x d W 9 0 O y w m c X V v d D t T Z W N 0 a W 9 u M S 9 E Y X R h L 0 F 1 d G 9 S Z W 1 v d m V k Q 2 9 s d W 1 u c z E u e 2 t 2 Y X J 0 Y W w s M 3 0 m c X V v d D s s J n F 1 b 3 Q 7 U 2 V j d G l v b j E v R G F 0 Y S 9 B d X R v U m V t b 3 Z l Z E N v b H V t b n M x L n t 0 Y W J l b G x f a W Q s N H 0 m c X V v d D s s J n F 1 b 3 Q 7 U 2 V j d G l v b j E v R G F 0 Y S 9 B d X R v U m V t b 3 Z l Z E N v b H V t b n M x L n t y Y W R f a W Q s N X 0 m c X V v d D s s J n F 1 b 3 Q 7 U 2 V j d G l v b j E v R G F 0 Y S 9 B d X R v U m V t b 3 Z l Z E N v b H V t b n M x L n t r Y X R l Z 2 9 y a V 9 p Z C w 2 f S Z x d W 9 0 O y w m c X V v d D t T Z W N 0 a W 9 u M S 9 E Y X R h L 0 F 1 d G 9 S Z W 1 v d m V k Q 2 9 s d W 1 u c z E u e 3 Z l c m R p L D d 9 J n F 1 b 3 Q 7 X S w m c X V v d D t S Z W x h d G l v b n N o a X B J b m Z v J n F 1 b 3 Q 7 O l t d f S I g L z 4 8 R W 5 0 c n k g V H l w Z T 0 i R m l s b E 9 i a m V j d F R 5 c G U i I F Z h b H V l P S J z Q 2 9 u b m V j d G l v b k 9 u b H k i I C 8 + P C 9 T d G F i b G V F b n R y a W V z P j w v S X R l b T 4 8 S X R l b T 4 8 S X R l b U x v Y 2 F 0 a W 9 u P j x J d G V t V H l w Z T 5 G b 3 J t d W x h P C 9 J d G V t V H l w Z T 4 8 S X R l b V B h d G g + U 2 V j d G l v b j E v R G F 0 Y S 9 L a W x k Z T w v S X R l b V B h d G g + P C 9 J d G V t T G 9 j Y X R p b 2 4 + P F N 0 Y W J s Z U V u d H J p Z X M g L z 4 8 L 0 l 0 Z W 0 + P E l 0 Z W 0 + P E l 0 Z W 1 M b 2 N h d G l v b j 4 8 S X R l b V R 5 c G U + R m 9 y b X V s Y T w v S X R l b V R 5 c G U + P E l 0 Z W 1 Q Y X R o P l N l Y 3 R p b 2 4 x L 0 R h d G E v U G F y Y W 1 l d G V y V m V y Z G k 8 L 0 l 0 Z W 1 Q Y X R o P j w v S X R l b U x v Y 2 F 0 a W 9 u P j x T d G F i b G V F b n R y a W V z I C 8 + P C 9 J d G V t P j w v S X R l b X M + P C 9 M b 2 N h b F B h Y 2 t h Z 2 V N Z X R h Z G F 0 Y U Z p b G U + F g A A A F B L B Q Y A A A A A A A A A A A A A A A A A A A A A A A D a A A A A A Q A A A N C M n d 8 B F d E R j H o A w E / C l + s B A A A A F o x F k l 4 P D 0 q u k + b F B C f 8 g Q A A A A A C A A A A A A A D Z g A A w A A A A B A A A A C T L p Z 3 X M A d d F A F C j e 0 x r C D A A A A A A S A A A C g A A A A E A A A A J v b A n x 3 A T i 1 z + l G o O p c r F Z Q A A A A v n e 3 F K X b o 9 W a x T L 7 n 2 6 x j L g A k U O q n j o q e P M 0 5 N h u F / 9 + T w l d O U e p Y / u S h 5 D 1 I W y N 9 B P B u C Q I K 4 Z 6 D s p J / g 1 J x U Q 8 e j V i k c k F 5 r 7 X F A j F d f A U A A A A 9 f Y I 5 6 A h 9 Z l 8 N l 0 y d I A z W e A h c M c = < / D a t a M a s h u p > 
</file>

<file path=customXml/item2.xml><?xml version="1.0" encoding="utf-8"?>
<ct:contentTypeSchema xmlns:ct="http://schemas.microsoft.com/office/2006/metadata/contentType" xmlns:ma="http://schemas.microsoft.com/office/2006/metadata/properties/metaAttributes" ct:_="" ma:_="" ma:contentTypeName="Statistikk" ma:contentTypeID="0x0101000C511E5DF31BAD48807550FE88829D9D0038FF55C83469DE4F9B7DCA1B89E318DA" ma:contentTypeVersion="4" ma:contentTypeDescription="" ma:contentTypeScope="" ma:versionID="ca25aed54c960d52022b61f452b943cb">
  <xsd:schema xmlns:xsd="http://www.w3.org/2001/XMLSchema" xmlns:xs="http://www.w3.org/2001/XMLSchema" xmlns:p="http://schemas.microsoft.com/office/2006/metadata/properties" xmlns:ns2="6edf9311-6556-4af2-85ff-d57844cfe120" xmlns:ns3="d35b3e2b-d440-44dd-b9dd-e54a3943adc2" targetNamespace="http://schemas.microsoft.com/office/2006/metadata/properties" ma:root="true" ma:fieldsID="6aaeb2f404abc7033daa625e0dd95337" ns2:_="" ns3:_="">
    <xsd:import namespace="6edf9311-6556-4af2-85ff-d57844cfe120"/>
    <xsd:import namespace="d35b3e2b-d440-44dd-b9dd-e54a3943adc2"/>
    <xsd:element name="properties">
      <xsd:complexType>
        <xsd:sequence>
          <xsd:element name="documentManagement">
            <xsd:complexType>
              <xsd:all>
                <xsd:element ref="ns2:a0e180d50ff4423da66c611fe0af74a4" minOccurs="0"/>
                <xsd:element ref="ns2:TaxCatchAll" minOccurs="0"/>
                <xsd:element ref="ns2:TaxCatchAllLabel" minOccurs="0"/>
                <xsd:element ref="ns2:_dlc_DocId" minOccurs="0"/>
                <xsd:element ref="ns2:_dlc_DocIdUrl" minOccurs="0"/>
                <xsd:element ref="ns2:_dlc_DocIdPersistId"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df9311-6556-4af2-85ff-d57844cfe120" elementFormDefault="qualified">
    <xsd:import namespace="http://schemas.microsoft.com/office/2006/documentManagement/types"/>
    <xsd:import namespace="http://schemas.microsoft.com/office/infopath/2007/PartnerControls"/>
    <xsd:element name="a0e180d50ff4423da66c611fe0af74a4" ma:index="8" ma:taxonomy="true" ma:internalName="a0e180d50ff4423da66c611fe0af74a4" ma:taxonomyFieldName="Statistikk" ma:displayName="Statistikk" ma:indexed="true" ma:default="" ma:fieldId="{a0e180d5-0ff4-423d-a66c-611fe0af74a4}" ma:sspId="dab2b8ef-c951-45bf-a0d0-9b3f2fbb5ccb" ma:termSetId="11bf6401-ff6f-43ab-90c7-9959af6e7799"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0ebe59-b68a-4ac7-afab-48fa3cf54c5c}" ma:internalName="TaxCatchAll" ma:showField="CatchAllData" ma:web="6edf9311-6556-4af2-85ff-d57844cfe12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0ebe59-b68a-4ac7-afab-48fa3cf54c5c}" ma:internalName="TaxCatchAllLabel" ma:readOnly="true" ma:showField="CatchAllDataLabel" ma:web="6edf9311-6556-4af2-85ff-d57844cfe120">
      <xsd:complexType>
        <xsd:complexContent>
          <xsd:extension base="dms:MultiChoiceLookup">
            <xsd:sequence>
              <xsd:element name="Value" type="dms:Lookup" maxOccurs="unbounded" minOccurs="0" nillable="true"/>
            </xsd:sequence>
          </xsd:extension>
        </xsd:complexContent>
      </xsd:complexType>
    </xsd:element>
    <xsd:element name="_dlc_DocId" ma:index="12" nillable="true" ma:displayName="Dokument-ID-verdi" ma:description="Verdien for dokument-IDen som er tilordnet elementet." ma:internalName="_dlc_DocId" ma:readOnly="true">
      <xsd:simpleType>
        <xsd:restriction base="dms:Text"/>
      </xsd:simpleType>
    </xsd:element>
    <xsd:element name="_dlc_DocIdUrl" ma:index="13" nillable="true" ma:displayName="Dokument-ID" ma:description="Fast kobling til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35b3e2b-d440-44dd-b9dd-e54a3943adc2"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a0e180d50ff4423da66c611fe0af74a4 xmlns="6edf9311-6556-4af2-85ff-d57844cfe120">
      <Terms xmlns="http://schemas.microsoft.com/office/infopath/2007/PartnerControls"/>
    </a0e180d50ff4423da66c611fe0af74a4>
    <TaxCatchAll xmlns="6edf9311-6556-4af2-85ff-d57844cfe120" xsi:nil="true"/>
    <_dlc_DocId xmlns="6edf9311-6556-4af2-85ff-d57844cfe120">2020-123998358-357</_dlc_DocId>
    <_dlc_DocIdUrl xmlns="6edf9311-6556-4af2-85ff-d57844cfe120">
      <Url>https://finansnorge.sharepoint.com/sites/intranett/arkiv/_layouts/15/DocIdRedir.aspx?ID=2020-123998358-357</Url>
      <Description>2020-123998358-357</Description>
    </_dlc_DocIdUrl>
  </documentManagement>
</p:properties>
</file>

<file path=customXml/itemProps1.xml><?xml version="1.0" encoding="utf-8"?>
<ds:datastoreItem xmlns:ds="http://schemas.openxmlformats.org/officeDocument/2006/customXml" ds:itemID="{90A5026E-7503-4E4B-BD83-E9801AFFB720}">
  <ds:schemaRefs>
    <ds:schemaRef ds:uri="http://schemas.microsoft.com/DataMashup"/>
  </ds:schemaRefs>
</ds:datastoreItem>
</file>

<file path=customXml/itemProps2.xml><?xml version="1.0" encoding="utf-8"?>
<ds:datastoreItem xmlns:ds="http://schemas.openxmlformats.org/officeDocument/2006/customXml" ds:itemID="{F1C6AE6C-776B-44C8-9DB6-43F944BBCD21}"/>
</file>

<file path=customXml/itemProps3.xml><?xml version="1.0" encoding="utf-8"?>
<ds:datastoreItem xmlns:ds="http://schemas.openxmlformats.org/officeDocument/2006/customXml" ds:itemID="{4C42F800-5281-4007-98A5-DE9A8024277D}"/>
</file>

<file path=customXml/itemProps4.xml><?xml version="1.0" encoding="utf-8"?>
<ds:datastoreItem xmlns:ds="http://schemas.openxmlformats.org/officeDocument/2006/customXml" ds:itemID="{B64B90B7-3BAE-4EE0-A367-3F7AF6567BAD}"/>
</file>

<file path=customXml/itemProps5.xml><?xml version="1.0" encoding="utf-8"?>
<ds:datastoreItem xmlns:ds="http://schemas.openxmlformats.org/officeDocument/2006/customXml" ds:itemID="{3E303063-1DB5-45DE-A534-5A26EFD58B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37</vt:i4>
      </vt:variant>
      <vt:variant>
        <vt:lpstr>Navngitte områder</vt:lpstr>
      </vt:variant>
      <vt:variant>
        <vt:i4>3</vt:i4>
      </vt:variant>
    </vt:vector>
  </HeadingPairs>
  <TitlesOfParts>
    <vt:vector size="40" baseType="lpstr">
      <vt:lpstr>Forside</vt:lpstr>
      <vt:lpstr>Innhold</vt:lpstr>
      <vt:lpstr>Figurer</vt:lpstr>
      <vt:lpstr>Tabel 1.1</vt:lpstr>
      <vt:lpstr>Tabell 1.2</vt:lpstr>
      <vt:lpstr>Tabell 1.3</vt:lpstr>
      <vt:lpstr>Skjema total MA</vt:lpstr>
      <vt:lpstr>Codan Forsikring</vt:lpstr>
      <vt:lpstr>Storebrand Danica P</vt:lpstr>
      <vt:lpstr>DNB Livsforsikring</vt:lpstr>
      <vt:lpstr>Eika Forsikring AS</vt:lpstr>
      <vt:lpstr>Euro Accident</vt:lpstr>
      <vt:lpstr>Fremtind Livsforsikring</vt:lpstr>
      <vt:lpstr>Frende Livsforsikring</vt:lpstr>
      <vt:lpstr>Frende Skadeforsikring</vt:lpstr>
      <vt:lpstr>Gjensidige Forsikring</vt:lpstr>
      <vt:lpstr>Gjensidige Pensjon</vt:lpstr>
      <vt:lpstr>Handelsbanken Liv</vt:lpstr>
      <vt:lpstr>If Skadeforsikring NUF</vt:lpstr>
      <vt:lpstr>KLP</vt:lpstr>
      <vt:lpstr>KLP Skadeforsikring AS</vt:lpstr>
      <vt:lpstr>Landkreditt Forsikring</vt:lpstr>
      <vt:lpstr>Ly Forsikring</vt:lpstr>
      <vt:lpstr>Nordea Liv </vt:lpstr>
      <vt:lpstr>Oslo Pensjonsforsikring</vt:lpstr>
      <vt:lpstr>Protector Forsikring</vt:lpstr>
      <vt:lpstr>SHB Liv</vt:lpstr>
      <vt:lpstr>Sparebank 1</vt:lpstr>
      <vt:lpstr>Storebrand Livsforsikring</vt:lpstr>
      <vt:lpstr>Telenor Forsikring</vt:lpstr>
      <vt:lpstr>Tryg Forsikring</vt:lpstr>
      <vt:lpstr>WaterCircles F</vt:lpstr>
      <vt:lpstr>Youplus Livsforsikring</vt:lpstr>
      <vt:lpstr>Tabell 4</vt:lpstr>
      <vt:lpstr>Tabell 6</vt:lpstr>
      <vt:lpstr>Tabell 8</vt:lpstr>
      <vt:lpstr>Noter og kommentarer</vt:lpstr>
      <vt:lpstr>'Fremtind Livsforsikring'!Utskriftsområde</vt:lpstr>
      <vt:lpstr>'Noter og kommentarer'!Utskriftsområde</vt:lpstr>
      <vt:lpstr>'Skjema total MA'!Utskriftsområde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Anne-Kathrine Johansen</dc:creator>
  <cp:lastModifiedBy>Randi Mørk</cp:lastModifiedBy>
  <cp:lastPrinted>2016-06-01T05:37:12Z</cp:lastPrinted>
  <dcterms:created xsi:type="dcterms:W3CDTF">2010-12-15T10:21:26Z</dcterms:created>
  <dcterms:modified xsi:type="dcterms:W3CDTF">2022-11-21T08:52:04Z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0x0101000C511E5DF31BAD48807550FE88829D9D0038FF55C83469DE4F9B7DCA1B89E318DA</vt:lpwstr>
  </property>
  <property fmtid="{D5CDD505-2E9C-101B-9397-08002B2CF9AE}" pid="3" name="_dlc_DocIdItemGuid">
    <vt:lpwstr>de7e247d-6ed6-4095-b103-8b2244da4f45</vt:lpwstr>
  </property>
  <property fmtid="{D5CDD505-2E9C-101B-9397-08002B2CF9AE}" pid="4" name="Avtale">
    <vt:lpwstr/>
  </property>
  <property fmtid="{D5CDD505-2E9C-101B-9397-08002B2CF9AE}" pid="5" name="n5dc56bd60b9453d8a2d716a3ace2936">
    <vt:lpwstr/>
  </property>
  <property fmtid="{D5CDD505-2E9C-101B-9397-08002B2CF9AE}" pid="6" name="Korrespondanse_x002d_fnf">
    <vt:lpwstr/>
  </property>
  <property fmtid="{D5CDD505-2E9C-101B-9397-08002B2CF9AE}" pid="7" name="pb5e3c85e100497daa11dd5a916fed68">
    <vt:lpwstr/>
  </property>
  <property fmtid="{D5CDD505-2E9C-101B-9397-08002B2CF9AE}" pid="8" name="Korrespondanse">
    <vt:lpwstr/>
  </property>
  <property fmtid="{D5CDD505-2E9C-101B-9397-08002B2CF9AE}" pid="9" name="b42cd6bccb18471bb7f8fb6f2b7f8ea5">
    <vt:lpwstr/>
  </property>
  <property fmtid="{D5CDD505-2E9C-101B-9397-08002B2CF9AE}" pid="10" name="Statistikk">
    <vt:lpwstr/>
  </property>
  <property fmtid="{D5CDD505-2E9C-101B-9397-08002B2CF9AE}" pid="11" name="Korrespondanse-fnf">
    <vt:lpwstr/>
  </property>
</Properties>
</file>