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worksheets/sheet13.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21\Q3-2021\Publisert\"/>
    </mc:Choice>
  </mc:AlternateContent>
  <xr:revisionPtr revIDLastSave="0" documentId="8_{20B79921-E07D-4F7C-9975-F7E6F4FF01C7}" xr6:coauthVersionLast="47" xr6:coauthVersionMax="47" xr10:uidLastSave="{00000000-0000-0000-0000-000000000000}"/>
  <bookViews>
    <workbookView xWindow="-120" yWindow="-120" windowWidth="29040" windowHeight="1764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Codan Forsikring" sheetId="76" r:id="rId8"/>
    <sheet name="Danica Pensjonsforsikring" sheetId="18" r:id="rId9"/>
    <sheet name="DNB Bedriftspensjon" sheetId="27" r:id="rId10"/>
    <sheet name="DNB Livsforsikring" sheetId="13" r:id="rId11"/>
    <sheet name="Eika Forsikring AS" sheetId="19" r:id="rId12"/>
    <sheet name="Euro Accident" sheetId="77" r:id="rId13"/>
    <sheet name="Fremtind Livsforsikring" sheetId="16" r:id="rId14"/>
    <sheet name="Frende Livsforsikring" sheetId="20" r:id="rId15"/>
    <sheet name="Frende Skadeforsikring" sheetId="21" r:id="rId16"/>
    <sheet name="Gjensidige Forsikring" sheetId="22" r:id="rId17"/>
    <sheet name="Gjensidige Pensjon" sheetId="23" r:id="rId18"/>
    <sheet name="Handelsbanken Liv" sheetId="24" r:id="rId19"/>
    <sheet name="If Skadeforsikring NUF" sheetId="25" r:id="rId20"/>
    <sheet name="Insr" sheetId="41" r:id="rId21"/>
    <sheet name="KLP" sheetId="26" r:id="rId22"/>
    <sheet name="KLP Skadeforsikring AS" sheetId="51" r:id="rId23"/>
    <sheet name="Landkreditt Forsikring" sheetId="40" r:id="rId24"/>
    <sheet name="Nordea Liv " sheetId="29" r:id="rId25"/>
    <sheet name="Oslo Pensjonsforsikring" sheetId="34" r:id="rId26"/>
    <sheet name="Protector Forsikring" sheetId="72" r:id="rId27"/>
    <sheet name="SHB Liv" sheetId="35" r:id="rId28"/>
    <sheet name="Sparebank 1" sheetId="33" r:id="rId29"/>
    <sheet name="Storebrand Livsforsikring" sheetId="37" r:id="rId30"/>
    <sheet name="Telenor Forsikring" sheetId="38" r:id="rId31"/>
    <sheet name="Tryg Forsikring" sheetId="39" r:id="rId32"/>
    <sheet name="WaterCircle F" sheetId="74" r:id="rId33"/>
    <sheet name="Tabell 4" sheetId="65" r:id="rId34"/>
    <sheet name="Tabell 6" sheetId="62" r:id="rId35"/>
    <sheet name="Tabell 8" sheetId="75" r:id="rId36"/>
    <sheet name="Noter og kommentarer" sheetId="3" r:id="rId37"/>
  </sheets>
  <externalReferences>
    <externalReference r:id="rId38"/>
    <externalReference r:id="rId39"/>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3">'Fremtind Livsforsikring'!$A$1:$M$137</definedName>
    <definedName name="_xlnm.Print_Area" localSheetId="20">Insr!$A$1:$M$137</definedName>
    <definedName name="_xlnm.Print_Area" localSheetId="36">'Noter og kommentarer'!$A$1:$L$43</definedName>
    <definedName name="_xlnm.Print_Area" localSheetId="6">'Skjema total MA'!$A$1:$J$138</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37" l="1"/>
  <c r="I33" i="37"/>
  <c r="M33" i="33"/>
  <c r="I33" i="33"/>
  <c r="M33" i="35"/>
  <c r="I33" i="35"/>
  <c r="M33" i="29"/>
  <c r="I33" i="29"/>
  <c r="M33" i="18"/>
  <c r="I33" i="18"/>
  <c r="G33" i="4"/>
  <c r="G32" i="4"/>
  <c r="G31" i="4"/>
  <c r="G30" i="4"/>
  <c r="G26" i="4"/>
  <c r="G25" i="4"/>
  <c r="G24" i="4"/>
  <c r="G23" i="4"/>
  <c r="I33" i="20"/>
  <c r="M33" i="23"/>
  <c r="I33" i="23"/>
  <c r="F137" i="4" l="1"/>
  <c r="F136" i="4"/>
  <c r="F135" i="4"/>
  <c r="F134" i="4"/>
  <c r="E137" i="4"/>
  <c r="E136" i="4"/>
  <c r="E135" i="4"/>
  <c r="E134" i="4"/>
  <c r="C137" i="4"/>
  <c r="C136" i="4"/>
  <c r="C135" i="4"/>
  <c r="C134" i="4"/>
  <c r="B137" i="4"/>
  <c r="B136" i="4"/>
  <c r="B135" i="4"/>
  <c r="B134"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C58" i="4"/>
  <c r="C57" i="4"/>
  <c r="C56" i="4"/>
  <c r="C55" i="4"/>
  <c r="C54" i="4"/>
  <c r="C53" i="4"/>
  <c r="C52" i="4"/>
  <c r="C51" i="4"/>
  <c r="C50" i="4"/>
  <c r="C49" i="4"/>
  <c r="C48" i="4"/>
  <c r="C47" i="4"/>
  <c r="B57" i="4"/>
  <c r="B56" i="4"/>
  <c r="B54" i="4"/>
  <c r="B53" i="4"/>
  <c r="B49" i="4"/>
  <c r="B48" i="4"/>
  <c r="B47" i="4"/>
  <c r="F39" i="4"/>
  <c r="F38" i="4"/>
  <c r="F37" i="4"/>
  <c r="F36" i="4"/>
  <c r="F35" i="4"/>
  <c r="F34" i="4"/>
  <c r="F33" i="4"/>
  <c r="F32" i="4"/>
  <c r="F31" i="4"/>
  <c r="F30" i="4"/>
  <c r="F29" i="4"/>
  <c r="F28" i="4"/>
  <c r="F27" i="4"/>
  <c r="F26" i="4"/>
  <c r="F25" i="4"/>
  <c r="F24" i="4"/>
  <c r="F23" i="4"/>
  <c r="F22" i="4"/>
  <c r="E35" i="4"/>
  <c r="E34" i="4"/>
  <c r="E33" i="4"/>
  <c r="E32" i="4"/>
  <c r="E31" i="4"/>
  <c r="E30" i="4"/>
  <c r="E29" i="4"/>
  <c r="E26" i="4"/>
  <c r="E25" i="4"/>
  <c r="E24" i="4"/>
  <c r="E23" i="4"/>
  <c r="E22" i="4"/>
  <c r="C39" i="4"/>
  <c r="C38" i="4"/>
  <c r="C37" i="4"/>
  <c r="C36" i="4"/>
  <c r="C35" i="4"/>
  <c r="C34" i="4"/>
  <c r="C33" i="4"/>
  <c r="C32" i="4"/>
  <c r="C31" i="4"/>
  <c r="C30" i="4"/>
  <c r="C29" i="4"/>
  <c r="C28" i="4"/>
  <c r="C27" i="4"/>
  <c r="C26" i="4"/>
  <c r="C25" i="4"/>
  <c r="C24" i="4"/>
  <c r="C23" i="4"/>
  <c r="C22" i="4"/>
  <c r="B39" i="4"/>
  <c r="B37" i="4"/>
  <c r="B36" i="4"/>
  <c r="B35" i="4"/>
  <c r="B34" i="4"/>
  <c r="B32" i="4"/>
  <c r="B31" i="4"/>
  <c r="B30" i="4"/>
  <c r="B29" i="4"/>
  <c r="B28" i="4"/>
  <c r="B25" i="4"/>
  <c r="B24" i="4"/>
  <c r="B23" i="4"/>
  <c r="B22" i="4"/>
  <c r="F12" i="4"/>
  <c r="F11" i="4"/>
  <c r="F10" i="4"/>
  <c r="F9" i="4"/>
  <c r="F8" i="4"/>
  <c r="F7" i="4"/>
  <c r="E12" i="4"/>
  <c r="E11" i="4"/>
  <c r="E10" i="4"/>
  <c r="E8" i="4"/>
  <c r="E9" i="4"/>
  <c r="E7" i="4"/>
  <c r="B12" i="4" l="1"/>
  <c r="B11" i="4"/>
  <c r="B10" i="4"/>
  <c r="B9" i="4"/>
  <c r="B8" i="4"/>
  <c r="B7" i="4"/>
  <c r="C12" i="4"/>
  <c r="C11" i="4"/>
  <c r="C10" i="4"/>
  <c r="C9" i="4"/>
  <c r="C8" i="4"/>
  <c r="C7" i="4"/>
  <c r="I7" i="4" l="1"/>
  <c r="B34" i="9"/>
  <c r="I68" i="9"/>
  <c r="B50" i="4"/>
  <c r="B51" i="4"/>
  <c r="B52" i="4"/>
  <c r="E85" i="62" l="1"/>
  <c r="E79" i="62"/>
  <c r="E91" i="62" s="1"/>
  <c r="E54" i="62"/>
  <c r="E50" i="62"/>
  <c r="E60" i="62" s="1"/>
  <c r="E39" i="62"/>
  <c r="E35" i="62"/>
  <c r="E45" i="62" s="1"/>
  <c r="E62" i="62" s="1"/>
  <c r="E20" i="62"/>
  <c r="E16" i="62"/>
  <c r="E40" i="65"/>
  <c r="E29" i="65"/>
  <c r="E21" i="65"/>
  <c r="E14" i="65"/>
  <c r="E34" i="65" s="1"/>
  <c r="E41" i="65" s="1"/>
  <c r="E43" i="65" s="1"/>
  <c r="E45" i="65" s="1"/>
  <c r="E27" i="62" l="1"/>
  <c r="E29" i="62" s="1"/>
  <c r="E64" i="62" s="1"/>
  <c r="Q91" i="62" l="1"/>
  <c r="R85" i="62"/>
  <c r="Q85" i="62"/>
  <c r="R79" i="62"/>
  <c r="R91" i="62" s="1"/>
  <c r="Q79" i="62"/>
  <c r="Q59" i="62"/>
  <c r="R54" i="62"/>
  <c r="Q54" i="62"/>
  <c r="R50" i="62"/>
  <c r="R60" i="62" s="1"/>
  <c r="Q50" i="62"/>
  <c r="Q44" i="62"/>
  <c r="R39" i="62"/>
  <c r="Q39" i="62"/>
  <c r="Q45" i="62" s="1"/>
  <c r="R35" i="62"/>
  <c r="R45" i="62" s="1"/>
  <c r="R62" i="62" s="1"/>
  <c r="Q35" i="62"/>
  <c r="Q28" i="62"/>
  <c r="R20" i="62"/>
  <c r="Q20" i="62"/>
  <c r="Q27" i="62" s="1"/>
  <c r="Q29" i="62" s="1"/>
  <c r="R16" i="62"/>
  <c r="R40" i="65"/>
  <c r="Q40" i="65"/>
  <c r="R29" i="65"/>
  <c r="Q23" i="65"/>
  <c r="Q29" i="65" s="1"/>
  <c r="R21" i="65"/>
  <c r="Q19" i="65"/>
  <c r="Q21" i="65" s="1"/>
  <c r="R14" i="65"/>
  <c r="R34" i="65" s="1"/>
  <c r="R41" i="65" s="1"/>
  <c r="R43" i="65" s="1"/>
  <c r="R45" i="65" s="1"/>
  <c r="Q14" i="65"/>
  <c r="Q34" i="65" s="1"/>
  <c r="Q41" i="65" s="1"/>
  <c r="Q43" i="65" s="1"/>
  <c r="Q45" i="65" s="1"/>
  <c r="R27" i="62" l="1"/>
  <c r="R29" i="62" s="1"/>
  <c r="R64" i="62" s="1"/>
  <c r="Q60" i="62"/>
  <c r="Q62" i="62" s="1"/>
  <c r="Q64" i="62" s="1"/>
  <c r="I85" i="62" l="1"/>
  <c r="H85" i="62"/>
  <c r="I79" i="62"/>
  <c r="H79" i="62"/>
  <c r="H91" i="62" s="1"/>
  <c r="I54" i="62"/>
  <c r="I60" i="62" s="1"/>
  <c r="H54" i="62"/>
  <c r="I50" i="62"/>
  <c r="H50" i="62"/>
  <c r="I39" i="62"/>
  <c r="H39" i="62"/>
  <c r="I35" i="62"/>
  <c r="I45" i="62" s="1"/>
  <c r="H35" i="62"/>
  <c r="H45" i="62" s="1"/>
  <c r="H27" i="62"/>
  <c r="H29" i="62" s="1"/>
  <c r="I20" i="62"/>
  <c r="I27" i="62" s="1"/>
  <c r="I29" i="62" s="1"/>
  <c r="H20" i="62"/>
  <c r="I18" i="62"/>
  <c r="I16" i="62"/>
  <c r="H16" i="62"/>
  <c r="I40" i="65"/>
  <c r="H40" i="65"/>
  <c r="I34" i="65"/>
  <c r="I41" i="65" s="1"/>
  <c r="I43" i="65" s="1"/>
  <c r="I45" i="65" s="1"/>
  <c r="I29" i="65"/>
  <c r="H29" i="65"/>
  <c r="I21" i="65"/>
  <c r="H21" i="65"/>
  <c r="I14" i="65"/>
  <c r="H14" i="65"/>
  <c r="H34" i="65" s="1"/>
  <c r="H41" i="65" s="1"/>
  <c r="H43" i="65" s="1"/>
  <c r="H45" i="65" s="1"/>
  <c r="H62" i="62" l="1"/>
  <c r="H64" i="62" s="1"/>
  <c r="I62" i="62"/>
  <c r="H60" i="62"/>
  <c r="I91" i="62"/>
  <c r="I64" i="62"/>
  <c r="C85" i="62" l="1"/>
  <c r="B85" i="62"/>
  <c r="C79" i="62"/>
  <c r="C91" i="62" s="1"/>
  <c r="B79" i="62"/>
  <c r="B91" i="62" s="1"/>
  <c r="C59" i="62"/>
  <c r="B59" i="62"/>
  <c r="B54" i="62" s="1"/>
  <c r="B60" i="62" s="1"/>
  <c r="C54" i="62"/>
  <c r="C50" i="62"/>
  <c r="B50" i="62"/>
  <c r="C39" i="62"/>
  <c r="B39" i="62"/>
  <c r="C35" i="62"/>
  <c r="C45" i="62" s="1"/>
  <c r="B35" i="62"/>
  <c r="B45" i="62" s="1"/>
  <c r="C28" i="62"/>
  <c r="B28" i="62"/>
  <c r="C20" i="62"/>
  <c r="B20" i="62"/>
  <c r="C16" i="62"/>
  <c r="C27" i="62" s="1"/>
  <c r="B16" i="62"/>
  <c r="C40" i="65"/>
  <c r="B40" i="65"/>
  <c r="C23" i="65"/>
  <c r="C29" i="65" s="1"/>
  <c r="B23" i="65"/>
  <c r="B29" i="65" s="1"/>
  <c r="C19" i="65"/>
  <c r="C21" i="65" s="1"/>
  <c r="B19" i="65"/>
  <c r="B21" i="65" s="1"/>
  <c r="C11" i="65"/>
  <c r="C14" i="65" s="1"/>
  <c r="B11" i="65"/>
  <c r="B14" i="65" s="1"/>
  <c r="C29" i="62" l="1"/>
  <c r="B27" i="62"/>
  <c r="B29" i="62" s="1"/>
  <c r="C60" i="62"/>
  <c r="C34" i="65"/>
  <c r="C41" i="65" s="1"/>
  <c r="C43" i="65" s="1"/>
  <c r="C45" i="65" s="1"/>
  <c r="C62" i="62"/>
  <c r="B62" i="62"/>
  <c r="B64" i="62" s="1"/>
  <c r="B34" i="65"/>
  <c r="B41" i="65" s="1"/>
  <c r="B43" i="65" s="1"/>
  <c r="B45" i="65" s="1"/>
  <c r="C64" i="62" l="1"/>
  <c r="AA14" i="75"/>
  <c r="Z14" i="75"/>
  <c r="AD86" i="62"/>
  <c r="AC86" i="62"/>
  <c r="AD85" i="62"/>
  <c r="AC85" i="62"/>
  <c r="AD79" i="62"/>
  <c r="AC79" i="62"/>
  <c r="AC91" i="62" s="1"/>
  <c r="AD54" i="62"/>
  <c r="AC54" i="62"/>
  <c r="AD50" i="62"/>
  <c r="AC50" i="62"/>
  <c r="AD39" i="62"/>
  <c r="AC39" i="62"/>
  <c r="AD35" i="62"/>
  <c r="AC35" i="62"/>
  <c r="AD34" i="62"/>
  <c r="AC34" i="62"/>
  <c r="AD28" i="62"/>
  <c r="AD20" i="62"/>
  <c r="AC20" i="62"/>
  <c r="AD16" i="62"/>
  <c r="AC16" i="62"/>
  <c r="AD15" i="62"/>
  <c r="AC15" i="62"/>
  <c r="AD40" i="65"/>
  <c r="AC40" i="65"/>
  <c r="AD29" i="65"/>
  <c r="AC29" i="65"/>
  <c r="AD21" i="65"/>
  <c r="AC21" i="65"/>
  <c r="AD14" i="65"/>
  <c r="AC14" i="65"/>
  <c r="AC34" i="65" l="1"/>
  <c r="AC41" i="65" s="1"/>
  <c r="AC43" i="65" s="1"/>
  <c r="AC45" i="65" s="1"/>
  <c r="AD45" i="62"/>
  <c r="AD34" i="65"/>
  <c r="AD41" i="65" s="1"/>
  <c r="AD43" i="65" s="1"/>
  <c r="AD45" i="65" s="1"/>
  <c r="AC27" i="62"/>
  <c r="AC29" i="62" s="1"/>
  <c r="AD27" i="62"/>
  <c r="AD29" i="62" s="1"/>
  <c r="AC60" i="62"/>
  <c r="AC45" i="62"/>
  <c r="AD60" i="62"/>
  <c r="AD62" i="62" s="1"/>
  <c r="AD64" i="62" s="1"/>
  <c r="AD91" i="62"/>
  <c r="AC62" i="62" l="1"/>
  <c r="AC64" i="62" s="1"/>
  <c r="O85" i="62"/>
  <c r="N85" i="62"/>
  <c r="O79" i="62"/>
  <c r="N79" i="62"/>
  <c r="N55" i="62"/>
  <c r="N54" i="62" s="1"/>
  <c r="O54" i="62"/>
  <c r="O50" i="62"/>
  <c r="O60" i="62" s="1"/>
  <c r="N50" i="62"/>
  <c r="O39" i="62"/>
  <c r="N39" i="62"/>
  <c r="O35" i="62"/>
  <c r="N35" i="62"/>
  <c r="O20" i="62"/>
  <c r="N20" i="62"/>
  <c r="O16" i="62"/>
  <c r="O27" i="62" s="1"/>
  <c r="O29" i="62" s="1"/>
  <c r="N16" i="62"/>
  <c r="N27" i="62" s="1"/>
  <c r="N29" i="62" s="1"/>
  <c r="O40" i="65"/>
  <c r="N40" i="65"/>
  <c r="O29" i="65"/>
  <c r="N29" i="65"/>
  <c r="O21" i="65"/>
  <c r="N21" i="65"/>
  <c r="O14" i="65"/>
  <c r="N14" i="65"/>
  <c r="N34" i="65" s="1"/>
  <c r="N41" i="65" s="1"/>
  <c r="N43" i="65" s="1"/>
  <c r="N45" i="65" s="1"/>
  <c r="N45" i="62" l="1"/>
  <c r="O91" i="62"/>
  <c r="O34" i="65"/>
  <c r="O41" i="65" s="1"/>
  <c r="O43" i="65" s="1"/>
  <c r="O45" i="65" s="1"/>
  <c r="N91" i="62"/>
  <c r="N60" i="62"/>
  <c r="N62" i="62" s="1"/>
  <c r="N64" i="62" s="1"/>
  <c r="O45" i="62"/>
  <c r="O62" i="62" s="1"/>
  <c r="O64" i="62" s="1"/>
  <c r="AM85" i="62" l="1"/>
  <c r="AL85" i="62"/>
  <c r="AM79" i="62"/>
  <c r="AM91" i="62" s="1"/>
  <c r="AL79" i="62"/>
  <c r="AM54" i="62"/>
  <c r="AL54" i="62"/>
  <c r="AM53" i="62"/>
  <c r="AM50" i="62" s="1"/>
  <c r="AM60" i="62" s="1"/>
  <c r="AL53" i="62"/>
  <c r="AL50" i="62" s="1"/>
  <c r="AL60" i="62" s="1"/>
  <c r="AM39" i="62"/>
  <c r="AL39" i="62"/>
  <c r="AM38" i="62"/>
  <c r="AM35" i="62" s="1"/>
  <c r="AM45" i="62" s="1"/>
  <c r="AL38" i="62"/>
  <c r="AL35" i="62" s="1"/>
  <c r="AM28" i="62"/>
  <c r="AL28" i="62"/>
  <c r="AM20" i="62"/>
  <c r="AL20" i="62"/>
  <c r="AM19" i="62"/>
  <c r="AL19" i="62"/>
  <c r="AL16" i="62" s="1"/>
  <c r="AM16" i="62"/>
  <c r="AM40" i="65"/>
  <c r="AL40" i="65"/>
  <c r="AM29" i="65"/>
  <c r="AL29" i="65"/>
  <c r="AM21" i="65"/>
  <c r="AL19" i="65"/>
  <c r="AL21" i="65" s="1"/>
  <c r="AM14" i="65"/>
  <c r="AL14" i="65"/>
  <c r="AM27" i="62" l="1"/>
  <c r="AM29" i="62" s="1"/>
  <c r="AL27" i="62"/>
  <c r="AL29" i="62" s="1"/>
  <c r="AL45" i="62"/>
  <c r="AL62" i="62" s="1"/>
  <c r="AL91" i="62"/>
  <c r="AM34" i="65"/>
  <c r="AM41" i="65" s="1"/>
  <c r="AM43" i="65" s="1"/>
  <c r="AM45" i="65" s="1"/>
  <c r="AL34" i="65"/>
  <c r="AL41" i="65" s="1"/>
  <c r="AL43" i="65" s="1"/>
  <c r="AL45" i="65" s="1"/>
  <c r="AM62" i="62"/>
  <c r="AM64" i="62" s="1"/>
  <c r="AL64" i="62" l="1"/>
  <c r="AB58" i="62"/>
  <c r="AB56" i="62"/>
  <c r="AB49" i="62"/>
  <c r="AB15" i="62"/>
  <c r="AA85" i="62"/>
  <c r="Z85" i="62"/>
  <c r="AA79" i="62"/>
  <c r="Z79" i="62"/>
  <c r="AA54" i="62"/>
  <c r="Z54" i="62"/>
  <c r="Z60" i="62" s="1"/>
  <c r="AA60" i="62"/>
  <c r="AA39" i="62"/>
  <c r="Z39" i="62"/>
  <c r="AA35" i="62"/>
  <c r="Z35" i="62"/>
  <c r="AA20" i="62"/>
  <c r="AA27" i="62" s="1"/>
  <c r="AA29" i="62" s="1"/>
  <c r="Z20" i="62"/>
  <c r="Z27" i="62" s="1"/>
  <c r="Z29" i="62" s="1"/>
  <c r="AA40" i="65"/>
  <c r="Z40" i="65"/>
  <c r="AA29" i="65"/>
  <c r="Z29" i="65"/>
  <c r="AA21" i="65"/>
  <c r="Z21" i="65"/>
  <c r="AA14" i="65"/>
  <c r="AA34" i="65" s="1"/>
  <c r="Z14" i="65"/>
  <c r="Z91" i="62" l="1"/>
  <c r="Z34" i="65"/>
  <c r="Z41" i="65" s="1"/>
  <c r="Z43" i="65" s="1"/>
  <c r="Z45" i="65" s="1"/>
  <c r="AA41" i="65"/>
  <c r="AA43" i="65" s="1"/>
  <c r="AA45" i="65" s="1"/>
  <c r="Z45" i="62"/>
  <c r="Z62" i="62" s="1"/>
  <c r="Z64" i="62" s="1"/>
  <c r="AA45" i="62"/>
  <c r="AA62" i="62" s="1"/>
  <c r="AA64" i="62" s="1"/>
  <c r="AA91" i="62"/>
  <c r="AD14" i="75" l="1"/>
  <c r="AJ85" i="62"/>
  <c r="AI85" i="62"/>
  <c r="AJ79" i="62"/>
  <c r="AI79" i="62"/>
  <c r="AJ54" i="62"/>
  <c r="AI54" i="62"/>
  <c r="AJ50" i="62"/>
  <c r="AJ60" i="62" s="1"/>
  <c r="AI50" i="62"/>
  <c r="AJ39" i="62"/>
  <c r="AI39" i="62"/>
  <c r="AJ35" i="62"/>
  <c r="AI35" i="62"/>
  <c r="AJ20" i="62"/>
  <c r="AI20" i="62"/>
  <c r="AJ16" i="62"/>
  <c r="AI16" i="62"/>
  <c r="AJ40" i="65"/>
  <c r="AI40" i="65"/>
  <c r="AJ29" i="65"/>
  <c r="AI29" i="65"/>
  <c r="AJ21" i="65"/>
  <c r="AI21" i="65"/>
  <c r="AJ14" i="65"/>
  <c r="AI14" i="65"/>
  <c r="AI60" i="62" l="1"/>
  <c r="AJ34" i="65"/>
  <c r="AJ41" i="65" s="1"/>
  <c r="AJ43" i="65" s="1"/>
  <c r="AJ45" i="65" s="1"/>
  <c r="AI45" i="62"/>
  <c r="AI62" i="62" s="1"/>
  <c r="AI91" i="62"/>
  <c r="AI34" i="65"/>
  <c r="AI41" i="65" s="1"/>
  <c r="AI43" i="65" s="1"/>
  <c r="AI45" i="65" s="1"/>
  <c r="AI27" i="62"/>
  <c r="AI29" i="62" s="1"/>
  <c r="AJ27" i="62"/>
  <c r="AJ29" i="62" s="1"/>
  <c r="AJ45" i="62"/>
  <c r="AJ62" i="62" s="1"/>
  <c r="AJ91" i="62"/>
  <c r="AI64" i="62" l="1"/>
  <c r="AJ64" i="62"/>
  <c r="AG85" i="62"/>
  <c r="AF85" i="62"/>
  <c r="AG79" i="62"/>
  <c r="AF79" i="62"/>
  <c r="AG54" i="62"/>
  <c r="AF54" i="62"/>
  <c r="AG50" i="62"/>
  <c r="AF50" i="62"/>
  <c r="AG39" i="62"/>
  <c r="AF39" i="62"/>
  <c r="AG35" i="62"/>
  <c r="AF35" i="62"/>
  <c r="AG20" i="62"/>
  <c r="AF20" i="62"/>
  <c r="AG16" i="62"/>
  <c r="AF16" i="62"/>
  <c r="U85" i="62"/>
  <c r="T85" i="62"/>
  <c r="U79" i="62"/>
  <c r="T79" i="62"/>
  <c r="U54" i="62"/>
  <c r="T54" i="62"/>
  <c r="U50" i="62"/>
  <c r="T50" i="62"/>
  <c r="U39" i="62"/>
  <c r="T39" i="62"/>
  <c r="U35" i="62"/>
  <c r="T35" i="62"/>
  <c r="U20" i="62"/>
  <c r="T20" i="62"/>
  <c r="U16" i="62"/>
  <c r="T16" i="62"/>
  <c r="AG40" i="65"/>
  <c r="AF40" i="65"/>
  <c r="AG29" i="65"/>
  <c r="AF29" i="65"/>
  <c r="AG21" i="65"/>
  <c r="AF21" i="65"/>
  <c r="AG14" i="65"/>
  <c r="AF14" i="65"/>
  <c r="U40" i="65"/>
  <c r="T40" i="65"/>
  <c r="U29" i="65"/>
  <c r="T29" i="65"/>
  <c r="U21" i="65"/>
  <c r="T21" i="65"/>
  <c r="U14" i="65"/>
  <c r="T14" i="65"/>
  <c r="AG27" i="62" l="1"/>
  <c r="AG29" i="62" s="1"/>
  <c r="AG60" i="62"/>
  <c r="U60" i="62"/>
  <c r="AF34" i="65"/>
  <c r="AF41" i="65" s="1"/>
  <c r="AF43" i="65" s="1"/>
  <c r="AF45" i="65" s="1"/>
  <c r="T91" i="62"/>
  <c r="U27" i="62"/>
  <c r="U29" i="62" s="1"/>
  <c r="T45" i="62"/>
  <c r="AG45" i="62"/>
  <c r="AG62" i="62" s="1"/>
  <c r="AG64" i="62" s="1"/>
  <c r="U34" i="65"/>
  <c r="U41" i="65" s="1"/>
  <c r="U43" i="65" s="1"/>
  <c r="U45" i="65" s="1"/>
  <c r="T27" i="62"/>
  <c r="T29" i="62" s="1"/>
  <c r="T60" i="62"/>
  <c r="U91" i="62"/>
  <c r="AF60" i="62"/>
  <c r="AG91" i="62"/>
  <c r="U45" i="62"/>
  <c r="AF45" i="62"/>
  <c r="AF91" i="62"/>
  <c r="AG34" i="65"/>
  <c r="AG41" i="65" s="1"/>
  <c r="AG43" i="65" s="1"/>
  <c r="AG45" i="65" s="1"/>
  <c r="AF27" i="62"/>
  <c r="AF29" i="62" s="1"/>
  <c r="T34" i="65"/>
  <c r="T41" i="65" s="1"/>
  <c r="T43" i="65" s="1"/>
  <c r="T45" i="65" s="1"/>
  <c r="T62" i="62" l="1"/>
  <c r="T64" i="62" s="1"/>
  <c r="U62" i="62"/>
  <c r="U64" i="62" s="1"/>
  <c r="AF62" i="62"/>
  <c r="AF64" i="62" s="1"/>
  <c r="L91" i="62"/>
  <c r="K85" i="62"/>
  <c r="K79" i="62"/>
  <c r="L54" i="62"/>
  <c r="K54" i="62"/>
  <c r="L50" i="62"/>
  <c r="K50" i="62"/>
  <c r="K39" i="62"/>
  <c r="K35" i="62"/>
  <c r="K20" i="62"/>
  <c r="K16" i="62"/>
  <c r="L40" i="65"/>
  <c r="K40" i="65"/>
  <c r="L34" i="65"/>
  <c r="K29" i="65"/>
  <c r="K21" i="65"/>
  <c r="K14" i="65"/>
  <c r="K60" i="62" l="1"/>
  <c r="K45" i="62"/>
  <c r="L60" i="62"/>
  <c r="L62" i="62" s="1"/>
  <c r="L64" i="62" s="1"/>
  <c r="K27" i="62"/>
  <c r="K91" i="62"/>
  <c r="K34" i="65"/>
  <c r="K41" i="65" s="1"/>
  <c r="K43" i="65" s="1"/>
  <c r="K45" i="65" s="1"/>
  <c r="L41" i="65"/>
  <c r="L43" i="65" s="1"/>
  <c r="L45" i="65" s="1"/>
  <c r="AP8" i="62"/>
  <c r="AO8" i="62"/>
  <c r="AM8" i="62"/>
  <c r="AL8" i="62"/>
  <c r="AJ8" i="62"/>
  <c r="AI8" i="62"/>
  <c r="AG8" i="62"/>
  <c r="AF8" i="62"/>
  <c r="AD8" i="62"/>
  <c r="AC8" i="62"/>
  <c r="AA8" i="62"/>
  <c r="Z8" i="62"/>
  <c r="X8" i="62"/>
  <c r="W8" i="62"/>
  <c r="U8" i="62"/>
  <c r="T8" i="62"/>
  <c r="R8" i="62"/>
  <c r="Q8" i="62"/>
  <c r="O8" i="62"/>
  <c r="N8" i="62"/>
  <c r="L8" i="62"/>
  <c r="K8" i="62"/>
  <c r="I8" i="62"/>
  <c r="H8" i="62"/>
  <c r="F8" i="62"/>
  <c r="E8" i="62"/>
  <c r="AJ8" i="75"/>
  <c r="AI8" i="75"/>
  <c r="AG8" i="75"/>
  <c r="AF8" i="75"/>
  <c r="AD8" i="75"/>
  <c r="AC8" i="75"/>
  <c r="AA8" i="75"/>
  <c r="Z8" i="75"/>
  <c r="X8" i="75"/>
  <c r="W8" i="75"/>
  <c r="U8" i="75"/>
  <c r="T8" i="75"/>
  <c r="R8" i="75"/>
  <c r="Q8" i="75"/>
  <c r="O8" i="75"/>
  <c r="N8" i="75"/>
  <c r="L8" i="75"/>
  <c r="K8" i="75"/>
  <c r="I8" i="75"/>
  <c r="H8" i="75"/>
  <c r="F8" i="75"/>
  <c r="E8" i="75"/>
  <c r="AS8" i="65"/>
  <c r="AR8" i="65"/>
  <c r="AP8" i="65"/>
  <c r="AO8" i="65"/>
  <c r="AM8" i="65"/>
  <c r="AL8" i="65"/>
  <c r="AJ8" i="65"/>
  <c r="AI8" i="65"/>
  <c r="AG8" i="65"/>
  <c r="AF8" i="65"/>
  <c r="AD8" i="65"/>
  <c r="AC8" i="65"/>
  <c r="AA8" i="65"/>
  <c r="Z8" i="65"/>
  <c r="X8" i="65"/>
  <c r="W8" i="65"/>
  <c r="U8" i="65"/>
  <c r="T8" i="65"/>
  <c r="R8" i="65"/>
  <c r="Q8" i="65"/>
  <c r="O8" i="65"/>
  <c r="N8" i="65"/>
  <c r="L8" i="65"/>
  <c r="K8" i="65"/>
  <c r="I8" i="65"/>
  <c r="H8" i="65"/>
  <c r="F8" i="65"/>
  <c r="E8" i="65"/>
  <c r="K62" i="62" l="1"/>
  <c r="K64" i="62" s="1"/>
  <c r="D54" i="76" l="1"/>
  <c r="D54" i="77"/>
  <c r="D55" i="77"/>
  <c r="D57" i="76"/>
  <c r="D48" i="76"/>
  <c r="H14" i="9"/>
  <c r="D48" i="77"/>
  <c r="G14" i="9"/>
  <c r="D53" i="77"/>
  <c r="D53" i="76"/>
  <c r="D56" i="76"/>
  <c r="M64" i="8" l="1"/>
  <c r="G56" i="9"/>
  <c r="H56" i="9"/>
  <c r="N64" i="8"/>
  <c r="D49" i="77"/>
  <c r="C14" i="9"/>
  <c r="C56" i="9" s="1"/>
  <c r="H9" i="9"/>
  <c r="G9" i="9"/>
  <c r="B14" i="9" l="1"/>
  <c r="H51" i="9"/>
  <c r="N59" i="8"/>
  <c r="C9" i="9"/>
  <c r="D47" i="76"/>
  <c r="B9" i="9"/>
  <c r="G51" i="9"/>
  <c r="M59" i="8"/>
  <c r="D47" i="77"/>
  <c r="C51" i="9" l="1"/>
  <c r="D9" i="9"/>
  <c r="B51" i="9"/>
  <c r="D51" i="9" s="1"/>
  <c r="D14" i="9"/>
  <c r="B56" i="9"/>
  <c r="D56" i="9" s="1"/>
  <c r="N136" i="8" l="1"/>
  <c r="M136" i="8"/>
  <c r="N112" i="8"/>
  <c r="M112" i="8"/>
  <c r="N86" i="8"/>
  <c r="M86" i="8"/>
  <c r="N80" i="8"/>
  <c r="M80" i="8"/>
  <c r="N58" i="8"/>
  <c r="M58" i="8"/>
  <c r="N37" i="8"/>
  <c r="M37" i="8"/>
  <c r="G75" i="9" l="1"/>
  <c r="H75" i="9"/>
  <c r="L76" i="9"/>
  <c r="M76" i="9"/>
  <c r="O76" i="9"/>
  <c r="N76" i="9"/>
  <c r="AJ18" i="75" l="1"/>
  <c r="AI18" i="75"/>
  <c r="J18" i="75"/>
  <c r="AJ16" i="75"/>
  <c r="AI16" i="75"/>
  <c r="J16" i="75"/>
  <c r="D16" i="75"/>
  <c r="AK14" i="75"/>
  <c r="AH14" i="75"/>
  <c r="AE14" i="75"/>
  <c r="AB14" i="75"/>
  <c r="Y14" i="75"/>
  <c r="G14" i="75"/>
  <c r="V14" i="75"/>
  <c r="S14" i="75"/>
  <c r="P14" i="75"/>
  <c r="M14" i="75"/>
  <c r="J14" i="75"/>
  <c r="AK12" i="75"/>
  <c r="J12" i="75"/>
  <c r="D12" i="75"/>
  <c r="AK11" i="75"/>
  <c r="J11" i="75"/>
  <c r="D11" i="75"/>
  <c r="AK16" i="75" l="1"/>
  <c r="AK18" i="75"/>
  <c r="AP89" i="62"/>
  <c r="AP88" i="62"/>
  <c r="AP87" i="62"/>
  <c r="AP84" i="62"/>
  <c r="AP83" i="62"/>
  <c r="AP82" i="62"/>
  <c r="AP81" i="62"/>
  <c r="AP78" i="62"/>
  <c r="AP76" i="62"/>
  <c r="AP75" i="62"/>
  <c r="AP74" i="62"/>
  <c r="AP73" i="62"/>
  <c r="AP71" i="62"/>
  <c r="AP70" i="62"/>
  <c r="AP68" i="62"/>
  <c r="AP61" i="62"/>
  <c r="AP58" i="62"/>
  <c r="AP57" i="62"/>
  <c r="AP56" i="62"/>
  <c r="AP53" i="62"/>
  <c r="AP52" i="62"/>
  <c r="AP51" i="62"/>
  <c r="AP49" i="62"/>
  <c r="AP48" i="62"/>
  <c r="AP46" i="62"/>
  <c r="AP43" i="62"/>
  <c r="AP42" i="62"/>
  <c r="AP41" i="62"/>
  <c r="AP40" i="62"/>
  <c r="AP37" i="62"/>
  <c r="AP36" i="62"/>
  <c r="AP34" i="62"/>
  <c r="AP33" i="62"/>
  <c r="AP26" i="62"/>
  <c r="AP25" i="62"/>
  <c r="AP24" i="62"/>
  <c r="AP23" i="62"/>
  <c r="AP22" i="62"/>
  <c r="AP21" i="62"/>
  <c r="AP18" i="62"/>
  <c r="AP17" i="62"/>
  <c r="AP15" i="62"/>
  <c r="AP14" i="62"/>
  <c r="AO89" i="62"/>
  <c r="AO88" i="62"/>
  <c r="AO87" i="62"/>
  <c r="AO86" i="62"/>
  <c r="AO84" i="62"/>
  <c r="AO83" i="62"/>
  <c r="AO82" i="62"/>
  <c r="AO81" i="62"/>
  <c r="AO78" i="62"/>
  <c r="AO77" i="62"/>
  <c r="AO76" i="62"/>
  <c r="AO75" i="62"/>
  <c r="AO74" i="62"/>
  <c r="AO73" i="62"/>
  <c r="AO71" i="62"/>
  <c r="AO70" i="62"/>
  <c r="AO69" i="62"/>
  <c r="AO68" i="62"/>
  <c r="AO61" i="62"/>
  <c r="AO58" i="62"/>
  <c r="AO57" i="62"/>
  <c r="AO56" i="62"/>
  <c r="AO53" i="62"/>
  <c r="AO52" i="62"/>
  <c r="AO51" i="62"/>
  <c r="AO49" i="62"/>
  <c r="AO48" i="62"/>
  <c r="AO46" i="62"/>
  <c r="AO44" i="62"/>
  <c r="AO43" i="62"/>
  <c r="AO42" i="62"/>
  <c r="AO41" i="62"/>
  <c r="AO40" i="62"/>
  <c r="AO37" i="62"/>
  <c r="AO36" i="62"/>
  <c r="AO33" i="62"/>
  <c r="AO26" i="62"/>
  <c r="AO25" i="62"/>
  <c r="AO24" i="62"/>
  <c r="AO23" i="62"/>
  <c r="AO22" i="62"/>
  <c r="AO21" i="62"/>
  <c r="AO18" i="62"/>
  <c r="AO17" i="62"/>
  <c r="AO15" i="62"/>
  <c r="AO14" i="62"/>
  <c r="M89" i="62"/>
  <c r="M86" i="62"/>
  <c r="M81" i="62"/>
  <c r="M79" i="62"/>
  <c r="M77" i="62"/>
  <c r="M74" i="62"/>
  <c r="M73" i="62"/>
  <c r="M69" i="62"/>
  <c r="M68" i="62"/>
  <c r="M59" i="62"/>
  <c r="M56" i="62"/>
  <c r="M55" i="62"/>
  <c r="M46" i="62"/>
  <c r="M44" i="62"/>
  <c r="M41" i="62"/>
  <c r="M40" i="62"/>
  <c r="M39" i="62"/>
  <c r="M28" i="62"/>
  <c r="M25" i="62"/>
  <c r="M22" i="62"/>
  <c r="M21" i="62"/>
  <c r="M20" i="62"/>
  <c r="AS20" i="65"/>
  <c r="AS17" i="65"/>
  <c r="AS16" i="65"/>
  <c r="AS15" i="65"/>
  <c r="AS13" i="65"/>
  <c r="AS12" i="65"/>
  <c r="AR20" i="65"/>
  <c r="AR17" i="65"/>
  <c r="AR16" i="65"/>
  <c r="AR15" i="65"/>
  <c r="AR13" i="65"/>
  <c r="AR12" i="65"/>
  <c r="AP57" i="65"/>
  <c r="AP56" i="65"/>
  <c r="AP55" i="65"/>
  <c r="AP54" i="65"/>
  <c r="AP53" i="65"/>
  <c r="AP52" i="65"/>
  <c r="AP51" i="65"/>
  <c r="AP50" i="65"/>
  <c r="AP49" i="65"/>
  <c r="AP48" i="65"/>
  <c r="AP44" i="65"/>
  <c r="AP42" i="65"/>
  <c r="AP39" i="65"/>
  <c r="AP38" i="65"/>
  <c r="AP37" i="65"/>
  <c r="AP33" i="65"/>
  <c r="AP32" i="65"/>
  <c r="AP31" i="65"/>
  <c r="AP30" i="65"/>
  <c r="AP28" i="65"/>
  <c r="AP27" i="65"/>
  <c r="AP26" i="65"/>
  <c r="AP25" i="65"/>
  <c r="AP24" i="65"/>
  <c r="AP20" i="65"/>
  <c r="AP17" i="65"/>
  <c r="AP16" i="65"/>
  <c r="AP15" i="65"/>
  <c r="AP13" i="65"/>
  <c r="AP12" i="65"/>
  <c r="AO57" i="65"/>
  <c r="AO56" i="65"/>
  <c r="AO55" i="65"/>
  <c r="AO54" i="65"/>
  <c r="AO53" i="65"/>
  <c r="AO52" i="65"/>
  <c r="AO51" i="65"/>
  <c r="AO50" i="65"/>
  <c r="AO49" i="65"/>
  <c r="AO48" i="65"/>
  <c r="AO44" i="65"/>
  <c r="AO42" i="65"/>
  <c r="AO39" i="65"/>
  <c r="AO38" i="65"/>
  <c r="AO37" i="65"/>
  <c r="AO33" i="65"/>
  <c r="AO32" i="65"/>
  <c r="AO31" i="65"/>
  <c r="AO30" i="65"/>
  <c r="AO28" i="65"/>
  <c r="AO27" i="65"/>
  <c r="AO26" i="65"/>
  <c r="AO25" i="65"/>
  <c r="AO24" i="65"/>
  <c r="AO20" i="65"/>
  <c r="AO17" i="65"/>
  <c r="AO16" i="65"/>
  <c r="AO15" i="65"/>
  <c r="AO13" i="65"/>
  <c r="AO12" i="65"/>
  <c r="M42" i="65"/>
  <c r="M40" i="65"/>
  <c r="M39" i="65"/>
  <c r="M38" i="65"/>
  <c r="M37" i="65"/>
  <c r="M32" i="65"/>
  <c r="M29" i="65"/>
  <c r="M27" i="65"/>
  <c r="M24" i="65"/>
  <c r="M23" i="65"/>
  <c r="M21" i="65"/>
  <c r="M20" i="65"/>
  <c r="M19" i="65"/>
  <c r="M17" i="65"/>
  <c r="M16" i="65"/>
  <c r="M15" i="65"/>
  <c r="M13" i="65"/>
  <c r="M12" i="65"/>
  <c r="M11" i="65"/>
  <c r="K8" i="74"/>
  <c r="H33" i="9" l="1"/>
  <c r="G33" i="9"/>
  <c r="M81" i="8" s="1"/>
  <c r="D8" i="74"/>
  <c r="J8" i="74"/>
  <c r="L8" i="74" s="1"/>
  <c r="M45" i="62"/>
  <c r="M60" i="62"/>
  <c r="M91" i="62"/>
  <c r="M27" i="62"/>
  <c r="M54" i="62"/>
  <c r="M85" i="62"/>
  <c r="M14" i="65"/>
  <c r="K7" i="74"/>
  <c r="J7" i="74"/>
  <c r="D48" i="74"/>
  <c r="D7" i="74"/>
  <c r="C33" i="9" l="1"/>
  <c r="L7" i="74"/>
  <c r="D47" i="74"/>
  <c r="H76" i="9"/>
  <c r="N81" i="8"/>
  <c r="B33" i="9"/>
  <c r="M32" i="8" s="1"/>
  <c r="G76" i="9"/>
  <c r="M29" i="62"/>
  <c r="M62" i="62"/>
  <c r="M34" i="65"/>
  <c r="B76" i="9" l="1"/>
  <c r="AS11" i="65"/>
  <c r="AP11" i="65"/>
  <c r="AP59" i="62"/>
  <c r="AR11" i="65"/>
  <c r="AO11" i="65"/>
  <c r="AO59" i="62"/>
  <c r="AO23" i="65"/>
  <c r="AP23" i="65"/>
  <c r="M64" i="62"/>
  <c r="M41" i="65"/>
  <c r="M43" i="65" l="1"/>
  <c r="AP77" i="62" l="1"/>
  <c r="AO34" i="62"/>
  <c r="AP86" i="62"/>
  <c r="M45" i="65"/>
  <c r="AO55" i="62" l="1"/>
  <c r="AP55" i="62"/>
  <c r="AO19" i="62" l="1"/>
  <c r="AP19" i="62"/>
  <c r="AO50" i="62"/>
  <c r="AO28" i="62"/>
  <c r="AO38" i="62"/>
  <c r="AP19" i="65"/>
  <c r="AS19" i="65"/>
  <c r="AP38" i="62"/>
  <c r="AP69" i="62" l="1"/>
  <c r="AO16" i="62" l="1"/>
  <c r="AP40" i="65" l="1"/>
  <c r="AO40" i="65"/>
  <c r="AP29" i="65"/>
  <c r="AO29" i="65"/>
  <c r="AS14" i="65" l="1"/>
  <c r="AP14" i="65"/>
  <c r="AR14" i="65"/>
  <c r="AO14" i="65"/>
  <c r="AP50" i="62"/>
  <c r="AO20" i="62"/>
  <c r="AR19" i="65"/>
  <c r="AO19" i="65"/>
  <c r="AO79" i="62"/>
  <c r="AO35" i="62"/>
  <c r="AP79" i="62"/>
  <c r="AP35" i="62"/>
  <c r="AO54" i="62"/>
  <c r="AP20" i="62"/>
  <c r="AP28" i="62"/>
  <c r="AO39" i="62"/>
  <c r="AP85" i="62"/>
  <c r="AP16" i="62"/>
  <c r="AP54" i="62"/>
  <c r="AS21" i="65"/>
  <c r="AP21" i="65"/>
  <c r="AO85" i="62"/>
  <c r="AP44" i="62"/>
  <c r="AP91" i="62" l="1"/>
  <c r="AO60" i="62"/>
  <c r="AO45" i="62"/>
  <c r="AO34" i="65"/>
  <c r="AP34" i="65"/>
  <c r="AP60" i="62"/>
  <c r="AO91" i="62"/>
  <c r="AO21" i="65"/>
  <c r="AR21" i="65"/>
  <c r="AP45" i="62"/>
  <c r="AO27" i="62"/>
  <c r="AP27" i="62"/>
  <c r="AP39" i="62"/>
  <c r="AP62" i="62" l="1"/>
  <c r="AO62" i="62"/>
  <c r="AP29" i="62"/>
  <c r="AO41" i="65"/>
  <c r="AO29" i="62"/>
  <c r="AP41" i="65"/>
  <c r="V73" i="62"/>
  <c r="V25" i="62"/>
  <c r="AH25" i="62"/>
  <c r="AH20" i="62"/>
  <c r="AO64" i="62" l="1"/>
  <c r="AP45" i="65"/>
  <c r="AP43" i="65"/>
  <c r="AO45" i="65"/>
  <c r="AO43" i="65"/>
  <c r="AP64" i="62"/>
  <c r="AH27" i="62"/>
  <c r="E22" i="16" l="1"/>
  <c r="E29" i="16"/>
  <c r="J76" i="62" l="1"/>
  <c r="K32" i="13" l="1"/>
  <c r="D30" i="33"/>
  <c r="H23" i="33"/>
  <c r="D23" i="29"/>
  <c r="D25" i="29" l="1"/>
  <c r="H24" i="18"/>
  <c r="H24" i="23"/>
  <c r="D25" i="20"/>
  <c r="D25" i="13"/>
  <c r="D31" i="37"/>
  <c r="D32" i="29"/>
  <c r="D31" i="24"/>
  <c r="H30" i="18"/>
  <c r="H30" i="37"/>
  <c r="H30" i="33"/>
  <c r="H30" i="35"/>
  <c r="H30" i="29"/>
  <c r="H30" i="23"/>
  <c r="H30" i="13"/>
  <c r="D23" i="37"/>
  <c r="D23" i="20"/>
  <c r="D30" i="37"/>
  <c r="D30" i="20"/>
  <c r="H23" i="37"/>
  <c r="H24" i="13"/>
  <c r="D32" i="20"/>
  <c r="H31" i="18"/>
  <c r="H31" i="37"/>
  <c r="H31" i="29"/>
  <c r="H31" i="23"/>
  <c r="H31" i="13"/>
  <c r="H25" i="20"/>
  <c r="H25" i="13"/>
  <c r="D31" i="13"/>
  <c r="H32" i="18"/>
  <c r="H32" i="37"/>
  <c r="H32" i="33"/>
  <c r="H32" i="29"/>
  <c r="H32" i="23"/>
  <c r="H33" i="37"/>
  <c r="H33" i="33"/>
  <c r="H33" i="35"/>
  <c r="H33" i="29"/>
  <c r="H33" i="23"/>
  <c r="H23" i="35"/>
  <c r="H23" i="13"/>
  <c r="D30" i="13"/>
  <c r="D31" i="33"/>
  <c r="D31" i="29"/>
  <c r="D32" i="13"/>
  <c r="H33" i="18"/>
  <c r="H24" i="37"/>
  <c r="H24" i="33"/>
  <c r="H31" i="33"/>
  <c r="H31" i="35"/>
  <c r="H25" i="18"/>
  <c r="H25" i="37"/>
  <c r="H25" i="33"/>
  <c r="H25" i="29"/>
  <c r="H32" i="20"/>
  <c r="H32" i="13"/>
  <c r="D24" i="37"/>
  <c r="D24" i="33"/>
  <c r="D24" i="29"/>
  <c r="D24" i="24"/>
  <c r="D24" i="13"/>
  <c r="H26" i="18"/>
  <c r="H26" i="37"/>
  <c r="H26" i="33"/>
  <c r="H26" i="35"/>
  <c r="H26" i="29"/>
  <c r="H26" i="23"/>
  <c r="H26" i="20"/>
  <c r="H33" i="20"/>
  <c r="J30" i="29"/>
  <c r="D30" i="29"/>
  <c r="J30" i="23"/>
  <c r="D23" i="33"/>
  <c r="H23" i="18"/>
  <c r="H23" i="29"/>
  <c r="D23" i="13"/>
  <c r="J30" i="18"/>
  <c r="J33" i="35"/>
  <c r="K33" i="20"/>
  <c r="B26" i="4"/>
  <c r="B27" i="4"/>
  <c r="B33" i="4"/>
  <c r="E27" i="4"/>
  <c r="J33" i="23"/>
  <c r="J33" i="20"/>
  <c r="J33" i="33"/>
  <c r="J33" i="29"/>
  <c r="J25" i="29"/>
  <c r="J25" i="20"/>
  <c r="J25" i="13"/>
  <c r="J32" i="18"/>
  <c r="J32" i="33"/>
  <c r="J32" i="29"/>
  <c r="J32" i="23"/>
  <c r="J26" i="18"/>
  <c r="J26" i="37"/>
  <c r="J26" i="33"/>
  <c r="J26" i="35"/>
  <c r="J26" i="29"/>
  <c r="J26" i="23"/>
  <c r="J26" i="20"/>
  <c r="K23" i="33"/>
  <c r="J33" i="18"/>
  <c r="J33" i="37"/>
  <c r="K31" i="23"/>
  <c r="K25" i="18"/>
  <c r="K25" i="37"/>
  <c r="K25" i="33"/>
  <c r="K25" i="29"/>
  <c r="K25" i="20"/>
  <c r="K25" i="13"/>
  <c r="K23" i="37"/>
  <c r="K23" i="20"/>
  <c r="K32" i="18"/>
  <c r="K32" i="33"/>
  <c r="K32" i="29"/>
  <c r="K32" i="23"/>
  <c r="K33" i="23"/>
  <c r="K32" i="20"/>
  <c r="K26" i="18"/>
  <c r="K26" i="33"/>
  <c r="K26" i="29"/>
  <c r="K26" i="20"/>
  <c r="K23" i="35"/>
  <c r="K23" i="13"/>
  <c r="K33" i="18"/>
  <c r="K33" i="33"/>
  <c r="K33" i="29"/>
  <c r="J23" i="20"/>
  <c r="K26" i="35"/>
  <c r="J23" i="37"/>
  <c r="K26" i="37"/>
  <c r="K26" i="23"/>
  <c r="K31" i="13"/>
  <c r="J23" i="18"/>
  <c r="J23" i="29"/>
  <c r="J25" i="18"/>
  <c r="J25" i="37"/>
  <c r="J25" i="33"/>
  <c r="K24" i="24"/>
  <c r="K24" i="23"/>
  <c r="K24" i="13"/>
  <c r="K31" i="18"/>
  <c r="K31" i="33"/>
  <c r="K31" i="29"/>
  <c r="J23" i="35"/>
  <c r="J23" i="13"/>
  <c r="K30" i="20"/>
  <c r="K30" i="13"/>
  <c r="K24" i="18"/>
  <c r="K24" i="33"/>
  <c r="K24" i="29"/>
  <c r="J31" i="37"/>
  <c r="J31" i="24"/>
  <c r="J31" i="35"/>
  <c r="J31" i="13"/>
  <c r="J24" i="18"/>
  <c r="J24" i="37"/>
  <c r="J24" i="33"/>
  <c r="J24" i="29"/>
  <c r="J24" i="24"/>
  <c r="J24" i="23"/>
  <c r="J24" i="13"/>
  <c r="K23" i="18"/>
  <c r="K23" i="29"/>
  <c r="J31" i="18"/>
  <c r="J31" i="33"/>
  <c r="J31" i="29"/>
  <c r="J31" i="23"/>
  <c r="K24" i="37"/>
  <c r="K30" i="37"/>
  <c r="J30" i="13"/>
  <c r="J23" i="33"/>
  <c r="J30" i="33"/>
  <c r="J30" i="35"/>
  <c r="J32" i="20"/>
  <c r="J32" i="13"/>
  <c r="L32" i="13" s="1"/>
  <c r="J30" i="37"/>
  <c r="J30" i="20"/>
  <c r="J32" i="37"/>
  <c r="K30" i="18"/>
  <c r="K30" i="33"/>
  <c r="K30" i="29"/>
  <c r="K30" i="23"/>
  <c r="K32" i="37"/>
  <c r="K30" i="35"/>
  <c r="K31" i="37"/>
  <c r="K33" i="37"/>
  <c r="K31" i="35"/>
  <c r="K33" i="35"/>
  <c r="K31" i="24"/>
  <c r="L31" i="23" l="1"/>
  <c r="L24" i="18"/>
  <c r="L23" i="33"/>
  <c r="L30" i="37"/>
  <c r="L24" i="23"/>
  <c r="L24" i="29"/>
  <c r="L23" i="35"/>
  <c r="L23" i="20"/>
  <c r="L25" i="18"/>
  <c r="L31" i="29"/>
  <c r="L25" i="29"/>
  <c r="L24" i="33"/>
  <c r="L26" i="33"/>
  <c r="L33" i="23"/>
  <c r="L30" i="35"/>
  <c r="L31" i="18"/>
  <c r="L33" i="18"/>
  <c r="L30" i="20"/>
  <c r="L31" i="13"/>
  <c r="L24" i="13"/>
  <c r="L26" i="35"/>
  <c r="L24" i="37"/>
  <c r="L31" i="37"/>
  <c r="L26" i="20"/>
  <c r="L26" i="37"/>
  <c r="L26" i="29"/>
  <c r="L30" i="29"/>
  <c r="L32" i="37"/>
  <c r="L31" i="33"/>
  <c r="L23" i="13"/>
  <c r="L23" i="29"/>
  <c r="L33" i="37"/>
  <c r="L32" i="23"/>
  <c r="L25" i="13"/>
  <c r="L30" i="18"/>
  <c r="L31" i="35"/>
  <c r="L23" i="18"/>
  <c r="L33" i="29"/>
  <c r="L32" i="20"/>
  <c r="L25" i="33"/>
  <c r="L26" i="23"/>
  <c r="L26" i="18"/>
  <c r="L32" i="29"/>
  <c r="L25" i="20"/>
  <c r="L33" i="33"/>
  <c r="L30" i="13"/>
  <c r="L30" i="33"/>
  <c r="L24" i="24"/>
  <c r="L25" i="37"/>
  <c r="L23" i="37"/>
  <c r="L32" i="33"/>
  <c r="L33" i="20"/>
  <c r="L31" i="24"/>
  <c r="L32" i="18"/>
  <c r="L33" i="35"/>
  <c r="L30" i="23"/>
  <c r="E39" i="4"/>
  <c r="E38" i="4"/>
  <c r="E37" i="4"/>
  <c r="E36" i="4"/>
  <c r="J9" i="72"/>
  <c r="E31" i="13" l="1"/>
  <c r="E31" i="37"/>
  <c r="E31" i="33"/>
  <c r="E31" i="24"/>
  <c r="E31" i="29"/>
  <c r="E23" i="13"/>
  <c r="E23" i="20"/>
  <c r="E23" i="37"/>
  <c r="E23" i="33"/>
  <c r="E23" i="29"/>
  <c r="E25" i="29"/>
  <c r="E25" i="20"/>
  <c r="E25" i="13"/>
  <c r="E30" i="13"/>
  <c r="E30" i="20"/>
  <c r="E30" i="37"/>
  <c r="E30" i="29"/>
  <c r="E30" i="33"/>
  <c r="E32" i="20"/>
  <c r="E32" i="13"/>
  <c r="E32" i="29"/>
  <c r="E24" i="24"/>
  <c r="E24" i="13"/>
  <c r="E24" i="29"/>
  <c r="E24" i="33"/>
  <c r="E24" i="37"/>
  <c r="E33" i="29"/>
  <c r="K7" i="72"/>
  <c r="K9" i="72"/>
  <c r="L9" i="72" s="1"/>
  <c r="J7" i="72"/>
  <c r="D48" i="72"/>
  <c r="D7" i="72"/>
  <c r="D9" i="72"/>
  <c r="AN44" i="65"/>
  <c r="AK44" i="65"/>
  <c r="AB44" i="65"/>
  <c r="G44" i="65"/>
  <c r="Y44" i="65"/>
  <c r="S44" i="65"/>
  <c r="J44" i="65"/>
  <c r="AN42" i="65"/>
  <c r="AK42" i="65"/>
  <c r="AE42" i="65"/>
  <c r="AB42" i="65"/>
  <c r="V42" i="65"/>
  <c r="S42" i="65"/>
  <c r="P42" i="65"/>
  <c r="J42" i="65"/>
  <c r="D42" i="65"/>
  <c r="AN40" i="65"/>
  <c r="AK40" i="65"/>
  <c r="AE40" i="65"/>
  <c r="AB40" i="65"/>
  <c r="G40" i="65"/>
  <c r="Y40" i="65"/>
  <c r="V40" i="65"/>
  <c r="S40" i="65"/>
  <c r="P40" i="65"/>
  <c r="J40" i="65"/>
  <c r="D40" i="65"/>
  <c r="AN39" i="65"/>
  <c r="AK39" i="65"/>
  <c r="AE39" i="65"/>
  <c r="AB39" i="65"/>
  <c r="G39" i="65"/>
  <c r="Y39" i="65"/>
  <c r="S39" i="65"/>
  <c r="P39" i="65"/>
  <c r="J39" i="65"/>
  <c r="AN38" i="65"/>
  <c r="AK38" i="65"/>
  <c r="AE38" i="65"/>
  <c r="AB38" i="65"/>
  <c r="G38" i="65"/>
  <c r="Y38" i="65"/>
  <c r="S38" i="65"/>
  <c r="P38" i="65"/>
  <c r="J38" i="65"/>
  <c r="AN37" i="65"/>
  <c r="AK37" i="65"/>
  <c r="AE37" i="65"/>
  <c r="AB37" i="65"/>
  <c r="G37" i="65"/>
  <c r="Y37" i="65"/>
  <c r="V37" i="65"/>
  <c r="S37" i="65"/>
  <c r="P37" i="65"/>
  <c r="J37" i="65"/>
  <c r="D37" i="65"/>
  <c r="AN33" i="65"/>
  <c r="AK33" i="65"/>
  <c r="AB33" i="65"/>
  <c r="G33" i="65"/>
  <c r="Y33" i="65"/>
  <c r="J33" i="65"/>
  <c r="AN32" i="65"/>
  <c r="AK32" i="65"/>
  <c r="AH32" i="65"/>
  <c r="AE32" i="65"/>
  <c r="AB32" i="65"/>
  <c r="G32" i="65"/>
  <c r="Y32" i="65"/>
  <c r="V32" i="65"/>
  <c r="S32" i="65"/>
  <c r="P32" i="65"/>
  <c r="J32" i="65"/>
  <c r="D32" i="65"/>
  <c r="AN31" i="65"/>
  <c r="AK31" i="65"/>
  <c r="AE31" i="65"/>
  <c r="AB31" i="65"/>
  <c r="Y31" i="65"/>
  <c r="S31" i="65"/>
  <c r="J31" i="65"/>
  <c r="D31" i="65"/>
  <c r="AN30" i="65"/>
  <c r="AK30" i="65"/>
  <c r="AH30" i="65"/>
  <c r="AB30" i="65"/>
  <c r="G30" i="65"/>
  <c r="Y30" i="65"/>
  <c r="S30" i="65"/>
  <c r="J30" i="65"/>
  <c r="D30" i="65"/>
  <c r="AB29" i="65"/>
  <c r="AN28" i="65"/>
  <c r="AK28" i="65"/>
  <c r="AB28" i="65"/>
  <c r="G28" i="65"/>
  <c r="Y28" i="65"/>
  <c r="S28" i="65"/>
  <c r="J28" i="65"/>
  <c r="AN27" i="65"/>
  <c r="AK27" i="65"/>
  <c r="AB27" i="65"/>
  <c r="P27" i="65"/>
  <c r="J27" i="65"/>
  <c r="D27" i="65"/>
  <c r="AN26" i="65"/>
  <c r="AK26" i="65"/>
  <c r="AE26" i="65"/>
  <c r="AB26" i="65"/>
  <c r="G26" i="65"/>
  <c r="Y26" i="65"/>
  <c r="J26" i="65"/>
  <c r="AN25" i="65"/>
  <c r="AK25" i="65"/>
  <c r="AE25" i="65"/>
  <c r="AB25" i="65"/>
  <c r="G25" i="65"/>
  <c r="Y25" i="65"/>
  <c r="S25" i="65"/>
  <c r="J25" i="65"/>
  <c r="D25" i="65"/>
  <c r="AN24" i="65"/>
  <c r="AK24" i="65"/>
  <c r="AE24" i="65"/>
  <c r="AB24" i="65"/>
  <c r="G24" i="65"/>
  <c r="Y24" i="65"/>
  <c r="S24" i="65"/>
  <c r="P24" i="65"/>
  <c r="J24" i="65"/>
  <c r="AN23" i="65"/>
  <c r="AK23" i="65"/>
  <c r="AE23" i="65"/>
  <c r="AB23" i="65"/>
  <c r="G23" i="65"/>
  <c r="Y23" i="65"/>
  <c r="S23" i="65"/>
  <c r="P23" i="65"/>
  <c r="J23" i="65"/>
  <c r="D23" i="65"/>
  <c r="AE21" i="65"/>
  <c r="AN20" i="65"/>
  <c r="AK20" i="65"/>
  <c r="AH20" i="65"/>
  <c r="AB20" i="65"/>
  <c r="G20" i="65"/>
  <c r="Y20" i="65"/>
  <c r="S20" i="65"/>
  <c r="P20" i="65"/>
  <c r="J20" i="65"/>
  <c r="D20" i="65"/>
  <c r="AN19" i="65"/>
  <c r="AK19" i="65"/>
  <c r="AH19" i="65"/>
  <c r="AE19" i="65"/>
  <c r="AB19" i="65"/>
  <c r="G19" i="65"/>
  <c r="Y19" i="65"/>
  <c r="V19" i="65"/>
  <c r="S19" i="65"/>
  <c r="P19" i="65"/>
  <c r="J19" i="65"/>
  <c r="D19" i="65"/>
  <c r="AN17" i="65"/>
  <c r="AK17" i="65"/>
  <c r="AE17" i="65"/>
  <c r="AB17" i="65"/>
  <c r="G17" i="65"/>
  <c r="Y17" i="65"/>
  <c r="P17" i="65"/>
  <c r="J17" i="65"/>
  <c r="AN16" i="65"/>
  <c r="AK16" i="65"/>
  <c r="AH16" i="65"/>
  <c r="AB16" i="65"/>
  <c r="G16" i="65"/>
  <c r="Y16" i="65"/>
  <c r="S16" i="65"/>
  <c r="P16" i="65"/>
  <c r="J16" i="65"/>
  <c r="D16" i="65"/>
  <c r="AN15" i="65"/>
  <c r="AK15" i="65"/>
  <c r="AE15" i="65"/>
  <c r="AB15" i="65"/>
  <c r="G15" i="65"/>
  <c r="Y15" i="65"/>
  <c r="S15" i="65"/>
  <c r="P15" i="65"/>
  <c r="J15" i="65"/>
  <c r="D15" i="65"/>
  <c r="AN14" i="65"/>
  <c r="AB14" i="65"/>
  <c r="AN13" i="65"/>
  <c r="AK13" i="65"/>
  <c r="AH13" i="65"/>
  <c r="AB13" i="65"/>
  <c r="G13" i="65"/>
  <c r="Y13" i="65"/>
  <c r="S13" i="65"/>
  <c r="P13" i="65"/>
  <c r="J13" i="65"/>
  <c r="D13" i="65"/>
  <c r="AN12" i="65"/>
  <c r="AK12" i="65"/>
  <c r="AB12" i="65"/>
  <c r="G12" i="65"/>
  <c r="Y12" i="65"/>
  <c r="S12" i="65"/>
  <c r="P12" i="65"/>
  <c r="J12" i="65"/>
  <c r="D12" i="65"/>
  <c r="AN11" i="65"/>
  <c r="AK11" i="65"/>
  <c r="AH11" i="65"/>
  <c r="AE11" i="65"/>
  <c r="AB11" i="65"/>
  <c r="G11" i="65"/>
  <c r="Y11" i="65"/>
  <c r="V11" i="65"/>
  <c r="S11" i="65"/>
  <c r="P11" i="65"/>
  <c r="J11" i="65"/>
  <c r="D11" i="65"/>
  <c r="AN89" i="62"/>
  <c r="AK89" i="62"/>
  <c r="AE89" i="62"/>
  <c r="AB89" i="62"/>
  <c r="G89" i="62"/>
  <c r="Y89" i="62"/>
  <c r="V89" i="62"/>
  <c r="S89" i="62"/>
  <c r="P89" i="62"/>
  <c r="J89" i="62"/>
  <c r="D89" i="62"/>
  <c r="AN88" i="62"/>
  <c r="AK88" i="62"/>
  <c r="AH88" i="62"/>
  <c r="AE88" i="62"/>
  <c r="AB88" i="62"/>
  <c r="G88" i="62"/>
  <c r="Y88" i="62"/>
  <c r="V88" i="62"/>
  <c r="S88" i="62"/>
  <c r="J88" i="62"/>
  <c r="D88" i="62"/>
  <c r="AK87" i="62"/>
  <c r="AN86" i="62"/>
  <c r="AK86" i="62"/>
  <c r="AE86" i="62"/>
  <c r="AB86" i="62"/>
  <c r="G86" i="62"/>
  <c r="Y86" i="62"/>
  <c r="V86" i="62"/>
  <c r="S86" i="62"/>
  <c r="P86" i="62"/>
  <c r="J86" i="62"/>
  <c r="D86" i="62"/>
  <c r="AN83" i="62"/>
  <c r="AK83" i="62"/>
  <c r="G83" i="62"/>
  <c r="Y83" i="62"/>
  <c r="S83" i="62"/>
  <c r="J83" i="62"/>
  <c r="D83" i="62"/>
  <c r="AN82" i="62"/>
  <c r="AK82" i="62"/>
  <c r="AN81" i="62"/>
  <c r="AK81" i="62"/>
  <c r="AH81" i="62"/>
  <c r="AB81" i="62"/>
  <c r="G81" i="62"/>
  <c r="Y81" i="62"/>
  <c r="S81" i="62"/>
  <c r="P81" i="62"/>
  <c r="J81" i="62"/>
  <c r="D81" i="62"/>
  <c r="AN77" i="62"/>
  <c r="AK77" i="62"/>
  <c r="P77" i="62"/>
  <c r="J77" i="62"/>
  <c r="D77" i="62"/>
  <c r="AN76" i="62"/>
  <c r="AK76" i="62"/>
  <c r="AB76" i="62"/>
  <c r="G76" i="62"/>
  <c r="Y76" i="62"/>
  <c r="D76" i="62"/>
  <c r="AN75" i="62"/>
  <c r="AK75" i="62"/>
  <c r="AE75" i="62"/>
  <c r="AB75" i="62"/>
  <c r="G75" i="62"/>
  <c r="Y75" i="62"/>
  <c r="S75" i="62"/>
  <c r="J75" i="62"/>
  <c r="D75" i="62"/>
  <c r="AN74" i="62"/>
  <c r="AK74" i="62"/>
  <c r="AE74" i="62"/>
  <c r="AB74" i="62"/>
  <c r="G74" i="62"/>
  <c r="Y74" i="62"/>
  <c r="S74" i="62"/>
  <c r="P74" i="62"/>
  <c r="J74" i="62"/>
  <c r="D74" i="62"/>
  <c r="AN73" i="62"/>
  <c r="AK73" i="62"/>
  <c r="AE73" i="62"/>
  <c r="AB73" i="62"/>
  <c r="G73" i="62"/>
  <c r="Y73" i="62"/>
  <c r="S73" i="62"/>
  <c r="P73" i="62"/>
  <c r="J73" i="62"/>
  <c r="D73" i="62"/>
  <c r="AN71" i="62"/>
  <c r="AK71" i="62"/>
  <c r="AE71" i="62"/>
  <c r="AB71" i="62"/>
  <c r="Y71" i="62"/>
  <c r="J71" i="62"/>
  <c r="AN70" i="62"/>
  <c r="AK70" i="62"/>
  <c r="AE70" i="62"/>
  <c r="AB70" i="62"/>
  <c r="G70" i="62"/>
  <c r="Y70" i="62"/>
  <c r="S70" i="62"/>
  <c r="J70" i="62"/>
  <c r="AN69" i="62"/>
  <c r="AK69" i="62"/>
  <c r="AH69" i="62"/>
  <c r="AE69" i="62"/>
  <c r="AB69" i="62"/>
  <c r="G69" i="62"/>
  <c r="Y69" i="62"/>
  <c r="V69" i="62"/>
  <c r="S69" i="62"/>
  <c r="P69" i="62"/>
  <c r="J69" i="62"/>
  <c r="D69" i="62"/>
  <c r="AN68" i="62"/>
  <c r="AK68" i="62"/>
  <c r="AH68" i="62"/>
  <c r="AE68" i="62"/>
  <c r="AB68" i="62"/>
  <c r="G68" i="62"/>
  <c r="Y68" i="62"/>
  <c r="V68" i="62"/>
  <c r="S68" i="62"/>
  <c r="P68" i="62"/>
  <c r="J68" i="62"/>
  <c r="D68" i="62"/>
  <c r="AN59" i="62"/>
  <c r="AK59" i="62"/>
  <c r="AB59" i="62"/>
  <c r="Y59" i="62"/>
  <c r="S59" i="62"/>
  <c r="P59" i="62"/>
  <c r="D59" i="62"/>
  <c r="AN58" i="62"/>
  <c r="Y58" i="62"/>
  <c r="AN57" i="62"/>
  <c r="G57" i="62"/>
  <c r="Y57" i="62"/>
  <c r="S57" i="62"/>
  <c r="J57" i="62"/>
  <c r="AN56" i="62"/>
  <c r="AK56" i="62"/>
  <c r="G56" i="62"/>
  <c r="Y56" i="62"/>
  <c r="S56" i="62"/>
  <c r="P56" i="62"/>
  <c r="J56" i="62"/>
  <c r="D56" i="62"/>
  <c r="AN55" i="62"/>
  <c r="AK55" i="62"/>
  <c r="AH55" i="62"/>
  <c r="AB55" i="62"/>
  <c r="G55" i="62"/>
  <c r="Y55" i="62"/>
  <c r="S55" i="62"/>
  <c r="P55" i="62"/>
  <c r="J55" i="62"/>
  <c r="D55" i="62"/>
  <c r="Y53" i="62"/>
  <c r="Y51" i="62"/>
  <c r="AN49" i="62"/>
  <c r="Y49" i="62"/>
  <c r="AQ48" i="62"/>
  <c r="AK46" i="62"/>
  <c r="AB46" i="62"/>
  <c r="P46" i="62"/>
  <c r="D46" i="62"/>
  <c r="AN44" i="62"/>
  <c r="AK44" i="62"/>
  <c r="AE44" i="62"/>
  <c r="AB44" i="62"/>
  <c r="Y44" i="62"/>
  <c r="S44" i="62"/>
  <c r="P44" i="62"/>
  <c r="J44" i="62"/>
  <c r="D44" i="62"/>
  <c r="AN43" i="62"/>
  <c r="AK43" i="62"/>
  <c r="AE43" i="62"/>
  <c r="AB43" i="62"/>
  <c r="Y43" i="62"/>
  <c r="J43" i="62"/>
  <c r="D43" i="62"/>
  <c r="AN42" i="62"/>
  <c r="AE42" i="62"/>
  <c r="G42" i="62"/>
  <c r="Y42" i="62"/>
  <c r="S42" i="62"/>
  <c r="J42" i="62"/>
  <c r="AN41" i="62"/>
  <c r="AK41" i="62"/>
  <c r="AE41" i="62"/>
  <c r="AB41" i="62"/>
  <c r="G41" i="62"/>
  <c r="Y41" i="62"/>
  <c r="S41" i="62"/>
  <c r="P41" i="62"/>
  <c r="J41" i="62"/>
  <c r="D41" i="62"/>
  <c r="AN40" i="62"/>
  <c r="AK40" i="62"/>
  <c r="AE40" i="62"/>
  <c r="AB40" i="62"/>
  <c r="G40" i="62"/>
  <c r="Y40" i="62"/>
  <c r="P40" i="62"/>
  <c r="J40" i="62"/>
  <c r="D40" i="62"/>
  <c r="AN38" i="62"/>
  <c r="AK38" i="62"/>
  <c r="AE38" i="62"/>
  <c r="AB38" i="62"/>
  <c r="G38" i="62"/>
  <c r="Y38" i="62"/>
  <c r="S38" i="62"/>
  <c r="AN37" i="62"/>
  <c r="AK37" i="62"/>
  <c r="AE37" i="62"/>
  <c r="AB37" i="62"/>
  <c r="Y37" i="62"/>
  <c r="S37" i="62"/>
  <c r="J37" i="62"/>
  <c r="AN36" i="62"/>
  <c r="AK36" i="62"/>
  <c r="AE36" i="62"/>
  <c r="AB36" i="62"/>
  <c r="G36" i="62"/>
  <c r="Y36" i="62"/>
  <c r="S36" i="62"/>
  <c r="J36" i="62"/>
  <c r="J35" i="62"/>
  <c r="AN34" i="62"/>
  <c r="AK34" i="62"/>
  <c r="AE34" i="62"/>
  <c r="AB34" i="62"/>
  <c r="G34" i="62"/>
  <c r="Y34" i="62"/>
  <c r="J34" i="62"/>
  <c r="AK33" i="62"/>
  <c r="AE33" i="62"/>
  <c r="J33" i="62"/>
  <c r="AN28" i="62"/>
  <c r="AK28" i="62"/>
  <c r="AE28" i="62"/>
  <c r="AB28" i="62"/>
  <c r="G28" i="62"/>
  <c r="Y28" i="62"/>
  <c r="S28" i="62"/>
  <c r="P28" i="62"/>
  <c r="J28" i="62"/>
  <c r="D28" i="62"/>
  <c r="V27" i="62"/>
  <c r="AQ26" i="62"/>
  <c r="AN25" i="62"/>
  <c r="AK25" i="62"/>
  <c r="Y25" i="62"/>
  <c r="P25" i="62"/>
  <c r="J25" i="62"/>
  <c r="AN24" i="62"/>
  <c r="AE24" i="62"/>
  <c r="Y24" i="62"/>
  <c r="J24" i="62"/>
  <c r="AN23" i="62"/>
  <c r="AK23" i="62"/>
  <c r="AE23" i="62"/>
  <c r="AB23" i="62"/>
  <c r="G23" i="62"/>
  <c r="Y23" i="62"/>
  <c r="S23" i="62"/>
  <c r="J23" i="62"/>
  <c r="AN22" i="62"/>
  <c r="AK22" i="62"/>
  <c r="AE22" i="62"/>
  <c r="AB22" i="62"/>
  <c r="G22" i="62"/>
  <c r="Y22" i="62"/>
  <c r="S22" i="62"/>
  <c r="P22" i="62"/>
  <c r="J22" i="62"/>
  <c r="D22" i="62"/>
  <c r="AN21" i="62"/>
  <c r="AK21" i="62"/>
  <c r="AB21" i="62"/>
  <c r="G21" i="62"/>
  <c r="Y21" i="62"/>
  <c r="S21" i="62"/>
  <c r="P21" i="62"/>
  <c r="J21" i="62"/>
  <c r="D21" i="62"/>
  <c r="AN20" i="62"/>
  <c r="AK20" i="62"/>
  <c r="AE20" i="62"/>
  <c r="AB20" i="62"/>
  <c r="G20" i="62"/>
  <c r="Y20" i="62"/>
  <c r="V20" i="62"/>
  <c r="S20" i="62"/>
  <c r="P20" i="62"/>
  <c r="J20" i="62"/>
  <c r="AN19" i="62"/>
  <c r="AK19" i="62"/>
  <c r="AE19" i="62"/>
  <c r="Y19" i="62"/>
  <c r="AN18" i="62"/>
  <c r="AK18" i="62"/>
  <c r="Y18" i="62"/>
  <c r="AN17" i="62"/>
  <c r="AK17" i="62"/>
  <c r="AE17" i="62"/>
  <c r="Y17" i="62"/>
  <c r="AN27" i="62"/>
  <c r="AN15" i="62"/>
  <c r="AK15" i="62"/>
  <c r="AE15" i="62"/>
  <c r="Y15" i="62"/>
  <c r="J15" i="62"/>
  <c r="AK14" i="62"/>
  <c r="Y14" i="62"/>
  <c r="L7" i="72" l="1"/>
  <c r="AQ61" i="62"/>
  <c r="AQ84" i="62"/>
  <c r="AQ22" i="62"/>
  <c r="AQ14" i="62"/>
  <c r="AQ37" i="62"/>
  <c r="AQ41" i="62"/>
  <c r="AQ52" i="62"/>
  <c r="AH54" i="62"/>
  <c r="AK54" i="62"/>
  <c r="G27" i="62"/>
  <c r="AQ40" i="62"/>
  <c r="AQ46" i="62"/>
  <c r="P14" i="65"/>
  <c r="AQ15" i="65"/>
  <c r="AT16" i="65"/>
  <c r="AQ19" i="65"/>
  <c r="AQ28" i="65"/>
  <c r="AQ71" i="62"/>
  <c r="AQ75" i="62"/>
  <c r="AQ81" i="62"/>
  <c r="AQ87" i="62"/>
  <c r="AQ89" i="62"/>
  <c r="H28" i="9"/>
  <c r="D47" i="72"/>
  <c r="G28" i="9"/>
  <c r="G70" i="9" s="1"/>
  <c r="B28" i="9"/>
  <c r="M27" i="8" s="1"/>
  <c r="AB27" i="62"/>
  <c r="AQ55" i="62"/>
  <c r="AQ57" i="62"/>
  <c r="AQ68" i="62"/>
  <c r="AQ17" i="65"/>
  <c r="AQ20" i="65"/>
  <c r="Y16" i="62"/>
  <c r="AQ28" i="62"/>
  <c r="AQ42" i="62"/>
  <c r="AQ69" i="62"/>
  <c r="AQ76" i="62"/>
  <c r="AQ82" i="62"/>
  <c r="AT12" i="65"/>
  <c r="AQ13" i="65"/>
  <c r="AQ27" i="65"/>
  <c r="AQ33" i="65"/>
  <c r="AQ44" i="65"/>
  <c r="AQ15" i="62"/>
  <c r="AQ17" i="62"/>
  <c r="AQ19" i="62"/>
  <c r="AQ21" i="62"/>
  <c r="AQ23" i="62"/>
  <c r="AQ33" i="62"/>
  <c r="AQ53" i="62"/>
  <c r="AQ86" i="62"/>
  <c r="AT19" i="65"/>
  <c r="AK35" i="62"/>
  <c r="AB39" i="62"/>
  <c r="AQ38" i="62"/>
  <c r="Y39" i="62"/>
  <c r="AQ43" i="62"/>
  <c r="AQ49" i="62"/>
  <c r="AQ51" i="62"/>
  <c r="AQ56" i="62"/>
  <c r="AQ58" i="62"/>
  <c r="AQ59" i="62"/>
  <c r="AQ70" i="62"/>
  <c r="AQ74" i="62"/>
  <c r="AQ77" i="62"/>
  <c r="AQ78" i="62"/>
  <c r="AT15" i="65"/>
  <c r="AT20" i="65"/>
  <c r="J21" i="65"/>
  <c r="AK21" i="65"/>
  <c r="AQ38" i="65"/>
  <c r="AQ39" i="65"/>
  <c r="P29" i="65"/>
  <c r="S54" i="62"/>
  <c r="AN79" i="62"/>
  <c r="AE16" i="62"/>
  <c r="J54" i="62"/>
  <c r="AE14" i="65"/>
  <c r="Y29" i="65"/>
  <c r="AQ40" i="65"/>
  <c r="G85" i="62"/>
  <c r="AK16" i="62"/>
  <c r="D14" i="65"/>
  <c r="AK29" i="65"/>
  <c r="AQ18" i="62"/>
  <c r="AQ88" i="62"/>
  <c r="AQ12" i="65"/>
  <c r="AQ26" i="65"/>
  <c r="S35" i="62"/>
  <c r="AN35" i="62"/>
  <c r="G39" i="62"/>
  <c r="AE39" i="62"/>
  <c r="AN54" i="62"/>
  <c r="AQ73" i="62"/>
  <c r="AN16" i="62"/>
  <c r="AQ24" i="62"/>
  <c r="AQ34" i="62"/>
  <c r="AQ36" i="62"/>
  <c r="AQ44" i="62"/>
  <c r="D54" i="62"/>
  <c r="P54" i="62"/>
  <c r="AK79" i="62"/>
  <c r="AQ83" i="62"/>
  <c r="Y85" i="62"/>
  <c r="AB85" i="62"/>
  <c r="AQ11" i="65"/>
  <c r="AT13" i="65"/>
  <c r="V14" i="65"/>
  <c r="AQ16" i="65"/>
  <c r="AT17" i="65"/>
  <c r="S21" i="65"/>
  <c r="AQ23" i="65"/>
  <c r="AQ24" i="65"/>
  <c r="AQ25" i="65"/>
  <c r="J29" i="65"/>
  <c r="AQ32" i="65"/>
  <c r="AQ25" i="62"/>
  <c r="AT11" i="65"/>
  <c r="G14" i="65"/>
  <c r="AH34" i="65"/>
  <c r="Y21" i="65"/>
  <c r="AN21" i="65"/>
  <c r="D29" i="65"/>
  <c r="S29" i="65"/>
  <c r="AQ37" i="65"/>
  <c r="J34" i="65"/>
  <c r="Y14" i="65"/>
  <c r="P21" i="65"/>
  <c r="G21" i="65"/>
  <c r="AH21" i="65"/>
  <c r="AN29" i="65"/>
  <c r="AE34" i="65"/>
  <c r="AE29" i="65"/>
  <c r="AQ30" i="65"/>
  <c r="G29" i="65"/>
  <c r="J14" i="65"/>
  <c r="S14" i="65"/>
  <c r="AH14" i="65"/>
  <c r="D21" i="65"/>
  <c r="V21" i="65"/>
  <c r="AK14" i="65"/>
  <c r="AB21" i="65"/>
  <c r="AQ31" i="65"/>
  <c r="AQ42" i="65"/>
  <c r="Y27" i="62"/>
  <c r="V29" i="62"/>
  <c r="J27" i="62"/>
  <c r="P27" i="62"/>
  <c r="D27" i="62"/>
  <c r="S27" i="62"/>
  <c r="AH29" i="62"/>
  <c r="G35" i="62"/>
  <c r="Y35" i="62"/>
  <c r="S39" i="62"/>
  <c r="AK39" i="62"/>
  <c r="AQ16" i="62"/>
  <c r="D20" i="62"/>
  <c r="AQ20" i="62"/>
  <c r="AB35" i="62"/>
  <c r="J39" i="62"/>
  <c r="AN39" i="62"/>
  <c r="D39" i="62"/>
  <c r="AE35" i="62"/>
  <c r="P39" i="62"/>
  <c r="G54" i="62"/>
  <c r="J79" i="62"/>
  <c r="S79" i="62"/>
  <c r="Y79" i="62"/>
  <c r="AB79" i="62"/>
  <c r="J85" i="62"/>
  <c r="S85" i="62"/>
  <c r="AN85" i="62"/>
  <c r="Y91" i="62"/>
  <c r="Y50" i="62"/>
  <c r="Y54" i="62"/>
  <c r="AB54" i="62"/>
  <c r="D79" i="62"/>
  <c r="P79" i="62"/>
  <c r="V79" i="62"/>
  <c r="G79" i="62"/>
  <c r="AE79" i="62"/>
  <c r="D85" i="62"/>
  <c r="P85" i="62"/>
  <c r="AH85" i="62"/>
  <c r="AK85" i="62"/>
  <c r="C28" i="9" l="1"/>
  <c r="AQ39" i="62"/>
  <c r="B70" i="9"/>
  <c r="AK27" i="62"/>
  <c r="AQ27" i="62"/>
  <c r="AE27" i="62"/>
  <c r="AT14" i="65"/>
  <c r="AT21" i="65"/>
  <c r="V91" i="62"/>
  <c r="AQ79" i="62"/>
  <c r="V34" i="65"/>
  <c r="P34" i="65"/>
  <c r="J41" i="65"/>
  <c r="AQ29" i="65"/>
  <c r="AQ14" i="65"/>
  <c r="AK34" i="65"/>
  <c r="AQ21" i="65"/>
  <c r="S34" i="65"/>
  <c r="AE41" i="65"/>
  <c r="AN34" i="65"/>
  <c r="G34" i="65"/>
  <c r="D34" i="65"/>
  <c r="AB34" i="65"/>
  <c r="Y34" i="65"/>
  <c r="G60" i="62"/>
  <c r="AK29" i="62"/>
  <c r="AE29" i="62"/>
  <c r="AN60" i="62"/>
  <c r="G91" i="62"/>
  <c r="AQ85" i="62"/>
  <c r="AQ54" i="62"/>
  <c r="AB91" i="62"/>
  <c r="AQ50" i="62"/>
  <c r="AE45" i="62"/>
  <c r="G45" i="62"/>
  <c r="P29" i="62"/>
  <c r="AB29" i="62"/>
  <c r="P91" i="62"/>
  <c r="D91" i="62"/>
  <c r="D45" i="62"/>
  <c r="AH60" i="62"/>
  <c r="AH91" i="62"/>
  <c r="AN45" i="62"/>
  <c r="AN91" i="62"/>
  <c r="P60" i="62"/>
  <c r="S45" i="62"/>
  <c r="AB45" i="62"/>
  <c r="Y45" i="62"/>
  <c r="AN29" i="62"/>
  <c r="S29" i="62"/>
  <c r="D29" i="62"/>
  <c r="AQ29" i="62"/>
  <c r="J29" i="62"/>
  <c r="Y29" i="62"/>
  <c r="J60" i="62"/>
  <c r="AE91" i="62"/>
  <c r="Y60" i="62"/>
  <c r="S60" i="62"/>
  <c r="S91" i="62"/>
  <c r="AB60" i="62"/>
  <c r="AK45" i="62"/>
  <c r="AK60" i="62"/>
  <c r="D60" i="62"/>
  <c r="AK91" i="62"/>
  <c r="J91" i="62"/>
  <c r="AQ35" i="62"/>
  <c r="J45" i="62"/>
  <c r="P45" i="62"/>
  <c r="G29" i="62"/>
  <c r="C70" i="9" l="1"/>
  <c r="D70" i="9" s="1"/>
  <c r="N27" i="8"/>
  <c r="AH41" i="65"/>
  <c r="AQ34" i="65"/>
  <c r="G41" i="65"/>
  <c r="AE43" i="65"/>
  <c r="S41" i="65"/>
  <c r="J43" i="65"/>
  <c r="P41" i="65"/>
  <c r="Y41" i="65"/>
  <c r="AB41" i="65"/>
  <c r="D41" i="65"/>
  <c r="AQ41" i="65"/>
  <c r="AK41" i="65"/>
  <c r="V41" i="65"/>
  <c r="AN41" i="65"/>
  <c r="AH43" i="65"/>
  <c r="AK64" i="62"/>
  <c r="P64" i="62"/>
  <c r="D62" i="62"/>
  <c r="J62" i="62"/>
  <c r="AN64" i="62"/>
  <c r="S62" i="62"/>
  <c r="AN62" i="62"/>
  <c r="AE62" i="62"/>
  <c r="G64" i="62"/>
  <c r="AH62" i="62"/>
  <c r="AK62" i="62"/>
  <c r="AQ91" i="62"/>
  <c r="G62" i="62"/>
  <c r="P62" i="62"/>
  <c r="AQ60" i="62"/>
  <c r="Y64" i="62"/>
  <c r="S64" i="62"/>
  <c r="Y62" i="62"/>
  <c r="AB62" i="62"/>
  <c r="AQ45" i="62"/>
  <c r="D33" i="4"/>
  <c r="I33" i="4" l="1"/>
  <c r="H33" i="4"/>
  <c r="AN43" i="65"/>
  <c r="V43" i="65"/>
  <c r="AQ43" i="65"/>
  <c r="D43" i="65"/>
  <c r="Y43" i="65"/>
  <c r="J45" i="65"/>
  <c r="S43" i="65"/>
  <c r="P43" i="65"/>
  <c r="AE45" i="65"/>
  <c r="G43" i="65"/>
  <c r="AH45" i="65"/>
  <c r="AK43" i="65"/>
  <c r="AB43" i="65"/>
  <c r="D64" i="62"/>
  <c r="AB64" i="62"/>
  <c r="AH64" i="62"/>
  <c r="J64" i="62"/>
  <c r="AE64" i="62"/>
  <c r="V64" i="62"/>
  <c r="AQ62" i="62"/>
  <c r="J33" i="4" l="1"/>
  <c r="AB45" i="65"/>
  <c r="S45" i="65"/>
  <c r="Y45" i="65"/>
  <c r="V45" i="65"/>
  <c r="G45" i="65"/>
  <c r="AK45" i="65"/>
  <c r="P45" i="65"/>
  <c r="D45" i="65"/>
  <c r="AN45" i="65"/>
  <c r="AQ64" i="62"/>
  <c r="K9" i="18"/>
  <c r="K8" i="18"/>
  <c r="AQ45" i="65" l="1"/>
  <c r="G10" i="9"/>
  <c r="D22" i="18"/>
  <c r="H10" i="9"/>
  <c r="D29" i="18"/>
  <c r="H10" i="18"/>
  <c r="D7" i="18"/>
  <c r="D10" i="18"/>
  <c r="H117" i="18"/>
  <c r="H121" i="18"/>
  <c r="K7" i="18"/>
  <c r="J88" i="18"/>
  <c r="H109" i="18"/>
  <c r="H113" i="18"/>
  <c r="H125" i="18"/>
  <c r="K113" i="18"/>
  <c r="K99" i="18"/>
  <c r="H7" i="18"/>
  <c r="K11" i="18"/>
  <c r="J67" i="18"/>
  <c r="D99" i="18"/>
  <c r="J109" i="18"/>
  <c r="J112" i="18"/>
  <c r="J121" i="18"/>
  <c r="D28" i="18"/>
  <c r="H34" i="18"/>
  <c r="H35" i="18"/>
  <c r="K78" i="18"/>
  <c r="K108" i="18"/>
  <c r="J113" i="18"/>
  <c r="K120" i="18"/>
  <c r="H108" i="18"/>
  <c r="J35" i="18"/>
  <c r="H67" i="18"/>
  <c r="H11" i="18"/>
  <c r="K109" i="18"/>
  <c r="J117" i="18"/>
  <c r="K12" i="18"/>
  <c r="K112" i="18"/>
  <c r="K117" i="18"/>
  <c r="H12" i="18"/>
  <c r="K35" i="18"/>
  <c r="K10" i="18"/>
  <c r="J34" i="18"/>
  <c r="D67" i="18"/>
  <c r="D88" i="18"/>
  <c r="J99" i="18"/>
  <c r="J120" i="18"/>
  <c r="K121" i="18"/>
  <c r="K28" i="18"/>
  <c r="K34" i="18"/>
  <c r="D48" i="18"/>
  <c r="K67" i="18"/>
  <c r="D120" i="18"/>
  <c r="J11" i="18"/>
  <c r="J108" i="18"/>
  <c r="D112" i="18"/>
  <c r="H22" i="18"/>
  <c r="D78" i="18"/>
  <c r="D108" i="18"/>
  <c r="J125" i="18"/>
  <c r="J9" i="18"/>
  <c r="L9" i="18" s="1"/>
  <c r="D9" i="18"/>
  <c r="J28" i="18"/>
  <c r="J12" i="18"/>
  <c r="J7" i="18"/>
  <c r="J10" i="18"/>
  <c r="J8" i="18"/>
  <c r="L8" i="18" s="1"/>
  <c r="D8" i="18"/>
  <c r="J78" i="18"/>
  <c r="K125" i="18"/>
  <c r="K88" i="18"/>
  <c r="M60" i="8" l="1"/>
  <c r="N60" i="8"/>
  <c r="K98" i="18"/>
  <c r="I10" i="9"/>
  <c r="D87" i="18"/>
  <c r="H29" i="18"/>
  <c r="D66" i="18"/>
  <c r="K29" i="18"/>
  <c r="K22" i="18"/>
  <c r="J29" i="18"/>
  <c r="H119" i="18"/>
  <c r="J22" i="18"/>
  <c r="K119" i="18"/>
  <c r="L113" i="18"/>
  <c r="L12" i="18"/>
  <c r="L28" i="18"/>
  <c r="L88" i="18"/>
  <c r="L121" i="18"/>
  <c r="L109" i="18"/>
  <c r="L120" i="18"/>
  <c r="L99" i="18"/>
  <c r="L35" i="18"/>
  <c r="J111" i="18"/>
  <c r="H111" i="18"/>
  <c r="L117" i="18"/>
  <c r="L78" i="18"/>
  <c r="L7" i="18"/>
  <c r="L108" i="18"/>
  <c r="L11" i="18"/>
  <c r="L67" i="18"/>
  <c r="K111" i="18"/>
  <c r="L112" i="18"/>
  <c r="D98" i="18"/>
  <c r="L10" i="18"/>
  <c r="J119" i="18"/>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K8" i="37"/>
  <c r="J9" i="37"/>
  <c r="K9" i="37"/>
  <c r="J36" i="37"/>
  <c r="J37" i="37"/>
  <c r="K100" i="18" l="1"/>
  <c r="L8" i="37"/>
  <c r="L9" i="37"/>
  <c r="D47" i="18"/>
  <c r="B10" i="9"/>
  <c r="L76" i="33"/>
  <c r="L119" i="18"/>
  <c r="L97" i="33"/>
  <c r="L97" i="29"/>
  <c r="L76" i="29"/>
  <c r="D77" i="18"/>
  <c r="H68" i="18"/>
  <c r="J68" i="18"/>
  <c r="J66" i="18"/>
  <c r="L29" i="18"/>
  <c r="K79" i="18"/>
  <c r="K77" i="18"/>
  <c r="L22" i="18"/>
  <c r="L76" i="13"/>
  <c r="D97" i="4"/>
  <c r="D76" i="4"/>
  <c r="L97" i="37"/>
  <c r="K68" i="18"/>
  <c r="L76" i="37"/>
  <c r="K87" i="18"/>
  <c r="K89" i="18"/>
  <c r="L97" i="13"/>
  <c r="H100" i="18"/>
  <c r="J100" i="18"/>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5" i="37"/>
  <c r="K134" i="37"/>
  <c r="K122" i="37"/>
  <c r="D122" i="37"/>
  <c r="H114" i="37"/>
  <c r="H112" i="37"/>
  <c r="J121"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K136" i="37"/>
  <c r="J134" i="37"/>
  <c r="H35" i="37"/>
  <c r="J28" i="37"/>
  <c r="K11" i="37"/>
  <c r="J122" i="37"/>
  <c r="L122" i="37" s="1"/>
  <c r="J116" i="37"/>
  <c r="K109" i="37"/>
  <c r="D35" i="37"/>
  <c r="J12" i="37"/>
  <c r="J7" i="37"/>
  <c r="H75" i="37"/>
  <c r="D48" i="37"/>
  <c r="K121" i="37"/>
  <c r="J67" i="37"/>
  <c r="H125" i="37"/>
  <c r="D124" i="37"/>
  <c r="D109" i="37"/>
  <c r="H96" i="37"/>
  <c r="K88" i="37"/>
  <c r="D55" i="37"/>
  <c r="J34" i="37"/>
  <c r="D9" i="37"/>
  <c r="J107" i="37"/>
  <c r="D107" i="37"/>
  <c r="K124" i="37"/>
  <c r="D99" i="37"/>
  <c r="D134" i="37"/>
  <c r="D120" i="37"/>
  <c r="J78" i="37"/>
  <c r="D78" i="37"/>
  <c r="J75" i="37"/>
  <c r="D75" i="37"/>
  <c r="J112" i="37"/>
  <c r="D112" i="37"/>
  <c r="J109" i="37"/>
  <c r="J135" i="37"/>
  <c r="D136" i="37"/>
  <c r="K120" i="37"/>
  <c r="J99" i="37"/>
  <c r="J96" i="37"/>
  <c r="D96" i="37"/>
  <c r="K86" i="37"/>
  <c r="J136" i="37"/>
  <c r="J120" i="37"/>
  <c r="J114" i="37"/>
  <c r="H109" i="37"/>
  <c r="D86" i="37"/>
  <c r="K117" i="37"/>
  <c r="K112" i="37"/>
  <c r="D88" i="37"/>
  <c r="H11" i="37"/>
  <c r="D10" i="37"/>
  <c r="K35" i="37"/>
  <c r="D57" i="37"/>
  <c r="D54" i="37"/>
  <c r="K34" i="37"/>
  <c r="H12" i="37"/>
  <c r="K37" i="37"/>
  <c r="D37" i="37"/>
  <c r="H10" i="37"/>
  <c r="K36" i="37"/>
  <c r="D36" i="37"/>
  <c r="J11" i="37"/>
  <c r="M9" i="8" l="1"/>
  <c r="J76" i="4"/>
  <c r="L100" i="18"/>
  <c r="L114" i="37"/>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136" i="37"/>
  <c r="L96" i="37"/>
  <c r="L34" i="37"/>
  <c r="L109" i="37"/>
  <c r="L67" i="37"/>
  <c r="L99" i="37"/>
  <c r="L108" i="37"/>
  <c r="L134" i="37"/>
  <c r="L10" i="37"/>
  <c r="D47" i="37"/>
  <c r="L107" i="37"/>
  <c r="L75" i="37"/>
  <c r="K119" i="37"/>
  <c r="H111" i="37"/>
  <c r="L86" i="37"/>
  <c r="L121" i="37"/>
  <c r="H119"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111" i="37"/>
  <c r="L119" i="37"/>
  <c r="H87" i="37" l="1"/>
  <c r="L89" i="37"/>
  <c r="J98" i="37"/>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D32" i="4" l="1"/>
  <c r="D24" i="4"/>
  <c r="I23" i="37"/>
  <c r="I25" i="37"/>
  <c r="I25" i="18"/>
  <c r="I30" i="37"/>
  <c r="I30" i="18"/>
  <c r="I31" i="37"/>
  <c r="I31" i="18"/>
  <c r="D25" i="4"/>
  <c r="I24" i="37"/>
  <c r="I24" i="18"/>
  <c r="I32" i="37"/>
  <c r="I32" i="18"/>
  <c r="D30" i="4"/>
  <c r="D31" i="4"/>
  <c r="E29" i="18" l="1"/>
  <c r="E29" i="23"/>
  <c r="E29" i="29"/>
  <c r="E29" i="33"/>
  <c r="E29" i="20"/>
  <c r="E29" i="24"/>
  <c r="E29" i="51"/>
  <c r="E29" i="37"/>
  <c r="E29" i="13"/>
  <c r="I23" i="18"/>
  <c r="D23" i="4"/>
  <c r="I26" i="4"/>
  <c r="H26" i="4"/>
  <c r="F26" i="10"/>
  <c r="F16" i="10"/>
  <c r="F34" i="10"/>
  <c r="I26" i="29"/>
  <c r="I26" i="20"/>
  <c r="I26" i="23"/>
  <c r="I26" i="33"/>
  <c r="I26" i="37"/>
  <c r="I26" i="35"/>
  <c r="I26" i="18"/>
  <c r="G16" i="10"/>
  <c r="G26" i="10"/>
  <c r="G34" i="10"/>
  <c r="M26" i="29" l="1"/>
  <c r="J26" i="4"/>
  <c r="M26" i="20"/>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L36" i="10" l="1"/>
  <c r="G56" i="10"/>
  <c r="G60" i="10"/>
  <c r="F60" i="10" l="1"/>
  <c r="F56" i="10"/>
  <c r="K28" i="10" l="1"/>
  <c r="J28" i="10"/>
  <c r="K9" i="33" l="1"/>
  <c r="J38" i="34"/>
  <c r="K9" i="29"/>
  <c r="K8" i="51"/>
  <c r="K8" i="29"/>
  <c r="K9" i="41"/>
  <c r="K8" i="33"/>
  <c r="K38" i="34"/>
  <c r="K8" i="41"/>
  <c r="K9" i="51"/>
  <c r="K8" i="25"/>
  <c r="K8" i="24"/>
  <c r="K9" i="25"/>
  <c r="K9" i="24"/>
  <c r="K8" i="22"/>
  <c r="K9" i="22"/>
  <c r="K9" i="20"/>
  <c r="K8" i="20"/>
  <c r="K8" i="19"/>
  <c r="J36" i="13"/>
  <c r="K9" i="19"/>
  <c r="K39" i="13"/>
  <c r="K37" i="13"/>
  <c r="J39" i="13"/>
  <c r="J37" i="13"/>
  <c r="K36" i="13"/>
  <c r="K8" i="13"/>
  <c r="K9" i="13"/>
  <c r="D22" i="16"/>
  <c r="E7" i="16" l="1"/>
  <c r="E28" i="16"/>
  <c r="B20" i="10"/>
  <c r="F20" i="10"/>
  <c r="E49" i="16"/>
  <c r="B16" i="10"/>
  <c r="B23" i="10"/>
  <c r="B44" i="10"/>
  <c r="E8" i="16"/>
  <c r="F31" i="10"/>
  <c r="F30" i="10"/>
  <c r="E28" i="4"/>
  <c r="F41" i="10"/>
  <c r="F15" i="10"/>
  <c r="E57" i="16"/>
  <c r="B58" i="4"/>
  <c r="G96" i="4"/>
  <c r="B30" i="10"/>
  <c r="B26" i="10"/>
  <c r="E37" i="13"/>
  <c r="E54" i="16"/>
  <c r="B13" i="10"/>
  <c r="F42" i="10"/>
  <c r="B38" i="4"/>
  <c r="E9" i="16"/>
  <c r="F25" i="10"/>
  <c r="B33" i="10"/>
  <c r="E48" i="16"/>
  <c r="B15" i="10"/>
  <c r="E36" i="13"/>
  <c r="B9" i="10"/>
  <c r="E10" i="16"/>
  <c r="B55" i="4"/>
  <c r="B41" i="10"/>
  <c r="B25" i="10"/>
  <c r="F9" i="10"/>
  <c r="G116" i="4"/>
  <c r="G18" i="9"/>
  <c r="G60" i="9" s="1"/>
  <c r="H43" i="9"/>
  <c r="C41" i="9"/>
  <c r="H42" i="9"/>
  <c r="G11" i="9"/>
  <c r="M61" i="8" s="1"/>
  <c r="G41" i="9"/>
  <c r="H21" i="9"/>
  <c r="N70" i="8" s="1"/>
  <c r="G19" i="9"/>
  <c r="M68" i="8" s="1"/>
  <c r="H11" i="9"/>
  <c r="H15" i="9"/>
  <c r="N65" i="8" s="1"/>
  <c r="G16" i="9"/>
  <c r="M66" i="8" s="1"/>
  <c r="G17" i="9"/>
  <c r="H22" i="9"/>
  <c r="N71" i="8" s="1"/>
  <c r="C39" i="9"/>
  <c r="G20" i="9"/>
  <c r="M69" i="8" s="1"/>
  <c r="B44" i="9"/>
  <c r="B45" i="9"/>
  <c r="C45" i="9"/>
  <c r="C38" i="9"/>
  <c r="G24" i="9"/>
  <c r="M73" i="8" s="1"/>
  <c r="C43" i="9"/>
  <c r="H44" i="9"/>
  <c r="H16" i="9"/>
  <c r="N66" i="8" s="1"/>
  <c r="H40" i="9"/>
  <c r="G13" i="9"/>
  <c r="C40" i="9"/>
  <c r="G23" i="9"/>
  <c r="M72" i="8" s="1"/>
  <c r="H23" i="9"/>
  <c r="G26" i="9"/>
  <c r="M75" i="8" s="1"/>
  <c r="G15" i="9"/>
  <c r="H39" i="9"/>
  <c r="H12" i="9"/>
  <c r="N62" i="8" s="1"/>
  <c r="H41" i="9"/>
  <c r="H38" i="9"/>
  <c r="C44" i="9"/>
  <c r="G12" i="9"/>
  <c r="H13" i="9"/>
  <c r="N63" i="8" s="1"/>
  <c r="C42" i="9"/>
  <c r="G25" i="9"/>
  <c r="G21" i="9"/>
  <c r="G27" i="9"/>
  <c r="H45" i="9"/>
  <c r="G29" i="9"/>
  <c r="M77" i="8" s="1"/>
  <c r="G31" i="9"/>
  <c r="M79" i="8" s="1"/>
  <c r="G39" i="9"/>
  <c r="H25" i="9"/>
  <c r="N74" i="8" s="1"/>
  <c r="G22" i="9"/>
  <c r="B39" i="9"/>
  <c r="B43" i="9"/>
  <c r="B40" i="9"/>
  <c r="K135" i="26"/>
  <c r="K7" i="35"/>
  <c r="H29" i="29"/>
  <c r="K121" i="13"/>
  <c r="H121" i="33"/>
  <c r="H29" i="20"/>
  <c r="H125" i="33"/>
  <c r="H68" i="29"/>
  <c r="K113" i="33"/>
  <c r="H68" i="35"/>
  <c r="H29" i="13"/>
  <c r="K68" i="20"/>
  <c r="K12" i="29"/>
  <c r="J86" i="29"/>
  <c r="K108" i="33"/>
  <c r="H22" i="33"/>
  <c r="K68" i="33"/>
  <c r="H35" i="29"/>
  <c r="H34" i="13"/>
  <c r="H121" i="27"/>
  <c r="H121" i="35"/>
  <c r="K22" i="51"/>
  <c r="K135" i="34"/>
  <c r="K134" i="26"/>
  <c r="K113" i="29"/>
  <c r="H100" i="29"/>
  <c r="K137" i="26"/>
  <c r="J79" i="29"/>
  <c r="K28" i="51"/>
  <c r="H89" i="29"/>
  <c r="K12" i="33"/>
  <c r="K116" i="33"/>
  <c r="K29" i="51"/>
  <c r="H34" i="33"/>
  <c r="H12" i="33"/>
  <c r="H79" i="27"/>
  <c r="H125" i="29"/>
  <c r="K109" i="20"/>
  <c r="K108" i="23"/>
  <c r="K22" i="23"/>
  <c r="K107" i="33"/>
  <c r="K100" i="33"/>
  <c r="K75" i="33"/>
  <c r="K122" i="33"/>
  <c r="H86" i="35"/>
  <c r="K114" i="33"/>
  <c r="H29" i="33"/>
  <c r="D58" i="39"/>
  <c r="H75" i="33"/>
  <c r="D37" i="13"/>
  <c r="K89" i="20"/>
  <c r="H100" i="20"/>
  <c r="K89" i="23"/>
  <c r="K68" i="23"/>
  <c r="K28" i="24"/>
  <c r="H135" i="26"/>
  <c r="H22" i="29"/>
  <c r="K113" i="35"/>
  <c r="K12" i="35"/>
  <c r="K109" i="35"/>
  <c r="H96" i="33"/>
  <c r="H117" i="33"/>
  <c r="K100" i="20"/>
  <c r="K28" i="25"/>
  <c r="K96" i="33"/>
  <c r="H35" i="33"/>
  <c r="K117" i="33"/>
  <c r="H100" i="27"/>
  <c r="H109" i="35"/>
  <c r="K28" i="23"/>
  <c r="H114" i="33"/>
  <c r="K113" i="20"/>
  <c r="K89" i="33"/>
  <c r="K11" i="35"/>
  <c r="H113" i="35"/>
  <c r="D57" i="16"/>
  <c r="D28" i="16"/>
  <c r="D29" i="16"/>
  <c r="D9" i="16"/>
  <c r="D10" i="16"/>
  <c r="D54" i="16"/>
  <c r="D8" i="16"/>
  <c r="D49" i="16"/>
  <c r="D7" i="16"/>
  <c r="D48" i="16"/>
  <c r="H100" i="23"/>
  <c r="B21" i="10"/>
  <c r="K109" i="23"/>
  <c r="H109" i="27"/>
  <c r="K10" i="35"/>
  <c r="K34" i="13"/>
  <c r="K107" i="13"/>
  <c r="K121" i="23"/>
  <c r="H109" i="23"/>
  <c r="H22" i="23"/>
  <c r="H89" i="35"/>
  <c r="H100" i="33"/>
  <c r="H68" i="33"/>
  <c r="K125" i="33"/>
  <c r="D49" i="39"/>
  <c r="K7" i="13"/>
  <c r="K7" i="19"/>
  <c r="K10" i="29"/>
  <c r="H7" i="23"/>
  <c r="H7" i="29"/>
  <c r="H7" i="33"/>
  <c r="K10" i="33"/>
  <c r="H10" i="13"/>
  <c r="K7" i="23"/>
  <c r="K11" i="33"/>
  <c r="K7" i="29"/>
  <c r="H11" i="13"/>
  <c r="H89" i="20"/>
  <c r="K22" i="13"/>
  <c r="K29" i="13"/>
  <c r="H79" i="13"/>
  <c r="K100" i="13"/>
  <c r="K116" i="13"/>
  <c r="K10" i="13"/>
  <c r="H121" i="13"/>
  <c r="K7" i="20"/>
  <c r="K10" i="20"/>
  <c r="K22" i="24"/>
  <c r="D49" i="26"/>
  <c r="K11" i="29"/>
  <c r="H22" i="35"/>
  <c r="H113" i="29"/>
  <c r="K7" i="33"/>
  <c r="H89" i="33"/>
  <c r="H107" i="33"/>
  <c r="K121" i="33"/>
  <c r="H89" i="13"/>
  <c r="K109" i="13"/>
  <c r="K67" i="13"/>
  <c r="K11" i="13"/>
  <c r="H22" i="20"/>
  <c r="H113" i="33"/>
  <c r="H107" i="35"/>
  <c r="H12" i="23"/>
  <c r="H136" i="26"/>
  <c r="H89" i="27"/>
  <c r="K28" i="29"/>
  <c r="K34" i="29"/>
  <c r="H134" i="26"/>
  <c r="K117" i="29"/>
  <c r="H109" i="20"/>
  <c r="H35" i="35"/>
  <c r="H79" i="23"/>
  <c r="H89" i="23"/>
  <c r="H117" i="23"/>
  <c r="K35" i="29"/>
  <c r="H117" i="29"/>
  <c r="H46" i="9"/>
  <c r="D39" i="13"/>
  <c r="H22" i="13"/>
  <c r="H113" i="20"/>
  <c r="H7" i="13"/>
  <c r="K35" i="13"/>
  <c r="K108" i="13"/>
  <c r="K12" i="13"/>
  <c r="H107" i="13"/>
  <c r="C46" i="9"/>
  <c r="D48" i="13"/>
  <c r="J10" i="13"/>
  <c r="D10" i="13"/>
  <c r="K28" i="13"/>
  <c r="K68" i="13"/>
  <c r="K112" i="13"/>
  <c r="K117" i="13"/>
  <c r="H35" i="13"/>
  <c r="H109" i="13"/>
  <c r="J89" i="13"/>
  <c r="D89" i="13"/>
  <c r="D11" i="13"/>
  <c r="J11" i="13"/>
  <c r="J9" i="19"/>
  <c r="L9" i="19" s="1"/>
  <c r="D9" i="19"/>
  <c r="B37" i="9"/>
  <c r="K113" i="13"/>
  <c r="J9" i="13"/>
  <c r="L9" i="13" s="1"/>
  <c r="D9" i="13"/>
  <c r="H68" i="13"/>
  <c r="J88" i="13"/>
  <c r="D88" i="13"/>
  <c r="H100" i="13"/>
  <c r="H12" i="13"/>
  <c r="C37" i="9"/>
  <c r="H37" i="9"/>
  <c r="H52" i="9" s="1"/>
  <c r="G37" i="9"/>
  <c r="G52" i="9" s="1"/>
  <c r="D78" i="13"/>
  <c r="J78" i="13"/>
  <c r="J12" i="13"/>
  <c r="D12" i="13"/>
  <c r="K120" i="13"/>
  <c r="J109" i="20"/>
  <c r="K88" i="13"/>
  <c r="H117" i="13"/>
  <c r="D35" i="13"/>
  <c r="J35" i="13"/>
  <c r="J68" i="13"/>
  <c r="K86" i="13"/>
  <c r="K89" i="13"/>
  <c r="J107" i="13"/>
  <c r="D107" i="13"/>
  <c r="D112" i="13"/>
  <c r="J112" i="13"/>
  <c r="J117" i="13"/>
  <c r="D86" i="13"/>
  <c r="J86" i="13"/>
  <c r="J125" i="13"/>
  <c r="D8" i="20"/>
  <c r="J8" i="20"/>
  <c r="L8" i="20" s="1"/>
  <c r="J79" i="13"/>
  <c r="D99" i="13"/>
  <c r="J99" i="13"/>
  <c r="J124" i="13"/>
  <c r="D124" i="13"/>
  <c r="H108" i="13"/>
  <c r="H113" i="13"/>
  <c r="J68" i="20"/>
  <c r="D68" i="20"/>
  <c r="J100" i="20"/>
  <c r="D100" i="20"/>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J28" i="20"/>
  <c r="D28" i="20"/>
  <c r="K79" i="20"/>
  <c r="K121" i="20"/>
  <c r="D54" i="22"/>
  <c r="D22" i="23"/>
  <c r="J22" i="23"/>
  <c r="D28" i="24"/>
  <c r="J28" i="24"/>
  <c r="D28" i="25"/>
  <c r="J28" i="25"/>
  <c r="J100" i="27"/>
  <c r="J112" i="23"/>
  <c r="D112" i="23"/>
  <c r="J22" i="24"/>
  <c r="D22" i="24"/>
  <c r="J88" i="27"/>
  <c r="D88" i="27"/>
  <c r="D8" i="22"/>
  <c r="J8" i="22"/>
  <c r="L8" i="22" s="1"/>
  <c r="D29" i="23"/>
  <c r="J29" i="23"/>
  <c r="K112" i="23"/>
  <c r="D7" i="24"/>
  <c r="J7" i="24"/>
  <c r="J22" i="51"/>
  <c r="D22" i="51"/>
  <c r="K11" i="23"/>
  <c r="K35" i="23"/>
  <c r="D107" i="23"/>
  <c r="J107" i="23"/>
  <c r="J117" i="23"/>
  <c r="K29" i="24"/>
  <c r="D48" i="25"/>
  <c r="D9" i="22"/>
  <c r="J9" i="22"/>
  <c r="L9" i="22" s="1"/>
  <c r="K12" i="23"/>
  <c r="K67" i="23"/>
  <c r="D78" i="23"/>
  <c r="K78" i="23"/>
  <c r="J108" i="23"/>
  <c r="D108" i="23"/>
  <c r="H113" i="23"/>
  <c r="J68" i="27"/>
  <c r="D67" i="29"/>
  <c r="K67" i="29"/>
  <c r="J75" i="33"/>
  <c r="D75" i="33"/>
  <c r="D48" i="26"/>
  <c r="J79" i="27"/>
  <c r="J121" i="27"/>
  <c r="D48" i="51"/>
  <c r="D54" i="40"/>
  <c r="J28" i="29"/>
  <c r="D28" i="29"/>
  <c r="D136" i="26"/>
  <c r="J136" i="26"/>
  <c r="H68" i="27"/>
  <c r="H117" i="27"/>
  <c r="D7" i="29"/>
  <c r="J7" i="29"/>
  <c r="J10" i="35"/>
  <c r="J8" i="41"/>
  <c r="L8" i="41" s="1"/>
  <c r="D8" i="41"/>
  <c r="J12" i="29"/>
  <c r="D9" i="41"/>
  <c r="J9" i="41"/>
  <c r="L9" i="41" s="1"/>
  <c r="H12" i="29"/>
  <c r="J109" i="29"/>
  <c r="D109" i="29"/>
  <c r="K120" i="29"/>
  <c r="D68" i="29"/>
  <c r="J68" i="29"/>
  <c r="D86" i="29"/>
  <c r="K86" i="29"/>
  <c r="K89" i="29"/>
  <c r="K107" i="29"/>
  <c r="J112" i="29"/>
  <c r="D112" i="29"/>
  <c r="H121" i="29"/>
  <c r="J7" i="35"/>
  <c r="K22" i="35"/>
  <c r="K29" i="35"/>
  <c r="J10" i="33"/>
  <c r="D10" i="33"/>
  <c r="J68" i="33"/>
  <c r="D68" i="33"/>
  <c r="J125" i="35"/>
  <c r="J86" i="35"/>
  <c r="J89" i="35"/>
  <c r="J107" i="35"/>
  <c r="K78" i="33"/>
  <c r="K77" i="33"/>
  <c r="K112" i="33"/>
  <c r="K121" i="35"/>
  <c r="J8" i="33"/>
  <c r="L8" i="33" s="1"/>
  <c r="D8" i="33"/>
  <c r="H11" i="33"/>
  <c r="K35" i="33"/>
  <c r="D96" i="33"/>
  <c r="J96" i="33"/>
  <c r="J108" i="33"/>
  <c r="D108" i="33"/>
  <c r="H112" i="33"/>
  <c r="K110" i="33"/>
  <c r="D116" i="33"/>
  <c r="J116" i="33"/>
  <c r="D54" i="39"/>
  <c r="J8" i="13"/>
  <c r="L8" i="13" s="1"/>
  <c r="D8" i="13"/>
  <c r="J28" i="13"/>
  <c r="D28" i="13"/>
  <c r="J34" i="13"/>
  <c r="D34" i="13"/>
  <c r="D67" i="13"/>
  <c r="J67" i="13"/>
  <c r="K79" i="13"/>
  <c r="D100" i="13"/>
  <c r="J100" i="13"/>
  <c r="J116" i="13"/>
  <c r="D116" i="13"/>
  <c r="J121" i="13"/>
  <c r="D113" i="20"/>
  <c r="J113" i="20"/>
  <c r="K125" i="13"/>
  <c r="J8" i="19"/>
  <c r="L8" i="19" s="1"/>
  <c r="D8" i="19"/>
  <c r="D79" i="20"/>
  <c r="J79" i="20"/>
  <c r="J121" i="20"/>
  <c r="D121" i="20"/>
  <c r="D57" i="22"/>
  <c r="J9" i="20"/>
  <c r="L9" i="20" s="1"/>
  <c r="D9" i="20"/>
  <c r="H68" i="20"/>
  <c r="K22" i="20"/>
  <c r="K29" i="20"/>
  <c r="H79" i="20"/>
  <c r="H121" i="20"/>
  <c r="J113" i="23"/>
  <c r="J125" i="27"/>
  <c r="K7" i="22"/>
  <c r="J12" i="35"/>
  <c r="D49" i="22"/>
  <c r="J10" i="23"/>
  <c r="J34" i="23"/>
  <c r="K113" i="23"/>
  <c r="J125" i="23"/>
  <c r="J8" i="24"/>
  <c r="L8" i="24" s="1"/>
  <c r="D8" i="24"/>
  <c r="J7" i="25"/>
  <c r="D7" i="25"/>
  <c r="D29" i="51"/>
  <c r="J29" i="51"/>
  <c r="J12" i="23"/>
  <c r="J78" i="23"/>
  <c r="K7" i="24"/>
  <c r="D10" i="24"/>
  <c r="J10" i="24"/>
  <c r="H29" i="23"/>
  <c r="J68" i="23"/>
  <c r="K79" i="23"/>
  <c r="J88" i="23"/>
  <c r="D88" i="23"/>
  <c r="K99" i="23"/>
  <c r="J109" i="23"/>
  <c r="K120" i="23"/>
  <c r="K10" i="24"/>
  <c r="D48" i="40"/>
  <c r="J29" i="29"/>
  <c r="D29" i="29"/>
  <c r="D112" i="27"/>
  <c r="J112" i="27"/>
  <c r="J117" i="27"/>
  <c r="D48" i="41"/>
  <c r="J137" i="34"/>
  <c r="D134" i="26"/>
  <c r="J134" i="26"/>
  <c r="D137" i="26"/>
  <c r="J137" i="26"/>
  <c r="H113" i="27"/>
  <c r="K7" i="51"/>
  <c r="K10" i="51"/>
  <c r="J78" i="29"/>
  <c r="D78" i="29"/>
  <c r="J22" i="29"/>
  <c r="D22" i="29"/>
  <c r="K68" i="29"/>
  <c r="J88" i="29"/>
  <c r="D88" i="29"/>
  <c r="J11" i="33"/>
  <c r="J121" i="29"/>
  <c r="J134" i="34"/>
  <c r="H29" i="35"/>
  <c r="K108" i="29"/>
  <c r="D48" i="34"/>
  <c r="J22" i="35"/>
  <c r="J29" i="35"/>
  <c r="H77" i="29"/>
  <c r="H107" i="29"/>
  <c r="K112" i="29"/>
  <c r="J117" i="29"/>
  <c r="D38" i="34"/>
  <c r="J135" i="34"/>
  <c r="K34" i="35"/>
  <c r="J117" i="35"/>
  <c r="J9" i="33"/>
  <c r="L9" i="33" s="1"/>
  <c r="D9" i="33"/>
  <c r="J78" i="33"/>
  <c r="D78" i="33"/>
  <c r="J22" i="33"/>
  <c r="D22" i="33"/>
  <c r="J29" i="33"/>
  <c r="D29" i="33"/>
  <c r="J67" i="33"/>
  <c r="K79" i="33"/>
  <c r="K86" i="35"/>
  <c r="K89" i="35"/>
  <c r="K107" i="35"/>
  <c r="H117" i="35"/>
  <c r="J99" i="33"/>
  <c r="D99" i="33"/>
  <c r="D109" i="33"/>
  <c r="J109" i="33"/>
  <c r="D48" i="38"/>
  <c r="G46" i="9"/>
  <c r="J112" i="33"/>
  <c r="D112" i="33"/>
  <c r="J117" i="33"/>
  <c r="D48" i="39"/>
  <c r="D56" i="21"/>
  <c r="D57" i="21"/>
  <c r="K28" i="20"/>
  <c r="J89" i="20"/>
  <c r="D89" i="20"/>
  <c r="J28" i="23"/>
  <c r="D28" i="23"/>
  <c r="D48" i="21"/>
  <c r="D57" i="25"/>
  <c r="J11" i="23"/>
  <c r="J35" i="23"/>
  <c r="J8" i="25"/>
  <c r="L8" i="25" s="1"/>
  <c r="D8" i="25"/>
  <c r="J9" i="51"/>
  <c r="L9" i="51" s="1"/>
  <c r="D9" i="51"/>
  <c r="K29" i="23"/>
  <c r="J67" i="23"/>
  <c r="D67" i="23"/>
  <c r="J79" i="23"/>
  <c r="J99" i="23"/>
  <c r="D99" i="23"/>
  <c r="J120" i="23"/>
  <c r="D120" i="23"/>
  <c r="K125" i="23"/>
  <c r="K7" i="25"/>
  <c r="D48" i="22"/>
  <c r="H10" i="23"/>
  <c r="H34" i="23"/>
  <c r="K86" i="23"/>
  <c r="J89" i="23"/>
  <c r="K100" i="23"/>
  <c r="K116" i="23"/>
  <c r="J121" i="23"/>
  <c r="H125" i="23"/>
  <c r="J9" i="24"/>
  <c r="L9" i="24" s="1"/>
  <c r="D9" i="24"/>
  <c r="D54" i="25"/>
  <c r="D99" i="27"/>
  <c r="J99" i="27"/>
  <c r="J113" i="27"/>
  <c r="D57" i="41"/>
  <c r="J7" i="51"/>
  <c r="D7" i="51"/>
  <c r="D10" i="51"/>
  <c r="J10" i="51"/>
  <c r="J34" i="29"/>
  <c r="D34" i="29"/>
  <c r="H125" i="27"/>
  <c r="K7" i="41"/>
  <c r="D10" i="29"/>
  <c r="J10" i="29"/>
  <c r="J89" i="29"/>
  <c r="D89" i="29"/>
  <c r="J11" i="35"/>
  <c r="H10" i="29"/>
  <c r="K22" i="29"/>
  <c r="K29" i="29"/>
  <c r="J120" i="29"/>
  <c r="D120" i="29"/>
  <c r="J107" i="29"/>
  <c r="D107" i="29"/>
  <c r="K137" i="34"/>
  <c r="H34" i="35"/>
  <c r="K78" i="29"/>
  <c r="K99" i="29"/>
  <c r="K109" i="29"/>
  <c r="J125" i="29"/>
  <c r="K134" i="34"/>
  <c r="J34" i="35"/>
  <c r="J68" i="35"/>
  <c r="H30" i="9"/>
  <c r="N78" i="8" s="1"/>
  <c r="H79" i="29"/>
  <c r="J113" i="29"/>
  <c r="K125" i="29"/>
  <c r="K35" i="35"/>
  <c r="K68" i="35"/>
  <c r="K117" i="35"/>
  <c r="D67" i="33"/>
  <c r="K67" i="33"/>
  <c r="J79" i="33"/>
  <c r="D79" i="33"/>
  <c r="K125" i="35"/>
  <c r="J34" i="33"/>
  <c r="K86" i="33"/>
  <c r="D122" i="33"/>
  <c r="J122" i="33"/>
  <c r="J113" i="35"/>
  <c r="K22" i="33"/>
  <c r="K29" i="33"/>
  <c r="H79" i="33"/>
  <c r="J88" i="33"/>
  <c r="D88" i="33"/>
  <c r="J100" i="33"/>
  <c r="D100" i="33"/>
  <c r="K120" i="33"/>
  <c r="D113" i="33"/>
  <c r="J113" i="33"/>
  <c r="D57" i="39"/>
  <c r="D54" i="21"/>
  <c r="J22" i="20"/>
  <c r="D22" i="20"/>
  <c r="J29" i="20"/>
  <c r="D29" i="20"/>
  <c r="D48" i="20"/>
  <c r="J7" i="23"/>
  <c r="K88" i="23"/>
  <c r="J35" i="29"/>
  <c r="D7" i="22"/>
  <c r="J7" i="22"/>
  <c r="H121" i="23"/>
  <c r="J29" i="24"/>
  <c r="D29" i="24"/>
  <c r="J89" i="27"/>
  <c r="K10" i="23"/>
  <c r="K34" i="23"/>
  <c r="H68" i="23"/>
  <c r="D86" i="23"/>
  <c r="J86" i="23"/>
  <c r="J100" i="23"/>
  <c r="D116" i="23"/>
  <c r="J116" i="23"/>
  <c r="J108" i="27"/>
  <c r="D108" i="27"/>
  <c r="J28" i="51"/>
  <c r="D28" i="51"/>
  <c r="H11" i="23"/>
  <c r="H35" i="23"/>
  <c r="K107" i="23"/>
  <c r="K117" i="23"/>
  <c r="J9" i="25"/>
  <c r="L9" i="25" s="1"/>
  <c r="D9" i="25"/>
  <c r="J109" i="27"/>
  <c r="D67" i="27"/>
  <c r="J67" i="27"/>
  <c r="K136" i="26"/>
  <c r="J78" i="27"/>
  <c r="D78" i="27"/>
  <c r="J8" i="51"/>
  <c r="L8" i="51" s="1"/>
  <c r="D8" i="51"/>
  <c r="D135" i="26"/>
  <c r="J135" i="26"/>
  <c r="D57" i="40"/>
  <c r="D54" i="41"/>
  <c r="J7" i="41"/>
  <c r="D7" i="41"/>
  <c r="J8" i="29"/>
  <c r="L8" i="29" s="1"/>
  <c r="D8" i="29"/>
  <c r="J11" i="29"/>
  <c r="J99" i="29"/>
  <c r="D99" i="29"/>
  <c r="D120" i="33"/>
  <c r="J120" i="33"/>
  <c r="D9" i="29"/>
  <c r="J9" i="29"/>
  <c r="L9" i="29" s="1"/>
  <c r="H11" i="29"/>
  <c r="H34" i="29"/>
  <c r="J100" i="29"/>
  <c r="D100" i="29"/>
  <c r="J108" i="29"/>
  <c r="D108" i="29"/>
  <c r="J12" i="33"/>
  <c r="D125" i="33"/>
  <c r="J125" i="33"/>
  <c r="J67" i="29"/>
  <c r="D79" i="29"/>
  <c r="K79" i="29"/>
  <c r="K88" i="29"/>
  <c r="K100" i="29"/>
  <c r="K121" i="29"/>
  <c r="J35" i="35"/>
  <c r="K99" i="33"/>
  <c r="H86" i="29"/>
  <c r="H109" i="29"/>
  <c r="K88" i="33"/>
  <c r="J86" i="33"/>
  <c r="D121" i="33"/>
  <c r="J121" i="33"/>
  <c r="J121" i="35"/>
  <c r="J35" i="33"/>
  <c r="D35" i="33"/>
  <c r="J109" i="35"/>
  <c r="H125" i="35"/>
  <c r="J7" i="33"/>
  <c r="D7" i="33"/>
  <c r="H10" i="33"/>
  <c r="K34" i="33"/>
  <c r="H86" i="33"/>
  <c r="J89" i="33"/>
  <c r="D89" i="33"/>
  <c r="J107" i="33"/>
  <c r="J110" i="33"/>
  <c r="D110" i="33"/>
  <c r="K109" i="33"/>
  <c r="H109" i="33"/>
  <c r="J114" i="33"/>
  <c r="D114" i="33"/>
  <c r="G30" i="9"/>
  <c r="M78" i="8" s="1"/>
  <c r="B10" i="10"/>
  <c r="F21" i="10"/>
  <c r="F10" i="10"/>
  <c r="K9" i="16"/>
  <c r="K8" i="16"/>
  <c r="K22" i="16"/>
  <c r="K7" i="16"/>
  <c r="J8" i="16"/>
  <c r="J9" i="16"/>
  <c r="J22" i="16"/>
  <c r="J28" i="16"/>
  <c r="J29" i="16"/>
  <c r="K10" i="16"/>
  <c r="K29" i="16"/>
  <c r="J10" i="16"/>
  <c r="J7" i="16"/>
  <c r="K28" i="16"/>
  <c r="G125" i="4" l="1"/>
  <c r="G114" i="4"/>
  <c r="G109" i="4"/>
  <c r="G79" i="4"/>
  <c r="F13" i="10"/>
  <c r="G68" i="4"/>
  <c r="G112" i="4"/>
  <c r="G117" i="4"/>
  <c r="G113" i="4"/>
  <c r="G86" i="4"/>
  <c r="G108" i="4"/>
  <c r="F23" i="10"/>
  <c r="G89" i="4"/>
  <c r="G107" i="4"/>
  <c r="G75" i="4"/>
  <c r="G121" i="4"/>
  <c r="G100" i="4"/>
  <c r="G124" i="4"/>
  <c r="L86" i="23"/>
  <c r="M62" i="8"/>
  <c r="G34" i="9"/>
  <c r="D53" i="41"/>
  <c r="D28" i="4"/>
  <c r="N61" i="8"/>
  <c r="L137" i="34"/>
  <c r="D34" i="4"/>
  <c r="E48" i="77"/>
  <c r="E48" i="76"/>
  <c r="E55" i="77"/>
  <c r="E57" i="76"/>
  <c r="E49" i="77"/>
  <c r="E54" i="76"/>
  <c r="E54" i="77"/>
  <c r="K77" i="20"/>
  <c r="L7" i="35"/>
  <c r="L107" i="23"/>
  <c r="B15" i="9"/>
  <c r="M14" i="8" s="1"/>
  <c r="H77" i="33"/>
  <c r="L29" i="51"/>
  <c r="H77" i="20"/>
  <c r="H77" i="27"/>
  <c r="N142" i="8"/>
  <c r="G64" i="9"/>
  <c r="M71" i="8"/>
  <c r="H65" i="9"/>
  <c r="N72" i="8"/>
  <c r="E28" i="51"/>
  <c r="G69" i="9"/>
  <c r="M76" i="8"/>
  <c r="G63" i="9"/>
  <c r="M70" i="8"/>
  <c r="E28" i="29"/>
  <c r="E28" i="24"/>
  <c r="G67" i="9"/>
  <c r="M74" i="8"/>
  <c r="E28" i="23"/>
  <c r="E28" i="20"/>
  <c r="G55" i="9"/>
  <c r="M63" i="8"/>
  <c r="E28" i="25"/>
  <c r="G57" i="9"/>
  <c r="M65" i="8"/>
  <c r="G59" i="9"/>
  <c r="M67" i="8"/>
  <c r="M142" i="8"/>
  <c r="H53" i="9"/>
  <c r="G73" i="9"/>
  <c r="I12" i="9"/>
  <c r="G54" i="9"/>
  <c r="G61" i="9"/>
  <c r="G74" i="9"/>
  <c r="G66" i="9"/>
  <c r="G62" i="9"/>
  <c r="K98" i="33"/>
  <c r="C15" i="9"/>
  <c r="L22" i="51"/>
  <c r="H57" i="9"/>
  <c r="I15" i="9"/>
  <c r="L109" i="20"/>
  <c r="D47" i="39"/>
  <c r="L7" i="51"/>
  <c r="E34" i="37"/>
  <c r="E34" i="13"/>
  <c r="E34" i="29"/>
  <c r="L7" i="41"/>
  <c r="L110" i="33"/>
  <c r="B32" i="10"/>
  <c r="B22" i="10"/>
  <c r="B43" i="10"/>
  <c r="B11" i="10"/>
  <c r="B49" i="10"/>
  <c r="B38" i="10"/>
  <c r="E8" i="74"/>
  <c r="E28" i="18"/>
  <c r="E7" i="72"/>
  <c r="E7" i="74"/>
  <c r="E48" i="72"/>
  <c r="E48" i="74"/>
  <c r="E28" i="37"/>
  <c r="E28" i="13"/>
  <c r="D38" i="4"/>
  <c r="D35" i="4"/>
  <c r="C32" i="9"/>
  <c r="N31" i="8" s="1"/>
  <c r="D53" i="40"/>
  <c r="D53" i="21"/>
  <c r="L28" i="51"/>
  <c r="L125" i="35"/>
  <c r="L10" i="51"/>
  <c r="E35" i="13"/>
  <c r="E35" i="37"/>
  <c r="E35" i="33"/>
  <c r="B34" i="10"/>
  <c r="H77" i="13"/>
  <c r="B42" i="10"/>
  <c r="E99" i="18"/>
  <c r="D29" i="4"/>
  <c r="E88" i="18"/>
  <c r="E9" i="18"/>
  <c r="E9" i="72"/>
  <c r="E67" i="18"/>
  <c r="E8" i="18"/>
  <c r="E112" i="18"/>
  <c r="E108" i="18"/>
  <c r="E120" i="18"/>
  <c r="E78" i="18"/>
  <c r="D37" i="4"/>
  <c r="D36" i="4"/>
  <c r="D39" i="4"/>
  <c r="B31" i="10"/>
  <c r="H119" i="20"/>
  <c r="D110" i="4"/>
  <c r="L117" i="35"/>
  <c r="L122" i="33"/>
  <c r="L135" i="26"/>
  <c r="E38" i="34"/>
  <c r="E39" i="13"/>
  <c r="H111" i="35"/>
  <c r="L113" i="35"/>
  <c r="D122" i="4"/>
  <c r="H119" i="35"/>
  <c r="D47" i="34"/>
  <c r="L121" i="13"/>
  <c r="L108" i="33"/>
  <c r="L121" i="35"/>
  <c r="E48" i="37"/>
  <c r="E48" i="18"/>
  <c r="I11" i="37"/>
  <c r="I11" i="18"/>
  <c r="E54" i="37"/>
  <c r="I67" i="18"/>
  <c r="I34" i="37"/>
  <c r="I34" i="18"/>
  <c r="I117" i="37"/>
  <c r="I117" i="18"/>
  <c r="E22" i="37"/>
  <c r="E22" i="18"/>
  <c r="I109" i="37"/>
  <c r="I109" i="18"/>
  <c r="E7" i="37"/>
  <c r="E7" i="18"/>
  <c r="E134" i="37"/>
  <c r="E55" i="37"/>
  <c r="I89" i="37"/>
  <c r="I89" i="18"/>
  <c r="I10" i="37"/>
  <c r="I10" i="18"/>
  <c r="I125" i="37"/>
  <c r="I125" i="18"/>
  <c r="I124" i="37"/>
  <c r="I113" i="37"/>
  <c r="I113" i="18"/>
  <c r="I68" i="37"/>
  <c r="I68" i="18"/>
  <c r="I114" i="37"/>
  <c r="I96" i="37"/>
  <c r="E75" i="37"/>
  <c r="E36" i="37"/>
  <c r="E49" i="37"/>
  <c r="I100" i="37"/>
  <c r="I100" i="18"/>
  <c r="E89" i="37"/>
  <c r="D114" i="4"/>
  <c r="I12" i="37"/>
  <c r="I12" i="18"/>
  <c r="E37" i="37"/>
  <c r="I22" i="37"/>
  <c r="I22" i="18"/>
  <c r="I121" i="37"/>
  <c r="I121" i="18"/>
  <c r="I29" i="37"/>
  <c r="I29" i="18"/>
  <c r="I79" i="37"/>
  <c r="I79" i="18"/>
  <c r="I116" i="37"/>
  <c r="I35" i="37"/>
  <c r="I35" i="18"/>
  <c r="I75" i="37"/>
  <c r="E135" i="37"/>
  <c r="I112" i="37"/>
  <c r="I108" i="37"/>
  <c r="I108" i="18"/>
  <c r="E10" i="37"/>
  <c r="E10" i="18"/>
  <c r="E57" i="37"/>
  <c r="I7" i="37"/>
  <c r="I7" i="18"/>
  <c r="E96" i="37"/>
  <c r="E136" i="37"/>
  <c r="L114" i="33"/>
  <c r="H77" i="23"/>
  <c r="K77" i="23"/>
  <c r="D47" i="21"/>
  <c r="D47" i="20"/>
  <c r="L107" i="29"/>
  <c r="L134" i="26"/>
  <c r="L109" i="23"/>
  <c r="L113" i="33"/>
  <c r="L12" i="33"/>
  <c r="D56" i="22"/>
  <c r="H111" i="20"/>
  <c r="D56" i="41"/>
  <c r="E100" i="37"/>
  <c r="E122" i="37"/>
  <c r="E78" i="37"/>
  <c r="E114" i="37"/>
  <c r="E9" i="37"/>
  <c r="E124" i="37"/>
  <c r="E8" i="37"/>
  <c r="E67" i="37"/>
  <c r="E109" i="37"/>
  <c r="E116" i="37"/>
  <c r="E125" i="37"/>
  <c r="E99" i="37"/>
  <c r="E112" i="37"/>
  <c r="E110" i="37"/>
  <c r="E107" i="37"/>
  <c r="E88" i="37"/>
  <c r="E86" i="37"/>
  <c r="E108" i="37"/>
  <c r="E120" i="37"/>
  <c r="H66" i="27"/>
  <c r="D47" i="38"/>
  <c r="L96" i="33"/>
  <c r="L113" i="29"/>
  <c r="L89" i="23"/>
  <c r="L75" i="33"/>
  <c r="L68" i="20"/>
  <c r="H98" i="20"/>
  <c r="L68" i="33"/>
  <c r="L68" i="23"/>
  <c r="L28" i="24"/>
  <c r="H98" i="29"/>
  <c r="K98" i="29"/>
  <c r="L89" i="20"/>
  <c r="L22" i="23"/>
  <c r="K98" i="20"/>
  <c r="L120" i="33"/>
  <c r="K87" i="29"/>
  <c r="L137" i="26"/>
  <c r="D47" i="40"/>
  <c r="L89" i="27"/>
  <c r="L113" i="20"/>
  <c r="L28" i="23"/>
  <c r="L12" i="29"/>
  <c r="D53" i="13"/>
  <c r="K87" i="33"/>
  <c r="K87" i="23"/>
  <c r="L89" i="33"/>
  <c r="H87" i="29"/>
  <c r="L135" i="34"/>
  <c r="L109" i="27"/>
  <c r="L10" i="29"/>
  <c r="L7" i="33"/>
  <c r="H98" i="27"/>
  <c r="H66" i="23"/>
  <c r="L35" i="29"/>
  <c r="D56" i="39"/>
  <c r="L11" i="35"/>
  <c r="H87" i="35"/>
  <c r="L11" i="29"/>
  <c r="D47" i="41"/>
  <c r="H111" i="13"/>
  <c r="L108" i="27"/>
  <c r="L35" i="23"/>
  <c r="N141" i="8"/>
  <c r="C13" i="9"/>
  <c r="N12" i="8" s="1"/>
  <c r="N117" i="8"/>
  <c r="C26" i="9"/>
  <c r="N25" i="8" s="1"/>
  <c r="C16" i="9"/>
  <c r="N15" i="8" s="1"/>
  <c r="C25" i="9"/>
  <c r="N23" i="8" s="1"/>
  <c r="C29" i="9"/>
  <c r="N28" i="8" s="1"/>
  <c r="K119" i="20"/>
  <c r="K111" i="13"/>
  <c r="L107" i="33"/>
  <c r="L100" i="33"/>
  <c r="L100" i="20"/>
  <c r="N144" i="8"/>
  <c r="M117" i="8"/>
  <c r="L108" i="13"/>
  <c r="D56" i="40"/>
  <c r="N145" i="8"/>
  <c r="L109" i="35"/>
  <c r="H119" i="23"/>
  <c r="L116" i="33"/>
  <c r="L100" i="27"/>
  <c r="C23" i="9"/>
  <c r="N21" i="8" s="1"/>
  <c r="D53" i="22"/>
  <c r="L35" i="33"/>
  <c r="L8" i="16"/>
  <c r="L67" i="29"/>
  <c r="L29" i="20"/>
  <c r="L116" i="23"/>
  <c r="L12" i="35"/>
  <c r="H87" i="27"/>
  <c r="L108" i="23"/>
  <c r="L28" i="25"/>
  <c r="L9" i="16"/>
  <c r="H98" i="13"/>
  <c r="K111" i="29"/>
  <c r="L7" i="16"/>
  <c r="D53" i="16"/>
  <c r="D56" i="25"/>
  <c r="L117" i="33"/>
  <c r="L10" i="35"/>
  <c r="L12" i="13"/>
  <c r="K66" i="35"/>
  <c r="D56" i="16"/>
  <c r="N139" i="8"/>
  <c r="L99" i="23"/>
  <c r="L7" i="20"/>
  <c r="K119" i="13"/>
  <c r="M118" i="8"/>
  <c r="K66" i="23"/>
  <c r="K87" i="35"/>
  <c r="M113" i="8"/>
  <c r="L11" i="33"/>
  <c r="H119" i="13"/>
  <c r="L22" i="16"/>
  <c r="L29" i="16"/>
  <c r="C17" i="9"/>
  <c r="N16" i="8" s="1"/>
  <c r="L10" i="16"/>
  <c r="D47" i="16"/>
  <c r="L28" i="16"/>
  <c r="N143" i="8"/>
  <c r="L7" i="13"/>
  <c r="M138" i="8"/>
  <c r="N137" i="8"/>
  <c r="B30" i="9"/>
  <c r="M29" i="8" s="1"/>
  <c r="M119" i="8"/>
  <c r="M143" i="8"/>
  <c r="N116" i="8"/>
  <c r="N140" i="8"/>
  <c r="N146" i="8"/>
  <c r="C30" i="9"/>
  <c r="N29" i="8" s="1"/>
  <c r="C24" i="9"/>
  <c r="N22" i="8" s="1"/>
  <c r="C20" i="9"/>
  <c r="N19" i="8" s="1"/>
  <c r="M116" i="8"/>
  <c r="B12" i="9"/>
  <c r="B18" i="9"/>
  <c r="M17" i="8" s="1"/>
  <c r="M120" i="8"/>
  <c r="H119" i="33"/>
  <c r="L125" i="33"/>
  <c r="L121" i="23"/>
  <c r="M114" i="8"/>
  <c r="M141" i="8"/>
  <c r="L116" i="13"/>
  <c r="N119" i="8"/>
  <c r="L10" i="33"/>
  <c r="C21" i="9"/>
  <c r="N20" i="8" s="1"/>
  <c r="B21" i="9"/>
  <c r="M20" i="8" s="1"/>
  <c r="L22" i="13"/>
  <c r="L107" i="13"/>
  <c r="L10" i="13"/>
  <c r="L121" i="33"/>
  <c r="C27" i="9"/>
  <c r="N26" i="8" s="1"/>
  <c r="H87" i="23"/>
  <c r="L29" i="24"/>
  <c r="L7" i="23"/>
  <c r="H87" i="33"/>
  <c r="L120" i="29"/>
  <c r="D47" i="22"/>
  <c r="L11" i="23"/>
  <c r="L117" i="29"/>
  <c r="B22" i="9"/>
  <c r="M24" i="8" s="1"/>
  <c r="N114" i="8"/>
  <c r="K119" i="23"/>
  <c r="L34" i="13"/>
  <c r="M145" i="8"/>
  <c r="B24" i="9"/>
  <c r="M22" i="8" s="1"/>
  <c r="B23" i="9"/>
  <c r="M21" i="8" s="1"/>
  <c r="N138" i="8"/>
  <c r="L22" i="24"/>
  <c r="L7" i="19"/>
  <c r="N113" i="8"/>
  <c r="M115" i="8"/>
  <c r="C10" i="9"/>
  <c r="L11" i="13"/>
  <c r="C12" i="9"/>
  <c r="N11" i="8" s="1"/>
  <c r="M137" i="8"/>
  <c r="C31" i="9"/>
  <c r="N30" i="8" s="1"/>
  <c r="F14" i="10"/>
  <c r="E48" i="39"/>
  <c r="I89" i="20"/>
  <c r="I89" i="13"/>
  <c r="I89" i="29"/>
  <c r="I89" i="35"/>
  <c r="I89" i="33"/>
  <c r="I89" i="27"/>
  <c r="I89" i="23"/>
  <c r="G23" i="10"/>
  <c r="I35" i="23"/>
  <c r="I35" i="29"/>
  <c r="I35" i="35"/>
  <c r="I35" i="33"/>
  <c r="I35" i="13"/>
  <c r="G42" i="10"/>
  <c r="I134" i="26"/>
  <c r="G15" i="10"/>
  <c r="I10" i="23"/>
  <c r="I10" i="29"/>
  <c r="I10" i="33"/>
  <c r="I10" i="13"/>
  <c r="G20" i="10"/>
  <c r="E49" i="39"/>
  <c r="I23" i="33"/>
  <c r="I23" i="13"/>
  <c r="I23" i="29"/>
  <c r="I23" i="35"/>
  <c r="E54" i="39"/>
  <c r="I114" i="33"/>
  <c r="C25" i="10"/>
  <c r="C31" i="10"/>
  <c r="C9" i="10"/>
  <c r="C23" i="10"/>
  <c r="G44" i="10"/>
  <c r="C41" i="10"/>
  <c r="I86" i="29"/>
  <c r="I86" i="33"/>
  <c r="I86" i="35"/>
  <c r="C21" i="10"/>
  <c r="C33" i="10"/>
  <c r="C16" i="10"/>
  <c r="H19" i="9"/>
  <c r="N68" i="8" s="1"/>
  <c r="B17" i="9"/>
  <c r="M16" i="8" s="1"/>
  <c r="M146" i="8"/>
  <c r="B13" i="9"/>
  <c r="M12" i="8" s="1"/>
  <c r="H70" i="9"/>
  <c r="H20" i="9"/>
  <c r="N69" i="8" s="1"/>
  <c r="M140" i="8"/>
  <c r="N115" i="8"/>
  <c r="G38" i="9"/>
  <c r="G53" i="9" s="1"/>
  <c r="I29" i="33"/>
  <c r="I29" i="20"/>
  <c r="I29" i="23"/>
  <c r="I29" i="29"/>
  <c r="I29" i="13"/>
  <c r="I29" i="35"/>
  <c r="G21" i="10"/>
  <c r="I25" i="20"/>
  <c r="I25" i="29"/>
  <c r="I25" i="33"/>
  <c r="I25" i="13"/>
  <c r="I30" i="23"/>
  <c r="I30" i="29"/>
  <c r="I30" i="35"/>
  <c r="I30" i="33"/>
  <c r="I30" i="13"/>
  <c r="C30" i="10"/>
  <c r="I107" i="13"/>
  <c r="I107" i="29"/>
  <c r="I107" i="35"/>
  <c r="I107" i="33"/>
  <c r="C44" i="10"/>
  <c r="I75" i="33"/>
  <c r="G14" i="10"/>
  <c r="I32" i="13"/>
  <c r="I32" i="20"/>
  <c r="I32" i="23"/>
  <c r="I32" i="29"/>
  <c r="I32" i="33"/>
  <c r="I100" i="13"/>
  <c r="I100" i="20"/>
  <c r="I100" i="23"/>
  <c r="I100" i="27"/>
  <c r="I100" i="29"/>
  <c r="I100" i="33"/>
  <c r="I22" i="23"/>
  <c r="I22" i="29"/>
  <c r="I22" i="35"/>
  <c r="I22" i="33"/>
  <c r="I22" i="20"/>
  <c r="I22" i="13"/>
  <c r="G10" i="10"/>
  <c r="C34" i="10"/>
  <c r="I121" i="20"/>
  <c r="I121" i="13"/>
  <c r="I121" i="23"/>
  <c r="I121" i="35"/>
  <c r="I121" i="27"/>
  <c r="I121" i="33"/>
  <c r="I121" i="29"/>
  <c r="I113" i="20"/>
  <c r="I113" i="23"/>
  <c r="I113" i="13"/>
  <c r="I113" i="27"/>
  <c r="I113" i="35"/>
  <c r="I113" i="33"/>
  <c r="I113" i="29"/>
  <c r="I108" i="13"/>
  <c r="M144" i="8"/>
  <c r="N118" i="8"/>
  <c r="B42" i="9"/>
  <c r="B16" i="9"/>
  <c r="M15" i="8" s="1"/>
  <c r="B32" i="9"/>
  <c r="M31" i="8" s="1"/>
  <c r="G45" i="9"/>
  <c r="G72" i="9" s="1"/>
  <c r="B38" i="9"/>
  <c r="H24" i="9"/>
  <c r="N73" i="8" s="1"/>
  <c r="C18" i="9"/>
  <c r="N17" i="8" s="1"/>
  <c r="B31" i="9"/>
  <c r="M30" i="8" s="1"/>
  <c r="H29" i="9"/>
  <c r="N77" i="8" s="1"/>
  <c r="B41" i="9"/>
  <c r="B20" i="9"/>
  <c r="M19" i="8" s="1"/>
  <c r="I136" i="26"/>
  <c r="G33" i="10"/>
  <c r="I7" i="29"/>
  <c r="I7" i="33"/>
  <c r="I7" i="23"/>
  <c r="I7" i="13"/>
  <c r="G9" i="10"/>
  <c r="B45" i="10"/>
  <c r="I31" i="35"/>
  <c r="I31" i="13"/>
  <c r="I31" i="33"/>
  <c r="I31" i="23"/>
  <c r="I31" i="29"/>
  <c r="C45" i="10"/>
  <c r="C42" i="10"/>
  <c r="I24" i="13"/>
  <c r="I24" i="33"/>
  <c r="I24" i="23"/>
  <c r="C15" i="10"/>
  <c r="B29" i="9"/>
  <c r="M28" i="8" s="1"/>
  <c r="B11" i="9"/>
  <c r="M10" i="8" s="1"/>
  <c r="H18" i="9"/>
  <c r="M139" i="8"/>
  <c r="B46" i="9"/>
  <c r="G44" i="9"/>
  <c r="G71" i="9" s="1"/>
  <c r="C22" i="9"/>
  <c r="N24" i="8" s="1"/>
  <c r="N120" i="8"/>
  <c r="C19" i="9"/>
  <c r="N18" i="8" s="1"/>
  <c r="H31" i="9"/>
  <c r="N79" i="8" s="1"/>
  <c r="C13" i="10"/>
  <c r="F44" i="10"/>
  <c r="I135" i="26"/>
  <c r="G25" i="10"/>
  <c r="E58" i="39"/>
  <c r="I112" i="33"/>
  <c r="I96" i="33"/>
  <c r="G24" i="10"/>
  <c r="C14" i="10"/>
  <c r="I68" i="20"/>
  <c r="I68" i="23"/>
  <c r="I68" i="27"/>
  <c r="I68" i="29"/>
  <c r="I68" i="35"/>
  <c r="I68" i="33"/>
  <c r="I68" i="13"/>
  <c r="G13" i="10"/>
  <c r="G136" i="4"/>
  <c r="F33" i="10"/>
  <c r="I79" i="13"/>
  <c r="I79" i="20"/>
  <c r="I79" i="23"/>
  <c r="I79" i="33"/>
  <c r="I79" i="27"/>
  <c r="I79" i="29"/>
  <c r="I109" i="20"/>
  <c r="I109" i="13"/>
  <c r="I109" i="27"/>
  <c r="I109" i="35"/>
  <c r="I109" i="29"/>
  <c r="I109" i="23"/>
  <c r="I109" i="33"/>
  <c r="I12" i="29"/>
  <c r="I12" i="33"/>
  <c r="I12" i="23"/>
  <c r="I12" i="13"/>
  <c r="G41" i="10"/>
  <c r="I99" i="33"/>
  <c r="I11" i="13"/>
  <c r="I11" i="23"/>
  <c r="I11" i="33"/>
  <c r="G30" i="10"/>
  <c r="I11" i="29"/>
  <c r="F24" i="10"/>
  <c r="I125" i="13"/>
  <c r="I125" i="27"/>
  <c r="I125" i="23"/>
  <c r="I125" i="35"/>
  <c r="I125" i="29"/>
  <c r="I125" i="33"/>
  <c r="C26" i="10"/>
  <c r="I34" i="13"/>
  <c r="I34" i="35"/>
  <c r="I34" i="23"/>
  <c r="I34" i="29"/>
  <c r="I34" i="33"/>
  <c r="G31" i="10"/>
  <c r="D96" i="4"/>
  <c r="B24" i="10"/>
  <c r="C24" i="10"/>
  <c r="I117" i="13"/>
  <c r="I117" i="23"/>
  <c r="I117" i="35"/>
  <c r="I117" i="29"/>
  <c r="I117" i="33"/>
  <c r="I117" i="27"/>
  <c r="C10" i="10"/>
  <c r="C20" i="10"/>
  <c r="D75" i="4"/>
  <c r="B14" i="10"/>
  <c r="E57" i="39"/>
  <c r="L120" i="23"/>
  <c r="L67" i="23"/>
  <c r="H98" i="33"/>
  <c r="L22" i="35"/>
  <c r="H87" i="20"/>
  <c r="L100" i="13"/>
  <c r="D53" i="39"/>
  <c r="L109" i="29"/>
  <c r="L7" i="29"/>
  <c r="L28" i="29"/>
  <c r="L117" i="23"/>
  <c r="H98" i="23"/>
  <c r="L10" i="20"/>
  <c r="K98" i="13"/>
  <c r="L29" i="13"/>
  <c r="G42" i="9"/>
  <c r="G65" i="9" s="1"/>
  <c r="B19" i="9"/>
  <c r="M18" i="8" s="1"/>
  <c r="G43" i="9"/>
  <c r="G68" i="9" s="1"/>
  <c r="B25" i="9"/>
  <c r="M23" i="8" s="1"/>
  <c r="H17" i="9"/>
  <c r="N67" i="8" s="1"/>
  <c r="B27" i="9"/>
  <c r="M26" i="8" s="1"/>
  <c r="C11" i="9"/>
  <c r="N10" i="8" s="1"/>
  <c r="G40" i="9"/>
  <c r="G58" i="9" s="1"/>
  <c r="H27" i="9"/>
  <c r="N76" i="8" s="1"/>
  <c r="B26" i="9"/>
  <c r="M25" i="8" s="1"/>
  <c r="H26" i="9"/>
  <c r="N75" i="8" s="1"/>
  <c r="L22" i="20"/>
  <c r="L109" i="33"/>
  <c r="L99" i="33"/>
  <c r="H111" i="29"/>
  <c r="L10" i="23"/>
  <c r="L28" i="13"/>
  <c r="L89" i="35"/>
  <c r="D56" i="13"/>
  <c r="L35" i="35"/>
  <c r="L99" i="29"/>
  <c r="K119" i="33"/>
  <c r="L88" i="33"/>
  <c r="L79" i="33"/>
  <c r="L34" i="29"/>
  <c r="H66" i="33"/>
  <c r="L78" i="33"/>
  <c r="L67" i="13"/>
  <c r="H66" i="35"/>
  <c r="L109" i="13"/>
  <c r="L112" i="13"/>
  <c r="L35" i="13"/>
  <c r="L79" i="29"/>
  <c r="L86" i="29"/>
  <c r="L7" i="22"/>
  <c r="L78" i="27"/>
  <c r="K66" i="33"/>
  <c r="L89" i="29"/>
  <c r="L112" i="27"/>
  <c r="L12" i="23"/>
  <c r="H87" i="13"/>
  <c r="L120" i="13"/>
  <c r="L68" i="13"/>
  <c r="L7" i="25"/>
  <c r="K66" i="20"/>
  <c r="L134" i="34"/>
  <c r="L125" i="27"/>
  <c r="L108" i="29"/>
  <c r="L67" i="27"/>
  <c r="L34" i="35"/>
  <c r="D53" i="25"/>
  <c r="L112" i="33"/>
  <c r="L29" i="33"/>
  <c r="L121" i="29"/>
  <c r="L29" i="29"/>
  <c r="H111" i="23"/>
  <c r="L86" i="35"/>
  <c r="L112" i="29"/>
  <c r="L68" i="29"/>
  <c r="L136" i="26"/>
  <c r="L79" i="27"/>
  <c r="D47" i="25"/>
  <c r="L88" i="27"/>
  <c r="L112" i="23"/>
  <c r="H66" i="20"/>
  <c r="L113" i="13"/>
  <c r="L117" i="13"/>
  <c r="K87" i="20"/>
  <c r="L68" i="35"/>
  <c r="L86" i="33"/>
  <c r="H119" i="29"/>
  <c r="L100" i="29"/>
  <c r="L34" i="33"/>
  <c r="L125" i="29"/>
  <c r="L99" i="27"/>
  <c r="L29" i="35"/>
  <c r="L88" i="29"/>
  <c r="L78" i="29"/>
  <c r="L88" i="23"/>
  <c r="L125" i="23"/>
  <c r="L113" i="23"/>
  <c r="L79" i="20"/>
  <c r="H111" i="33"/>
  <c r="L107" i="35"/>
  <c r="D47" i="51"/>
  <c r="D47" i="26"/>
  <c r="L7" i="24"/>
  <c r="L29" i="23"/>
  <c r="L28" i="20"/>
  <c r="L121" i="27"/>
  <c r="K119" i="35"/>
  <c r="L100" i="23"/>
  <c r="L113" i="27"/>
  <c r="L79" i="23"/>
  <c r="L67" i="33"/>
  <c r="L22" i="33"/>
  <c r="L22" i="29"/>
  <c r="J77" i="29"/>
  <c r="L117" i="27"/>
  <c r="K98" i="23"/>
  <c r="L10" i="24"/>
  <c r="L78" i="23"/>
  <c r="L34" i="23"/>
  <c r="L121" i="20"/>
  <c r="H111" i="27"/>
  <c r="L68" i="27"/>
  <c r="K111" i="20"/>
  <c r="L124" i="13"/>
  <c r="L79" i="13"/>
  <c r="L89" i="13"/>
  <c r="L99" i="13"/>
  <c r="L125" i="13"/>
  <c r="L78" i="13"/>
  <c r="K66" i="13"/>
  <c r="L86" i="13"/>
  <c r="K87" i="13"/>
  <c r="J77" i="13"/>
  <c r="L88" i="13"/>
  <c r="H66" i="13"/>
  <c r="D47" i="13"/>
  <c r="J87" i="35"/>
  <c r="D66" i="33"/>
  <c r="J66" i="33"/>
  <c r="D77" i="27"/>
  <c r="J77" i="27"/>
  <c r="L77" i="27" s="1"/>
  <c r="J98" i="23"/>
  <c r="D98" i="23"/>
  <c r="D111" i="33"/>
  <c r="J111" i="33"/>
  <c r="J111" i="35"/>
  <c r="D87" i="20"/>
  <c r="J87" i="20"/>
  <c r="D66" i="13"/>
  <c r="J66" i="13"/>
  <c r="K111" i="33"/>
  <c r="K111" i="35"/>
  <c r="J111" i="29"/>
  <c r="D111" i="29"/>
  <c r="J111" i="23"/>
  <c r="D111" i="23"/>
  <c r="J77" i="20"/>
  <c r="L77" i="20" s="1"/>
  <c r="D77" i="20"/>
  <c r="J87" i="13"/>
  <c r="D87" i="13"/>
  <c r="J119" i="33"/>
  <c r="D119" i="33"/>
  <c r="J119" i="27"/>
  <c r="J66" i="27"/>
  <c r="D66" i="27"/>
  <c r="D77" i="29"/>
  <c r="K77" i="29"/>
  <c r="D98" i="27"/>
  <c r="J98" i="27"/>
  <c r="J66" i="35"/>
  <c r="D77" i="13"/>
  <c r="K77" i="13"/>
  <c r="D98" i="20"/>
  <c r="J98" i="20"/>
  <c r="J66" i="29"/>
  <c r="J87" i="33"/>
  <c r="D87" i="33"/>
  <c r="D119" i="29"/>
  <c r="J119" i="29"/>
  <c r="D98" i="33"/>
  <c r="J98" i="33"/>
  <c r="J87" i="29"/>
  <c r="D87" i="29"/>
  <c r="J111" i="27"/>
  <c r="D111" i="27"/>
  <c r="J87" i="23"/>
  <c r="D87" i="23"/>
  <c r="K119" i="29"/>
  <c r="H119" i="27"/>
  <c r="K111" i="23"/>
  <c r="D119" i="13"/>
  <c r="J119" i="13"/>
  <c r="D98" i="13"/>
  <c r="J98" i="13"/>
  <c r="D111" i="13"/>
  <c r="J111" i="13"/>
  <c r="J98" i="29"/>
  <c r="D98" i="29"/>
  <c r="J119" i="35"/>
  <c r="H66" i="29"/>
  <c r="D119" i="23"/>
  <c r="J119" i="23"/>
  <c r="J66" i="23"/>
  <c r="D66" i="23"/>
  <c r="D77" i="33"/>
  <c r="J77" i="33"/>
  <c r="L77" i="33" s="1"/>
  <c r="J77" i="23"/>
  <c r="D77" i="23"/>
  <c r="D66" i="29"/>
  <c r="K66" i="29"/>
  <c r="D87" i="27"/>
  <c r="J87" i="27"/>
  <c r="D119" i="20"/>
  <c r="J119" i="20"/>
  <c r="J111" i="20"/>
  <c r="D111" i="20"/>
  <c r="D66" i="20"/>
  <c r="J66" i="20"/>
  <c r="E48" i="38"/>
  <c r="E88" i="33"/>
  <c r="E108" i="33"/>
  <c r="E22" i="33"/>
  <c r="E99" i="33"/>
  <c r="E9" i="33"/>
  <c r="E110" i="33"/>
  <c r="E122" i="33"/>
  <c r="E75" i="33"/>
  <c r="E116" i="33"/>
  <c r="E10" i="33"/>
  <c r="E79" i="33"/>
  <c r="E7" i="33"/>
  <c r="E89" i="33"/>
  <c r="E100" i="33"/>
  <c r="E125" i="33"/>
  <c r="E68" i="33"/>
  <c r="E96" i="33"/>
  <c r="E8" i="33"/>
  <c r="E78" i="33"/>
  <c r="E67" i="33"/>
  <c r="E112" i="33"/>
  <c r="E109" i="33"/>
  <c r="E114" i="33"/>
  <c r="E121" i="33"/>
  <c r="E120" i="33"/>
  <c r="E113" i="33"/>
  <c r="E99" i="29"/>
  <c r="E9" i="29"/>
  <c r="E48" i="34"/>
  <c r="E86" i="29"/>
  <c r="E68" i="29"/>
  <c r="E88" i="29"/>
  <c r="E108" i="29"/>
  <c r="E22" i="29"/>
  <c r="E10" i="29"/>
  <c r="E79" i="29"/>
  <c r="E7" i="29"/>
  <c r="E89" i="29"/>
  <c r="E100" i="29"/>
  <c r="E107" i="29"/>
  <c r="E8" i="29"/>
  <c r="E78" i="29"/>
  <c r="E67" i="29"/>
  <c r="E112" i="29"/>
  <c r="E109" i="29"/>
  <c r="E120" i="29"/>
  <c r="E9" i="41"/>
  <c r="E48" i="40"/>
  <c r="E48" i="41"/>
  <c r="E57" i="40"/>
  <c r="E57" i="41"/>
  <c r="E54" i="40"/>
  <c r="E54" i="41"/>
  <c r="E7" i="41"/>
  <c r="E8" i="41"/>
  <c r="E99" i="27"/>
  <c r="E9" i="51"/>
  <c r="E48" i="51"/>
  <c r="E88" i="27"/>
  <c r="E108" i="27"/>
  <c r="E22" i="51"/>
  <c r="E10" i="51"/>
  <c r="E7" i="51"/>
  <c r="E8" i="51"/>
  <c r="E78" i="27"/>
  <c r="E67" i="27"/>
  <c r="E112" i="27"/>
  <c r="E9" i="25"/>
  <c r="E57" i="25"/>
  <c r="E48" i="25"/>
  <c r="E48" i="26"/>
  <c r="E137" i="26"/>
  <c r="E49" i="26"/>
  <c r="E54" i="25"/>
  <c r="E135" i="26"/>
  <c r="E7" i="25"/>
  <c r="E136" i="26"/>
  <c r="E134" i="26"/>
  <c r="E8" i="25"/>
  <c r="E99" i="23"/>
  <c r="E9" i="24"/>
  <c r="E86" i="23"/>
  <c r="E88" i="23"/>
  <c r="E108" i="23"/>
  <c r="E116" i="23"/>
  <c r="E22" i="23"/>
  <c r="E22" i="24"/>
  <c r="E10" i="24"/>
  <c r="E7" i="24"/>
  <c r="E107" i="23"/>
  <c r="E8" i="24"/>
  <c r="E78" i="23"/>
  <c r="E67" i="23"/>
  <c r="E112" i="23"/>
  <c r="E120" i="23"/>
  <c r="E9" i="22"/>
  <c r="E48" i="21"/>
  <c r="E48" i="22"/>
  <c r="E57" i="21"/>
  <c r="E57" i="22"/>
  <c r="E49" i="22"/>
  <c r="E54" i="21"/>
  <c r="E54" i="22"/>
  <c r="E7" i="22"/>
  <c r="E8" i="22"/>
  <c r="E68" i="20"/>
  <c r="E22" i="20"/>
  <c r="E10" i="20"/>
  <c r="E79" i="20"/>
  <c r="E7" i="19"/>
  <c r="E7" i="20"/>
  <c r="E89" i="20"/>
  <c r="E100" i="20"/>
  <c r="E9" i="19"/>
  <c r="E9" i="20"/>
  <c r="E48" i="20"/>
  <c r="E8" i="19"/>
  <c r="E8" i="20"/>
  <c r="E121" i="20"/>
  <c r="E113" i="20"/>
  <c r="E99" i="13"/>
  <c r="E9" i="13"/>
  <c r="E48" i="13"/>
  <c r="E86" i="13"/>
  <c r="E88" i="13"/>
  <c r="E124" i="13"/>
  <c r="E108" i="13"/>
  <c r="E116" i="13"/>
  <c r="E22" i="13"/>
  <c r="E10" i="13"/>
  <c r="E57" i="13"/>
  <c r="E11" i="13"/>
  <c r="E54" i="13"/>
  <c r="E7" i="13"/>
  <c r="E89" i="13"/>
  <c r="E100" i="13"/>
  <c r="E107" i="13"/>
  <c r="E12" i="13"/>
  <c r="E8" i="13"/>
  <c r="E78" i="13"/>
  <c r="E67" i="13"/>
  <c r="E112" i="13"/>
  <c r="E109" i="13"/>
  <c r="E120" i="13"/>
  <c r="D116" i="4"/>
  <c r="D108" i="4"/>
  <c r="D124" i="4"/>
  <c r="D125" i="4"/>
  <c r="D109" i="4"/>
  <c r="D22" i="4"/>
  <c r="D136" i="4"/>
  <c r="D57" i="4"/>
  <c r="G22" i="4"/>
  <c r="D113" i="4"/>
  <c r="D137" i="4"/>
  <c r="D10" i="4"/>
  <c r="D112" i="4"/>
  <c r="D55" i="4"/>
  <c r="D120" i="4"/>
  <c r="D7" i="4"/>
  <c r="D68" i="4"/>
  <c r="D8" i="4"/>
  <c r="D134" i="4"/>
  <c r="G7" i="4"/>
  <c r="D48" i="4"/>
  <c r="D54" i="4"/>
  <c r="D49" i="4"/>
  <c r="D12" i="4"/>
  <c r="D11" i="4"/>
  <c r="G12" i="4"/>
  <c r="G34" i="4"/>
  <c r="D121" i="4"/>
  <c r="G11" i="4"/>
  <c r="H22" i="4"/>
  <c r="G29" i="4"/>
  <c r="D67" i="4"/>
  <c r="D100" i="4"/>
  <c r="D58" i="4"/>
  <c r="G10" i="4"/>
  <c r="D89" i="4"/>
  <c r="G35" i="4"/>
  <c r="D99" i="4"/>
  <c r="D86" i="4"/>
  <c r="D107" i="4"/>
  <c r="D135" i="4"/>
  <c r="G135" i="4"/>
  <c r="G134" i="4"/>
  <c r="D78" i="4"/>
  <c r="D88" i="4"/>
  <c r="D79" i="4"/>
  <c r="D9" i="4"/>
  <c r="H77" i="9" l="1"/>
  <c r="I57" i="9"/>
  <c r="G98" i="4"/>
  <c r="G87" i="4"/>
  <c r="F43" i="10"/>
  <c r="G119" i="4"/>
  <c r="F32" i="10"/>
  <c r="G111" i="4"/>
  <c r="G77" i="4"/>
  <c r="H34" i="9"/>
  <c r="M11" i="8"/>
  <c r="N9" i="8"/>
  <c r="C34" i="9"/>
  <c r="C17" i="10" s="1"/>
  <c r="E56" i="76"/>
  <c r="E47" i="76"/>
  <c r="E47" i="77"/>
  <c r="E53" i="76"/>
  <c r="E53" i="77"/>
  <c r="B57" i="9"/>
  <c r="L98" i="33"/>
  <c r="C57" i="9"/>
  <c r="N14" i="8"/>
  <c r="D15" i="9"/>
  <c r="E47" i="72"/>
  <c r="E47" i="74"/>
  <c r="L119" i="35"/>
  <c r="E87" i="18"/>
  <c r="E66" i="18"/>
  <c r="L77" i="23"/>
  <c r="I77" i="27"/>
  <c r="I77" i="29"/>
  <c r="I77" i="20"/>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98" i="27"/>
  <c r="L87" i="29"/>
  <c r="E97" i="33"/>
  <c r="E97" i="29"/>
  <c r="E97" i="37"/>
  <c r="E97" i="13"/>
  <c r="I98" i="37"/>
  <c r="I97" i="33"/>
  <c r="L119" i="13"/>
  <c r="E76" i="33"/>
  <c r="E76" i="29"/>
  <c r="E76" i="37"/>
  <c r="E76" i="13"/>
  <c r="E66" i="37"/>
  <c r="E87" i="33"/>
  <c r="E87" i="37"/>
  <c r="E98" i="37"/>
  <c r="E77" i="37"/>
  <c r="L98" i="20"/>
  <c r="L111" i="29"/>
  <c r="L66" i="27"/>
  <c r="L111" i="13"/>
  <c r="L87" i="33"/>
  <c r="L98" i="29"/>
  <c r="L87" i="20"/>
  <c r="L119" i="23"/>
  <c r="L87" i="23"/>
  <c r="L98" i="23"/>
  <c r="L119" i="20"/>
  <c r="L111" i="27"/>
  <c r="E66" i="20"/>
  <c r="E87" i="13"/>
  <c r="E87" i="23"/>
  <c r="D98" i="4"/>
  <c r="L66" i="35"/>
  <c r="E98" i="29"/>
  <c r="E98" i="33"/>
  <c r="L87" i="27"/>
  <c r="L119" i="33"/>
  <c r="L98" i="13"/>
  <c r="L66" i="33"/>
  <c r="L87" i="35"/>
  <c r="L66" i="23"/>
  <c r="L66" i="13"/>
  <c r="E66" i="23"/>
  <c r="E66" i="13"/>
  <c r="E66" i="27"/>
  <c r="E66" i="29"/>
  <c r="E66" i="33"/>
  <c r="L111" i="33"/>
  <c r="D87" i="4"/>
  <c r="E98" i="20"/>
  <c r="E98" i="23"/>
  <c r="E87" i="27"/>
  <c r="E98" i="27"/>
  <c r="E87" i="29"/>
  <c r="L119" i="27"/>
  <c r="C43" i="10"/>
  <c r="I119" i="13"/>
  <c r="I119" i="20"/>
  <c r="I119" i="23"/>
  <c r="I119" i="27"/>
  <c r="I119" i="29"/>
  <c r="I119" i="35"/>
  <c r="I119" i="33"/>
  <c r="G43" i="10"/>
  <c r="F22" i="10"/>
  <c r="I98" i="20"/>
  <c r="I98" i="13"/>
  <c r="I98" i="23"/>
  <c r="I98" i="29"/>
  <c r="I98" i="27"/>
  <c r="I98" i="33"/>
  <c r="D66" i="4"/>
  <c r="B12" i="10"/>
  <c r="I66" i="13"/>
  <c r="I66" i="20"/>
  <c r="I66" i="27"/>
  <c r="I66" i="29"/>
  <c r="I66" i="35"/>
  <c r="I66" i="33"/>
  <c r="G12" i="10"/>
  <c r="I66" i="23"/>
  <c r="G66" i="4"/>
  <c r="F12" i="10"/>
  <c r="E53" i="39"/>
  <c r="C38" i="10"/>
  <c r="E53" i="16"/>
  <c r="I111" i="13"/>
  <c r="I111" i="20"/>
  <c r="I111" i="23"/>
  <c r="I111" i="27"/>
  <c r="I111" i="29"/>
  <c r="I111" i="35"/>
  <c r="I111" i="33"/>
  <c r="G32" i="10"/>
  <c r="E56" i="39"/>
  <c r="E56" i="16"/>
  <c r="C49" i="10"/>
  <c r="C32" i="10"/>
  <c r="C22" i="10"/>
  <c r="E47" i="39"/>
  <c r="C11" i="10"/>
  <c r="E47" i="16"/>
  <c r="C12" i="10"/>
  <c r="I87" i="13"/>
  <c r="I87" i="20"/>
  <c r="I87" i="27"/>
  <c r="I87" i="29"/>
  <c r="I87" i="23"/>
  <c r="I87" i="33"/>
  <c r="I87" i="35"/>
  <c r="G22" i="10"/>
  <c r="L66" i="20"/>
  <c r="L111" i="20"/>
  <c r="L87" i="13"/>
  <c r="L119" i="29"/>
  <c r="L66" i="29"/>
  <c r="L77" i="29"/>
  <c r="L111" i="23"/>
  <c r="E98" i="13"/>
  <c r="E87" i="20"/>
  <c r="L77" i="13"/>
  <c r="E47" i="38"/>
  <c r="E77" i="33"/>
  <c r="E111" i="33"/>
  <c r="E119" i="33"/>
  <c r="E47" i="34"/>
  <c r="E119" i="29"/>
  <c r="E77" i="29"/>
  <c r="E111" i="29"/>
  <c r="E53" i="40"/>
  <c r="E53" i="41"/>
  <c r="E56" i="40"/>
  <c r="E56" i="41"/>
  <c r="E47" i="40"/>
  <c r="E47" i="41"/>
  <c r="E77" i="27"/>
  <c r="E111" i="27"/>
  <c r="E47" i="51"/>
  <c r="E53" i="25"/>
  <c r="E47" i="25"/>
  <c r="E47" i="26"/>
  <c r="E56" i="25"/>
  <c r="E119" i="23"/>
  <c r="E77" i="23"/>
  <c r="E111" i="23"/>
  <c r="E56" i="21"/>
  <c r="E56" i="22"/>
  <c r="E47" i="21"/>
  <c r="E47" i="22"/>
  <c r="E53" i="21"/>
  <c r="E53" i="22"/>
  <c r="E119" i="20"/>
  <c r="E47" i="20"/>
  <c r="E77" i="20"/>
  <c r="E111" i="20"/>
  <c r="E53" i="13"/>
  <c r="E77" i="13"/>
  <c r="E56" i="13"/>
  <c r="E111" i="13"/>
  <c r="E47" i="13"/>
  <c r="E119" i="13"/>
  <c r="D111" i="4"/>
  <c r="D77" i="4"/>
  <c r="D119" i="4"/>
  <c r="D53" i="4"/>
  <c r="D56" i="4"/>
  <c r="D47" i="4"/>
  <c r="J28" i="9" l="1"/>
  <c r="J20" i="9"/>
  <c r="J11" i="9"/>
  <c r="J27" i="9"/>
  <c r="J19" i="9"/>
  <c r="J12" i="9"/>
  <c r="J26" i="9"/>
  <c r="J18" i="9"/>
  <c r="J33" i="9"/>
  <c r="J25" i="9"/>
  <c r="J17" i="9"/>
  <c r="J32" i="9"/>
  <c r="J24" i="9"/>
  <c r="J16" i="9"/>
  <c r="J31" i="9"/>
  <c r="J23" i="9"/>
  <c r="J15" i="9"/>
  <c r="J30" i="9"/>
  <c r="J22" i="9"/>
  <c r="J29" i="9"/>
  <c r="J21" i="9"/>
  <c r="J13" i="9"/>
  <c r="D57" i="9"/>
  <c r="C60" i="10"/>
  <c r="H107" i="4"/>
  <c r="H114" i="4"/>
  <c r="H116" i="4"/>
  <c r="H123" i="4"/>
  <c r="H28" i="4"/>
  <c r="H115" i="4"/>
  <c r="H98" i="4" l="1"/>
  <c r="H117" i="4"/>
  <c r="H99" i="4"/>
  <c r="H24" i="4"/>
  <c r="H118" i="4"/>
  <c r="H27" i="4"/>
  <c r="H78" i="4"/>
  <c r="D9" i="10"/>
  <c r="H124" i="4"/>
  <c r="H112" i="4"/>
  <c r="H88" i="4"/>
  <c r="H9" i="4"/>
  <c r="H8" i="4"/>
  <c r="H79" i="4"/>
  <c r="H122" i="4"/>
  <c r="H14" i="10"/>
  <c r="H37" i="4"/>
  <c r="H121" i="4"/>
  <c r="I121" i="4"/>
  <c r="I112" i="4"/>
  <c r="I9" i="4"/>
  <c r="M9" i="16" s="1"/>
  <c r="I109" i="4"/>
  <c r="K49" i="10"/>
  <c r="H113" i="4"/>
  <c r="I108" i="4"/>
  <c r="H11" i="4"/>
  <c r="I122" i="4"/>
  <c r="I79" i="4"/>
  <c r="I100" i="4"/>
  <c r="H110" i="4"/>
  <c r="H25" i="4"/>
  <c r="H125" i="4"/>
  <c r="H86" i="4"/>
  <c r="H42" i="10"/>
  <c r="H21" i="10"/>
  <c r="I120" i="4"/>
  <c r="I28" i="4"/>
  <c r="M28" i="16" s="1"/>
  <c r="H109" i="4"/>
  <c r="I32" i="4"/>
  <c r="I67" i="4"/>
  <c r="K11" i="10"/>
  <c r="I23" i="4"/>
  <c r="H22" i="10"/>
  <c r="H108" i="4"/>
  <c r="H10" i="4"/>
  <c r="I126" i="4"/>
  <c r="H38" i="4"/>
  <c r="I77" i="4"/>
  <c r="I88" i="4"/>
  <c r="I117" i="4"/>
  <c r="H67" i="4"/>
  <c r="H12" i="10"/>
  <c r="I116" i="4"/>
  <c r="I118" i="4"/>
  <c r="H120" i="4"/>
  <c r="I110" i="4"/>
  <c r="I113" i="4"/>
  <c r="I78" i="4"/>
  <c r="I115" i="4"/>
  <c r="K26" i="10"/>
  <c r="I98" i="4"/>
  <c r="I99" i="4"/>
  <c r="K9" i="10"/>
  <c r="H77" i="4"/>
  <c r="H24" i="10"/>
  <c r="I31" i="4"/>
  <c r="I24" i="4"/>
  <c r="H126" i="4"/>
  <c r="K16" i="10"/>
  <c r="I30" i="4"/>
  <c r="H36" i="4"/>
  <c r="I123" i="4"/>
  <c r="K45" i="10"/>
  <c r="H39" i="4"/>
  <c r="I107" i="4"/>
  <c r="I8" i="4"/>
  <c r="M8" i="16" s="1"/>
  <c r="I114" i="4"/>
  <c r="I86" i="4"/>
  <c r="H10" i="10"/>
  <c r="I124" i="4"/>
  <c r="H100" i="4"/>
  <c r="H7" i="4"/>
  <c r="H23" i="4"/>
  <c r="H15" i="10"/>
  <c r="I125" i="4"/>
  <c r="M9" i="72" l="1"/>
  <c r="M8" i="74"/>
  <c r="J23" i="4"/>
  <c r="J24" i="4"/>
  <c r="J110" i="4"/>
  <c r="M67" i="37"/>
  <c r="M67" i="18"/>
  <c r="M107" i="37"/>
  <c r="M32" i="37"/>
  <c r="M32" i="18"/>
  <c r="M79" i="37"/>
  <c r="M79" i="18"/>
  <c r="M124" i="37"/>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24" i="18"/>
  <c r="M108" i="37"/>
  <c r="M108" i="18"/>
  <c r="M112" i="37"/>
  <c r="M112" i="18"/>
  <c r="J122" i="4"/>
  <c r="M23" i="37"/>
  <c r="M23" i="18"/>
  <c r="M121" i="37"/>
  <c r="M121" i="18"/>
  <c r="M125" i="37"/>
  <c r="M125" i="18"/>
  <c r="M30" i="37"/>
  <c r="M30" i="18"/>
  <c r="M116" i="37"/>
  <c r="M77" i="18"/>
  <c r="M120" i="37"/>
  <c r="M120" i="18"/>
  <c r="J114" i="4"/>
  <c r="M98" i="37"/>
  <c r="M97" i="37"/>
  <c r="M97" i="13"/>
  <c r="M97" i="29"/>
  <c r="M97" i="33"/>
  <c r="M77" i="37"/>
  <c r="M76" i="37"/>
  <c r="M76" i="33"/>
  <c r="M76" i="29"/>
  <c r="M76" i="13"/>
  <c r="M24" i="13"/>
  <c r="M24" i="24"/>
  <c r="M24" i="23"/>
  <c r="M24" i="33"/>
  <c r="M24" i="29"/>
  <c r="M88" i="13"/>
  <c r="M88" i="27"/>
  <c r="M88" i="29"/>
  <c r="M88" i="23"/>
  <c r="M88" i="33"/>
  <c r="J28" i="4"/>
  <c r="M28" i="20"/>
  <c r="M28" i="25"/>
  <c r="M28" i="23"/>
  <c r="M28" i="24"/>
  <c r="M28" i="51"/>
  <c r="M28" i="29"/>
  <c r="M28" i="13"/>
  <c r="M121" i="23"/>
  <c r="M121" i="13"/>
  <c r="M121" i="27"/>
  <c r="M121" i="29"/>
  <c r="M121" i="33"/>
  <c r="M121" i="20"/>
  <c r="M121" i="35"/>
  <c r="M125" i="23"/>
  <c r="M125" i="27"/>
  <c r="M125" i="13"/>
  <c r="M125" i="29"/>
  <c r="M125" i="33"/>
  <c r="M125" i="35"/>
  <c r="M124" i="13"/>
  <c r="M114" i="33"/>
  <c r="M31" i="23"/>
  <c r="M31" i="13"/>
  <c r="M31" i="24"/>
  <c r="M31" i="35"/>
  <c r="M31" i="29"/>
  <c r="M31" i="33"/>
  <c r="M78" i="23"/>
  <c r="M78" i="27"/>
  <c r="M78" i="13"/>
  <c r="M78" i="29"/>
  <c r="M78" i="33"/>
  <c r="M113" i="23"/>
  <c r="M113" i="13"/>
  <c r="M113" i="27"/>
  <c r="M113" i="20"/>
  <c r="M113" i="29"/>
  <c r="M113" i="33"/>
  <c r="M113" i="35"/>
  <c r="J116" i="4"/>
  <c r="M116" i="13"/>
  <c r="M116" i="23"/>
  <c r="M116" i="33"/>
  <c r="M117" i="23"/>
  <c r="M117" i="27"/>
  <c r="M117" i="13"/>
  <c r="M117" i="29"/>
  <c r="M117" i="33"/>
  <c r="M117" i="35"/>
  <c r="M23" i="20"/>
  <c r="M23" i="13"/>
  <c r="M23" i="35"/>
  <c r="M23" i="29"/>
  <c r="M23" i="33"/>
  <c r="M32" i="13"/>
  <c r="M32" i="20"/>
  <c r="M32" i="33"/>
  <c r="M32" i="23"/>
  <c r="M32" i="29"/>
  <c r="M79" i="13"/>
  <c r="M79" i="20"/>
  <c r="M79" i="23"/>
  <c r="M79" i="33"/>
  <c r="M79" i="29"/>
  <c r="M79" i="27"/>
  <c r="M8" i="20"/>
  <c r="M8" i="13"/>
  <c r="M8" i="22"/>
  <c r="M8" i="24"/>
  <c r="M8" i="51"/>
  <c r="M8" i="25"/>
  <c r="M8" i="41"/>
  <c r="M8" i="29"/>
  <c r="M8" i="33"/>
  <c r="M8" i="19"/>
  <c r="M30" i="20"/>
  <c r="M30" i="13"/>
  <c r="M30" i="23"/>
  <c r="M30" i="33"/>
  <c r="M30" i="29"/>
  <c r="M30" i="35"/>
  <c r="M99" i="23"/>
  <c r="M99" i="27"/>
  <c r="M99" i="29"/>
  <c r="M99" i="13"/>
  <c r="M99" i="33"/>
  <c r="M110" i="33"/>
  <c r="M120" i="13"/>
  <c r="M120" i="23"/>
  <c r="M120" i="29"/>
  <c r="M120" i="33"/>
  <c r="M100" i="13"/>
  <c r="M100" i="20"/>
  <c r="M100" i="29"/>
  <c r="M100" i="33"/>
  <c r="M100" i="27"/>
  <c r="M100" i="23"/>
  <c r="M122" i="33"/>
  <c r="M108" i="13"/>
  <c r="M108" i="23"/>
  <c r="M108" i="33"/>
  <c r="M108" i="29"/>
  <c r="M108" i="27"/>
  <c r="M9" i="19"/>
  <c r="M9" i="25"/>
  <c r="M9" i="20"/>
  <c r="M9" i="22"/>
  <c r="M9" i="51"/>
  <c r="M9" i="13"/>
  <c r="M9" i="29"/>
  <c r="M9" i="24"/>
  <c r="M9" i="41"/>
  <c r="M9" i="33"/>
  <c r="M86" i="23"/>
  <c r="M86" i="35"/>
  <c r="M86" i="29"/>
  <c r="M86" i="13"/>
  <c r="M86" i="33"/>
  <c r="J107" i="4"/>
  <c r="M107" i="23"/>
  <c r="M107" i="13"/>
  <c r="M107" i="35"/>
  <c r="M107" i="29"/>
  <c r="M107" i="33"/>
  <c r="M98" i="20"/>
  <c r="M98" i="13"/>
  <c r="M98" i="23"/>
  <c r="M98" i="27"/>
  <c r="M98" i="29"/>
  <c r="M98" i="33"/>
  <c r="M77" i="20"/>
  <c r="M77" i="13"/>
  <c r="M77" i="27"/>
  <c r="M77" i="23"/>
  <c r="M77" i="29"/>
  <c r="M77" i="33"/>
  <c r="M67" i="13"/>
  <c r="M67" i="23"/>
  <c r="M67" i="27"/>
  <c r="M67" i="29"/>
  <c r="M67" i="33"/>
  <c r="M109" i="27"/>
  <c r="M109" i="13"/>
  <c r="M109" i="23"/>
  <c r="M109" i="20"/>
  <c r="M109" i="29"/>
  <c r="M109" i="35"/>
  <c r="M109" i="33"/>
  <c r="M112" i="13"/>
  <c r="M112" i="23"/>
  <c r="M112" i="27"/>
  <c r="M112" i="33"/>
  <c r="M112" i="29"/>
  <c r="J108" i="4"/>
  <c r="M44" i="8"/>
  <c r="D43" i="9"/>
  <c r="H69" i="9"/>
  <c r="B71" i="9"/>
  <c r="M45" i="8"/>
  <c r="D44" i="9"/>
  <c r="M41" i="8"/>
  <c r="D40" i="9"/>
  <c r="C58" i="9"/>
  <c r="H55" i="9"/>
  <c r="N47" i="8"/>
  <c r="B75" i="9"/>
  <c r="D32" i="9"/>
  <c r="D17" i="9"/>
  <c r="B59" i="9"/>
  <c r="D25" i="9"/>
  <c r="B67" i="9"/>
  <c r="M38" i="8"/>
  <c r="B47" i="9"/>
  <c r="D37" i="9"/>
  <c r="I26" i="9"/>
  <c r="H59" i="9"/>
  <c r="C52" i="9"/>
  <c r="B74" i="9"/>
  <c r="D31" i="9"/>
  <c r="M90" i="8"/>
  <c r="I40" i="9"/>
  <c r="G77" i="9"/>
  <c r="I23" i="9"/>
  <c r="N44" i="8"/>
  <c r="C55" i="9"/>
  <c r="C67" i="9"/>
  <c r="B65" i="9"/>
  <c r="D23" i="9"/>
  <c r="H60" i="9"/>
  <c r="N43" i="8"/>
  <c r="D38" i="9"/>
  <c r="M39" i="8"/>
  <c r="N42" i="8"/>
  <c r="C73" i="9"/>
  <c r="H58" i="9"/>
  <c r="N46" i="8"/>
  <c r="M47" i="8"/>
  <c r="D46" i="9"/>
  <c r="B73" i="9"/>
  <c r="I11" i="9"/>
  <c r="C54" i="9"/>
  <c r="M89" i="8"/>
  <c r="I39" i="9"/>
  <c r="H63" i="9"/>
  <c r="D45" i="9"/>
  <c r="M46" i="8"/>
  <c r="H67" i="9"/>
  <c r="I24" i="9"/>
  <c r="D16" i="9"/>
  <c r="B58" i="9"/>
  <c r="N90" i="8"/>
  <c r="B69" i="9"/>
  <c r="D27" i="9"/>
  <c r="C65" i="9"/>
  <c r="D11" i="9"/>
  <c r="B53" i="9"/>
  <c r="C53" i="9"/>
  <c r="D12" i="9"/>
  <c r="B54" i="9"/>
  <c r="M91" i="8"/>
  <c r="I41" i="9"/>
  <c r="H62" i="9"/>
  <c r="I29" i="9"/>
  <c r="H72" i="9"/>
  <c r="H73" i="9"/>
  <c r="N96" i="8"/>
  <c r="B52" i="9"/>
  <c r="D10" i="9"/>
  <c r="N45" i="8"/>
  <c r="C71" i="9"/>
  <c r="H68" i="9"/>
  <c r="N91" i="8"/>
  <c r="H54" i="9"/>
  <c r="C60" i="9"/>
  <c r="I43" i="9"/>
  <c r="M93" i="8"/>
  <c r="B62" i="9"/>
  <c r="D20" i="9"/>
  <c r="N93" i="8"/>
  <c r="C75" i="9"/>
  <c r="I44" i="9"/>
  <c r="M94" i="8"/>
  <c r="C72" i="9"/>
  <c r="N88" i="8"/>
  <c r="D24" i="9"/>
  <c r="B66" i="9"/>
  <c r="C61" i="9"/>
  <c r="N95" i="8"/>
  <c r="C47" i="9"/>
  <c r="N38" i="8"/>
  <c r="M43" i="8"/>
  <c r="D42" i="9"/>
  <c r="I27" i="9"/>
  <c r="N41" i="8"/>
  <c r="B68" i="9"/>
  <c r="D26" i="9"/>
  <c r="D39" i="9"/>
  <c r="M40" i="8"/>
  <c r="N92" i="8"/>
  <c r="D30" i="9"/>
  <c r="H47" i="9"/>
  <c r="N87" i="8"/>
  <c r="C69" i="9"/>
  <c r="N40" i="8"/>
  <c r="B61" i="9"/>
  <c r="D19" i="9"/>
  <c r="C66" i="9"/>
  <c r="N89" i="8"/>
  <c r="C64" i="9"/>
  <c r="C74" i="9"/>
  <c r="I42" i="9"/>
  <c r="M92" i="8"/>
  <c r="D13" i="9"/>
  <c r="B55" i="9"/>
  <c r="C59" i="9"/>
  <c r="I37" i="9"/>
  <c r="G47" i="9"/>
  <c r="F27" i="10" s="1"/>
  <c r="M87" i="8"/>
  <c r="C62" i="9"/>
  <c r="H71" i="9"/>
  <c r="N94" i="8"/>
  <c r="D29" i="9"/>
  <c r="B72" i="9"/>
  <c r="H61" i="9"/>
  <c r="M95" i="8"/>
  <c r="I45" i="9"/>
  <c r="H66" i="9"/>
  <c r="D21" i="9"/>
  <c r="B63" i="9"/>
  <c r="H74" i="9"/>
  <c r="C63" i="9"/>
  <c r="M96" i="8"/>
  <c r="I46" i="9"/>
  <c r="N39" i="8"/>
  <c r="M42" i="8"/>
  <c r="D41" i="9"/>
  <c r="D28" i="9"/>
  <c r="B60" i="9"/>
  <c r="D18" i="9"/>
  <c r="D22" i="9"/>
  <c r="B64" i="9"/>
  <c r="H64" i="9"/>
  <c r="I16" i="9"/>
  <c r="I30" i="9"/>
  <c r="I19" i="9"/>
  <c r="C68" i="9"/>
  <c r="I20" i="9"/>
  <c r="M88" i="8"/>
  <c r="I38"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M29" i="16" s="1"/>
  <c r="H31" i="10"/>
  <c r="F53" i="10"/>
  <c r="I89" i="4"/>
  <c r="J32" i="10"/>
  <c r="D32" i="10"/>
  <c r="B54" i="10"/>
  <c r="I66" i="4"/>
  <c r="J20" i="10"/>
  <c r="D20" i="10"/>
  <c r="B56" i="10"/>
  <c r="D34" i="10"/>
  <c r="J34" i="10"/>
  <c r="H66" i="4"/>
  <c r="H32" i="10"/>
  <c r="F54" i="10"/>
  <c r="I22" i="4"/>
  <c r="M22" i="16" s="1"/>
  <c r="K41" i="10"/>
  <c r="C46" i="10"/>
  <c r="H119" i="4"/>
  <c r="H137" i="4"/>
  <c r="I136" i="4"/>
  <c r="H68" i="4"/>
  <c r="I68" i="4"/>
  <c r="I38" i="4"/>
  <c r="K43" i="10"/>
  <c r="I10" i="4"/>
  <c r="M10" i="16" s="1"/>
  <c r="H135" i="4"/>
  <c r="H12" i="4"/>
  <c r="J26" i="10"/>
  <c r="L26" i="10" s="1"/>
  <c r="D26" i="10"/>
  <c r="I34" i="4"/>
  <c r="H9" i="10"/>
  <c r="J9" i="10"/>
  <c r="L9" i="10" s="1"/>
  <c r="J49" i="10"/>
  <c r="L49" i="10" s="1"/>
  <c r="D49" i="10"/>
  <c r="D21" i="10"/>
  <c r="J21" i="10"/>
  <c r="I39" i="4"/>
  <c r="I27" i="4"/>
  <c r="I36" i="4"/>
  <c r="B35" i="10"/>
  <c r="J30" i="10"/>
  <c r="B52" i="10"/>
  <c r="D30" i="10"/>
  <c r="M7" i="16"/>
  <c r="K60" i="10"/>
  <c r="K38" i="10"/>
  <c r="H13" i="10"/>
  <c r="G35" i="10"/>
  <c r="G52" i="10"/>
  <c r="I35" i="4"/>
  <c r="D12" i="10"/>
  <c r="J12" i="10"/>
  <c r="I12" i="4"/>
  <c r="D43" i="10"/>
  <c r="J43" i="10"/>
  <c r="I134" i="4"/>
  <c r="I11" i="4"/>
  <c r="K20" i="10"/>
  <c r="D25" i="10"/>
  <c r="J25" i="10"/>
  <c r="D41" i="10"/>
  <c r="J41" i="10"/>
  <c r="B46" i="10"/>
  <c r="K31" i="10"/>
  <c r="C53" i="10"/>
  <c r="L42" i="9"/>
  <c r="J9" i="9" l="1"/>
  <c r="B77" i="9"/>
  <c r="J76" i="9"/>
  <c r="B17" i="10"/>
  <c r="N20" i="9"/>
  <c r="M30" i="9"/>
  <c r="N37" i="9"/>
  <c r="L18" i="9"/>
  <c r="M39" i="9"/>
  <c r="J51" i="9" l="1"/>
  <c r="J56" i="9"/>
  <c r="M7" i="72"/>
  <c r="M7" i="74"/>
  <c r="J42" i="9"/>
  <c r="E37" i="9"/>
  <c r="M46" i="9"/>
  <c r="M23" i="9"/>
  <c r="N38" i="9"/>
  <c r="L43" i="9"/>
  <c r="N25" i="9"/>
  <c r="N32" i="9"/>
  <c r="L15" i="9"/>
  <c r="L10" i="9"/>
  <c r="M42" i="9"/>
  <c r="N19" i="9"/>
  <c r="L41" i="9"/>
  <c r="N26" i="9"/>
  <c r="O13" i="9"/>
  <c r="N13" i="9"/>
  <c r="M10" i="9"/>
  <c r="M38" i="9"/>
  <c r="O11" i="9"/>
  <c r="L31" i="9"/>
  <c r="O37" i="9"/>
  <c r="O31" i="9"/>
  <c r="M18" i="9"/>
  <c r="O20" i="9"/>
  <c r="O18" i="9"/>
  <c r="O25" i="9"/>
  <c r="L32" i="9"/>
  <c r="M22" i="9"/>
  <c r="O42" i="9"/>
  <c r="O12" i="9"/>
  <c r="N41" i="9"/>
  <c r="L23" i="9"/>
  <c r="O21" i="9"/>
  <c r="M12" i="9"/>
  <c r="N18" i="9"/>
  <c r="N23" i="9"/>
  <c r="L12" i="9"/>
  <c r="M25" i="9"/>
  <c r="L22" i="9"/>
  <c r="L28" i="9"/>
  <c r="O44" i="9"/>
  <c r="M20" i="9"/>
  <c r="O29" i="9"/>
  <c r="O43" i="9"/>
  <c r="L27" i="9"/>
  <c r="M19" i="9"/>
  <c r="N21" i="9"/>
  <c r="N44" i="9"/>
  <c r="M32" i="9"/>
  <c r="O17" i="9"/>
  <c r="N31" i="9"/>
  <c r="L25" i="9"/>
  <c r="M43" i="9"/>
  <c r="O30" i="9"/>
  <c r="N11" i="9"/>
  <c r="O24" i="9"/>
  <c r="N46" i="9"/>
  <c r="O27" i="9"/>
  <c r="O23" i="9"/>
  <c r="O38" i="9"/>
  <c r="M26" i="9"/>
  <c r="N45" i="9"/>
  <c r="N24" i="9"/>
  <c r="O39" i="9"/>
  <c r="M44" i="9"/>
  <c r="M33" i="9"/>
  <c r="O46" i="9"/>
  <c r="O10" i="9"/>
  <c r="L38" i="9"/>
  <c r="O41" i="9"/>
  <c r="O45" i="9"/>
  <c r="L45" i="9"/>
  <c r="L13" i="9"/>
  <c r="M41" i="9"/>
  <c r="L37" i="9"/>
  <c r="M21" i="9"/>
  <c r="M45" i="9"/>
  <c r="L24" i="9"/>
  <c r="L11" i="9"/>
  <c r="M40" i="9"/>
  <c r="N28" i="9"/>
  <c r="N42" i="9"/>
  <c r="N40" i="9"/>
  <c r="M13" i="9"/>
  <c r="O33" i="9"/>
  <c r="N29" i="9"/>
  <c r="L30" i="9"/>
  <c r="M17" i="9"/>
  <c r="N30" i="9"/>
  <c r="L17" i="9"/>
  <c r="L44" i="9"/>
  <c r="L40" i="9"/>
  <c r="N27" i="9"/>
  <c r="O40" i="9"/>
  <c r="O32" i="9"/>
  <c r="O15" i="9"/>
  <c r="O22" i="9"/>
  <c r="N12" i="9"/>
  <c r="M11" i="9"/>
  <c r="L21" i="9"/>
  <c r="O19" i="9"/>
  <c r="N17" i="9"/>
  <c r="O28" i="9"/>
  <c r="M24" i="9"/>
  <c r="L46" i="9"/>
  <c r="N10" i="9"/>
  <c r="N15" i="9"/>
  <c r="M29" i="9"/>
  <c r="L39" i="9"/>
  <c r="M31" i="9"/>
  <c r="M27" i="9"/>
  <c r="L29" i="9"/>
  <c r="L26" i="9"/>
  <c r="M15" i="9"/>
  <c r="M37" i="9"/>
  <c r="O26" i="9"/>
  <c r="N43" i="9"/>
  <c r="L19" i="9"/>
  <c r="M28" i="9"/>
  <c r="N39" i="9"/>
  <c r="N33" i="9"/>
  <c r="J25" i="4" l="1"/>
  <c r="M33" i="20"/>
  <c r="M35" i="37"/>
  <c r="M35" i="18"/>
  <c r="M22" i="37"/>
  <c r="M22" i="18"/>
  <c r="M29" i="37"/>
  <c r="M29" i="18"/>
  <c r="M135" i="37"/>
  <c r="M37" i="37"/>
  <c r="M66" i="37"/>
  <c r="M66" i="18"/>
  <c r="M111" i="37"/>
  <c r="M111" i="18"/>
  <c r="M10" i="37"/>
  <c r="M10" i="18"/>
  <c r="M136" i="37"/>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54" i="9"/>
  <c r="M47" i="9"/>
  <c r="M73" i="9"/>
  <c r="O72" i="9"/>
  <c r="L59" i="9"/>
  <c r="M54" i="9"/>
  <c r="M61" i="9"/>
  <c r="O61" i="9"/>
  <c r="N66" i="9"/>
  <c r="O75" i="9"/>
  <c r="O60" i="9"/>
  <c r="M66" i="9"/>
  <c r="N61" i="9"/>
  <c r="N58" i="9"/>
  <c r="O74" i="9"/>
  <c r="M72" i="9"/>
  <c r="L69" i="9"/>
  <c r="L63" i="9"/>
  <c r="L68" i="9"/>
  <c r="M53" i="9"/>
  <c r="L74" i="9"/>
  <c r="M51" i="9"/>
  <c r="M34" i="9"/>
  <c r="O59" i="9"/>
  <c r="L47" i="9"/>
  <c r="L58" i="9"/>
  <c r="O71" i="9"/>
  <c r="L52" i="9"/>
  <c r="N64" i="9"/>
  <c r="M75" i="9"/>
  <c r="N51" i="9"/>
  <c r="N34" i="9"/>
  <c r="M67" i="9"/>
  <c r="O47" i="9"/>
  <c r="N60" i="9"/>
  <c r="O54" i="9"/>
  <c r="O52" i="9"/>
  <c r="L66" i="9"/>
  <c r="M64" i="9"/>
  <c r="N71" i="9"/>
  <c r="N75" i="9"/>
  <c r="M68" i="9"/>
  <c r="O68" i="9"/>
  <c r="N73" i="9"/>
  <c r="O65" i="9"/>
  <c r="L67" i="9"/>
  <c r="L73" i="9"/>
  <c r="L62" i="9"/>
  <c r="N69" i="9"/>
  <c r="N59" i="9"/>
  <c r="L71" i="9"/>
  <c r="O66" i="9"/>
  <c r="O53" i="9"/>
  <c r="O73" i="9"/>
  <c r="L65" i="9"/>
  <c r="O69" i="9"/>
  <c r="N54" i="9"/>
  <c r="L53" i="9"/>
  <c r="N52" i="9"/>
  <c r="M74" i="9"/>
  <c r="N68" i="9"/>
  <c r="M59" i="9"/>
  <c r="M71" i="9"/>
  <c r="O51" i="9"/>
  <c r="O34" i="9"/>
  <c r="M63" i="9"/>
  <c r="M65" i="9"/>
  <c r="L64" i="9"/>
  <c r="M52" i="9"/>
  <c r="N74" i="9"/>
  <c r="O64" i="9"/>
  <c r="N55" i="9"/>
  <c r="O62" i="9"/>
  <c r="M62" i="9"/>
  <c r="L72" i="9"/>
  <c r="M58" i="9"/>
  <c r="M60" i="9"/>
  <c r="N47" i="9"/>
  <c r="N67" i="9"/>
  <c r="N62" i="9"/>
  <c r="M55" i="9"/>
  <c r="N53" i="9"/>
  <c r="N65" i="9"/>
  <c r="L34" i="9"/>
  <c r="L51" i="9"/>
  <c r="M69" i="9"/>
  <c r="L60" i="9"/>
  <c r="O63" i="9"/>
  <c r="O58" i="9"/>
  <c r="O55" i="9"/>
  <c r="N72" i="9"/>
  <c r="O67" i="9"/>
  <c r="L55" i="9"/>
  <c r="L42" i="10"/>
  <c r="J11" i="4"/>
  <c r="M11" i="13"/>
  <c r="M11" i="33"/>
  <c r="M11" i="23"/>
  <c r="M11" i="29"/>
  <c r="M11" i="35"/>
  <c r="J10" i="4"/>
  <c r="M10" i="20"/>
  <c r="M10" i="23"/>
  <c r="M10" i="13"/>
  <c r="M10" i="24"/>
  <c r="M10" i="35"/>
  <c r="M10" i="51"/>
  <c r="M10" i="29"/>
  <c r="M10" i="33"/>
  <c r="M68" i="20"/>
  <c r="M68" i="13"/>
  <c r="M68" i="27"/>
  <c r="M68" i="23"/>
  <c r="M68" i="29"/>
  <c r="M68" i="35"/>
  <c r="M68" i="33"/>
  <c r="M136" i="26"/>
  <c r="M119" i="23"/>
  <c r="M119" i="20"/>
  <c r="M119" i="27"/>
  <c r="M119" i="13"/>
  <c r="M119" i="35"/>
  <c r="M119" i="29"/>
  <c r="M119" i="33"/>
  <c r="M111" i="23"/>
  <c r="M111" i="20"/>
  <c r="M111" i="27"/>
  <c r="M111" i="35"/>
  <c r="M111" i="29"/>
  <c r="M111" i="13"/>
  <c r="M111" i="33"/>
  <c r="J7" i="4"/>
  <c r="M7" i="19"/>
  <c r="M7" i="13"/>
  <c r="M7" i="23"/>
  <c r="M7" i="22"/>
  <c r="M7" i="25"/>
  <c r="M7" i="20"/>
  <c r="M7" i="24"/>
  <c r="M7" i="29"/>
  <c r="M7" i="41"/>
  <c r="M7" i="51"/>
  <c r="M7" i="35"/>
  <c r="M7" i="33"/>
  <c r="J22" i="4"/>
  <c r="M22" i="20"/>
  <c r="M22" i="13"/>
  <c r="M22" i="24"/>
  <c r="M22" i="51"/>
  <c r="M22" i="23"/>
  <c r="M22" i="29"/>
  <c r="M22" i="35"/>
  <c r="M22" i="33"/>
  <c r="M29" i="23"/>
  <c r="M29" i="13"/>
  <c r="M29" i="29"/>
  <c r="M29" i="51"/>
  <c r="M29" i="35"/>
  <c r="M29" i="24"/>
  <c r="M29" i="20"/>
  <c r="M29" i="33"/>
  <c r="M137" i="26"/>
  <c r="M137" i="34"/>
  <c r="M87" i="13"/>
  <c r="M87" i="20"/>
  <c r="M87" i="23"/>
  <c r="M87" i="27"/>
  <c r="M87" i="33"/>
  <c r="M87" i="29"/>
  <c r="M87" i="35"/>
  <c r="J10" i="9"/>
  <c r="M35" i="13"/>
  <c r="M35" i="23"/>
  <c r="M35" i="29"/>
  <c r="M35" i="35"/>
  <c r="M35" i="33"/>
  <c r="M39" i="13"/>
  <c r="M34" i="13"/>
  <c r="M34" i="23"/>
  <c r="M34" i="29"/>
  <c r="M34" i="35"/>
  <c r="M34" i="33"/>
  <c r="J38" i="4"/>
  <c r="M38" i="34"/>
  <c r="M66" i="13"/>
  <c r="M66" i="20"/>
  <c r="M66" i="27"/>
  <c r="M66" i="35"/>
  <c r="M66" i="33"/>
  <c r="M66" i="23"/>
  <c r="M66" i="29"/>
  <c r="M89" i="20"/>
  <c r="M89" i="13"/>
  <c r="M89" i="23"/>
  <c r="M89" i="27"/>
  <c r="M89" i="29"/>
  <c r="M89" i="35"/>
  <c r="M89" i="33"/>
  <c r="M96" i="33"/>
  <c r="M75" i="33"/>
  <c r="J37" i="4"/>
  <c r="M37" i="13"/>
  <c r="I73" i="9"/>
  <c r="M134" i="26"/>
  <c r="M134" i="34"/>
  <c r="M12" i="13"/>
  <c r="M12" i="23"/>
  <c r="M12" i="29"/>
  <c r="M12" i="35"/>
  <c r="M12" i="33"/>
  <c r="J36" i="4"/>
  <c r="M36" i="13"/>
  <c r="L21" i="10"/>
  <c r="H53" i="10"/>
  <c r="M135" i="26"/>
  <c r="M135" i="34"/>
  <c r="M25" i="13"/>
  <c r="M25" i="20"/>
  <c r="M25" i="29"/>
  <c r="M25" i="33"/>
  <c r="L31" i="10"/>
  <c r="L22" i="10"/>
  <c r="L12" i="10"/>
  <c r="L10" i="10"/>
  <c r="I71" i="9"/>
  <c r="I53" i="9"/>
  <c r="I61" i="9"/>
  <c r="I58" i="9"/>
  <c r="I34" i="9"/>
  <c r="I52" i="9"/>
  <c r="D71" i="9"/>
  <c r="D47" i="9"/>
  <c r="D52" i="9"/>
  <c r="G17" i="10"/>
  <c r="E41" i="9"/>
  <c r="E44" i="9"/>
  <c r="E39" i="9"/>
  <c r="E40" i="9"/>
  <c r="E46" i="9"/>
  <c r="E45" i="9"/>
  <c r="E43" i="9"/>
  <c r="F17" i="10"/>
  <c r="J17" i="10" s="1"/>
  <c r="E38" i="9"/>
  <c r="E42" i="9"/>
  <c r="B27" i="10"/>
  <c r="J27" i="10" s="1"/>
  <c r="J37" i="9"/>
  <c r="J43" i="9"/>
  <c r="G27" i="10"/>
  <c r="H27" i="10" s="1"/>
  <c r="J57" i="9"/>
  <c r="C27" i="10"/>
  <c r="J44" i="9"/>
  <c r="J45" i="9"/>
  <c r="J39" i="9"/>
  <c r="J40" i="9"/>
  <c r="J38" i="9"/>
  <c r="I47" i="9"/>
  <c r="J41" i="9"/>
  <c r="J46" i="9"/>
  <c r="J119" i="4"/>
  <c r="J137" i="4"/>
  <c r="J135" i="4"/>
  <c r="J111" i="4"/>
  <c r="J12" i="4"/>
  <c r="J66" i="4"/>
  <c r="J35" i="4"/>
  <c r="J134" i="4"/>
  <c r="J34" i="4"/>
  <c r="J136" i="4"/>
  <c r="J68" i="4"/>
  <c r="J89" i="4"/>
  <c r="J87" i="4"/>
  <c r="J29" i="4"/>
  <c r="K53" i="10"/>
  <c r="K55" i="10"/>
  <c r="L44" i="10"/>
  <c r="L23" i="10"/>
  <c r="H55" i="10"/>
  <c r="L30" i="10"/>
  <c r="G57" i="10"/>
  <c r="L32" i="10"/>
  <c r="H54" i="10"/>
  <c r="L3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33" i="9"/>
  <c r="L20" i="9"/>
  <c r="N22" i="9"/>
  <c r="N63" i="9" l="1"/>
  <c r="L61" i="9"/>
  <c r="L75" i="9"/>
  <c r="J75" i="9"/>
  <c r="J70" i="9"/>
  <c r="L55" i="10"/>
  <c r="M77" i="9"/>
  <c r="O77" i="9"/>
  <c r="L77" i="9"/>
  <c r="N77" i="9"/>
  <c r="L53" i="10"/>
  <c r="J47" i="9"/>
  <c r="J34" i="9"/>
  <c r="I77" i="9"/>
  <c r="E47" i="9"/>
  <c r="H17" i="10"/>
  <c r="J61" i="9"/>
  <c r="J60" i="9"/>
  <c r="D27" i="10"/>
  <c r="K27" i="10"/>
  <c r="L27" i="10" s="1"/>
  <c r="J71" i="9"/>
  <c r="J64" i="9"/>
  <c r="J55" i="9"/>
  <c r="J65" i="9"/>
  <c r="I65" i="9" s="1"/>
  <c r="J67" i="9"/>
  <c r="J54" i="9"/>
  <c r="I54" i="9" s="1"/>
  <c r="J62" i="9"/>
  <c r="I62" i="9" s="1"/>
  <c r="J68" i="9"/>
  <c r="J63" i="9"/>
  <c r="J69" i="9"/>
  <c r="I69" i="9" s="1"/>
  <c r="J58" i="9"/>
  <c r="J53" i="9"/>
  <c r="J74" i="9"/>
  <c r="J52" i="9"/>
  <c r="J66" i="9"/>
  <c r="I66" i="9" s="1"/>
  <c r="J59" i="9"/>
  <c r="J72" i="9"/>
  <c r="I72" i="9" s="1"/>
  <c r="J73" i="9"/>
  <c r="K57" i="10"/>
  <c r="H57" i="10"/>
  <c r="L46" i="10"/>
  <c r="L35" i="10"/>
  <c r="L54" i="10"/>
  <c r="J57" i="10"/>
  <c r="D57" i="10"/>
  <c r="L52" i="10"/>
  <c r="J77" i="9" l="1"/>
  <c r="L57" i="10"/>
  <c r="D33" i="9" l="1"/>
  <c r="N32" i="8" l="1"/>
  <c r="C76" i="9"/>
  <c r="D76" i="9" s="1"/>
  <c r="E9" i="9" l="1"/>
  <c r="E14" i="9"/>
  <c r="E28" i="9"/>
  <c r="D34" i="9"/>
  <c r="E26" i="9"/>
  <c r="E20" i="9"/>
  <c r="E16" i="9"/>
  <c r="E11" i="9"/>
  <c r="E24" i="9"/>
  <c r="E31" i="9"/>
  <c r="E17" i="9"/>
  <c r="E12" i="9"/>
  <c r="E10" i="9"/>
  <c r="E27" i="9"/>
  <c r="E15" i="9"/>
  <c r="K17" i="10"/>
  <c r="L17" i="10" s="1"/>
  <c r="E29" i="9"/>
  <c r="E33" i="9"/>
  <c r="E21" i="9"/>
  <c r="E25" i="9"/>
  <c r="E19" i="9"/>
  <c r="E13" i="9"/>
  <c r="E30" i="9"/>
  <c r="E32" i="9"/>
  <c r="E18" i="9"/>
  <c r="E22" i="9"/>
  <c r="E23" i="9"/>
  <c r="E76" i="9"/>
  <c r="C77" i="9"/>
  <c r="E56" i="9" s="1"/>
  <c r="D77" i="9" l="1"/>
  <c r="E51" i="9"/>
  <c r="D17" i="10"/>
  <c r="E34" i="9"/>
  <c r="E57" i="9"/>
  <c r="E67" i="9"/>
  <c r="D67" i="9" s="1"/>
  <c r="E53" i="9"/>
  <c r="D53" i="9" s="1"/>
  <c r="E62" i="9"/>
  <c r="D62" i="9" s="1"/>
  <c r="E69" i="9"/>
  <c r="D69" i="9" s="1"/>
  <c r="E72" i="9"/>
  <c r="D72" i="9" s="1"/>
  <c r="E60" i="9"/>
  <c r="D60" i="9" s="1"/>
  <c r="E64" i="9"/>
  <c r="D64" i="9" s="1"/>
  <c r="E65" i="9"/>
  <c r="D65" i="9" s="1"/>
  <c r="E55" i="9"/>
  <c r="D55" i="9" s="1"/>
  <c r="E66" i="9"/>
  <c r="D66" i="9" s="1"/>
  <c r="E54" i="9"/>
  <c r="D54" i="9" s="1"/>
  <c r="E61" i="9"/>
  <c r="D61" i="9" s="1"/>
  <c r="E52" i="9"/>
  <c r="E73" i="9"/>
  <c r="D73" i="9" s="1"/>
  <c r="E70" i="9"/>
  <c r="E58" i="9"/>
  <c r="D58" i="9" s="1"/>
  <c r="E75" i="9"/>
  <c r="D75" i="9" s="1"/>
  <c r="E63" i="9"/>
  <c r="D63" i="9" s="1"/>
  <c r="E74" i="9"/>
  <c r="D74" i="9" s="1"/>
  <c r="E59" i="9"/>
  <c r="D59" i="9" s="1"/>
  <c r="E68" i="9"/>
  <c r="D68" i="9" s="1"/>
  <c r="E71" i="9"/>
  <c r="E77"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<sst xmlns="http://schemas.openxmlformats.org/spreadsheetml/2006/main" count="6099" uniqueCount="440">
  <si>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</si>
  <si>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</si>
  <si>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</si>
  <si>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</si>
  <si>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</si>
  <si>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</si>
  <si>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</si>
  <si>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</si>
  <si>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</si>
  <si>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</si>
  <si>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</si>
  <si>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</si>
  <si>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</si>
  <si>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</si>
  <si>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</si>
  <si>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</si>
  <si>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</si>
  <si>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</si>
  <si>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</si>
  <si>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</si>
  <si>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</si>
  <si>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</si>
  <si>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</si>
  <si>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</si>
  <si>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</si>
  <si>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</si>
  <si>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</si>
  <si>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</si>
  <si>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</si>
  <si>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</si>
  <si>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</si>
  <si>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</si>
  <si>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</si>
  <si>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</si>
  <si>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</si>
  <si>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</si>
  <si>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</si>
  <si>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</si>
  <si>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</si>
  <si>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</si>
  <si>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</si>
  <si>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</si>
  <si>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</si>
  <si>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</si>
  <si>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</si>
  <si>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</si>
  <si>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</si>
  <si>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</si>
  <si>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</si>
  <si>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</si>
  <si>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</si>
  <si>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</si>
  <si>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</si>
  <si>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</si>
  <si>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</si>
  <si>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</si>
  <si>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</si>
  <si>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</si>
  <si>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</si>
  <si>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</si>
  <si>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</si>
  <si>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</si>
  <si>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</si>
  <si>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</si>
  <si>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Bedriftsp</t>
  </si>
  <si>
    <t>KLP Skadef</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</si>
  <si>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</si>
  <si>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</si>
  <si>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</si>
  <si>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</si>
  <si>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</si>
  <si>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</si>
  <si>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</si>
  <si>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</si>
  <si>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</si>
  <si>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</si>
  <si>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</si>
  <si>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</si>
  <si>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</si>
  <si>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</si>
  <si>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</si>
  <si>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</si>
  <si>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</si>
  <si>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</si>
  <si>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Danica Pensjonsforsikring</t>
  </si>
  <si>
    <t>DNB Livsforsikring</t>
  </si>
  <si>
    <t>Eika Forsikring AS</t>
  </si>
  <si>
    <t>Frende Livsforsikring</t>
  </si>
  <si>
    <t>Frende Skadeforsikring</t>
  </si>
  <si>
    <t>Gjensidige Forsikring</t>
  </si>
  <si>
    <t>Gjensidige Pensjon</t>
  </si>
  <si>
    <t>Handelsbanken Liv</t>
  </si>
  <si>
    <t>If Skadeforsikring NUF</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</si>
  <si>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</si>
  <si>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</si>
  <si>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</si>
  <si>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</si>
  <si>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</si>
  <si>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</si>
  <si>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</si>
  <si>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</si>
  <si>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</si>
  <si>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</si>
  <si>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</si>
  <si>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</si>
  <si>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</si>
  <si>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</si>
  <si>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</si>
  <si>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</si>
  <si>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</si>
  <si>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</si>
  <si>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</si>
  <si>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</si>
  <si>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</si>
  <si>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</si>
  <si>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</si>
  <si>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</si>
  <si>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</si>
  <si>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</si>
  <si>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</si>
  <si>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</si>
  <si>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</si>
  <si>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</si>
  <si>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</si>
  <si>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</si>
  <si>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</si>
  <si>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</si>
  <si>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</si>
  <si>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</si>
  <si>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If Skadeforsikring nuf</t>
  </si>
  <si>
    <t>Livsforsikringsselskapet Nordea Liv Norge AS</t>
  </si>
  <si>
    <t>Telenor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</si>
  <si>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</si>
  <si>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</si>
  <si>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</si>
  <si>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</si>
  <si>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</si>
  <si>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</si>
  <si>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</si>
  <si>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</si>
  <si>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</si>
  <si>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</si>
  <si>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</si>
  <si>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</si>
  <si>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</si>
  <si>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</si>
  <si>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</si>
  <si>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</si>
  <si>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</si>
  <si>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</si>
  <si>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</si>
  <si>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</si>
  <si>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</si>
  <si>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</si>
  <si>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</si>
  <si>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</si>
  <si>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</si>
  <si>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</si>
  <si>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</si>
  <si>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</si>
  <si>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</si>
  <si>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</si>
  <si>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</si>
  <si>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</si>
  <si>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</si>
  <si>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</si>
  <si>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</si>
  <si>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</si>
  <si>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</si>
  <si>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</si>
  <si>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</si>
  <si>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</si>
  <si>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</si>
  <si>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</si>
  <si>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</si>
  <si>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</si>
  <si>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</si>
  <si>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</si>
  <si>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</si>
  <si>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</si>
  <si>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</si>
  <si>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</si>
  <si>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</si>
  <si>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</si>
  <si>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</si>
  <si>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</si>
  <si>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</si>
  <si>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</si>
  <si>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</si>
  <si>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</si>
  <si>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</si>
  <si>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</si>
  <si>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</si>
  <si>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</si>
  <si>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</si>
  <si>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</si>
  <si>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</si>
  <si>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</si>
  <si>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</si>
  <si>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</si>
  <si>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</si>
  <si>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</si>
  <si>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</si>
  <si>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</si>
  <si>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</si>
  <si>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</si>
  <si>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</si>
  <si>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</si>
  <si>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</si>
  <si>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</si>
  <si>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</si>
  <si>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</si>
  <si>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</si>
  <si>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</si>
  <si>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</si>
  <si>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</si>
  <si>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</si>
  <si>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</si>
  <si>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</si>
  <si>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</si>
  <si>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</si>
  <si>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</si>
  <si>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</si>
  <si>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</si>
  <si>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</si>
  <si>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</si>
  <si>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</si>
  <si>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</si>
  <si>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</si>
  <si>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</si>
  <si>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</si>
  <si>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</si>
  <si>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</si>
  <si>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</si>
  <si>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</si>
  <si>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</si>
  <si>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</si>
  <si>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</si>
  <si>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</si>
  <si>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</si>
  <si>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</si>
  <si>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</si>
  <si>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</si>
  <si>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</si>
  <si>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</si>
  <si>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</si>
  <si>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</si>
  <si>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</si>
  <si>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</si>
  <si>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</si>
  <si>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</si>
  <si>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</si>
  <si>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</si>
  <si>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</si>
  <si>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</si>
  <si>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</si>
  <si>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</si>
  <si>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</si>
  <si>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</si>
  <si>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</si>
  <si>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</si>
  <si>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</si>
  <si>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</si>
  <si>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</si>
  <si>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</si>
  <si>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</si>
  <si>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</si>
  <si>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</si>
  <si>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</si>
  <si>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</si>
  <si>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</si>
  <si>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</si>
  <si>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</si>
  <si>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</si>
  <si>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</si>
  <si>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</si>
  <si>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</si>
  <si>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</si>
  <si>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</si>
  <si>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</si>
  <si>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</si>
  <si>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</si>
  <si>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</si>
  <si>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</si>
  <si>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</si>
  <si>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</si>
  <si>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</si>
  <si>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</si>
  <si>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</si>
  <si>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</si>
  <si>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</si>
  <si>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</si>
  <si>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</si>
  <si>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</si>
  <si>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</si>
  <si>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</si>
  <si>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</si>
  <si>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</si>
  <si>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</si>
  <si>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</si>
  <si>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</si>
  <si>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</si>
  <si>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</si>
  <si>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</si>
  <si>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</si>
  <si>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</si>
  <si>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</si>
  <si>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</si>
  <si>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</si>
  <si>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</si>
  <si>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</si>
  <si>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</si>
  <si>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</si>
  <si>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</si>
  <si>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</si>
  <si>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</si>
  <si>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</si>
  <si>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</si>
  <si>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</si>
  <si>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</si>
  <si>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</si>
  <si>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</si>
  <si>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</si>
  <si>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</si>
  <si>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</si>
  <si>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</si>
  <si>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</si>
  <si>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</si>
  <si>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</si>
  <si>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</si>
  <si>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</si>
  <si>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</si>
  <si>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</si>
  <si>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</si>
  <si>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</si>
  <si>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</si>
  <si>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</si>
  <si>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</si>
  <si>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</si>
  <si>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</si>
  <si>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</si>
  <si>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</si>
  <si>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</si>
  <si>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</si>
  <si>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</si>
  <si>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</si>
  <si>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</si>
  <si>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</si>
  <si>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</si>
  <si>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</si>
  <si>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</si>
  <si>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</si>
  <si>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</si>
  <si>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</si>
  <si>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</si>
  <si>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</si>
  <si>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</si>
  <si>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</si>
  <si>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</si>
  <si>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</si>
  <si>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 xml:space="preserve">    13.5 Andre tekniske avsetninger for skadeforsikringsvirksomheten</t>
  </si>
  <si>
    <t xml:space="preserve">    5.2 Overføring av premieres., tilleggsavsetn. til andre selskap/kasser</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</si>
  <si>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</si>
  <si>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</si>
  <si>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</si>
  <si>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</si>
  <si>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</si>
  <si>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</si>
  <si>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</si>
  <si>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</si>
  <si>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</si>
  <si>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</si>
  <si>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</si>
  <si>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</si>
  <si>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</si>
  <si>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</si>
  <si>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</si>
  <si>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</si>
  <si>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</si>
  <si>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</si>
  <si>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</si>
  <si>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</si>
  <si>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</si>
  <si>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</si>
  <si>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</si>
  <si>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</si>
  <si>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</si>
  <si>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</si>
  <si>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</si>
  <si>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</si>
  <si>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</si>
  <si>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</si>
  <si>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</si>
  <si>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</si>
  <si>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</si>
  <si>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</si>
  <si>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</si>
  <si>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</si>
  <si>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</si>
  <si>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</si>
  <si>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Fremtind Livsforsikring</t>
  </si>
  <si>
    <t>WaterCircle Forsikring</t>
  </si>
  <si>
    <t>Fremtind</t>
  </si>
  <si>
    <t>Fremtind Livsfors</t>
  </si>
  <si>
    <t>Landkreditt Fors.</t>
  </si>
  <si>
    <t>Insr</t>
  </si>
  <si>
    <t>Fremtind Liv</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</si>
  <si>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</si>
  <si>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</si>
  <si>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</si>
  <si>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</si>
  <si>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</si>
  <si>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Landkreditt Forsikring</t>
  </si>
  <si>
    <t>WaterCircles Fors.</t>
  </si>
  <si>
    <t>WaterCicles Fors.</t>
  </si>
  <si>
    <t>DNB Bedriftspensjon</t>
  </si>
  <si>
    <t>WaterCircles Forsikring</t>
  </si>
  <si>
    <t>DNB Bedriftsp</t>
  </si>
  <si>
    <t>Landkreditt Fors</t>
  </si>
  <si>
    <t>Codan Forsikring</t>
  </si>
  <si>
    <t>Euro Accident</t>
  </si>
  <si>
    <t xml:space="preserve">   Innskuddsbasert (inkl. EPK)</t>
  </si>
  <si>
    <r>
      <t xml:space="preserve">   Innskuddsbasert (inkl. EPK)</t>
    </r>
    <r>
      <rPr>
        <vertAlign val="superscript"/>
        <sz val="10"/>
        <rFont val="Times New Roman"/>
        <family val="1"/>
      </rPr>
      <t>18)</t>
    </r>
  </si>
  <si>
    <t>Bedriftspensjon</t>
  </si>
  <si>
    <t>Forsikring</t>
  </si>
  <si>
    <t>SpareBank 1 Forsikring</t>
  </si>
  <si>
    <t>30.09.</t>
  </si>
  <si>
    <t>Forsikringsforpliktelser fra pensjonskapitalbevis både innenfor og utenfor EPK</t>
  </si>
  <si>
    <t>Figur 1  Brutto forfalt premie livprodukter  -  produkter uten investeringsvalg pr. 30.09.</t>
  </si>
  <si>
    <t>Figur 2  Brutto forfalt premie livprodukter  -  produkter med investeringsvalg pr. 30.09.</t>
  </si>
  <si>
    <t>Figur 3  Forsikringsforpliktelser i livsforsikring  -  produkter uten investeringsvalg pr. 30.09.</t>
  </si>
  <si>
    <t>Figur 4  Forsikringsforpliktelser i livsforsikring -  produkter med investeringsvalg pr. 30.09.</t>
  </si>
  <si>
    <t>Figur 5  Netto tilflytting livprodukter  -  produkter uten investeringsvalg pr. 30.09.</t>
  </si>
  <si>
    <t>Figur 6  Netto tilflytting livprodukter  -  produkter med investeringsvalg pr. 30.09.</t>
  </si>
  <si>
    <t>SpareBank 1 Fors.</t>
  </si>
  <si>
    <t>30.9.2020</t>
  </si>
  <si>
    <t>30.9.2021</t>
  </si>
  <si>
    <r>
      <t xml:space="preserve">  Herav pensjonskapitalbevis </t>
    </r>
    <r>
      <rPr>
        <vertAlign val="superscript"/>
        <sz val="10"/>
        <rFont val="Times New Roman"/>
        <family val="1"/>
      </rPr>
      <t xml:space="preserve">14) </t>
    </r>
    <r>
      <rPr>
        <sz val="10"/>
        <rFont val="Times New Roman"/>
        <family val="1"/>
      </rPr>
      <t xml:space="preserve"> i og utenfor EPK</t>
    </r>
    <r>
      <rPr>
        <vertAlign val="superscript"/>
        <sz val="10"/>
        <rFont val="Times New Roman"/>
        <family val="1"/>
      </rPr>
      <t>22)</t>
    </r>
  </si>
  <si>
    <r>
      <t xml:space="preserve">  Herav pensjonskapitalbevis </t>
    </r>
    <r>
      <rPr>
        <vertAlign val="superscript"/>
        <sz val="10"/>
        <rFont val="Times New Roman"/>
        <family val="1"/>
      </rPr>
      <t>14)</t>
    </r>
    <r>
      <rPr>
        <sz val="10"/>
        <rFont val="Times New Roman"/>
        <family val="1"/>
      </rPr>
      <t xml:space="preserve"> i og utenfor EPK</t>
    </r>
    <r>
      <rPr>
        <vertAlign val="superscript"/>
        <sz val="10"/>
        <rFont val="Times New Roman"/>
        <family val="1"/>
      </rPr>
      <t>22)</t>
    </r>
  </si>
  <si>
    <t xml:space="preserve"> &gt;Flytting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</si>
</sst>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b/>
      <sz val="12"/>
      <color rgb="FFFF0000"/>
      <name val="Times New Roman"/>
      <family val="1"/>
    </font>
    <font>
      <sz val="10"/>
      <color theme="0"/>
      <name val="Times New Roman"/>
      <family val="1"/>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2">
    <xf numFmtId="0" fontId="0" fillId="0" borderId="0"/>
    <xf numFmtId="0" fontId="20" fillId="0" borderId="0"/>
    <xf numFmtId="164" fontId="26" fillId="0" borderId="0" applyFont="0" applyFill="0" applyBorder="0" applyAlignment="0" applyProtection="0"/>
    <xf numFmtId="0" fontId="44"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 fillId="0" borderId="0" applyFont="0" applyFill="0" applyBorder="0" applyAlignment="0" applyProtection="0"/>
    <xf numFmtId="164" fontId="20" fillId="0" borderId="0" applyFont="0" applyFill="0" applyBorder="0" applyAlignment="0" applyProtection="0"/>
    <xf numFmtId="0" fontId="11" fillId="0" borderId="0"/>
    <xf numFmtId="0" fontId="20" fillId="0" borderId="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5" borderId="16" applyNumberFormat="0" applyFont="0" applyAlignment="0" applyProtection="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26" fillId="0" borderId="0" applyFont="0" applyFill="0" applyBorder="0" applyAlignment="0" applyProtection="0"/>
    <xf numFmtId="0" fontId="11"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3" fillId="0" borderId="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7" borderId="0" applyNumberFormat="0" applyBorder="0" applyAlignment="0" applyProtection="0"/>
    <xf numFmtId="0" fontId="15" fillId="0" borderId="0"/>
    <xf numFmtId="171" fontId="16" fillId="0" borderId="7" applyFont="0" applyFill="0" applyBorder="0" applyAlignment="0" applyProtection="0">
      <alignment horizontal="right"/>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0" fontId="20" fillId="0" borderId="0"/>
  </cellStyleXfs>
  <cellXfs count="762">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5"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5" fontId="16" fillId="3" borderId="5" xfId="1" applyNumberFormat="1" applyFont="1" applyFill="1" applyBorder="1" applyAlignment="1">
      <alignment horizontal="right"/>
    </xf>
    <xf numFmtId="0" fontId="18" fillId="0" borderId="6" xfId="1" applyFont="1" applyBorder="1"/>
    <xf numFmtId="165"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6" fillId="0" borderId="7" xfId="1" applyFont="1" applyBorder="1" applyAlignment="1">
      <alignment horizontal="center"/>
    </xf>
    <xf numFmtId="14" fontId="17" fillId="0" borderId="4" xfId="1" applyNumberFormat="1" applyFont="1" applyBorder="1" applyAlignment="1">
      <alignment horizontal="center"/>
    </xf>
    <xf numFmtId="0" fontId="18" fillId="0" borderId="3" xfId="1" applyFont="1" applyBorder="1"/>
    <xf numFmtId="165" fontId="18" fillId="3" borderId="6" xfId="1" applyNumberFormat="1" applyFont="1" applyFill="1" applyBorder="1" applyAlignment="1">
      <alignment horizontal="right"/>
    </xf>
    <xf numFmtId="165" fontId="18" fillId="3" borderId="3" xfId="1" applyNumberFormat="1" applyFont="1" applyFill="1" applyBorder="1" applyAlignment="1">
      <alignment horizontal="right"/>
    </xf>
    <xf numFmtId="165" fontId="16" fillId="3" borderId="3" xfId="1" applyNumberFormat="1" applyFont="1" applyFill="1" applyBorder="1" applyAlignment="1">
      <alignment horizontal="right"/>
    </xf>
    <xf numFmtId="165" fontId="18" fillId="0" borderId="0" xfId="1" applyNumberFormat="1" applyFont="1" applyBorder="1"/>
    <xf numFmtId="3" fontId="18" fillId="0" borderId="0" xfId="1" applyNumberFormat="1" applyFont="1" applyBorder="1"/>
    <xf numFmtId="165" fontId="18" fillId="3" borderId="2" xfId="1" applyNumberFormat="1" applyFont="1" applyFill="1" applyBorder="1" applyAlignment="1">
      <alignment horizontal="right"/>
    </xf>
    <xf numFmtId="0" fontId="15" fillId="0" borderId="0" xfId="1" applyFont="1"/>
    <xf numFmtId="0" fontId="22" fillId="0" borderId="0" xfId="1" applyFont="1"/>
    <xf numFmtId="0" fontId="15" fillId="0" borderId="0" xfId="1" applyFont="1" applyFill="1"/>
    <xf numFmtId="0" fontId="15" fillId="0" borderId="0" xfId="1" applyFont="1" applyFill="1" applyBorder="1"/>
    <xf numFmtId="165"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5"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5"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20" fillId="0" borderId="0" xfId="1"/>
    <xf numFmtId="0" fontId="27" fillId="0" borderId="0" xfId="1" applyFont="1"/>
    <xf numFmtId="0" fontId="0" fillId="0" borderId="0" xfId="1" applyFont="1"/>
    <xf numFmtId="0" fontId="28" fillId="0" borderId="0" xfId="1" applyFont="1" applyAlignment="1">
      <alignment horizontal="righ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left"/>
    </xf>
    <xf numFmtId="0" fontId="32" fillId="0" borderId="0" xfId="1" applyFont="1" applyAlignment="1">
      <alignment horizontal="right"/>
    </xf>
    <xf numFmtId="0" fontId="20" fillId="0" borderId="0" xfId="1" applyAlignment="1">
      <alignment horizontal="right"/>
    </xf>
    <xf numFmtId="0" fontId="33" fillId="0" borderId="0" xfId="1" applyFont="1" applyAlignment="1">
      <alignment horizontal="left"/>
    </xf>
    <xf numFmtId="14" fontId="34" fillId="0" borderId="0" xfId="1" applyNumberFormat="1" applyFont="1" applyAlignment="1">
      <alignment horizontal="left"/>
    </xf>
    <xf numFmtId="0" fontId="34" fillId="0" borderId="0" xfId="1" applyFont="1" applyAlignment="1">
      <alignment horizontal="left"/>
    </xf>
    <xf numFmtId="0" fontId="35" fillId="0" borderId="0" xfId="1" applyFont="1" applyAlignment="1">
      <alignment vertical="center"/>
    </xf>
    <xf numFmtId="0" fontId="36" fillId="0" borderId="0" xfId="1" applyFont="1" applyAlignment="1">
      <alignment vertical="center"/>
    </xf>
    <xf numFmtId="0" fontId="37" fillId="0" borderId="0" xfId="1" applyFont="1"/>
    <xf numFmtId="14" fontId="38" fillId="0" borderId="0" xfId="1" applyNumberFormat="1" applyFont="1"/>
    <xf numFmtId="0" fontId="39" fillId="0" borderId="0" xfId="0" applyFont="1"/>
    <xf numFmtId="0" fontId="40" fillId="0" borderId="0" xfId="0" applyFont="1"/>
    <xf numFmtId="0" fontId="41" fillId="0" borderId="0" xfId="0" applyFont="1"/>
    <xf numFmtId="0" fontId="43" fillId="0" borderId="0" xfId="0" applyFont="1"/>
    <xf numFmtId="0" fontId="43" fillId="0" borderId="0" xfId="3" applyFont="1" applyAlignment="1" applyProtection="1"/>
    <xf numFmtId="0" fontId="45" fillId="0" borderId="0" xfId="0" applyFont="1"/>
    <xf numFmtId="0" fontId="18" fillId="0" borderId="0" xfId="3" applyFont="1" applyFill="1" applyAlignment="1" applyProtection="1"/>
    <xf numFmtId="0" fontId="31" fillId="0" borderId="0" xfId="0" applyFont="1"/>
    <xf numFmtId="0" fontId="46" fillId="0" borderId="0" xfId="0" applyFont="1"/>
    <xf numFmtId="0" fontId="47"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2"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6" fillId="0" borderId="7" xfId="0" applyNumberFormat="1" applyFont="1" applyFill="1" applyBorder="1"/>
    <xf numFmtId="0" fontId="46" fillId="0" borderId="0" xfId="0" applyFont="1" applyBorder="1" applyAlignment="1">
      <alignment horizontal="center"/>
    </xf>
    <xf numFmtId="0" fontId="46" fillId="0" borderId="3" xfId="0" applyFont="1" applyBorder="1" applyAlignment="1">
      <alignment horizontal="center"/>
    </xf>
    <xf numFmtId="3" fontId="46"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9"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6"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6" fillId="0" borderId="4" xfId="0" applyNumberFormat="1" applyFont="1" applyBorder="1"/>
    <xf numFmtId="3" fontId="46" fillId="0" borderId="4" xfId="0" applyNumberFormat="1" applyFont="1" applyBorder="1" applyAlignment="1">
      <alignment horizontal="right"/>
    </xf>
    <xf numFmtId="0" fontId="16" fillId="0" borderId="0" xfId="0" applyFont="1"/>
    <xf numFmtId="0" fontId="31" fillId="0" borderId="0" xfId="0" applyFont="1" applyBorder="1"/>
    <xf numFmtId="0" fontId="46" fillId="0" borderId="6" xfId="0" applyFont="1" applyBorder="1"/>
    <xf numFmtId="3" fontId="46" fillId="0" borderId="11" xfId="0" applyNumberFormat="1" applyFont="1" applyBorder="1"/>
    <xf numFmtId="3" fontId="46" fillId="0" borderId="11" xfId="0" applyNumberFormat="1" applyFont="1" applyBorder="1" applyAlignment="1">
      <alignment horizontal="right"/>
    </xf>
    <xf numFmtId="0" fontId="31" fillId="0" borderId="0" xfId="0" applyFont="1" applyAlignment="1">
      <alignment horizontal="left"/>
    </xf>
    <xf numFmtId="0" fontId="46" fillId="0" borderId="0" xfId="0" applyFont="1" applyAlignment="1">
      <alignment horizontal="left"/>
    </xf>
    <xf numFmtId="0" fontId="31" fillId="0" borderId="14" xfId="0" applyFont="1" applyBorder="1"/>
    <xf numFmtId="0" fontId="31" fillId="0" borderId="15" xfId="0" applyFont="1" applyBorder="1"/>
    <xf numFmtId="167" fontId="46" fillId="0" borderId="7" xfId="0" applyNumberFormat="1" applyFont="1" applyBorder="1" applyAlignment="1">
      <alignment horizontal="left"/>
    </xf>
    <xf numFmtId="0" fontId="46" fillId="0" borderId="2" xfId="0" applyFont="1" applyBorder="1" applyAlignment="1">
      <alignment horizontal="center"/>
    </xf>
    <xf numFmtId="167" fontId="46" fillId="0" borderId="3" xfId="0" applyNumberFormat="1" applyFont="1" applyBorder="1" applyAlignment="1">
      <alignment horizontal="left"/>
    </xf>
    <xf numFmtId="0" fontId="46" fillId="0" borderId="4" xfId="0" applyFont="1" applyBorder="1" applyAlignment="1">
      <alignment horizontal="center"/>
    </xf>
    <xf numFmtId="0" fontId="46" fillId="0" borderId="1" xfId="0" applyFont="1" applyBorder="1" applyAlignment="1">
      <alignment horizontal="center"/>
    </xf>
    <xf numFmtId="0" fontId="16" fillId="0" borderId="2" xfId="0" applyFont="1" applyBorder="1" applyAlignment="1">
      <alignment horizontal="center"/>
    </xf>
    <xf numFmtId="167" fontId="51" fillId="0" borderId="6" xfId="0" applyNumberFormat="1" applyFont="1" applyBorder="1" applyAlignment="1">
      <alignment horizontal="left"/>
    </xf>
    <xf numFmtId="0" fontId="14" fillId="0" borderId="6" xfId="0" applyFont="1" applyBorder="1" applyAlignment="1">
      <alignment horizontal="center"/>
    </xf>
    <xf numFmtId="0" fontId="16" fillId="0" borderId="12" xfId="0" applyFont="1" applyBorder="1" applyAlignment="1">
      <alignment horizontal="center"/>
    </xf>
    <xf numFmtId="3" fontId="31" fillId="0" borderId="1" xfId="0" applyNumberFormat="1" applyFont="1" applyBorder="1"/>
    <xf numFmtId="3" fontId="31" fillId="0" borderId="2" xfId="0" applyNumberFormat="1" applyFont="1" applyBorder="1"/>
    <xf numFmtId="3" fontId="52" fillId="0" borderId="4" xfId="0" applyNumberFormat="1" applyFont="1" applyFill="1" applyBorder="1" applyAlignment="1">
      <alignment horizontal="right"/>
    </xf>
    <xf numFmtId="0" fontId="47" fillId="0" borderId="0" xfId="0" applyFont="1" applyFill="1"/>
    <xf numFmtId="0" fontId="53" fillId="0" borderId="0" xfId="0" applyFont="1" applyFill="1"/>
    <xf numFmtId="3" fontId="54" fillId="0" borderId="0" xfId="0" applyNumberFormat="1" applyFont="1"/>
    <xf numFmtId="0" fontId="54" fillId="0" borderId="0" xfId="0" applyFont="1"/>
    <xf numFmtId="0" fontId="54" fillId="0" borderId="0" xfId="0" applyFont="1" applyFill="1"/>
    <xf numFmtId="0" fontId="46" fillId="0" borderId="4" xfId="0" applyFont="1" applyBorder="1"/>
    <xf numFmtId="3" fontId="46"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0" fontId="0" fillId="0" borderId="0" xfId="0"/>
    <xf numFmtId="3" fontId="15" fillId="0" borderId="0" xfId="1" applyNumberFormat="1" applyFont="1" applyFill="1" applyBorder="1"/>
    <xf numFmtId="3" fontId="16" fillId="0" borderId="0" xfId="1" applyNumberFormat="1" applyFont="1"/>
    <xf numFmtId="3" fontId="16" fillId="0" borderId="1" xfId="1" applyNumberFormat="1" applyFont="1" applyBorder="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7" fillId="0" borderId="4" xfId="1" applyNumberFormat="1" applyFont="1" applyBorder="1" applyAlignment="1">
      <alignment horizontal="center"/>
    </xf>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18" fillId="0" borderId="10" xfId="1" applyNumberFormat="1" applyFont="1" applyBorder="1" applyAlignment="1">
      <alignment horizontal="left"/>
    </xf>
    <xf numFmtId="3" fontId="17" fillId="0" borderId="7" xfId="1" applyNumberFormat="1" applyFont="1" applyBorder="1" applyAlignment="1">
      <alignment horizontal="center"/>
    </xf>
    <xf numFmtId="3" fontId="16" fillId="0" borderId="0" xfId="1" applyNumberFormat="1" applyFont="1" applyFill="1" applyBorder="1" applyAlignment="1">
      <alignment horizontal="center"/>
    </xf>
    <xf numFmtId="3" fontId="17"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46" fillId="0" borderId="3" xfId="0" applyNumberFormat="1" applyFont="1" applyBorder="1"/>
    <xf numFmtId="3" fontId="46" fillId="0" borderId="0" xfId="0" applyNumberFormat="1" applyFont="1" applyBorder="1"/>
    <xf numFmtId="3" fontId="46" fillId="0" borderId="6" xfId="0" applyNumberFormat="1" applyFont="1" applyBorder="1"/>
    <xf numFmtId="3" fontId="31" fillId="0" borderId="0" xfId="0" applyNumberFormat="1" applyFont="1" applyBorder="1" applyAlignment="1">
      <alignment horizontal="right"/>
    </xf>
    <xf numFmtId="3" fontId="52" fillId="0" borderId="0" xfId="0" applyNumberFormat="1" applyFont="1" applyFill="1" applyBorder="1" applyAlignment="1">
      <alignment horizontal="right"/>
    </xf>
    <xf numFmtId="0" fontId="14" fillId="0" borderId="4" xfId="0" applyFont="1" applyBorder="1" applyAlignment="1">
      <alignment horizontal="center"/>
    </xf>
    <xf numFmtId="0" fontId="14" fillId="0" borderId="3" xfId="0" applyFont="1" applyBorder="1" applyAlignment="1">
      <alignment horizontal="center"/>
    </xf>
    <xf numFmtId="0" fontId="31" fillId="0" borderId="0" xfId="0" applyFont="1" applyFill="1" applyBorder="1"/>
    <xf numFmtId="3" fontId="18" fillId="2" borderId="3" xfId="1" applyNumberFormat="1" applyFont="1" applyFill="1" applyBorder="1" applyAlignment="1">
      <alignment horizontal="right"/>
    </xf>
    <xf numFmtId="0" fontId="18" fillId="0" borderId="0" xfId="0" applyFont="1" applyFill="1" applyBorder="1"/>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3" fontId="18" fillId="0" borderId="4" xfId="1" quotePrefix="1" applyNumberFormat="1" applyFont="1" applyFill="1" applyBorder="1" applyAlignment="1">
      <alignment horizontal="right"/>
    </xf>
    <xf numFmtId="167" fontId="46" fillId="0" borderId="4" xfId="0" applyNumberFormat="1" applyFont="1" applyBorder="1" applyAlignment="1">
      <alignment horizontal="left"/>
    </xf>
    <xf numFmtId="0" fontId="31" fillId="0" borderId="4" xfId="0" applyFont="1" applyBorder="1"/>
    <xf numFmtId="0" fontId="52" fillId="0" borderId="4" xfId="0" applyFont="1" applyFill="1" applyBorder="1"/>
    <xf numFmtId="0" fontId="46" fillId="0" borderId="11" xfId="0" applyFont="1" applyBorder="1"/>
    <xf numFmtId="3" fontId="31" fillId="0" borderId="3" xfId="0" applyNumberFormat="1" applyFont="1" applyBorder="1" applyAlignment="1">
      <alignment horizontal="right"/>
    </xf>
    <xf numFmtId="3" fontId="52" fillId="0" borderId="3" xfId="0" applyNumberFormat="1" applyFont="1" applyFill="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0" fontId="18" fillId="8" borderId="1" xfId="0" applyFont="1" applyFill="1" applyBorder="1"/>
    <xf numFmtId="0" fontId="18" fillId="8" borderId="15" xfId="0" applyFont="1" applyFill="1" applyBorder="1"/>
    <xf numFmtId="0" fontId="18" fillId="8" borderId="14" xfId="0" applyFont="1" applyFill="1" applyBorder="1"/>
    <xf numFmtId="0" fontId="16" fillId="8" borderId="1" xfId="0" applyFont="1" applyFill="1" applyBorder="1" applyAlignment="1">
      <alignment horizontal="center"/>
    </xf>
    <xf numFmtId="0" fontId="16" fillId="8" borderId="15" xfId="0" applyFont="1" applyFill="1" applyBorder="1" applyAlignment="1">
      <alignment horizontal="center"/>
    </xf>
    <xf numFmtId="0" fontId="16" fillId="8" borderId="14" xfId="0" applyFont="1" applyFill="1" applyBorder="1" applyAlignment="1">
      <alignment horizontal="center"/>
    </xf>
    <xf numFmtId="0" fontId="16" fillId="8" borderId="11" xfId="0" applyFont="1" applyFill="1" applyBorder="1" applyAlignment="1">
      <alignment horizontal="center"/>
    </xf>
    <xf numFmtId="0" fontId="16" fillId="8" borderId="5" xfId="0" applyFont="1" applyFill="1" applyBorder="1" applyAlignment="1">
      <alignment horizontal="center"/>
    </xf>
    <xf numFmtId="0" fontId="16" fillId="8" borderId="12" xfId="0" applyFont="1" applyFill="1" applyBorder="1" applyAlignment="1">
      <alignment horizontal="center"/>
    </xf>
    <xf numFmtId="0" fontId="16" fillId="8" borderId="3" xfId="0" applyFont="1" applyFill="1" applyBorder="1"/>
    <xf numFmtId="3" fontId="18" fillId="8" borderId="2" xfId="0" applyNumberFormat="1" applyFont="1" applyFill="1" applyBorder="1"/>
    <xf numFmtId="3" fontId="18" fillId="8" borderId="7" xfId="0" applyNumberFormat="1" applyFont="1" applyFill="1" applyBorder="1"/>
    <xf numFmtId="3" fontId="18" fillId="8" borderId="3" xfId="0" applyNumberFormat="1" applyFont="1" applyFill="1" applyBorder="1"/>
    <xf numFmtId="0" fontId="16" fillId="8" borderId="3" xfId="0" applyFont="1" applyFill="1" applyBorder="1" applyAlignment="1">
      <alignment horizontal="center"/>
    </xf>
    <xf numFmtId="0" fontId="16" fillId="8" borderId="2" xfId="0" applyFont="1" applyFill="1" applyBorder="1" applyAlignment="1">
      <alignment horizontal="center"/>
    </xf>
    <xf numFmtId="0" fontId="18" fillId="8" borderId="2" xfId="0" applyFont="1" applyFill="1" applyBorder="1"/>
    <xf numFmtId="0" fontId="18" fillId="8" borderId="3" xfId="0" applyFont="1" applyFill="1" applyBorder="1"/>
    <xf numFmtId="3" fontId="18" fillId="8" borderId="2" xfId="2" applyNumberFormat="1" applyFont="1" applyFill="1" applyBorder="1"/>
    <xf numFmtId="3" fontId="16" fillId="8" borderId="6" xfId="0" applyNumberFormat="1" applyFont="1" applyFill="1" applyBorder="1"/>
    <xf numFmtId="3" fontId="16" fillId="8" borderId="5"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8" fillId="2"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3" fontId="18" fillId="3" borderId="0" xfId="1" applyNumberFormat="1" applyFont="1" applyFill="1" applyBorder="1" applyAlignment="1">
      <alignment horizontal="right"/>
    </xf>
    <xf numFmtId="165" fontId="56" fillId="7" borderId="3" xfId="844" applyNumberFormat="1" applyFont="1" applyBorder="1" applyAlignment="1">
      <alignment horizontal="right"/>
    </xf>
    <xf numFmtId="3" fontId="46" fillId="0" borderId="2" xfId="0" applyNumberFormat="1" applyFont="1" applyBorder="1"/>
    <xf numFmtId="3" fontId="17" fillId="0" borderId="1" xfId="1" applyNumberFormat="1" applyFont="1" applyBorder="1" applyAlignment="1">
      <alignment horizontal="center"/>
    </xf>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7" fillId="0" borderId="3" xfId="1" applyNumberFormat="1" applyFont="1" applyBorder="1" applyAlignment="1">
      <alignment horizontal="center"/>
    </xf>
    <xf numFmtId="3" fontId="16" fillId="0" borderId="2" xfId="1" applyNumberFormat="1" applyFont="1" applyBorder="1" applyAlignment="1">
      <alignment horizontal="center"/>
    </xf>
    <xf numFmtId="3" fontId="14" fillId="0" borderId="1" xfId="1" applyNumberFormat="1" applyFont="1" applyBorder="1"/>
    <xf numFmtId="0" fontId="18" fillId="0" borderId="6" xfId="0" applyFont="1" applyBorder="1"/>
    <xf numFmtId="0" fontId="16" fillId="0" borderId="3" xfId="1" applyFont="1" applyBorder="1" applyAlignment="1">
      <alignment horizontal="center"/>
    </xf>
    <xf numFmtId="0" fontId="16" fillId="0" borderId="15" xfId="1" applyFont="1" applyBorder="1" applyAlignment="1">
      <alignment horizontal="center"/>
    </xf>
    <xf numFmtId="14" fontId="17" fillId="0" borderId="1" xfId="1" applyNumberFormat="1" applyFont="1" applyBorder="1" applyAlignment="1">
      <alignment horizontal="center"/>
    </xf>
    <xf numFmtId="14" fontId="17" fillId="0" borderId="7" xfId="1" applyNumberFormat="1" applyFont="1" applyBorder="1" applyAlignment="1">
      <alignment horizontal="center"/>
    </xf>
    <xf numFmtId="14" fontId="17" fillId="0" borderId="15" xfId="1" applyNumberFormat="1" applyFont="1" applyBorder="1" applyAlignment="1">
      <alignment horizontal="center"/>
    </xf>
    <xf numFmtId="0" fontId="18" fillId="0" borderId="5" xfId="1" applyFont="1" applyFill="1" applyBorder="1"/>
    <xf numFmtId="0" fontId="18" fillId="0" borderId="9" xfId="1" applyFont="1" applyFill="1" applyBorder="1"/>
    <xf numFmtId="168" fontId="18" fillId="0" borderId="0" xfId="1" applyNumberFormat="1" applyFont="1" applyFill="1" applyBorder="1" applyAlignment="1">
      <alignment horizontal="center"/>
    </xf>
    <xf numFmtId="168" fontId="18" fillId="3" borderId="3" xfId="1" applyNumberFormat="1" applyFont="1" applyFill="1" applyBorder="1" applyAlignment="1">
      <alignment horizontal="right"/>
    </xf>
    <xf numFmtId="168" fontId="18" fillId="3" borderId="6" xfId="1" applyNumberFormat="1" applyFont="1" applyFill="1" applyBorder="1" applyAlignment="1">
      <alignment horizontal="right"/>
    </xf>
    <xf numFmtId="0" fontId="46" fillId="0" borderId="0" xfId="0" applyFont="1" applyBorder="1"/>
    <xf numFmtId="0" fontId="46"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7" fontId="16" fillId="0" borderId="4" xfId="0" applyNumberFormat="1" applyFont="1" applyBorder="1" applyAlignment="1">
      <alignment horizontal="center"/>
    </xf>
    <xf numFmtId="167" fontId="16" fillId="0" borderId="11" xfId="0" applyNumberFormat="1" applyFont="1" applyBorder="1" applyAlignment="1">
      <alignment horizontal="center"/>
    </xf>
    <xf numFmtId="0" fontId="16" fillId="0" borderId="5" xfId="0" applyFont="1" applyBorder="1" applyAlignment="1">
      <alignment horizontal="center"/>
    </xf>
    <xf numFmtId="165" fontId="46" fillId="0" borderId="4" xfId="0" applyNumberFormat="1" applyFont="1" applyBorder="1" applyAlignment="1">
      <alignment horizontal="right"/>
    </xf>
    <xf numFmtId="165" fontId="46" fillId="0" borderId="3" xfId="0" applyNumberFormat="1" applyFont="1" applyBorder="1" applyAlignment="1">
      <alignment horizontal="right"/>
    </xf>
    <xf numFmtId="165" fontId="31" fillId="0" borderId="4" xfId="0" applyNumberFormat="1" applyFont="1" applyBorder="1" applyAlignment="1">
      <alignment horizontal="right"/>
    </xf>
    <xf numFmtId="165" fontId="31" fillId="0" borderId="3" xfId="0" applyNumberFormat="1" applyFont="1" applyBorder="1" applyAlignment="1">
      <alignment horizontal="right"/>
    </xf>
    <xf numFmtId="165"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5" fontId="31" fillId="0" borderId="11" xfId="0" applyNumberFormat="1" applyFont="1" applyBorder="1" applyAlignment="1">
      <alignment horizontal="right"/>
    </xf>
    <xf numFmtId="165" fontId="31" fillId="0" borderId="6" xfId="0" applyNumberFormat="1" applyFont="1" applyBorder="1" applyAlignment="1">
      <alignment horizontal="right"/>
    </xf>
    <xf numFmtId="3" fontId="46" fillId="0" borderId="3" xfId="0" applyNumberFormat="1" applyFont="1" applyFill="1" applyBorder="1" applyAlignment="1">
      <alignment horizontal="right"/>
    </xf>
    <xf numFmtId="0" fontId="43" fillId="9" borderId="0" xfId="0" applyFont="1" applyFill="1"/>
    <xf numFmtId="0" fontId="67" fillId="0" borderId="0" xfId="3" applyFont="1" applyAlignment="1" applyProtection="1"/>
    <xf numFmtId="0" fontId="42" fillId="0" borderId="0" xfId="0" applyFont="1" applyFill="1" applyAlignment="1">
      <alignment horizontal="center"/>
    </xf>
    <xf numFmtId="3" fontId="16" fillId="0" borderId="6" xfId="1" applyNumberFormat="1" applyFont="1" applyFill="1" applyBorder="1" applyAlignment="1">
      <alignment horizontal="right"/>
    </xf>
    <xf numFmtId="3" fontId="68" fillId="0" borderId="4" xfId="1" applyNumberFormat="1" applyFont="1" applyFill="1" applyBorder="1" applyAlignment="1">
      <alignment horizontal="right"/>
    </xf>
    <xf numFmtId="3" fontId="68" fillId="0" borderId="3" xfId="1" applyNumberFormat="1" applyFont="1" applyFill="1" applyBorder="1" applyAlignment="1">
      <alignment horizontal="right"/>
    </xf>
    <xf numFmtId="3" fontId="68" fillId="0" borderId="11" xfId="1" applyNumberFormat="1" applyFont="1" applyFill="1" applyBorder="1" applyAlignment="1">
      <alignment horizontal="right"/>
    </xf>
    <xf numFmtId="3" fontId="68"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0" borderId="11"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0" borderId="11" xfId="1" applyNumberFormat="1" applyFont="1" applyFill="1" applyBorder="1" applyAlignment="1">
      <alignment horizontal="right"/>
    </xf>
    <xf numFmtId="3" fontId="18" fillId="2" borderId="0" xfId="1" applyNumberFormat="1" applyFont="1" applyFill="1" applyBorder="1" applyAlignment="1">
      <alignment horizontal="right"/>
    </xf>
    <xf numFmtId="3" fontId="18" fillId="0" borderId="3" xfId="2" applyNumberFormat="1" applyFont="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3" fontId="16" fillId="2" borderId="3" xfId="1" applyNumberFormat="1" applyFont="1" applyFill="1" applyBorder="1" applyAlignment="1">
      <alignment horizontal="right"/>
    </xf>
    <xf numFmtId="3" fontId="16" fillId="2" borderId="6" xfId="1" applyNumberFormat="1" applyFont="1" applyFill="1" applyBorder="1" applyAlignment="1">
      <alignment horizontal="right"/>
    </xf>
    <xf numFmtId="14" fontId="17" fillId="0" borderId="10" xfId="1" applyNumberFormat="1" applyFont="1" applyBorder="1" applyAlignment="1"/>
    <xf numFmtId="0" fontId="0" fillId="0" borderId="8" xfId="0" applyBorder="1" applyAlignment="1"/>
    <xf numFmtId="3" fontId="16" fillId="0" borderId="2" xfId="1" quotePrefix="1" applyNumberFormat="1" applyFont="1" applyFill="1" applyBorder="1" applyAlignment="1">
      <alignment horizontal="right"/>
    </xf>
    <xf numFmtId="0" fontId="57"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3" xfId="0" applyNumberFormat="1" applyFont="1" applyFill="1" applyBorder="1" applyAlignment="1" applyProtection="1">
      <alignment horizontal="right"/>
      <protection locked="0"/>
    </xf>
    <xf numFmtId="0" fontId="69" fillId="0" borderId="0" xfId="0" applyFont="1" applyAlignment="1">
      <alignment horizontal="left" vertical="center" readingOrder="1"/>
    </xf>
    <xf numFmtId="0" fontId="18" fillId="0" borderId="0" xfId="1" applyFont="1" applyFill="1" applyBorder="1" applyAlignment="1">
      <alignment horizontal="left"/>
    </xf>
    <xf numFmtId="0" fontId="71" fillId="0" borderId="0" xfId="1" applyFont="1" applyFill="1" applyAlignment="1">
      <alignment horizontal="left"/>
    </xf>
    <xf numFmtId="0" fontId="19" fillId="0" borderId="0" xfId="1" applyFont="1" applyFill="1"/>
    <xf numFmtId="0" fontId="43" fillId="9" borderId="0" xfId="3" applyFont="1" applyFill="1" applyAlignment="1" applyProtection="1"/>
    <xf numFmtId="0" fontId="65" fillId="0" borderId="0" xfId="0" applyFont="1" applyFill="1"/>
    <xf numFmtId="0" fontId="66" fillId="0" borderId="0" xfId="0" applyFont="1" applyFill="1"/>
    <xf numFmtId="0" fontId="43" fillId="0" borderId="0" xfId="0" applyFont="1" applyFill="1"/>
    <xf numFmtId="0" fontId="41" fillId="0" borderId="0" xfId="0" applyFont="1" applyFill="1"/>
    <xf numFmtId="0" fontId="39" fillId="0" borderId="0" xfId="0" applyFont="1" applyFill="1"/>
    <xf numFmtId="0" fontId="43" fillId="0" borderId="0" xfId="3" applyFont="1" applyFill="1" applyAlignment="1" applyProtection="1"/>
    <xf numFmtId="3" fontId="16" fillId="3" borderId="7" xfId="1" applyNumberFormat="1" applyFont="1" applyFill="1" applyBorder="1" applyAlignment="1">
      <alignment horizontal="right"/>
    </xf>
    <xf numFmtId="0" fontId="73" fillId="0" borderId="0" xfId="1" applyFont="1" applyBorder="1" applyAlignment="1">
      <alignment horizontal="left"/>
    </xf>
    <xf numFmtId="3" fontId="68" fillId="0" borderId="2" xfId="1" applyNumberFormat="1" applyFont="1" applyFill="1" applyBorder="1" applyAlignment="1">
      <alignment horizontal="right"/>
    </xf>
    <xf numFmtId="3" fontId="60" fillId="0" borderId="2" xfId="1" applyNumberFormat="1" applyFont="1" applyFill="1" applyBorder="1" applyAlignment="1">
      <alignment horizontal="right"/>
    </xf>
    <xf numFmtId="0" fontId="72" fillId="0" borderId="0" xfId="0" applyFont="1" applyFill="1" applyAlignment="1">
      <alignment horizontal="left" vertical="center" readingOrder="1"/>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1" fontId="16" fillId="0" borderId="7" xfId="846" applyFont="1" applyFill="1" applyBorder="1" applyAlignment="1">
      <alignment horizontal="right"/>
    </xf>
    <xf numFmtId="171" fontId="16" fillId="0" borderId="1" xfId="846" applyFont="1" applyFill="1" applyBorder="1" applyAlignment="1">
      <alignment horizontal="right"/>
    </xf>
    <xf numFmtId="171" fontId="18" fillId="0" borderId="3" xfId="846" applyFont="1" applyBorder="1" applyAlignment="1">
      <alignment horizontal="right"/>
    </xf>
    <xf numFmtId="171" fontId="18" fillId="0" borderId="3" xfId="846" applyFont="1" applyFill="1" applyBorder="1" applyAlignment="1">
      <alignment horizontal="right"/>
    </xf>
    <xf numFmtId="171" fontId="18" fillId="0" borderId="4" xfId="846" applyFont="1" applyFill="1" applyBorder="1" applyAlignment="1">
      <alignment horizontal="right"/>
    </xf>
    <xf numFmtId="171" fontId="16" fillId="0" borderId="3" xfId="846" applyFont="1" applyFill="1" applyBorder="1" applyAlignment="1">
      <alignment horizontal="right"/>
    </xf>
    <xf numFmtId="171" fontId="16" fillId="0" borderId="4" xfId="846" applyFont="1" applyFill="1" applyBorder="1" applyAlignment="1">
      <alignment horizontal="right"/>
    </xf>
    <xf numFmtId="171" fontId="16" fillId="0" borderId="6" xfId="846" applyFont="1" applyFill="1" applyBorder="1" applyAlignment="1">
      <alignment horizontal="right"/>
    </xf>
    <xf numFmtId="171" fontId="16" fillId="0" borderId="11" xfId="846" applyFont="1" applyFill="1" applyBorder="1" applyAlignment="1">
      <alignment horizontal="right"/>
    </xf>
    <xf numFmtId="171" fontId="18" fillId="3" borderId="7" xfId="846" applyFont="1" applyFill="1" applyBorder="1" applyAlignment="1">
      <alignment horizontal="right"/>
    </xf>
    <xf numFmtId="171" fontId="18" fillId="3" borderId="2" xfId="846" applyFont="1" applyFill="1" applyBorder="1" applyAlignment="1">
      <alignment horizontal="right"/>
    </xf>
    <xf numFmtId="171" fontId="16" fillId="0" borderId="2" xfId="846" applyFont="1" applyFill="1" applyBorder="1" applyAlignment="1">
      <alignment horizontal="right"/>
    </xf>
    <xf numFmtId="171" fontId="18" fillId="3" borderId="3" xfId="846" applyFont="1" applyFill="1" applyBorder="1" applyAlignment="1">
      <alignment horizontal="right"/>
    </xf>
    <xf numFmtId="171" fontId="18" fillId="2" borderId="3" xfId="846" applyFont="1" applyFill="1" applyBorder="1" applyAlignment="1">
      <alignment horizontal="right"/>
    </xf>
    <xf numFmtId="171" fontId="18" fillId="2" borderId="4" xfId="846" applyFont="1" applyFill="1" applyBorder="1" applyAlignment="1">
      <alignment horizontal="right"/>
    </xf>
    <xf numFmtId="171" fontId="18" fillId="0" borderId="2" xfId="846" applyFont="1" applyFill="1" applyBorder="1" applyAlignment="1">
      <alignment horizontal="right"/>
    </xf>
    <xf numFmtId="171" fontId="18" fillId="3" borderId="6" xfId="846" applyFont="1" applyFill="1" applyBorder="1" applyAlignment="1">
      <alignment horizontal="right"/>
    </xf>
    <xf numFmtId="171" fontId="16" fillId="0" borderId="5" xfId="846" applyFont="1" applyFill="1" applyBorder="1" applyAlignment="1">
      <alignment horizontal="right"/>
    </xf>
    <xf numFmtId="171" fontId="16" fillId="0" borderId="15" xfId="846" applyFont="1" applyFill="1" applyBorder="1" applyAlignment="1">
      <alignment horizontal="right"/>
    </xf>
    <xf numFmtId="171" fontId="16" fillId="2" borderId="2" xfId="846" applyFont="1" applyFill="1" applyBorder="1" applyAlignment="1">
      <alignment horizontal="right"/>
    </xf>
    <xf numFmtId="171" fontId="16" fillId="2" borderId="0" xfId="846" applyFont="1" applyFill="1" applyBorder="1" applyAlignment="1">
      <alignment horizontal="right"/>
    </xf>
    <xf numFmtId="171" fontId="16" fillId="2" borderId="4" xfId="846" applyFont="1" applyFill="1" applyBorder="1" applyAlignment="1">
      <alignment horizontal="right"/>
    </xf>
    <xf numFmtId="171" fontId="16" fillId="2" borderId="5" xfId="846" applyFont="1" applyFill="1" applyBorder="1" applyAlignment="1">
      <alignment horizontal="right"/>
    </xf>
    <xf numFmtId="171" fontId="16" fillId="2" borderId="11" xfId="846" applyFont="1" applyFill="1" applyBorder="1" applyAlignment="1">
      <alignment horizontal="right"/>
    </xf>
    <xf numFmtId="171" fontId="18" fillId="0" borderId="6" xfId="846" applyFont="1" applyFill="1" applyBorder="1" applyAlignment="1">
      <alignment horizontal="right"/>
    </xf>
    <xf numFmtId="171" fontId="18" fillId="0" borderId="11" xfId="846" applyFont="1" applyFill="1" applyBorder="1" applyAlignment="1">
      <alignment horizontal="right"/>
    </xf>
    <xf numFmtId="171" fontId="68" fillId="0" borderId="2" xfId="846" applyFont="1" applyFill="1" applyBorder="1" applyAlignment="1">
      <alignment horizontal="right"/>
    </xf>
    <xf numFmtId="171" fontId="18" fillId="0" borderId="0" xfId="846" applyFont="1" applyFill="1" applyBorder="1" applyAlignment="1">
      <alignment horizontal="right"/>
    </xf>
    <xf numFmtId="171" fontId="23" fillId="0" borderId="2" xfId="846" applyFont="1" applyFill="1" applyBorder="1" applyAlignment="1">
      <alignment horizontal="right"/>
    </xf>
    <xf numFmtId="171" fontId="23" fillId="0"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6" fillId="0" borderId="0" xfId="846" applyFont="1" applyFill="1" applyBorder="1" applyAlignment="1">
      <alignment horizontal="right"/>
    </xf>
    <xf numFmtId="171" fontId="18" fillId="3" borderId="5" xfId="846" applyFont="1" applyFill="1" applyBorder="1" applyAlignment="1">
      <alignment horizontal="right"/>
    </xf>
    <xf numFmtId="171" fontId="18" fillId="3" borderId="0" xfId="846" applyFont="1" applyFill="1" applyBorder="1" applyAlignment="1">
      <alignment horizontal="right"/>
    </xf>
    <xf numFmtId="171" fontId="18" fillId="3" borderId="1" xfId="846" applyFont="1" applyFill="1" applyBorder="1" applyAlignment="1">
      <alignment horizontal="right"/>
    </xf>
    <xf numFmtId="171" fontId="18" fillId="3" borderId="4" xfId="846" applyFont="1" applyFill="1" applyBorder="1" applyAlignment="1">
      <alignment horizontal="right"/>
    </xf>
    <xf numFmtId="171" fontId="18" fillId="3" borderId="11" xfId="846" applyFont="1" applyFill="1" applyBorder="1" applyAlignment="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165" fontId="31" fillId="0" borderId="3" xfId="0" applyNumberFormat="1" applyFont="1" applyBorder="1"/>
    <xf numFmtId="165" fontId="46" fillId="0" borderId="3" xfId="0" applyNumberFormat="1" applyFont="1" applyBorder="1"/>
    <xf numFmtId="165" fontId="31" fillId="0" borderId="3" xfId="0" applyNumberFormat="1" applyFont="1" applyFill="1" applyBorder="1"/>
    <xf numFmtId="165" fontId="46" fillId="0" borderId="6" xfId="0" applyNumberFormat="1" applyFont="1" applyBorder="1"/>
    <xf numFmtId="172" fontId="18" fillId="3" borderId="2" xfId="846" applyNumberFormat="1" applyFont="1" applyFill="1" applyBorder="1" applyAlignment="1">
      <alignment horizontal="right"/>
    </xf>
    <xf numFmtId="172" fontId="18" fillId="3" borderId="3" xfId="846" applyNumberFormat="1" applyFont="1" applyFill="1" applyBorder="1" applyAlignment="1">
      <alignment horizontal="right"/>
    </xf>
    <xf numFmtId="172" fontId="18" fillId="3" borderId="6" xfId="846" applyNumberFormat="1" applyFont="1" applyFill="1" applyBorder="1" applyAlignment="1">
      <alignment horizontal="right"/>
    </xf>
    <xf numFmtId="165" fontId="16" fillId="0" borderId="6" xfId="1" applyNumberFormat="1" applyFont="1" applyBorder="1" applyAlignment="1">
      <alignment horizontal="center"/>
    </xf>
    <xf numFmtId="165" fontId="18" fillId="3" borderId="0" xfId="1" applyNumberFormat="1" applyFont="1" applyFill="1" applyBorder="1" applyAlignment="1">
      <alignment horizontal="right"/>
    </xf>
    <xf numFmtId="165" fontId="18" fillId="3" borderId="5" xfId="1" applyNumberFormat="1" applyFont="1" applyFill="1" applyBorder="1" applyAlignment="1">
      <alignment horizontal="right"/>
    </xf>
    <xf numFmtId="0" fontId="18" fillId="0" borderId="4" xfId="1" applyFont="1" applyBorder="1"/>
    <xf numFmtId="0" fontId="16" fillId="0" borderId="0" xfId="1" applyFont="1" applyFill="1"/>
    <xf numFmtId="49" fontId="16" fillId="0" borderId="0" xfId="1" applyNumberFormat="1" applyFont="1" applyFill="1" applyBorder="1" applyAlignment="1">
      <alignment horizontal="right"/>
    </xf>
    <xf numFmtId="49" fontId="16" fillId="0" borderId="0" xfId="1" applyNumberFormat="1" applyFont="1" applyFill="1" applyBorder="1" applyAlignment="1">
      <alignment horizontal="center"/>
    </xf>
    <xf numFmtId="3" fontId="16" fillId="0" borderId="0" xfId="1" quotePrefix="1" applyNumberFormat="1" applyFont="1" applyFill="1" applyBorder="1" applyAlignment="1">
      <alignment horizontal="center"/>
    </xf>
    <xf numFmtId="171" fontId="16" fillId="3" borderId="7" xfId="846" applyFont="1" applyFill="1" applyBorder="1" applyAlignment="1">
      <alignment horizontal="right"/>
    </xf>
    <xf numFmtId="172" fontId="16" fillId="3" borderId="2" xfId="846" applyNumberFormat="1" applyFont="1" applyFill="1" applyBorder="1" applyAlignment="1">
      <alignment horizontal="right"/>
    </xf>
    <xf numFmtId="3" fontId="16" fillId="0" borderId="0" xfId="1" applyNumberFormat="1" applyFont="1" applyFill="1"/>
    <xf numFmtId="168" fontId="16" fillId="3" borderId="7" xfId="1" applyNumberFormat="1" applyFont="1" applyFill="1" applyBorder="1" applyAlignment="1">
      <alignment horizontal="right"/>
    </xf>
    <xf numFmtId="168" fontId="16" fillId="3" borderId="3" xfId="1" applyNumberFormat="1" applyFont="1" applyFill="1" applyBorder="1" applyAlignment="1">
      <alignment horizontal="right"/>
    </xf>
    <xf numFmtId="168" fontId="16" fillId="3" borderId="6" xfId="1" applyNumberFormat="1" applyFont="1" applyFill="1" applyBorder="1" applyAlignment="1">
      <alignment horizontal="right"/>
    </xf>
    <xf numFmtId="3" fontId="16" fillId="3" borderId="0" xfId="1" applyNumberFormat="1" applyFont="1" applyFill="1" applyBorder="1" applyAlignment="1">
      <alignment horizontal="right"/>
    </xf>
    <xf numFmtId="3" fontId="16" fillId="3" borderId="1" xfId="1" applyNumberFormat="1" applyFont="1" applyFill="1" applyBorder="1" applyAlignment="1">
      <alignment horizontal="right"/>
    </xf>
    <xf numFmtId="3" fontId="16" fillId="3" borderId="4" xfId="1" applyNumberFormat="1" applyFont="1" applyFill="1" applyBorder="1" applyAlignment="1">
      <alignment horizontal="right"/>
    </xf>
    <xf numFmtId="3" fontId="16" fillId="3" borderId="11" xfId="1" applyNumberFormat="1" applyFont="1" applyFill="1" applyBorder="1" applyAlignment="1">
      <alignment horizontal="right"/>
    </xf>
    <xf numFmtId="165" fontId="16" fillId="3" borderId="0" xfId="1" applyNumberFormat="1" applyFont="1" applyFill="1" applyBorder="1" applyAlignment="1">
      <alignment horizontal="right"/>
    </xf>
    <xf numFmtId="0" fontId="14" fillId="0" borderId="0" xfId="1" applyFont="1" applyBorder="1" applyAlignment="1">
      <alignment horizontal="center"/>
    </xf>
    <xf numFmtId="3" fontId="61" fillId="4" borderId="3"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protection locked="0"/>
    </xf>
    <xf numFmtId="3" fontId="31" fillId="4" borderId="4" xfId="847"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xf>
    <xf numFmtId="3" fontId="46" fillId="4" borderId="3" xfId="0" applyNumberFormat="1" applyFont="1" applyFill="1" applyBorder="1" applyAlignment="1" applyProtection="1">
      <alignment horizontal="right"/>
      <protection locked="0"/>
    </xf>
    <xf numFmtId="3" fontId="46" fillId="0" borderId="3" xfId="0" applyNumberFormat="1" applyFont="1" applyBorder="1" applyAlignment="1" applyProtection="1">
      <alignment horizontal="right"/>
      <protection locked="0"/>
    </xf>
    <xf numFmtId="3" fontId="46"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protection locked="0"/>
    </xf>
    <xf numFmtId="3" fontId="31"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xf>
    <xf numFmtId="3" fontId="31" fillId="0" borderId="3" xfId="845" applyNumberFormat="1" applyFont="1" applyFill="1" applyBorder="1" applyAlignment="1" applyProtection="1">
      <alignment horizontal="right"/>
      <protection locked="0"/>
    </xf>
    <xf numFmtId="3" fontId="31" fillId="0" borderId="3" xfId="0" applyNumberFormat="1" applyFont="1" applyBorder="1" applyAlignment="1" applyProtection="1">
      <alignment horizontal="right"/>
      <protection locked="0"/>
    </xf>
    <xf numFmtId="3" fontId="31" fillId="4" borderId="3" xfId="845"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xf>
    <xf numFmtId="3" fontId="46" fillId="4" borderId="3" xfId="845" applyNumberFormat="1" applyFont="1" applyFill="1" applyBorder="1" applyAlignment="1" applyProtection="1">
      <alignment horizontal="right"/>
      <protection locked="0"/>
    </xf>
    <xf numFmtId="3" fontId="46" fillId="0" borderId="4" xfId="0" applyNumberFormat="1" applyFont="1" applyFill="1" applyBorder="1" applyAlignment="1" applyProtection="1">
      <alignment horizontal="right"/>
    </xf>
    <xf numFmtId="3" fontId="46" fillId="0" borderId="6" xfId="0" applyNumberFormat="1" applyFont="1" applyBorder="1" applyAlignment="1" applyProtection="1">
      <alignment horizontal="right"/>
      <protection locked="0"/>
    </xf>
    <xf numFmtId="3" fontId="46" fillId="4" borderId="6" xfId="0" applyNumberFormat="1" applyFont="1" applyFill="1" applyBorder="1" applyAlignment="1" applyProtection="1">
      <alignment horizontal="right"/>
      <protection locked="0"/>
    </xf>
    <xf numFmtId="3" fontId="46" fillId="4" borderId="6" xfId="845" applyNumberFormat="1" applyFont="1" applyFill="1" applyBorder="1" applyAlignment="1" applyProtection="1">
      <alignment horizontal="right"/>
      <protection locked="0"/>
    </xf>
    <xf numFmtId="3" fontId="51" fillId="4" borderId="11" xfId="0" applyNumberFormat="1" applyFont="1" applyFill="1" applyBorder="1" applyProtection="1">
      <protection locked="0"/>
    </xf>
    <xf numFmtId="169" fontId="16" fillId="0" borderId="6" xfId="0" applyNumberFormat="1" applyFont="1" applyFill="1" applyBorder="1" applyAlignment="1" applyProtection="1">
      <alignment horizontal="center"/>
      <protection locked="0"/>
    </xf>
    <xf numFmtId="3" fontId="61" fillId="4" borderId="4" xfId="0" applyNumberFormat="1" applyFont="1" applyFill="1" applyBorder="1" applyProtection="1">
      <protection locked="0"/>
    </xf>
    <xf numFmtId="0" fontId="46" fillId="0" borderId="4" xfId="0" applyFont="1" applyFill="1" applyBorder="1" applyProtection="1">
      <protection locked="0"/>
    </xf>
    <xf numFmtId="3" fontId="46" fillId="4" borderId="4" xfId="0" applyNumberFormat="1" applyFont="1" applyFill="1" applyBorder="1" applyProtection="1">
      <protection locked="0"/>
    </xf>
    <xf numFmtId="0" fontId="31" fillId="0" borderId="4" xfId="0" applyFont="1" applyFill="1" applyBorder="1" applyProtection="1">
      <protection locked="0"/>
    </xf>
    <xf numFmtId="0" fontId="31" fillId="0" borderId="3" xfId="0" applyFont="1" applyFill="1" applyBorder="1" applyProtection="1">
      <protection locked="0"/>
    </xf>
    <xf numFmtId="0" fontId="20" fillId="0" borderId="3" xfId="0" applyFont="1" applyFill="1" applyBorder="1" applyProtection="1">
      <protection locked="0"/>
    </xf>
    <xf numFmtId="0" fontId="46" fillId="0" borderId="11" xfId="0" applyFont="1" applyFill="1" applyBorder="1" applyProtection="1">
      <protection locked="0"/>
    </xf>
    <xf numFmtId="0" fontId="31" fillId="0" borderId="0" xfId="0" applyFont="1" applyProtection="1">
      <protection locked="0"/>
    </xf>
    <xf numFmtId="0" fontId="0" fillId="0" borderId="0" xfId="0" applyProtection="1">
      <protection locked="0"/>
    </xf>
    <xf numFmtId="0" fontId="20" fillId="0" borderId="0" xfId="0" applyFont="1" applyProtection="1">
      <protection locked="0"/>
    </xf>
    <xf numFmtId="3" fontId="31" fillId="0" borderId="0" xfId="0" applyNumberFormat="1" applyFont="1" applyBorder="1" applyProtection="1">
      <protection locked="0"/>
    </xf>
    <xf numFmtId="0" fontId="62" fillId="0" borderId="0" xfId="0" applyFont="1" applyProtection="1">
      <protection locked="0"/>
    </xf>
    <xf numFmtId="3" fontId="63" fillId="0" borderId="0" xfId="0" applyNumberFormat="1" applyFont="1" applyBorder="1" applyProtection="1">
      <protection locked="0"/>
    </xf>
    <xf numFmtId="0" fontId="42" fillId="0" borderId="0" xfId="0" applyFont="1" applyProtection="1">
      <protection locked="0"/>
    </xf>
    <xf numFmtId="0" fontId="18" fillId="0" borderId="0" xfId="3" applyFont="1" applyFill="1" applyAlignment="1" applyProtection="1">
      <protection locked="0"/>
    </xf>
    <xf numFmtId="0" fontId="58" fillId="0" borderId="0" xfId="0" applyFont="1" applyProtection="1">
      <protection locked="0"/>
    </xf>
    <xf numFmtId="165" fontId="0" fillId="0" borderId="0" xfId="0" applyNumberFormat="1" applyProtection="1">
      <protection locked="0"/>
    </xf>
    <xf numFmtId="3" fontId="59" fillId="4" borderId="12" xfId="0" applyNumberFormat="1" applyFont="1" applyFill="1" applyBorder="1" applyProtection="1">
      <protection locked="0"/>
    </xf>
    <xf numFmtId="3" fontId="60" fillId="4" borderId="0" xfId="0" applyNumberFormat="1" applyFont="1" applyFill="1" applyBorder="1" applyProtection="1">
      <protection locked="0"/>
    </xf>
    <xf numFmtId="165" fontId="0" fillId="0" borderId="0" xfId="0" applyNumberFormat="1" applyBorder="1" applyProtection="1">
      <protection locked="0"/>
    </xf>
    <xf numFmtId="14" fontId="14" fillId="0" borderId="7" xfId="0" applyNumberFormat="1" applyFont="1" applyFill="1" applyBorder="1" applyAlignment="1" applyProtection="1">
      <alignment horizontal="left"/>
      <protection locked="0"/>
    </xf>
    <xf numFmtId="3" fontId="14" fillId="0" borderId="8" xfId="0" quotePrefix="1" applyNumberFormat="1" applyFont="1" applyFill="1" applyBorder="1" applyProtection="1">
      <protection locked="0"/>
    </xf>
    <xf numFmtId="3" fontId="14" fillId="0" borderId="9" xfId="0" quotePrefix="1" applyNumberFormat="1" applyFont="1" applyFill="1" applyBorder="1" applyProtection="1">
      <protection locked="0"/>
    </xf>
    <xf numFmtId="3" fontId="14" fillId="0" borderId="10" xfId="0" quotePrefix="1" applyNumberFormat="1" applyFont="1" applyFill="1" applyBorder="1" applyProtection="1">
      <protection locked="0"/>
    </xf>
    <xf numFmtId="0" fontId="18" fillId="0" borderId="8" xfId="0" applyFont="1" applyBorder="1" applyProtection="1">
      <protection locked="0"/>
    </xf>
    <xf numFmtId="0" fontId="18" fillId="0" borderId="10" xfId="0" applyFont="1" applyBorder="1" applyProtection="1">
      <protection locked="0"/>
    </xf>
    <xf numFmtId="0" fontId="18" fillId="0" borderId="9" xfId="0" applyFont="1" applyBorder="1" applyProtection="1">
      <protection locked="0"/>
    </xf>
    <xf numFmtId="165" fontId="18" fillId="4" borderId="0" xfId="0" applyNumberFormat="1" applyFont="1" applyFill="1" applyBorder="1" applyProtection="1">
      <protection locked="0"/>
    </xf>
    <xf numFmtId="0" fontId="18" fillId="4" borderId="0" xfId="0" applyFont="1" applyFill="1" applyBorder="1" applyProtection="1">
      <protection locked="0"/>
    </xf>
    <xf numFmtId="3" fontId="46" fillId="0" borderId="1" xfId="0" applyNumberFormat="1" applyFont="1" applyFill="1" applyBorder="1" applyProtection="1">
      <protection locked="0"/>
    </xf>
    <xf numFmtId="0" fontId="0" fillId="0" borderId="0" xfId="0" applyBorder="1" applyProtection="1">
      <protection locked="0"/>
    </xf>
    <xf numFmtId="0" fontId="46" fillId="4" borderId="0" xfId="0" applyNumberFormat="1" applyFont="1" applyFill="1" applyBorder="1" applyAlignment="1" applyProtection="1">
      <alignment horizontal="center"/>
      <protection locked="0"/>
    </xf>
    <xf numFmtId="3" fontId="46" fillId="0" borderId="4" xfId="0" applyNumberFormat="1" applyFont="1" applyFill="1" applyBorder="1" applyProtection="1">
      <protection locked="0"/>
    </xf>
    <xf numFmtId="0" fontId="16" fillId="0" borderId="7" xfId="0" applyNumberFormat="1" applyFont="1" applyFill="1" applyBorder="1" applyAlignment="1" applyProtection="1">
      <alignment horizontal="center"/>
      <protection locked="0"/>
    </xf>
    <xf numFmtId="169" fontId="14" fillId="4" borderId="0" xfId="0" applyNumberFormat="1" applyFont="1" applyFill="1" applyBorder="1" applyAlignment="1" applyProtection="1">
      <alignment horizontal="center"/>
      <protection locked="0"/>
    </xf>
    <xf numFmtId="0" fontId="14" fillId="4" borderId="0" xfId="0" applyNumberFormat="1" applyFont="1" applyFill="1" applyBorder="1" applyAlignment="1" applyProtection="1">
      <alignment horizontal="center"/>
      <protection locked="0"/>
    </xf>
    <xf numFmtId="0" fontId="20" fillId="0" borderId="0" xfId="0" applyFont="1" applyBorder="1" applyProtection="1">
      <protection locked="0"/>
    </xf>
    <xf numFmtId="0" fontId="20" fillId="0" borderId="0" xfId="0" applyFont="1" applyFill="1" applyBorder="1" applyProtection="1">
      <protection locked="0"/>
    </xf>
    <xf numFmtId="0" fontId="20" fillId="0" borderId="0" xfId="0" applyFont="1" applyFill="1" applyProtection="1">
      <protection locked="0"/>
    </xf>
    <xf numFmtId="3" fontId="20" fillId="0" borderId="0" xfId="0" applyNumberFormat="1" applyFont="1" applyFill="1" applyProtection="1">
      <protection locked="0"/>
    </xf>
    <xf numFmtId="3" fontId="20" fillId="0" borderId="0" xfId="0" applyNumberFormat="1" applyFont="1" applyProtection="1">
      <protection locked="0"/>
    </xf>
    <xf numFmtId="3" fontId="20" fillId="0" borderId="0" xfId="0" applyNumberFormat="1" applyFont="1" applyBorder="1" applyProtection="1">
      <protection locked="0"/>
    </xf>
    <xf numFmtId="0" fontId="50" fillId="0" borderId="0" xfId="0" applyFont="1" applyBorder="1" applyProtection="1">
      <protection locked="0"/>
    </xf>
    <xf numFmtId="3" fontId="50" fillId="0" borderId="0" xfId="0" applyNumberFormat="1" applyFont="1" applyProtection="1">
      <protection locked="0"/>
    </xf>
    <xf numFmtId="0" fontId="50" fillId="0" borderId="0" xfId="0" applyFont="1" applyProtection="1">
      <protection locked="0"/>
    </xf>
    <xf numFmtId="0" fontId="62" fillId="0" borderId="0" xfId="0" applyFont="1" applyBorder="1" applyProtection="1">
      <protection locked="0"/>
    </xf>
    <xf numFmtId="0" fontId="15" fillId="0" borderId="0" xfId="0" applyFont="1" applyProtection="1">
      <protection locked="0"/>
    </xf>
    <xf numFmtId="0" fontId="64" fillId="0" borderId="0" xfId="0" applyFont="1" applyProtection="1">
      <protection locked="0"/>
    </xf>
    <xf numFmtId="0" fontId="42" fillId="0" borderId="0" xfId="1" applyFont="1" applyProtection="1">
      <protection locked="0"/>
    </xf>
    <xf numFmtId="0" fontId="58" fillId="0" borderId="0" xfId="1" applyFont="1" applyProtection="1">
      <protection locked="0"/>
    </xf>
    <xf numFmtId="0" fontId="20" fillId="0" borderId="0" xfId="1" applyProtection="1">
      <protection locked="0"/>
    </xf>
    <xf numFmtId="0" fontId="20" fillId="0" borderId="0" xfId="1" applyFont="1" applyProtection="1">
      <protection locked="0"/>
    </xf>
    <xf numFmtId="3" fontId="46" fillId="4" borderId="0" xfId="1" applyNumberFormat="1" applyFont="1" applyFill="1" applyProtection="1">
      <protection locked="0"/>
    </xf>
    <xf numFmtId="3" fontId="16" fillId="4" borderId="0" xfId="1" applyNumberFormat="1" applyFont="1" applyFill="1" applyProtection="1">
      <protection locked="0"/>
    </xf>
    <xf numFmtId="3" fontId="14" fillId="0" borderId="8" xfId="1" quotePrefix="1" applyNumberFormat="1" applyFont="1" applyFill="1" applyBorder="1" applyAlignment="1" applyProtection="1">
      <alignment horizontal="center"/>
      <protection locked="0"/>
    </xf>
    <xf numFmtId="3" fontId="14" fillId="0" borderId="9" xfId="1" quotePrefix="1" applyNumberFormat="1" applyFont="1" applyFill="1" applyBorder="1" applyAlignment="1" applyProtection="1">
      <alignment horizontal="center"/>
      <protection locked="0"/>
    </xf>
    <xf numFmtId="3" fontId="14" fillId="0" borderId="10" xfId="1" quotePrefix="1" applyNumberFormat="1" applyFont="1" applyFill="1" applyBorder="1" applyAlignment="1" applyProtection="1">
      <alignment horizontal="center"/>
      <protection locked="0"/>
    </xf>
    <xf numFmtId="0" fontId="18" fillId="0" borderId="8" xfId="1" applyFont="1" applyBorder="1" applyProtection="1">
      <protection locked="0"/>
    </xf>
    <xf numFmtId="0" fontId="18" fillId="0" borderId="10" xfId="1" applyFont="1" applyBorder="1" applyProtection="1">
      <protection locked="0"/>
    </xf>
    <xf numFmtId="0" fontId="18" fillId="0" borderId="9" xfId="1" applyFont="1" applyBorder="1" applyProtection="1">
      <protection locked="0"/>
    </xf>
    <xf numFmtId="0" fontId="18" fillId="4" borderId="10" xfId="1" applyFont="1" applyFill="1" applyBorder="1" applyProtection="1">
      <protection locked="0"/>
    </xf>
    <xf numFmtId="0" fontId="18" fillId="4" borderId="8" xfId="1" applyFont="1" applyFill="1" applyBorder="1" applyProtection="1">
      <protection locked="0"/>
    </xf>
    <xf numFmtId="0" fontId="18" fillId="4" borderId="9" xfId="1" applyFont="1" applyFill="1" applyBorder="1" applyProtection="1">
      <protection locked="0"/>
    </xf>
    <xf numFmtId="0" fontId="20" fillId="0" borderId="9" xfId="1" applyFont="1" applyBorder="1" applyProtection="1">
      <protection locked="0"/>
    </xf>
    <xf numFmtId="3" fontId="46" fillId="0" borderId="1" xfId="1" applyNumberFormat="1" applyFont="1" applyFill="1" applyBorder="1" applyProtection="1">
      <protection locked="0"/>
    </xf>
    <xf numFmtId="3" fontId="46" fillId="0" borderId="4" xfId="1" applyNumberFormat="1" applyFont="1" applyFill="1" applyBorder="1" applyProtection="1">
      <protection locked="0"/>
    </xf>
    <xf numFmtId="0" fontId="16" fillId="0" borderId="7" xfId="1" applyNumberFormat="1" applyFont="1" applyFill="1" applyBorder="1" applyAlignment="1" applyProtection="1">
      <alignment horizontal="center"/>
      <protection locked="0"/>
    </xf>
    <xf numFmtId="3" fontId="51" fillId="4" borderId="6" xfId="1" applyNumberFormat="1" applyFont="1" applyFill="1" applyBorder="1" applyProtection="1">
      <protection locked="0"/>
    </xf>
    <xf numFmtId="169" fontId="16" fillId="0" borderId="6" xfId="1" applyNumberFormat="1" applyFont="1" applyFill="1" applyBorder="1" applyAlignment="1" applyProtection="1">
      <alignment horizontal="center"/>
      <protection locked="0"/>
    </xf>
    <xf numFmtId="3" fontId="31" fillId="4" borderId="1" xfId="1" applyNumberFormat="1" applyFont="1" applyFill="1" applyBorder="1" applyAlignment="1" applyProtection="1">
      <alignment horizontal="right"/>
      <protection locked="0"/>
    </xf>
    <xf numFmtId="3" fontId="31" fillId="4" borderId="7" xfId="1" applyNumberFormat="1" applyFont="1" applyFill="1" applyBorder="1" applyAlignment="1" applyProtection="1">
      <alignment horizontal="right"/>
      <protection locked="0"/>
    </xf>
    <xf numFmtId="3" fontId="31" fillId="4" borderId="1" xfId="15" applyNumberFormat="1" applyFont="1" applyFill="1" applyBorder="1" applyAlignment="1" applyProtection="1">
      <alignment horizontal="right"/>
      <protection locked="0"/>
    </xf>
    <xf numFmtId="0" fontId="31" fillId="4" borderId="7" xfId="1" applyFont="1" applyFill="1" applyBorder="1" applyAlignment="1" applyProtection="1">
      <alignment horizontal="right"/>
      <protection locked="0"/>
    </xf>
    <xf numFmtId="0" fontId="31" fillId="0" borderId="4" xfId="1" applyFont="1" applyFill="1" applyBorder="1" applyProtection="1">
      <protection locked="0"/>
    </xf>
    <xf numFmtId="3" fontId="31" fillId="4" borderId="4" xfId="1" applyNumberFormat="1" applyFont="1" applyFill="1" applyBorder="1" applyAlignment="1" applyProtection="1">
      <alignment horizontal="right"/>
      <protection locked="0"/>
    </xf>
    <xf numFmtId="3" fontId="31" fillId="4" borderId="3" xfId="1" applyNumberFormat="1" applyFont="1" applyFill="1" applyBorder="1" applyAlignment="1" applyProtection="1">
      <alignment horizontal="right"/>
      <protection locked="0"/>
    </xf>
    <xf numFmtId="3" fontId="31" fillId="4" borderId="4" xfId="15" applyNumberFormat="1" applyFont="1" applyFill="1" applyBorder="1" applyAlignment="1" applyProtection="1">
      <alignment horizontal="right"/>
      <protection locked="0"/>
    </xf>
    <xf numFmtId="0" fontId="31" fillId="4" borderId="3" xfId="1" applyFont="1" applyFill="1" applyBorder="1" applyAlignment="1" applyProtection="1">
      <alignment horizontal="right"/>
      <protection locked="0"/>
    </xf>
    <xf numFmtId="3" fontId="31" fillId="0" borderId="3" xfId="1" applyNumberFormat="1" applyFont="1" applyFill="1" applyBorder="1" applyAlignment="1" applyProtection="1">
      <alignment horizontal="right"/>
      <protection locked="0"/>
    </xf>
    <xf numFmtId="0" fontId="31" fillId="0" borderId="3" xfId="1" applyFont="1" applyBorder="1" applyAlignment="1" applyProtection="1">
      <alignment horizontal="right"/>
      <protection locked="0"/>
    </xf>
    <xf numFmtId="166" fontId="31" fillId="0" borderId="3" xfId="847" applyNumberFormat="1" applyFont="1" applyBorder="1" applyAlignment="1" applyProtection="1">
      <alignment horizontal="right"/>
      <protection locked="0"/>
    </xf>
    <xf numFmtId="3" fontId="31" fillId="10" borderId="3" xfId="1" applyNumberFormat="1" applyFont="1" applyFill="1" applyBorder="1" applyAlignment="1" applyProtection="1">
      <alignment horizontal="right"/>
      <protection locked="0"/>
    </xf>
    <xf numFmtId="170" fontId="31" fillId="0" borderId="3" xfId="847" applyNumberFormat="1" applyFont="1" applyBorder="1" applyAlignment="1" applyProtection="1">
      <alignment horizontal="right"/>
      <protection locked="0"/>
    </xf>
    <xf numFmtId="0" fontId="31" fillId="0" borderId="3" xfId="1" applyFont="1" applyFill="1" applyBorder="1" applyAlignment="1" applyProtection="1">
      <alignment horizontal="right"/>
      <protection locked="0"/>
    </xf>
    <xf numFmtId="166" fontId="31" fillId="4" borderId="4" xfId="847" applyNumberFormat="1" applyFont="1" applyFill="1" applyBorder="1" applyAlignment="1" applyProtection="1">
      <alignment horizontal="right"/>
      <protection locked="0"/>
    </xf>
    <xf numFmtId="166" fontId="31" fillId="4" borderId="3" xfId="847" applyNumberFormat="1" applyFont="1" applyFill="1" applyBorder="1" applyAlignment="1" applyProtection="1">
      <alignment horizontal="right"/>
      <protection locked="0"/>
    </xf>
    <xf numFmtId="0" fontId="20" fillId="0" borderId="0" xfId="1" applyFont="1" applyFill="1" applyProtection="1">
      <protection locked="0"/>
    </xf>
    <xf numFmtId="0" fontId="46" fillId="0" borderId="11" xfId="1" applyFont="1" applyFill="1" applyBorder="1" applyProtection="1">
      <protection locked="0"/>
    </xf>
    <xf numFmtId="3" fontId="46" fillId="4" borderId="6" xfId="1" applyNumberFormat="1" applyFont="1" applyFill="1" applyBorder="1" applyAlignment="1" applyProtection="1">
      <alignment horizontal="right"/>
      <protection locked="0"/>
    </xf>
    <xf numFmtId="0" fontId="50" fillId="0" borderId="0" xfId="1" applyFont="1" applyProtection="1">
      <protection locked="0"/>
    </xf>
    <xf numFmtId="0" fontId="46" fillId="0" borderId="4" xfId="1" applyFont="1" applyFill="1" applyBorder="1" applyProtection="1">
      <protection locked="0"/>
    </xf>
    <xf numFmtId="3" fontId="46" fillId="4" borderId="4" xfId="15" applyNumberFormat="1" applyFont="1" applyFill="1" applyBorder="1" applyAlignment="1" applyProtection="1">
      <alignment horizontal="right"/>
      <protection locked="0"/>
    </xf>
    <xf numFmtId="3" fontId="46" fillId="4" borderId="3" xfId="1" applyNumberFormat="1" applyFont="1" applyFill="1" applyBorder="1" applyAlignment="1" applyProtection="1">
      <alignment horizontal="right"/>
      <protection locked="0"/>
    </xf>
    <xf numFmtId="3" fontId="46" fillId="4" borderId="7" xfId="1" applyNumberFormat="1" applyFont="1" applyFill="1" applyBorder="1" applyAlignment="1" applyProtection="1">
      <alignment horizontal="right"/>
      <protection locked="0"/>
    </xf>
    <xf numFmtId="0" fontId="46" fillId="4" borderId="7" xfId="1" applyFont="1" applyFill="1" applyBorder="1" applyAlignment="1" applyProtection="1">
      <alignment horizontal="right"/>
      <protection locked="0"/>
    </xf>
    <xf numFmtId="0" fontId="46" fillId="4" borderId="15" xfId="1" applyFont="1" applyFill="1" applyBorder="1" applyAlignment="1" applyProtection="1">
      <alignment horizontal="right"/>
      <protection locked="0"/>
    </xf>
    <xf numFmtId="0" fontId="50" fillId="0" borderId="7" xfId="1" applyFont="1" applyBorder="1" applyAlignment="1" applyProtection="1">
      <alignment horizontal="right"/>
      <protection locked="0"/>
    </xf>
    <xf numFmtId="0" fontId="46" fillId="4" borderId="3" xfId="1" applyFont="1" applyFill="1" applyBorder="1" applyAlignment="1" applyProtection="1">
      <alignment horizontal="right"/>
      <protection locked="0"/>
    </xf>
    <xf numFmtId="0" fontId="46" fillId="4" borderId="2" xfId="1" applyFont="1" applyFill="1" applyBorder="1" applyAlignment="1" applyProtection="1">
      <alignment horizontal="right"/>
      <protection locked="0"/>
    </xf>
    <xf numFmtId="0" fontId="50" fillId="0" borderId="3" xfId="1" applyFont="1" applyBorder="1" applyAlignment="1" applyProtection="1">
      <alignment horizontal="right"/>
      <protection locked="0"/>
    </xf>
    <xf numFmtId="0" fontId="31" fillId="4" borderId="2" xfId="1" applyFont="1" applyFill="1" applyBorder="1" applyAlignment="1" applyProtection="1">
      <alignment horizontal="right"/>
      <protection locked="0"/>
    </xf>
    <xf numFmtId="0" fontId="31" fillId="0" borderId="0" xfId="1" applyFont="1" applyProtection="1">
      <protection locked="0"/>
    </xf>
    <xf numFmtId="3" fontId="31" fillId="4" borderId="2" xfId="1" applyNumberFormat="1" applyFont="1" applyFill="1" applyBorder="1" applyAlignment="1" applyProtection="1">
      <alignment horizontal="right"/>
      <protection locked="0"/>
    </xf>
    <xf numFmtId="3" fontId="46" fillId="4" borderId="2" xfId="1" applyNumberFormat="1" applyFont="1" applyFill="1" applyBorder="1" applyAlignment="1" applyProtection="1">
      <alignment horizontal="right"/>
      <protection locked="0"/>
    </xf>
    <xf numFmtId="0" fontId="46" fillId="0" borderId="0" xfId="1" applyFont="1" applyProtection="1">
      <protection locked="0"/>
    </xf>
    <xf numFmtId="3" fontId="46" fillId="4" borderId="11" xfId="15" applyNumberFormat="1" applyFont="1" applyFill="1" applyBorder="1" applyAlignment="1" applyProtection="1">
      <alignment horizontal="right"/>
      <protection locked="0"/>
    </xf>
    <xf numFmtId="0" fontId="46" fillId="4" borderId="6" xfId="1" applyFont="1" applyFill="1" applyBorder="1" applyAlignment="1" applyProtection="1">
      <alignment horizontal="right"/>
      <protection locked="0"/>
    </xf>
    <xf numFmtId="0" fontId="46" fillId="4" borderId="5" xfId="1" applyFont="1" applyFill="1" applyBorder="1" applyAlignment="1" applyProtection="1">
      <alignment horizontal="right"/>
      <protection locked="0"/>
    </xf>
    <xf numFmtId="0" fontId="46" fillId="0" borderId="6" xfId="1" applyFont="1" applyBorder="1" applyAlignment="1" applyProtection="1">
      <alignment horizontal="right"/>
      <protection locked="0"/>
    </xf>
    <xf numFmtId="0" fontId="46" fillId="0" borderId="7" xfId="1" applyFont="1" applyFill="1" applyBorder="1" applyProtection="1">
      <protection locked="0"/>
    </xf>
    <xf numFmtId="3" fontId="46" fillId="4" borderId="1" xfId="14" applyNumberFormat="1" applyFont="1" applyFill="1" applyBorder="1" applyAlignment="1" applyProtection="1">
      <alignment horizontal="right"/>
      <protection locked="0"/>
    </xf>
    <xf numFmtId="3" fontId="46" fillId="4" borderId="1" xfId="1" applyNumberFormat="1" applyFont="1" applyFill="1" applyBorder="1" applyAlignment="1" applyProtection="1">
      <alignment horizontal="right"/>
      <protection locked="0"/>
    </xf>
    <xf numFmtId="0" fontId="46" fillId="4" borderId="1" xfId="1" applyFont="1" applyFill="1" applyBorder="1" applyAlignment="1" applyProtection="1">
      <alignment horizontal="right"/>
      <protection locked="0"/>
    </xf>
    <xf numFmtId="0" fontId="46" fillId="0" borderId="7" xfId="1" applyFont="1" applyBorder="1" applyAlignment="1" applyProtection="1">
      <alignment horizontal="right"/>
      <protection locked="0"/>
    </xf>
    <xf numFmtId="0" fontId="46" fillId="0" borderId="0" xfId="1" applyFont="1" applyFill="1" applyProtection="1">
      <protection locked="0"/>
    </xf>
    <xf numFmtId="0" fontId="31" fillId="0" borderId="0" xfId="1" applyFont="1" applyFill="1" applyProtection="1">
      <protection locked="0"/>
    </xf>
    <xf numFmtId="0" fontId="62" fillId="0" borderId="0" xfId="1" applyFont="1" applyBorder="1" applyProtection="1">
      <protection locked="0"/>
    </xf>
    <xf numFmtId="0" fontId="62" fillId="0" borderId="0" xfId="1" applyFont="1" applyProtection="1">
      <protection locked="0"/>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Fill="1" applyBorder="1" applyAlignment="1">
      <alignment horizontal="center"/>
    </xf>
    <xf numFmtId="0" fontId="18" fillId="0" borderId="6" xfId="0" applyFont="1" applyFill="1" applyBorder="1"/>
    <xf numFmtId="3" fontId="18" fillId="0" borderId="3" xfId="847" applyNumberFormat="1" applyFont="1" applyBorder="1" applyAlignment="1">
      <alignment horizontal="left"/>
    </xf>
    <xf numFmtId="0" fontId="16" fillId="0" borderId="6" xfId="1" applyFont="1" applyFill="1" applyBorder="1"/>
    <xf numFmtId="3" fontId="18" fillId="0" borderId="3" xfId="847" applyNumberFormat="1" applyFont="1" applyFill="1" applyBorder="1" applyAlignment="1">
      <alignment horizontal="left"/>
    </xf>
    <xf numFmtId="0" fontId="16" fillId="0" borderId="4" xfId="1" applyFont="1" applyFill="1" applyBorder="1"/>
    <xf numFmtId="0" fontId="16" fillId="0" borderId="11" xfId="1" applyFont="1" applyFill="1" applyBorder="1"/>
    <xf numFmtId="0" fontId="46" fillId="2" borderId="3" xfId="0" applyFont="1" applyFill="1" applyBorder="1" applyProtection="1">
      <protection locked="0"/>
    </xf>
    <xf numFmtId="0" fontId="46" fillId="2" borderId="6" xfId="0" applyFont="1" applyFill="1" applyBorder="1" applyProtection="1">
      <protection locked="0"/>
    </xf>
    <xf numFmtId="3" fontId="31" fillId="4" borderId="1" xfId="0" applyNumberFormat="1" applyFont="1" applyFill="1" applyBorder="1" applyAlignment="1" applyProtection="1">
      <alignment horizontal="right"/>
      <protection locked="0"/>
    </xf>
    <xf numFmtId="0" fontId="31" fillId="0" borderId="3" xfId="0" applyFont="1" applyBorder="1" applyAlignment="1" applyProtection="1">
      <alignment horizontal="right"/>
      <protection locked="0"/>
    </xf>
    <xf numFmtId="3" fontId="31" fillId="4" borderId="7" xfId="0" applyNumberFormat="1" applyFont="1" applyFill="1" applyBorder="1" applyAlignment="1" applyProtection="1">
      <alignment horizontal="right"/>
      <protection locked="0"/>
    </xf>
    <xf numFmtId="1" fontId="31" fillId="0" borderId="3" xfId="0" applyNumberFormat="1" applyFont="1" applyBorder="1" applyAlignment="1" applyProtection="1">
      <alignment horizontal="right"/>
      <protection locked="0"/>
    </xf>
    <xf numFmtId="0" fontId="31" fillId="0" borderId="0" xfId="7" applyFont="1" applyProtection="1">
      <protection locked="0"/>
    </xf>
    <xf numFmtId="4" fontId="31" fillId="4" borderId="4" xfId="7" applyNumberFormat="1" applyFont="1" applyFill="1" applyBorder="1" applyAlignment="1" applyProtection="1">
      <alignment horizontal="right"/>
      <protection locked="0"/>
    </xf>
    <xf numFmtId="3" fontId="31" fillId="4" borderId="4" xfId="7" applyNumberFormat="1" applyFont="1" applyFill="1" applyBorder="1" applyAlignment="1" applyProtection="1">
      <alignment horizontal="right"/>
      <protection locked="0"/>
    </xf>
    <xf numFmtId="3" fontId="31" fillId="4" borderId="11" xfId="7" applyNumberFormat="1" applyFont="1" applyFill="1" applyBorder="1" applyAlignment="1" applyProtection="1">
      <alignment horizontal="right"/>
      <protection locked="0"/>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171" fontId="16" fillId="0" borderId="3" xfId="846" applyFont="1" applyBorder="1" applyAlignment="1">
      <alignment horizontal="right"/>
    </xf>
    <xf numFmtId="3" fontId="46" fillId="0" borderId="6" xfId="0" applyNumberFormat="1" applyFont="1" applyFill="1" applyBorder="1" applyAlignment="1" applyProtection="1">
      <alignment horizontal="right"/>
    </xf>
    <xf numFmtId="0" fontId="31" fillId="2" borderId="3" xfId="0" applyFont="1" applyFill="1" applyBorder="1" applyProtection="1">
      <protection locked="0"/>
    </xf>
    <xf numFmtId="0" fontId="31" fillId="2" borderId="6" xfId="0" applyFont="1" applyFill="1" applyBorder="1" applyProtection="1">
      <protection locked="0"/>
    </xf>
    <xf numFmtId="3" fontId="14" fillId="0" borderId="0" xfId="1" applyNumberFormat="1" applyFont="1" applyFill="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Fill="1" applyBorder="1"/>
    <xf numFmtId="3" fontId="15" fillId="0" borderId="0" xfId="1" applyNumberFormat="1" applyFont="1" applyFill="1" applyBorder="1" applyAlignment="1">
      <alignment horizontal="center"/>
    </xf>
    <xf numFmtId="3" fontId="31" fillId="4" borderId="1" xfId="0" applyNumberFormat="1" applyFont="1" applyFill="1" applyBorder="1" applyAlignment="1">
      <alignment horizontal="right"/>
    </xf>
    <xf numFmtId="3" fontId="31" fillId="4" borderId="4" xfId="0" applyNumberFormat="1" applyFont="1" applyFill="1" applyBorder="1" applyAlignment="1">
      <alignment horizontal="right"/>
    </xf>
    <xf numFmtId="3" fontId="31" fillId="4" borderId="3" xfId="0" applyNumberFormat="1" applyFont="1" applyFill="1" applyBorder="1" applyAlignment="1">
      <alignment horizontal="right"/>
    </xf>
    <xf numFmtId="3" fontId="31" fillId="0" borderId="4" xfId="0" applyNumberFormat="1" applyFont="1" applyBorder="1" applyAlignment="1" applyProtection="1">
      <alignment horizontal="right"/>
      <protection locked="0"/>
    </xf>
    <xf numFmtId="0" fontId="42" fillId="0" borderId="0" xfId="7" applyFont="1" applyProtection="1">
      <protection locked="0"/>
    </xf>
    <xf numFmtId="0" fontId="18" fillId="0" borderId="0" xfId="3" applyFont="1" applyAlignment="1">
      <protection locked="0"/>
    </xf>
    <xf numFmtId="0" fontId="20" fillId="0" borderId="0" xfId="7" applyProtection="1">
      <protection locked="0"/>
    </xf>
    <xf numFmtId="3" fontId="59" fillId="4" borderId="0" xfId="7" applyNumberFormat="1" applyFont="1" applyFill="1" applyProtection="1">
      <protection locked="0"/>
    </xf>
    <xf numFmtId="14" fontId="14" fillId="0" borderId="7" xfId="7" applyNumberFormat="1" applyFont="1" applyBorder="1" applyAlignment="1" applyProtection="1">
      <alignment horizontal="left"/>
      <protection locked="0"/>
    </xf>
    <xf numFmtId="0" fontId="18" fillId="0" borderId="10" xfId="7" applyFont="1" applyBorder="1" applyProtection="1">
      <protection locked="0"/>
    </xf>
    <xf numFmtId="0" fontId="18" fillId="0" borderId="8" xfId="7" applyFont="1" applyBorder="1" applyProtection="1">
      <protection locked="0"/>
    </xf>
    <xf numFmtId="0" fontId="18" fillId="0" borderId="9" xfId="7" applyFont="1" applyBorder="1" applyProtection="1">
      <protection locked="0"/>
    </xf>
    <xf numFmtId="0" fontId="70" fillId="0" borderId="8" xfId="7" applyFont="1" applyBorder="1" applyAlignment="1" applyProtection="1">
      <alignment horizontal="center"/>
      <protection locked="0"/>
    </xf>
    <xf numFmtId="0" fontId="18" fillId="4" borderId="0" xfId="7" applyFont="1" applyFill="1" applyProtection="1">
      <protection locked="0"/>
    </xf>
    <xf numFmtId="3" fontId="46" fillId="0" borderId="1" xfId="7" applyNumberFormat="1" applyFont="1" applyBorder="1" applyProtection="1">
      <protection locked="0"/>
    </xf>
    <xf numFmtId="0" fontId="46" fillId="4" borderId="0" xfId="7" applyFont="1" applyFill="1" applyAlignment="1" applyProtection="1">
      <alignment horizontal="center"/>
      <protection locked="0"/>
    </xf>
    <xf numFmtId="3" fontId="46" fillId="0" borderId="4" xfId="7" applyNumberFormat="1" applyFont="1" applyBorder="1" applyProtection="1">
      <protection locked="0"/>
    </xf>
    <xf numFmtId="0" fontId="16" fillId="0" borderId="1" xfId="7" applyFont="1" applyBorder="1" applyAlignment="1" applyProtection="1">
      <alignment horizontal="center"/>
      <protection locked="0"/>
    </xf>
    <xf numFmtId="0" fontId="16" fillId="0" borderId="7" xfId="7" applyFont="1" applyBorder="1" applyAlignment="1" applyProtection="1">
      <alignment horizontal="center"/>
      <protection locked="0"/>
    </xf>
    <xf numFmtId="3" fontId="51" fillId="4" borderId="11" xfId="7" applyNumberFormat="1" applyFont="1" applyFill="1" applyBorder="1" applyProtection="1">
      <protection locked="0"/>
    </xf>
    <xf numFmtId="0" fontId="14" fillId="0" borderId="6" xfId="7" applyFont="1" applyBorder="1" applyAlignment="1" applyProtection="1">
      <alignment horizontal="center"/>
      <protection locked="0"/>
    </xf>
    <xf numFmtId="169" fontId="16" fillId="0" borderId="6" xfId="7" applyNumberFormat="1" applyFont="1" applyBorder="1" applyAlignment="1" applyProtection="1">
      <alignment horizontal="center"/>
      <protection locked="0"/>
    </xf>
    <xf numFmtId="169" fontId="14" fillId="4" borderId="0" xfId="7" applyNumberFormat="1" applyFont="1" applyFill="1" applyAlignment="1" applyProtection="1">
      <alignment horizontal="center"/>
      <protection locked="0"/>
    </xf>
    <xf numFmtId="0" fontId="14" fillId="4" borderId="0" xfId="7" applyFont="1" applyFill="1" applyAlignment="1" applyProtection="1">
      <alignment horizontal="center"/>
      <protection locked="0"/>
    </xf>
    <xf numFmtId="0" fontId="46" fillId="0" borderId="7" xfId="7" applyFont="1" applyBorder="1" applyProtection="1">
      <protection locked="0"/>
    </xf>
    <xf numFmtId="4" fontId="31" fillId="4" borderId="7" xfId="7" applyNumberFormat="1" applyFont="1" applyFill="1" applyBorder="1" applyAlignment="1" applyProtection="1">
      <alignment horizontal="right"/>
      <protection locked="0"/>
    </xf>
    <xf numFmtId="0" fontId="31" fillId="0" borderId="3" xfId="7" applyFont="1" applyBorder="1" applyProtection="1">
      <protection locked="0"/>
    </xf>
    <xf numFmtId="0" fontId="31" fillId="0" borderId="6" xfId="7" applyFont="1" applyBorder="1" applyProtection="1">
      <protection locked="0"/>
    </xf>
    <xf numFmtId="0" fontId="31" fillId="0" borderId="3" xfId="0" applyFont="1" applyBorder="1" applyAlignment="1">
      <alignment horizontal="right"/>
    </xf>
    <xf numFmtId="0" fontId="14" fillId="0" borderId="6" xfId="0" applyFont="1" applyBorder="1" applyAlignment="1" applyProtection="1">
      <alignment horizontal="center"/>
      <protection locked="0"/>
    </xf>
    <xf numFmtId="0" fontId="14" fillId="0" borderId="11" xfId="0" applyFont="1" applyBorder="1" applyAlignment="1" applyProtection="1">
      <alignment horizontal="center"/>
      <protection locked="0"/>
    </xf>
    <xf numFmtId="3" fontId="31" fillId="4" borderId="0" xfId="0" applyNumberFormat="1" applyFont="1" applyFill="1" applyAlignment="1">
      <alignment horizontal="right"/>
    </xf>
    <xf numFmtId="3" fontId="31" fillId="4" borderId="0" xfId="0" applyNumberFormat="1" applyFont="1" applyFill="1" applyAlignment="1" applyProtection="1">
      <alignment horizontal="right"/>
      <protection locked="0"/>
    </xf>
    <xf numFmtId="3" fontId="61" fillId="4" borderId="3" xfId="0" applyNumberFormat="1" applyFont="1" applyFill="1" applyBorder="1" applyAlignment="1">
      <alignment horizontal="right"/>
    </xf>
    <xf numFmtId="3" fontId="46" fillId="4" borderId="3" xfId="0" applyNumberFormat="1" applyFont="1" applyFill="1" applyBorder="1" applyAlignment="1">
      <alignment horizontal="right"/>
    </xf>
    <xf numFmtId="3" fontId="31" fillId="4" borderId="7" xfId="0" applyNumberFormat="1" applyFont="1" applyFill="1" applyBorder="1" applyAlignment="1">
      <alignment horizontal="right"/>
    </xf>
    <xf numFmtId="1" fontId="31" fillId="0" borderId="3" xfId="0" applyNumberFormat="1" applyFont="1" applyBorder="1" applyAlignment="1">
      <alignment horizontal="right"/>
    </xf>
    <xf numFmtId="3" fontId="46" fillId="4" borderId="4" xfId="15" applyNumberFormat="1" applyFont="1" applyFill="1" applyBorder="1" applyAlignment="1" applyProtection="1">
      <alignment horizontal="right"/>
    </xf>
    <xf numFmtId="3" fontId="31" fillId="4" borderId="4" xfId="15" applyNumberFormat="1" applyFont="1" applyFill="1" applyBorder="1" applyAlignment="1" applyProtection="1">
      <alignment horizontal="right"/>
    </xf>
    <xf numFmtId="3" fontId="46" fillId="4" borderId="11" xfId="15" applyNumberFormat="1" applyFont="1" applyFill="1" applyBorder="1" applyAlignment="1" applyProtection="1">
      <alignment horizontal="right"/>
    </xf>
    <xf numFmtId="166" fontId="31" fillId="0" borderId="3" xfId="847" applyNumberFormat="1" applyFont="1" applyBorder="1" applyAlignment="1" applyProtection="1">
      <alignment horizontal="right"/>
    </xf>
    <xf numFmtId="166" fontId="31" fillId="4" borderId="4" xfId="847" applyNumberFormat="1" applyFont="1" applyFill="1" applyBorder="1" applyAlignment="1" applyProtection="1">
      <alignment horizontal="right"/>
    </xf>
    <xf numFmtId="166" fontId="31" fillId="4" borderId="3" xfId="847" applyNumberFormat="1" applyFont="1" applyFill="1" applyBorder="1" applyAlignment="1" applyProtection="1">
      <alignment horizontal="right"/>
    </xf>
    <xf numFmtId="170" fontId="31" fillId="0" borderId="3" xfId="847" applyNumberFormat="1" applyFont="1" applyBorder="1" applyAlignment="1" applyProtection="1">
      <alignment horizontal="right"/>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3" fontId="31" fillId="4" borderId="1" xfId="15" applyNumberFormat="1" applyFont="1" applyFill="1" applyBorder="1" applyAlignment="1" applyProtection="1">
      <alignment horizontal="right"/>
    </xf>
    <xf numFmtId="3" fontId="31" fillId="4" borderId="4" xfId="847" applyNumberFormat="1" applyFont="1" applyFill="1" applyBorder="1" applyAlignment="1" applyProtection="1">
      <alignment horizontal="right"/>
    </xf>
    <xf numFmtId="3" fontId="31" fillId="0" borderId="4" xfId="847" applyNumberFormat="1" applyFont="1" applyFill="1" applyBorder="1" applyAlignment="1" applyProtection="1">
      <alignment horizontal="right"/>
      <protection locked="0"/>
    </xf>
    <xf numFmtId="165" fontId="31" fillId="4" borderId="6" xfId="7" applyNumberFormat="1" applyFont="1" applyFill="1" applyBorder="1" applyAlignment="1" applyProtection="1">
      <alignment horizontal="right"/>
      <protection locked="0"/>
    </xf>
    <xf numFmtId="4" fontId="31" fillId="11" borderId="4" xfId="7" applyNumberFormat="1" applyFont="1" applyFill="1" applyBorder="1" applyAlignment="1" applyProtection="1">
      <alignment horizontal="right"/>
      <protection locked="0"/>
    </xf>
    <xf numFmtId="0" fontId="57" fillId="0" borderId="0" xfId="0" applyFont="1" applyFill="1"/>
    <xf numFmtId="4" fontId="31" fillId="0" borderId="3" xfId="7" applyNumberFormat="1" applyFont="1" applyBorder="1" applyAlignment="1" applyProtection="1">
      <alignment horizontal="right"/>
      <protection locked="0"/>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6" fillId="4" borderId="0" xfId="7" applyFont="1" applyFill="1" applyAlignment="1" applyProtection="1">
      <alignment horizontal="center"/>
      <protection locked="0"/>
    </xf>
    <xf numFmtId="3" fontId="46" fillId="4" borderId="1" xfId="15" applyNumberFormat="1" applyFont="1" applyFill="1" applyBorder="1" applyAlignment="1" applyProtection="1">
      <alignment horizontal="right"/>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3" fontId="31" fillId="0" borderId="4" xfId="847" applyNumberFormat="1" applyFont="1" applyFill="1" applyBorder="1" applyAlignment="1" applyProtection="1">
      <alignment horizontal="right"/>
    </xf>
    <xf numFmtId="165" fontId="31" fillId="0" borderId="3" xfId="851" applyNumberFormat="1" applyFont="1" applyBorder="1" applyProtection="1">
      <protection locked="0"/>
    </xf>
    <xf numFmtId="0" fontId="31" fillId="0" borderId="3" xfId="851" applyFont="1" applyBorder="1" applyProtection="1">
      <protection locked="0"/>
    </xf>
    <xf numFmtId="0" fontId="46" fillId="0" borderId="1" xfId="7" applyFont="1" applyFill="1" applyBorder="1" applyAlignment="1" applyProtection="1">
      <alignment horizontal="center"/>
      <protection locked="0"/>
    </xf>
    <xf numFmtId="0" fontId="16" fillId="0" borderId="1" xfId="7" applyFont="1" applyFill="1" applyBorder="1" applyAlignment="1" applyProtection="1">
      <alignment horizontal="center"/>
      <protection locked="0"/>
    </xf>
    <xf numFmtId="0" fontId="16" fillId="0" borderId="7" xfId="7" applyFont="1" applyFill="1" applyBorder="1" applyAlignment="1" applyProtection="1">
      <alignment horizontal="center"/>
      <protection locked="0"/>
    </xf>
    <xf numFmtId="0" fontId="15" fillId="0" borderId="0" xfId="7" applyFont="1" applyAlignment="1">
      <alignment horizontal="right"/>
    </xf>
    <xf numFmtId="0" fontId="15" fillId="0" borderId="0" xfId="7" applyFont="1" applyAlignment="1">
      <alignment wrapText="1"/>
    </xf>
    <xf numFmtId="3" fontId="18" fillId="0" borderId="8" xfId="1" applyNumberFormat="1" applyFont="1" applyFill="1" applyBorder="1"/>
    <xf numFmtId="3" fontId="16" fillId="0" borderId="6" xfId="1" applyNumberFormat="1" applyFont="1" applyFill="1" applyBorder="1"/>
    <xf numFmtId="3" fontId="16" fillId="0" borderId="11" xfId="1" applyNumberFormat="1" applyFont="1" applyFill="1" applyBorder="1"/>
    <xf numFmtId="3" fontId="54" fillId="0" borderId="0" xfId="0" applyNumberFormat="1" applyFont="1" applyFill="1"/>
    <xf numFmtId="3" fontId="46" fillId="0" borderId="2" xfId="0" applyNumberFormat="1" applyFont="1" applyFill="1" applyBorder="1"/>
    <xf numFmtId="14" fontId="31" fillId="0" borderId="0" xfId="1" applyNumberFormat="1" applyFont="1" applyAlignment="1">
      <alignment horizontal="center"/>
    </xf>
    <xf numFmtId="0" fontId="16" fillId="8" borderId="0" xfId="0" applyFont="1" applyFill="1" applyBorder="1" applyAlignment="1">
      <alignment horizontal="center"/>
    </xf>
    <xf numFmtId="0" fontId="16" fillId="8" borderId="2" xfId="0" applyFont="1" applyFill="1" applyBorder="1" applyAlignment="1">
      <alignment horizontal="center"/>
    </xf>
    <xf numFmtId="0" fontId="46" fillId="0" borderId="12" xfId="0" applyFont="1" applyBorder="1" applyAlignment="1">
      <alignment horizontal="left"/>
    </xf>
    <xf numFmtId="0" fontId="46" fillId="0" borderId="10"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xf numFmtId="0" fontId="16" fillId="8" borderId="4" xfId="0" applyFont="1" applyFill="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6" fillId="0" borderId="11" xfId="0" applyNumberFormat="1" applyFont="1" applyBorder="1" applyAlignment="1">
      <alignment horizontal="center"/>
    </xf>
    <xf numFmtId="3" fontId="46" fillId="0" borderId="12" xfId="0" applyNumberFormat="1" applyFont="1" applyBorder="1" applyAlignment="1">
      <alignment horizontal="center"/>
    </xf>
    <xf numFmtId="3" fontId="46" fillId="0" borderId="5" xfId="0" applyNumberFormat="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12" xfId="1" applyNumberFormat="1" applyFont="1" applyBorder="1" applyAlignment="1">
      <alignment horizontal="center"/>
    </xf>
    <xf numFmtId="3" fontId="14" fillId="0" borderId="14" xfId="1" applyNumberFormat="1" applyFont="1" applyFill="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1" xfId="1" applyNumberFormat="1" applyFont="1" applyFill="1" applyBorder="1" applyAlignment="1" applyProtection="1">
      <alignment horizontal="center"/>
      <protection locked="0"/>
    </xf>
    <xf numFmtId="0" fontId="46" fillId="0" borderId="12" xfId="1" applyNumberFormat="1" applyFont="1" applyFill="1" applyBorder="1" applyAlignment="1" applyProtection="1">
      <alignment horizontal="center"/>
      <protection locked="0"/>
    </xf>
    <xf numFmtId="0" fontId="46" fillId="0" borderId="5" xfId="1" applyNumberFormat="1" applyFont="1" applyFill="1" applyBorder="1" applyAlignment="1" applyProtection="1">
      <alignment horizontal="center"/>
      <protection locked="0"/>
    </xf>
    <xf numFmtId="0" fontId="46" fillId="0" borderId="11" xfId="1" applyFont="1" applyFill="1" applyBorder="1" applyAlignment="1" applyProtection="1">
      <alignment horizontal="center"/>
      <protection locked="0"/>
    </xf>
    <xf numFmtId="0" fontId="46" fillId="0" borderId="12" xfId="1" applyFont="1" applyFill="1" applyBorder="1" applyAlignment="1" applyProtection="1">
      <alignment horizontal="center"/>
      <protection locked="0"/>
    </xf>
    <xf numFmtId="0" fontId="46" fillId="0" borderId="5" xfId="1" applyFont="1" applyFill="1" applyBorder="1" applyAlignment="1" applyProtection="1">
      <alignment horizontal="center"/>
      <protection locked="0"/>
    </xf>
    <xf numFmtId="0" fontId="46" fillId="0" borderId="1" xfId="1" applyFont="1" applyFill="1" applyBorder="1" applyAlignment="1" applyProtection="1">
      <alignment horizontal="center"/>
      <protection locked="0"/>
    </xf>
    <xf numFmtId="0" fontId="46" fillId="0" borderId="14" xfId="1" applyFont="1" applyFill="1" applyBorder="1" applyAlignment="1" applyProtection="1">
      <alignment horizontal="center"/>
      <protection locked="0"/>
    </xf>
    <xf numFmtId="0" fontId="46" fillId="0" borderId="15" xfId="1" applyFont="1" applyFill="1" applyBorder="1" applyAlignment="1" applyProtection="1">
      <alignment horizontal="center"/>
      <protection locked="0"/>
    </xf>
    <xf numFmtId="0" fontId="46" fillId="0" borderId="11" xfId="0" applyNumberFormat="1" applyFont="1" applyFill="1" applyBorder="1" applyAlignment="1" applyProtection="1">
      <alignment horizontal="center"/>
      <protection locked="0"/>
    </xf>
    <xf numFmtId="0" fontId="46" fillId="0" borderId="12" xfId="0" applyNumberFormat="1" applyFont="1" applyFill="1" applyBorder="1" applyAlignment="1" applyProtection="1">
      <alignment horizontal="center"/>
      <protection locked="0"/>
    </xf>
    <xf numFmtId="0" fontId="46" fillId="0" borderId="5" xfId="0" applyNumberFormat="1" applyFont="1" applyFill="1" applyBorder="1" applyAlignment="1" applyProtection="1">
      <alignment horizontal="center"/>
      <protection locked="0"/>
    </xf>
    <xf numFmtId="0" fontId="46" fillId="4" borderId="0" xfId="0"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46" fillId="0" borderId="11" xfId="7" applyFont="1" applyFill="1" applyBorder="1" applyAlignment="1" applyProtection="1">
      <alignment horizontal="center"/>
      <protection locked="0"/>
    </xf>
    <xf numFmtId="0" fontId="46" fillId="0" borderId="12" xfId="7" applyFont="1" applyFill="1" applyBorder="1" applyAlignment="1" applyProtection="1">
      <alignment horizontal="center"/>
      <protection locked="0"/>
    </xf>
    <xf numFmtId="0" fontId="46" fillId="0" borderId="5" xfId="7" applyFont="1" applyFill="1" applyBorder="1" applyAlignment="1" applyProtection="1">
      <alignment horizontal="center"/>
      <protection locked="0"/>
    </xf>
    <xf numFmtId="0" fontId="46" fillId="4" borderId="0" xfId="7" applyFont="1" applyFill="1" applyAlignment="1" applyProtection="1">
      <alignment horizontal="center"/>
      <protection locked="0"/>
    </xf>
    <xf numFmtId="0" fontId="46" fillId="0" borderId="11" xfId="7" applyFont="1" applyBorder="1" applyAlignment="1" applyProtection="1">
      <alignment horizontal="center"/>
      <protection locked="0"/>
    </xf>
    <xf numFmtId="0" fontId="46" fillId="0" borderId="12" xfId="7" applyFont="1" applyBorder="1" applyAlignment="1" applyProtection="1">
      <alignment horizontal="center"/>
      <protection locked="0"/>
    </xf>
    <xf numFmtId="0" fontId="46" fillId="0" borderId="5" xfId="7" applyFont="1" applyBorder="1" applyAlignment="1" applyProtection="1">
      <alignment horizontal="center"/>
      <protection locked="0"/>
    </xf>
    <xf numFmtId="0" fontId="46" fillId="0" borderId="1" xfId="7" applyFont="1" applyBorder="1" applyAlignment="1" applyProtection="1">
      <alignment horizontal="center"/>
      <protection locked="0"/>
    </xf>
    <xf numFmtId="0" fontId="46" fillId="0" borderId="14" xfId="7" applyFont="1" applyBorder="1" applyAlignment="1" applyProtection="1">
      <alignment horizontal="center"/>
      <protection locked="0"/>
    </xf>
    <xf numFmtId="0" fontId="46" fillId="0" borderId="15" xfId="7" applyFont="1" applyBorder="1" applyAlignment="1" applyProtection="1">
      <alignment horizontal="center"/>
      <protection locked="0"/>
    </xf>
  </cellXfs>
  <cellStyles count="852">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49"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2 2 2" xfId="851" xr:uid="{F925D332-F959-474D-9D8A-B32E6015ACA4}"/>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27" xfId="850" xr:uid="{ED50C316-25E5-4ED7-8355-A3104735F1B2}"/>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Tusenskille 2" xfId="14" xr:uid="{00000000-0005-0000-0000-00003C020000}"/>
    <cellStyle name="Tusenskille 2 2" xfId="15" xr:uid="{00000000-0005-0000-0000-00003D020000}"/>
    <cellStyle name="Tusenskille 2 2 2" xfId="751" xr:uid="{00000000-0005-0000-0000-00003E020000}"/>
    <cellStyle name="Tusenskille 2 2 3" xfId="848"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6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Figurer!$M$7</c:f>
              <c:strCache>
                <c:ptCount val="1"/>
                <c:pt idx="0">
                  <c:v>2020</c:v>
                </c:pt>
              </c:strCache>
            </c:strRef>
          </c:tx>
          <c:invertIfNegative val="0"/>
          <c:cat>
            <c:strRef>
              <c:f>Figurer!$L$9:$L$32</c:f>
              <c:strCache>
                <c:ptCount val="24"/>
                <c:pt idx="0">
                  <c:v>Danica Pensjon</c:v>
                </c:pt>
                <c:pt idx="1">
                  <c:v>DNB Bedriftsp</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Insr</c:v>
                </c:pt>
                <c:pt idx="16">
                  <c:v>Nordea Liv</c:v>
                </c:pt>
                <c:pt idx="17">
                  <c:v>OPF</c:v>
                </c:pt>
                <c:pt idx="18">
                  <c:v>Protector Fors</c:v>
                </c:pt>
                <c:pt idx="19">
                  <c:v>SpareBank 1 Fors.</c:v>
                </c:pt>
                <c:pt idx="20">
                  <c:v>Storebrand </c:v>
                </c:pt>
                <c:pt idx="21">
                  <c:v>Telenor Fors</c:v>
                </c:pt>
                <c:pt idx="22">
                  <c:v>Tryg Fors</c:v>
                </c:pt>
                <c:pt idx="23">
                  <c:v>WaterCircles Fors.</c:v>
                </c:pt>
              </c:strCache>
            </c:strRef>
          </c:cat>
          <c:val>
            <c:numRef>
              <c:f>Figurer!$M$9:$M$32</c:f>
              <c:numCache>
                <c:formatCode>#,##0</c:formatCode>
                <c:ptCount val="24"/>
                <c:pt idx="0">
                  <c:v>322886.59299999999</c:v>
                </c:pt>
                <c:pt idx="1">
                  <c:v>74436</c:v>
                </c:pt>
                <c:pt idx="2">
                  <c:v>2544846.8470000001</c:v>
                </c:pt>
                <c:pt idx="3">
                  <c:v>269700</c:v>
                </c:pt>
                <c:pt idx="5">
                  <c:v>2205150</c:v>
                </c:pt>
                <c:pt idx="6">
                  <c:v>504078</c:v>
                </c:pt>
                <c:pt idx="7">
                  <c:v>3713.2633999999998</c:v>
                </c:pt>
                <c:pt idx="8">
                  <c:v>1445145</c:v>
                </c:pt>
                <c:pt idx="9">
                  <c:v>509282</c:v>
                </c:pt>
                <c:pt idx="10">
                  <c:v>26171.04192</c:v>
                </c:pt>
                <c:pt idx="11">
                  <c:v>396241.54700000002</c:v>
                </c:pt>
                <c:pt idx="12">
                  <c:v>26170501.342770003</c:v>
                </c:pt>
                <c:pt idx="13">
                  <c:v>185388.55200000003</c:v>
                </c:pt>
                <c:pt idx="14">
                  <c:v>38656</c:v>
                </c:pt>
                <c:pt idx="15">
                  <c:v>11145.35382794882</c:v>
                </c:pt>
                <c:pt idx="16">
                  <c:v>1190396.8958108251</c:v>
                </c:pt>
                <c:pt idx="17">
                  <c:v>2473460</c:v>
                </c:pt>
                <c:pt idx="18">
                  <c:v>287049.49045636802</c:v>
                </c:pt>
                <c:pt idx="19">
                  <c:v>566972.15151</c:v>
                </c:pt>
                <c:pt idx="20">
                  <c:v>4218437.4960000003</c:v>
                </c:pt>
                <c:pt idx="21">
                  <c:v>0</c:v>
                </c:pt>
                <c:pt idx="22">
                  <c:v>574050.93926000001</c:v>
                </c:pt>
                <c:pt idx="23">
                  <c:v>1151</c:v>
                </c:pt>
              </c:numCache>
            </c:numRef>
          </c:val>
          <c:extLst>
            <c:ext xmlns:c16="http://schemas.microsoft.com/office/drawing/2014/chart" uri="{C3380CC4-5D6E-409C-BE32-E72D297353CC}">
              <c16:uniqueId val="{00000002-93AE-4CD9-98AD-A52686D1F9FB}"/>
            </c:ext>
          </c:extLst>
        </c:ser>
        <c:ser>
          <c:idx val="1"/>
          <c:order val="1"/>
          <c:tx>
            <c:strRef>
              <c:f>Figurer!$N$7</c:f>
              <c:strCache>
                <c:ptCount val="1"/>
                <c:pt idx="0">
                  <c:v>2021</c:v>
                </c:pt>
              </c:strCache>
            </c:strRef>
          </c:tx>
          <c:invertIfNegative val="0"/>
          <c:cat>
            <c:strRef>
              <c:f>Figurer!$L$9:$L$32</c:f>
              <c:strCache>
                <c:ptCount val="24"/>
                <c:pt idx="0">
                  <c:v>Danica Pensjon</c:v>
                </c:pt>
                <c:pt idx="1">
                  <c:v>DNB Bedriftsp</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Insr</c:v>
                </c:pt>
                <c:pt idx="16">
                  <c:v>Nordea Liv</c:v>
                </c:pt>
                <c:pt idx="17">
                  <c:v>OPF</c:v>
                </c:pt>
                <c:pt idx="18">
                  <c:v>Protector Fors</c:v>
                </c:pt>
                <c:pt idx="19">
                  <c:v>SpareBank 1 Fors.</c:v>
                </c:pt>
                <c:pt idx="20">
                  <c:v>Storebrand </c:v>
                </c:pt>
                <c:pt idx="21">
                  <c:v>Telenor Fors</c:v>
                </c:pt>
                <c:pt idx="22">
                  <c:v>Tryg Fors</c:v>
                </c:pt>
                <c:pt idx="23">
                  <c:v>WaterCircles Fors.</c:v>
                </c:pt>
              </c:strCache>
            </c:strRef>
          </c:cat>
          <c:val>
            <c:numRef>
              <c:f>Figurer!$N$9:$N$32</c:f>
              <c:numCache>
                <c:formatCode>#,##0</c:formatCode>
                <c:ptCount val="24"/>
                <c:pt idx="0">
                  <c:v>325384.08600000001</c:v>
                </c:pt>
                <c:pt idx="1">
                  <c:v>0</c:v>
                </c:pt>
                <c:pt idx="2">
                  <c:v>2650494.3509999998</c:v>
                </c:pt>
                <c:pt idx="3">
                  <c:v>291419</c:v>
                </c:pt>
                <c:pt idx="5">
                  <c:v>2307250.8282099999</c:v>
                </c:pt>
                <c:pt idx="6">
                  <c:v>459364</c:v>
                </c:pt>
                <c:pt idx="7">
                  <c:v>5330.2790000000005</c:v>
                </c:pt>
                <c:pt idx="8">
                  <c:v>1671885.9509999999</c:v>
                </c:pt>
                <c:pt idx="9">
                  <c:v>556509.5</c:v>
                </c:pt>
                <c:pt idx="10">
                  <c:v>26025.308660000002</c:v>
                </c:pt>
                <c:pt idx="11">
                  <c:v>416726.04218554404</c:v>
                </c:pt>
                <c:pt idx="12">
                  <c:v>41046577.107529998</c:v>
                </c:pt>
                <c:pt idx="13">
                  <c:v>233574.45626000001</c:v>
                </c:pt>
                <c:pt idx="14">
                  <c:v>41337</c:v>
                </c:pt>
                <c:pt idx="15">
                  <c:v>0</c:v>
                </c:pt>
                <c:pt idx="16">
                  <c:v>1318287.2052763819</c:v>
                </c:pt>
                <c:pt idx="17">
                  <c:v>6050567</c:v>
                </c:pt>
                <c:pt idx="18">
                  <c:v>313745.28546748857</c:v>
                </c:pt>
                <c:pt idx="19">
                  <c:v>631024.44908000005</c:v>
                </c:pt>
                <c:pt idx="20">
                  <c:v>4839592.9589999998</c:v>
                </c:pt>
                <c:pt idx="21">
                  <c:v>1014</c:v>
                </c:pt>
                <c:pt idx="22">
                  <c:v>566035.48</c:v>
                </c:pt>
                <c:pt idx="23">
                  <c:v>1806</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Figurer!$M$37</c:f>
              <c:strCache>
                <c:ptCount val="1"/>
                <c:pt idx="0">
                  <c:v>2020</c:v>
                </c:pt>
              </c:strCache>
            </c:strRef>
          </c:tx>
          <c:invertIfNegative val="0"/>
          <c:cat>
            <c:strRef>
              <c:f>Figurer!$L$38:$L$47</c:f>
              <c:strCache>
                <c:ptCount val="10"/>
                <c:pt idx="0">
                  <c:v>Danica Pensjon</c:v>
                </c:pt>
                <c:pt idx="1">
                  <c:v>KLP Bedriftsp</c:v>
                </c:pt>
                <c:pt idx="2">
                  <c:v>DNB Liv</c:v>
                </c:pt>
                <c:pt idx="3">
                  <c:v>Frende Livsfors</c:v>
                </c:pt>
                <c:pt idx="4">
                  <c:v>Gjensidige Pensj</c:v>
                </c:pt>
                <c:pt idx="5">
                  <c:v>KLP</c:v>
                </c:pt>
                <c:pt idx="6">
                  <c:v>Nordea Liv</c:v>
                </c:pt>
                <c:pt idx="7">
                  <c:v>SHB Liv</c:v>
                </c:pt>
                <c:pt idx="8">
                  <c:v>SpareBank 1 Fors.</c:v>
                </c:pt>
                <c:pt idx="9">
                  <c:v>Storebrand</c:v>
                </c:pt>
              </c:strCache>
            </c:strRef>
          </c:cat>
          <c:val>
            <c:numRef>
              <c:f>Figurer!$M$38:$M$47</c:f>
              <c:numCache>
                <c:formatCode>#,##0</c:formatCode>
                <c:ptCount val="10"/>
                <c:pt idx="0">
                  <c:v>1560697.9480000001</c:v>
                </c:pt>
                <c:pt idx="1">
                  <c:v>471105</c:v>
                </c:pt>
                <c:pt idx="2">
                  <c:v>7401471.0010000002</c:v>
                </c:pt>
                <c:pt idx="3">
                  <c:v>322819</c:v>
                </c:pt>
                <c:pt idx="4">
                  <c:v>2361569</c:v>
                </c:pt>
                <c:pt idx="5">
                  <c:v>63880.035000000003</c:v>
                </c:pt>
                <c:pt idx="6">
                  <c:v>8686801.6131100003</c:v>
                </c:pt>
                <c:pt idx="7">
                  <c:v>94921.636709999992</c:v>
                </c:pt>
                <c:pt idx="8">
                  <c:v>3483755.89176</c:v>
                </c:pt>
                <c:pt idx="9">
                  <c:v>9460443.0969999991</c:v>
                </c:pt>
              </c:numCache>
            </c:numRef>
          </c:val>
          <c:extLst>
            <c:ext xmlns:c16="http://schemas.microsoft.com/office/drawing/2014/chart" uri="{C3380CC4-5D6E-409C-BE32-E72D297353CC}">
              <c16:uniqueId val="{00000000-3971-4F9A-B5A3-CF52C774B823}"/>
            </c:ext>
          </c:extLst>
        </c:ser>
        <c:ser>
          <c:idx val="1"/>
          <c:order val="1"/>
          <c:tx>
            <c:strRef>
              <c:f>Figurer!$N$37</c:f>
              <c:strCache>
                <c:ptCount val="1"/>
                <c:pt idx="0">
                  <c:v>2021</c:v>
                </c:pt>
              </c:strCache>
            </c:strRef>
          </c:tx>
          <c:invertIfNegative val="0"/>
          <c:cat>
            <c:strRef>
              <c:f>Figurer!$L$38:$L$47</c:f>
              <c:strCache>
                <c:ptCount val="10"/>
                <c:pt idx="0">
                  <c:v>Danica Pensjon</c:v>
                </c:pt>
                <c:pt idx="1">
                  <c:v>KLP Bedriftsp</c:v>
                </c:pt>
                <c:pt idx="2">
                  <c:v>DNB Liv</c:v>
                </c:pt>
                <c:pt idx="3">
                  <c:v>Frende Livsfors</c:v>
                </c:pt>
                <c:pt idx="4">
                  <c:v>Gjensidige Pensj</c:v>
                </c:pt>
                <c:pt idx="5">
                  <c:v>KLP</c:v>
                </c:pt>
                <c:pt idx="6">
                  <c:v>Nordea Liv</c:v>
                </c:pt>
                <c:pt idx="7">
                  <c:v>SHB Liv</c:v>
                </c:pt>
                <c:pt idx="8">
                  <c:v>SpareBank 1 Fors.</c:v>
                </c:pt>
                <c:pt idx="9">
                  <c:v>Storebrand</c:v>
                </c:pt>
              </c:strCache>
            </c:strRef>
          </c:cat>
          <c:val>
            <c:numRef>
              <c:f>Figurer!$N$38:$N$47</c:f>
              <c:numCache>
                <c:formatCode>#,##0</c:formatCode>
                <c:ptCount val="10"/>
                <c:pt idx="0">
                  <c:v>1727762.4669999999</c:v>
                </c:pt>
                <c:pt idx="1">
                  <c:v>0</c:v>
                </c:pt>
                <c:pt idx="2">
                  <c:v>8603889.4309999999</c:v>
                </c:pt>
                <c:pt idx="3">
                  <c:v>0</c:v>
                </c:pt>
                <c:pt idx="4">
                  <c:v>2707157.7600000002</c:v>
                </c:pt>
                <c:pt idx="5">
                  <c:v>116273.039</c:v>
                </c:pt>
                <c:pt idx="6">
                  <c:v>13080796.69379</c:v>
                </c:pt>
                <c:pt idx="7">
                  <c:v>118580.72222</c:v>
                </c:pt>
                <c:pt idx="8">
                  <c:v>4053690.9884699997</c:v>
                </c:pt>
                <c:pt idx="9">
                  <c:v>9785506.8489999995</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Figurer!$M$58</c:f>
              <c:strCache>
                <c:ptCount val="1"/>
                <c:pt idx="0">
                  <c:v>2020</c:v>
                </c:pt>
              </c:strCache>
            </c:strRef>
          </c:tx>
          <c:invertIfNegative val="0"/>
          <c:cat>
            <c:strRef>
              <c:f>Figurer!$L$60:$L$81</c:f>
              <c:strCache>
                <c:ptCount val="22"/>
                <c:pt idx="0">
                  <c:v>Danica Pensjon</c:v>
                </c:pt>
                <c:pt idx="1">
                  <c:v>DNB Bedriftsp</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Insr</c:v>
                </c:pt>
                <c:pt idx="12">
                  <c:v>KLP</c:v>
                </c:pt>
                <c:pt idx="13">
                  <c:v>KLP Skadef</c:v>
                </c:pt>
                <c:pt idx="14">
                  <c:v>Landkreditt Fors</c:v>
                </c:pt>
                <c:pt idx="15">
                  <c:v>Nordea Liv</c:v>
                </c:pt>
                <c:pt idx="16">
                  <c:v>OPF</c:v>
                </c:pt>
                <c:pt idx="17">
                  <c:v>SpareBank 1 Fors.</c:v>
                </c:pt>
                <c:pt idx="18">
                  <c:v>Storebrand </c:v>
                </c:pt>
                <c:pt idx="19">
                  <c:v>Telenor Forsikring</c:v>
                </c:pt>
                <c:pt idx="20">
                  <c:v>Tryg Forsikring</c:v>
                </c:pt>
                <c:pt idx="21">
                  <c:v>WaterCicles Fors.</c:v>
                </c:pt>
              </c:strCache>
            </c:strRef>
          </c:cat>
          <c:val>
            <c:numRef>
              <c:f>Figurer!$M$60:$M$81</c:f>
              <c:numCache>
                <c:formatCode>#,##0</c:formatCode>
                <c:ptCount val="22"/>
                <c:pt idx="0">
                  <c:v>1286357.608</c:v>
                </c:pt>
                <c:pt idx="1">
                  <c:v>1789003</c:v>
                </c:pt>
                <c:pt idx="2">
                  <c:v>194797622</c:v>
                </c:pt>
                <c:pt idx="3">
                  <c:v>0</c:v>
                </c:pt>
                <c:pt idx="4">
                  <c:v>0</c:v>
                </c:pt>
                <c:pt idx="5">
                  <c:v>3675280</c:v>
                </c:pt>
                <c:pt idx="6">
                  <c:v>1031868</c:v>
                </c:pt>
                <c:pt idx="7">
                  <c:v>0</c:v>
                </c:pt>
                <c:pt idx="8">
                  <c:v>7488988</c:v>
                </c:pt>
                <c:pt idx="9">
                  <c:v>21581.57877081968</c:v>
                </c:pt>
                <c:pt idx="10">
                  <c:v>0</c:v>
                </c:pt>
                <c:pt idx="11">
                  <c:v>0</c:v>
                </c:pt>
                <c:pt idx="12">
                  <c:v>526463021.72196001</c:v>
                </c:pt>
                <c:pt idx="13">
                  <c:v>51937.368000000002</c:v>
                </c:pt>
                <c:pt idx="14">
                  <c:v>0</c:v>
                </c:pt>
                <c:pt idx="15">
                  <c:v>52385900.000052795</c:v>
                </c:pt>
                <c:pt idx="16">
                  <c:v>80017880</c:v>
                </c:pt>
                <c:pt idx="17">
                  <c:v>19350549.066980001</c:v>
                </c:pt>
                <c:pt idx="18">
                  <c:v>182050617.75099999</c:v>
                </c:pt>
                <c:pt idx="19">
                  <c:v>0</c:v>
                </c:pt>
                <c:pt idx="20">
                  <c:v>0</c:v>
                </c:pt>
                <c:pt idx="21">
                  <c:v>0</c:v>
                </c:pt>
              </c:numCache>
            </c:numRef>
          </c:val>
          <c:extLst>
            <c:ext xmlns:c16="http://schemas.microsoft.com/office/drawing/2014/chart" uri="{C3380CC4-5D6E-409C-BE32-E72D297353CC}">
              <c16:uniqueId val="{00000000-F5D7-4882-A9B6-45C2F0317A05}"/>
            </c:ext>
          </c:extLst>
        </c:ser>
        <c:ser>
          <c:idx val="1"/>
          <c:order val="1"/>
          <c:tx>
            <c:strRef>
              <c:f>Figurer!$N$58</c:f>
              <c:strCache>
                <c:ptCount val="1"/>
                <c:pt idx="0">
                  <c:v>2021</c:v>
                </c:pt>
              </c:strCache>
            </c:strRef>
          </c:tx>
          <c:invertIfNegative val="0"/>
          <c:cat>
            <c:strRef>
              <c:f>Figurer!$L$60:$L$81</c:f>
              <c:strCache>
                <c:ptCount val="22"/>
                <c:pt idx="0">
                  <c:v>Danica Pensjon</c:v>
                </c:pt>
                <c:pt idx="1">
                  <c:v>DNB Bedriftsp</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Insr</c:v>
                </c:pt>
                <c:pt idx="12">
                  <c:v>KLP</c:v>
                </c:pt>
                <c:pt idx="13">
                  <c:v>KLP Skadef</c:v>
                </c:pt>
                <c:pt idx="14">
                  <c:v>Landkreditt Fors</c:v>
                </c:pt>
                <c:pt idx="15">
                  <c:v>Nordea Liv</c:v>
                </c:pt>
                <c:pt idx="16">
                  <c:v>OPF</c:v>
                </c:pt>
                <c:pt idx="17">
                  <c:v>SpareBank 1 Fors.</c:v>
                </c:pt>
                <c:pt idx="18">
                  <c:v>Storebrand </c:v>
                </c:pt>
                <c:pt idx="19">
                  <c:v>Telenor Forsikring</c:v>
                </c:pt>
                <c:pt idx="20">
                  <c:v>Tryg Forsikring</c:v>
                </c:pt>
                <c:pt idx="21">
                  <c:v>WaterCicles Fors.</c:v>
                </c:pt>
              </c:strCache>
            </c:strRef>
          </c:cat>
          <c:val>
            <c:numRef>
              <c:f>Figurer!$N$60:$N$81</c:f>
              <c:numCache>
                <c:formatCode>#,##0</c:formatCode>
                <c:ptCount val="22"/>
                <c:pt idx="0">
                  <c:v>1370247.2149999999</c:v>
                </c:pt>
                <c:pt idx="1">
                  <c:v>0</c:v>
                </c:pt>
                <c:pt idx="2">
                  <c:v>194803582.38699999</c:v>
                </c:pt>
                <c:pt idx="3">
                  <c:v>0</c:v>
                </c:pt>
                <c:pt idx="4">
                  <c:v>0</c:v>
                </c:pt>
                <c:pt idx="5">
                  <c:v>4152805.49841</c:v>
                </c:pt>
                <c:pt idx="6">
                  <c:v>1050664</c:v>
                </c:pt>
                <c:pt idx="7">
                  <c:v>0</c:v>
                </c:pt>
                <c:pt idx="8">
                  <c:v>8107520.2000000002</c:v>
                </c:pt>
                <c:pt idx="9">
                  <c:v>21229.507515466838</c:v>
                </c:pt>
                <c:pt idx="10">
                  <c:v>0</c:v>
                </c:pt>
                <c:pt idx="11">
                  <c:v>0</c:v>
                </c:pt>
                <c:pt idx="12">
                  <c:v>563319210.35183001</c:v>
                </c:pt>
                <c:pt idx="13">
                  <c:v>69834.292576000007</c:v>
                </c:pt>
                <c:pt idx="14">
                  <c:v>0</c:v>
                </c:pt>
                <c:pt idx="15">
                  <c:v>55059961.000022039</c:v>
                </c:pt>
                <c:pt idx="16">
                  <c:v>90681751</c:v>
                </c:pt>
                <c:pt idx="17">
                  <c:v>19914575.502730001</c:v>
                </c:pt>
                <c:pt idx="18">
                  <c:v>193217678.72999999</c:v>
                </c:pt>
                <c:pt idx="19">
                  <c:v>0</c:v>
                </c:pt>
                <c:pt idx="20">
                  <c:v>0</c:v>
                </c:pt>
                <c:pt idx="21">
                  <c:v>0</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Figurer!$M$86</c:f>
              <c:strCache>
                <c:ptCount val="1"/>
                <c:pt idx="0">
                  <c:v>2020</c:v>
                </c:pt>
              </c:strCache>
            </c:strRef>
          </c:tx>
          <c:invertIfNegative val="0"/>
          <c:cat>
            <c:strRef>
              <c:f>Figurer!$L$87:$L$96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 Fors.</c:v>
                </c:pt>
                <c:pt idx="9">
                  <c:v>Storebrand</c:v>
                </c:pt>
              </c:strCache>
            </c:strRef>
          </c:cat>
          <c:val>
            <c:numRef>
              <c:f>Figurer!$M$87:$M$96</c:f>
              <c:numCache>
                <c:formatCode>#,##0</c:formatCode>
                <c:ptCount val="10"/>
                <c:pt idx="0">
                  <c:v>22186843.857000001</c:v>
                </c:pt>
                <c:pt idx="1">
                  <c:v>5573307</c:v>
                </c:pt>
                <c:pt idx="2">
                  <c:v>100331927.579</c:v>
                </c:pt>
                <c:pt idx="3">
                  <c:v>4512931</c:v>
                </c:pt>
                <c:pt idx="4">
                  <c:v>31527597</c:v>
                </c:pt>
                <c:pt idx="5">
                  <c:v>1974716.5681499999</c:v>
                </c:pt>
                <c:pt idx="6">
                  <c:v>85871420</c:v>
                </c:pt>
                <c:pt idx="7">
                  <c:v>2702258.38057</c:v>
                </c:pt>
                <c:pt idx="8">
                  <c:v>38969813.00011</c:v>
                </c:pt>
                <c:pt idx="9">
                  <c:v>124862260.38600001</c:v>
                </c:pt>
              </c:numCache>
            </c:numRef>
          </c:val>
          <c:extLst>
            <c:ext xmlns:c16="http://schemas.microsoft.com/office/drawing/2014/chart" uri="{C3380CC4-5D6E-409C-BE32-E72D297353CC}">
              <c16:uniqueId val="{00000000-62B1-4395-80F9-424B1553CC96}"/>
            </c:ext>
          </c:extLst>
        </c:ser>
        <c:ser>
          <c:idx val="1"/>
          <c:order val="1"/>
          <c:tx>
            <c:strRef>
              <c:f>Figurer!$N$86</c:f>
              <c:strCache>
                <c:ptCount val="1"/>
                <c:pt idx="0">
                  <c:v>2021</c:v>
                </c:pt>
              </c:strCache>
            </c:strRef>
          </c:tx>
          <c:invertIfNegative val="0"/>
          <c:cat>
            <c:strRef>
              <c:f>Figurer!$L$87:$L$96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 Fors.</c:v>
                </c:pt>
                <c:pt idx="9">
                  <c:v>Storebrand</c:v>
                </c:pt>
              </c:strCache>
            </c:strRef>
          </c:cat>
          <c:val>
            <c:numRef>
              <c:f>Figurer!$N$87:$N$96</c:f>
              <c:numCache>
                <c:formatCode>#,##0</c:formatCode>
                <c:ptCount val="10"/>
                <c:pt idx="0">
                  <c:v>27529054.677000001</c:v>
                </c:pt>
                <c:pt idx="1">
                  <c:v>0</c:v>
                </c:pt>
                <c:pt idx="2">
                  <c:v>131616569.77000001</c:v>
                </c:pt>
                <c:pt idx="3">
                  <c:v>0</c:v>
                </c:pt>
                <c:pt idx="4">
                  <c:v>40002105.299999997</c:v>
                </c:pt>
                <c:pt idx="5">
                  <c:v>2172918.8607600001</c:v>
                </c:pt>
                <c:pt idx="6">
                  <c:v>117827820</c:v>
                </c:pt>
                <c:pt idx="7">
                  <c:v>3184098.7069999999</c:v>
                </c:pt>
                <c:pt idx="8">
                  <c:v>52494337.715269998</c:v>
                </c:pt>
                <c:pt idx="9">
                  <c:v>151409583.368</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Figurer!$M$112</c:f>
              <c:strCache>
                <c:ptCount val="1"/>
                <c:pt idx="0">
                  <c:v>2020</c:v>
                </c:pt>
              </c:strCache>
            </c:strRef>
          </c:tx>
          <c:invertIfNegative val="0"/>
          <c:cat>
            <c:strRef>
              <c:f>Figurer!$L$113:$L$120</c:f>
              <c:strCache>
                <c:ptCount val="8"/>
                <c:pt idx="0">
                  <c:v>Danica Pensjon</c:v>
                </c:pt>
                <c:pt idx="1">
                  <c:v>DNB Bedriftsp</c:v>
                </c:pt>
                <c:pt idx="2">
                  <c:v>DNB Liv</c:v>
                </c:pt>
                <c:pt idx="3">
                  <c:v>Gjensidige Pensj</c:v>
                </c:pt>
                <c:pt idx="4">
                  <c:v>KLP</c:v>
                </c:pt>
                <c:pt idx="5">
                  <c:v>Nordea Liv</c:v>
                </c:pt>
                <c:pt idx="6">
                  <c:v>SpareBank 1 Fors.</c:v>
                </c:pt>
                <c:pt idx="7">
                  <c:v>Storebrand </c:v>
                </c:pt>
              </c:strCache>
            </c:strRef>
          </c:cat>
          <c:val>
            <c:numRef>
              <c:f>Figurer!$M$113:$M$120</c:f>
              <c:numCache>
                <c:formatCode>#,##0</c:formatCode>
                <c:ptCount val="8"/>
                <c:pt idx="0">
                  <c:v>35079.997999999905</c:v>
                </c:pt>
                <c:pt idx="1">
                  <c:v>7508</c:v>
                </c:pt>
                <c:pt idx="2">
                  <c:v>-98797</c:v>
                </c:pt>
                <c:pt idx="3">
                  <c:v>-54821</c:v>
                </c:pt>
                <c:pt idx="4">
                  <c:v>-4358298.5969999991</c:v>
                </c:pt>
                <c:pt idx="5">
                  <c:v>-47335</c:v>
                </c:pt>
                <c:pt idx="6">
                  <c:v>3188.0403499999975</c:v>
                </c:pt>
                <c:pt idx="7">
                  <c:v>204279.26300000001</c:v>
                </c:pt>
              </c:numCache>
            </c:numRef>
          </c:val>
          <c:extLst>
            <c:ext xmlns:c16="http://schemas.microsoft.com/office/drawing/2014/chart" uri="{C3380CC4-5D6E-409C-BE32-E72D297353CC}">
              <c16:uniqueId val="{00000000-2BF8-4278-857F-91A0E7196849}"/>
            </c:ext>
          </c:extLst>
        </c:ser>
        <c:ser>
          <c:idx val="1"/>
          <c:order val="1"/>
          <c:tx>
            <c:strRef>
              <c:f>Figurer!$N$112</c:f>
              <c:strCache>
                <c:ptCount val="1"/>
                <c:pt idx="0">
                  <c:v>2021</c:v>
                </c:pt>
              </c:strCache>
            </c:strRef>
          </c:tx>
          <c:invertIfNegative val="0"/>
          <c:cat>
            <c:strRef>
              <c:f>Figurer!$L$113:$L$120</c:f>
              <c:strCache>
                <c:ptCount val="8"/>
                <c:pt idx="0">
                  <c:v>Danica Pensjon</c:v>
                </c:pt>
                <c:pt idx="1">
                  <c:v>DNB Bedriftsp</c:v>
                </c:pt>
                <c:pt idx="2">
                  <c:v>DNB Liv</c:v>
                </c:pt>
                <c:pt idx="3">
                  <c:v>Gjensidige Pensj</c:v>
                </c:pt>
                <c:pt idx="4">
                  <c:v>KLP</c:v>
                </c:pt>
                <c:pt idx="5">
                  <c:v>Nordea Liv</c:v>
                </c:pt>
                <c:pt idx="6">
                  <c:v>SpareBank 1 Fors.</c:v>
                </c:pt>
                <c:pt idx="7">
                  <c:v>Storebrand </c:v>
                </c:pt>
              </c:strCache>
            </c:strRef>
          </c:cat>
          <c:val>
            <c:numRef>
              <c:f>Figurer!$N$113:$N$120</c:f>
              <c:numCache>
                <c:formatCode>#,##0</c:formatCode>
                <c:ptCount val="8"/>
                <c:pt idx="0">
                  <c:v>829.95200000000114</c:v>
                </c:pt>
                <c:pt idx="1">
                  <c:v>0</c:v>
                </c:pt>
                <c:pt idx="2">
                  <c:v>288795.45643999998</c:v>
                </c:pt>
                <c:pt idx="3">
                  <c:v>-2938.4000000000015</c:v>
                </c:pt>
                <c:pt idx="4">
                  <c:v>-8346122.3590000002</c:v>
                </c:pt>
                <c:pt idx="5">
                  <c:v>688.20004000002973</c:v>
                </c:pt>
                <c:pt idx="6">
                  <c:v>-9015.0013899999976</c:v>
                </c:pt>
                <c:pt idx="7">
                  <c:v>6247965.1359999999</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Figurer!$M$136</c:f>
              <c:strCache>
                <c:ptCount val="1"/>
                <c:pt idx="0">
                  <c:v>2020</c:v>
                </c:pt>
              </c:strCache>
            </c:strRef>
          </c:tx>
          <c:invertIfNegative val="0"/>
          <c:cat>
            <c:strRef>
              <c:f>Figurer!$L$137:$L$146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 Fors.</c:v>
                </c:pt>
                <c:pt idx="9">
                  <c:v>Storebrand</c:v>
                </c:pt>
              </c:strCache>
            </c:strRef>
          </c:cat>
          <c:val>
            <c:numRef>
              <c:f>Figurer!$M$137:$M$146</c:f>
              <c:numCache>
                <c:formatCode>#,##0</c:formatCode>
                <c:ptCount val="10"/>
                <c:pt idx="0">
                  <c:v>174979.34500000003</c:v>
                </c:pt>
                <c:pt idx="1">
                  <c:v>214639</c:v>
                </c:pt>
                <c:pt idx="2">
                  <c:v>-3689736</c:v>
                </c:pt>
                <c:pt idx="3">
                  <c:v>-595</c:v>
                </c:pt>
                <c:pt idx="4">
                  <c:v>-966555</c:v>
                </c:pt>
                <c:pt idx="5">
                  <c:v>-462823.85</c:v>
                </c:pt>
                <c:pt idx="6">
                  <c:v>3079048.5324300006</c:v>
                </c:pt>
                <c:pt idx="7">
                  <c:v>59352.447399999997</c:v>
                </c:pt>
                <c:pt idx="8">
                  <c:v>261540.91234999988</c:v>
                </c:pt>
                <c:pt idx="9">
                  <c:v>904021.56999999937</c:v>
                </c:pt>
              </c:numCache>
            </c:numRef>
          </c:val>
          <c:extLst>
            <c:ext xmlns:c16="http://schemas.microsoft.com/office/drawing/2014/chart" uri="{C3380CC4-5D6E-409C-BE32-E72D297353CC}">
              <c16:uniqueId val="{00000000-B400-4C26-965B-0553A4A37873}"/>
            </c:ext>
          </c:extLst>
        </c:ser>
        <c:ser>
          <c:idx val="1"/>
          <c:order val="1"/>
          <c:tx>
            <c:strRef>
              <c:f>Figurer!$N$136</c:f>
              <c:strCache>
                <c:ptCount val="1"/>
                <c:pt idx="0">
                  <c:v>2021</c:v>
                </c:pt>
              </c:strCache>
            </c:strRef>
          </c:tx>
          <c:invertIfNegative val="0"/>
          <c:cat>
            <c:strRef>
              <c:f>Figurer!$L$137:$L$146</c:f>
              <c:strCache>
                <c:ptCount val="10"/>
                <c:pt idx="0">
                  <c:v>Danica Pensjon</c:v>
                </c:pt>
                <c:pt idx="1">
                  <c:v>DNB Bedriftsp</c:v>
                </c:pt>
                <c:pt idx="2">
                  <c:v>DNB Liv</c:v>
                </c:pt>
                <c:pt idx="3">
                  <c:v>Frende Livsfors</c:v>
                </c:pt>
                <c:pt idx="4">
                  <c:v>Gjensidige Pensj</c:v>
                </c:pt>
                <c:pt idx="5">
                  <c:v>KLP</c:v>
                </c:pt>
                <c:pt idx="6">
                  <c:v>Nordea Liv</c:v>
                </c:pt>
                <c:pt idx="7">
                  <c:v>SHB Liv</c:v>
                </c:pt>
                <c:pt idx="8">
                  <c:v>SpareBank 1 Fors.</c:v>
                </c:pt>
                <c:pt idx="9">
                  <c:v>Storebrand</c:v>
                </c:pt>
              </c:strCache>
            </c:strRef>
          </c:cat>
          <c:val>
            <c:numRef>
              <c:f>Figurer!$N$137:$N$146</c:f>
              <c:numCache>
                <c:formatCode>#,##0</c:formatCode>
                <c:ptCount val="10"/>
                <c:pt idx="0">
                  <c:v>255950.18200000003</c:v>
                </c:pt>
                <c:pt idx="1">
                  <c:v>0</c:v>
                </c:pt>
                <c:pt idx="2">
                  <c:v>-2100392</c:v>
                </c:pt>
                <c:pt idx="3">
                  <c:v>0</c:v>
                </c:pt>
                <c:pt idx="4">
                  <c:v>58268.599999999627</c:v>
                </c:pt>
                <c:pt idx="5">
                  <c:v>0</c:v>
                </c:pt>
                <c:pt idx="6">
                  <c:v>-381588.80577000044</c:v>
                </c:pt>
                <c:pt idx="7">
                  <c:v>-52194.126499999991</c:v>
                </c:pt>
                <c:pt idx="8">
                  <c:v>1368033.23649</c:v>
                </c:pt>
                <c:pt idx="9">
                  <c:v>-6819879.7849999992</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2021 </a:t>
          </a:r>
          <a:r>
            <a:rPr lang="nb-NO" sz="1100" b="0">
              <a:effectLst/>
              <a:latin typeface="Arial"/>
              <a:ea typeface="ＭＳ 明朝"/>
              <a:cs typeface="Times New Roman"/>
            </a:rPr>
            <a:t>(16.11.2021)</a:t>
          </a:r>
          <a:r>
            <a:rPr lang="nb-NO" sz="1600" b="1">
              <a:effectLst/>
              <a:latin typeface="Arial"/>
              <a:ea typeface="ＭＳ 明朝"/>
              <a:cs typeface="Times New Roman"/>
            </a:rPr>
            <a:t> </a:t>
          </a:r>
        </a:p>
        <a:p>
          <a:pPr>
            <a:spcAft>
              <a:spcPts val="0"/>
            </a:spcAft>
          </a:pPr>
          <a:endParaRPr lang="nb-NO" sz="1600" b="1">
            <a:effectLst/>
            <a:latin typeface="Arial"/>
            <a:ea typeface="ＭＳ 明朝"/>
            <a:cs typeface="Times New Roman"/>
          </a:endParaRPr>
        </a:p>
        <a:p>
          <a:pPr>
            <a:spcAft>
              <a:spcPts val="0"/>
            </a:spcAft>
          </a:pPr>
          <a:r>
            <a:rPr lang="nb-NO" sz="1100" b="0">
              <a:effectLst/>
              <a:latin typeface="Arial"/>
              <a:ea typeface="ＭＳ 明朝"/>
              <a:cs typeface="Times New Roman"/>
            </a:rPr>
            <a:t>senest revidert 25.05.2022</a:t>
          </a:r>
          <a:endParaRPr lang="nb-NO" sz="1100" b="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105833</xdr:rowOff>
    </xdr:from>
    <xdr:to>
      <xdr:col>0</xdr:col>
      <xdr:colOff>4064000</xdr:colOff>
      <xdr:row>40</xdr:row>
      <xdr:rowOff>52916</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40833"/>
          <a:ext cx="4053417" cy="10318750"/>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marL="0" indent="0" algn="l" rtl="0">
            <a:lnSpc>
              <a:spcPts val="1600"/>
            </a:lnSpc>
            <a:defRPr sz="1000"/>
          </a:pPr>
          <a:r>
            <a:rPr lang="nb-NO" sz="1100" b="0" i="0" u="sng">
              <a:effectLst/>
              <a:latin typeface="+mn-lt"/>
              <a:ea typeface="+mn-ea"/>
              <a:cs typeface="+mn-cs"/>
            </a:rPr>
            <a:t>Produkter uten investeringsvalg:</a:t>
          </a:r>
        </a:p>
        <a:p>
          <a:pPr rtl="0"/>
          <a:r>
            <a:rPr lang="nb-NO" sz="1100" b="0" i="0">
              <a:effectLst/>
              <a:latin typeface="+mn-lt"/>
              <a:ea typeface="+mn-ea"/>
              <a:cs typeface="+mn-cs"/>
            </a:rPr>
            <a:t>Codan Forsikring (skadeselskap)</a:t>
          </a:r>
          <a:endParaRPr lang="nb-NO" sz="1200">
            <a:effectLst/>
          </a:endParaRPr>
        </a:p>
        <a:p>
          <a:pPr rtl="0"/>
          <a:r>
            <a:rPr lang="nb-NO" sz="1100" b="0" i="0">
              <a:effectLst/>
              <a:latin typeface="+mn-lt"/>
              <a:ea typeface="+mn-ea"/>
              <a:cs typeface="+mn-cs"/>
            </a:rPr>
            <a:t>Danica Pensjonsforsikring</a:t>
          </a:r>
          <a:endParaRPr lang="nb-NO" sz="1200">
            <a:effectLst/>
          </a:endParaRPr>
        </a:p>
        <a:p>
          <a:pPr rtl="0" eaLnBrk="1" fontAlgn="auto" latinLnBrk="0" hangingPunct="1"/>
          <a:r>
            <a:rPr lang="nb-NO" sz="1100" b="0" i="0">
              <a:effectLst/>
              <a:latin typeface="+mn-lt"/>
              <a:ea typeface="+mn-ea"/>
              <a:cs typeface="+mn-cs"/>
            </a:rPr>
            <a:t>DNB Bedriftspensjon</a:t>
          </a:r>
          <a:endParaRPr lang="nb-NO" sz="1200">
            <a:effectLst/>
          </a:endParaRPr>
        </a:p>
        <a:p>
          <a:pPr rtl="0"/>
          <a:r>
            <a:rPr lang="nb-NO" sz="1100" b="0" i="0">
              <a:effectLst/>
              <a:latin typeface="+mn-lt"/>
              <a:ea typeface="+mn-ea"/>
              <a:cs typeface="+mn-cs"/>
            </a:rPr>
            <a:t>DNB Livsforsikring ASA</a:t>
          </a:r>
          <a:endParaRPr lang="nb-NO" sz="1200">
            <a:effectLst/>
          </a:endParaRPr>
        </a:p>
        <a:p>
          <a:pPr rtl="0"/>
          <a:r>
            <a:rPr lang="nb-NO" sz="1100" b="0" i="0">
              <a:effectLst/>
              <a:latin typeface="+mn-lt"/>
              <a:ea typeface="+mn-ea"/>
              <a:cs typeface="+mn-cs"/>
            </a:rPr>
            <a:t>Eika Forsikring AS (skadeselskap</a:t>
          </a:r>
          <a:r>
            <a:rPr lang="nb-NO" sz="1100" b="0" i="0" baseline="0">
              <a:effectLst/>
              <a:latin typeface="+mn-lt"/>
              <a:ea typeface="+mn-ea"/>
              <a:cs typeface="+mn-cs"/>
            </a:rPr>
            <a:t>)</a:t>
          </a:r>
          <a:endParaRPr lang="nb-NO" sz="1200">
            <a:effectLst/>
          </a:endParaRPr>
        </a:p>
        <a:p>
          <a:pPr rtl="0"/>
          <a:r>
            <a:rPr lang="nb-NO" sz="1100" b="0" i="0" baseline="0">
              <a:effectLst/>
              <a:latin typeface="+mn-lt"/>
              <a:ea typeface="+mn-ea"/>
              <a:cs typeface="+mn-cs"/>
            </a:rPr>
            <a:t>Euro Accident (skadelskap)</a:t>
          </a:r>
          <a:endParaRPr lang="nb-NO" sz="1200">
            <a:effectLst/>
          </a:endParaRPr>
        </a:p>
        <a:p>
          <a:pPr rtl="0"/>
          <a:r>
            <a:rPr lang="nb-NO" sz="1100" b="0" i="0">
              <a:effectLst/>
              <a:latin typeface="+mn-lt"/>
              <a:ea typeface="+mn-ea"/>
              <a:cs typeface="+mn-cs"/>
            </a:rPr>
            <a:t>Fremtind</a:t>
          </a:r>
          <a:r>
            <a:rPr lang="nb-NO" sz="1100" b="0" i="0" baseline="0">
              <a:effectLst/>
              <a:latin typeface="+mn-lt"/>
              <a:ea typeface="+mn-ea"/>
              <a:cs typeface="+mn-cs"/>
            </a:rPr>
            <a:t> Livsforsikring</a:t>
          </a:r>
          <a:endParaRPr lang="nb-NO" sz="1200">
            <a:effectLst/>
          </a:endParaRPr>
        </a:p>
        <a:p>
          <a:pPr rtl="0"/>
          <a:r>
            <a:rPr lang="nb-NO" sz="1100" b="0" i="0">
              <a:effectLst/>
              <a:latin typeface="+mn-lt"/>
              <a:ea typeface="+mn-ea"/>
              <a:cs typeface="+mn-cs"/>
            </a:rPr>
            <a:t>Frende Livsforsikring</a:t>
          </a:r>
          <a:endParaRPr lang="nb-NO" sz="1200">
            <a:effectLst/>
          </a:endParaRPr>
        </a:p>
        <a:p>
          <a:pPr rtl="0"/>
          <a:r>
            <a:rPr lang="nb-NO" sz="1100" b="0" i="0">
              <a:effectLst/>
              <a:latin typeface="+mn-lt"/>
              <a:ea typeface="+mn-ea"/>
              <a:cs typeface="+mn-cs"/>
            </a:rPr>
            <a:t>Frende Skadeforsikring (skadeselskap)</a:t>
          </a:r>
          <a:endParaRPr lang="nb-NO" sz="1200">
            <a:effectLst/>
          </a:endParaRPr>
        </a:p>
        <a:p>
          <a:pPr rtl="0" eaLnBrk="1" fontAlgn="auto" latinLnBrk="0" hangingPunct="1"/>
          <a:r>
            <a:rPr lang="nb-NO" sz="1100" b="0" i="0" baseline="0">
              <a:effectLst/>
              <a:latin typeface="+mn-lt"/>
              <a:ea typeface="+mn-ea"/>
              <a:cs typeface="+mn-cs"/>
            </a:rPr>
            <a:t>Gjensidige Forsikring (skadeselskap)</a:t>
          </a:r>
          <a:endParaRPr lang="nb-NO" sz="1200">
            <a:effectLst/>
          </a:endParaRPr>
        </a:p>
        <a:p>
          <a:pPr rtl="0"/>
          <a:r>
            <a:rPr lang="nb-NO" sz="1100" b="0" i="0">
              <a:effectLst/>
              <a:latin typeface="+mn-lt"/>
              <a:ea typeface="+mn-ea"/>
              <a:cs typeface="+mn-cs"/>
            </a:rPr>
            <a:t>Gjensidige Pensjonsforsikring</a:t>
          </a:r>
          <a:endParaRPr lang="nb-NO" sz="1200">
            <a:effectLst/>
          </a:endParaRPr>
        </a:p>
        <a:p>
          <a:pPr rtl="0"/>
          <a:r>
            <a:rPr lang="nb-NO" sz="1100" b="0" i="0">
              <a:effectLst/>
              <a:latin typeface="+mn-lt"/>
              <a:ea typeface="+mn-ea"/>
              <a:cs typeface="+mn-cs"/>
            </a:rPr>
            <a:t>Handelsbanken Liv (utenlandsk,</a:t>
          </a:r>
          <a:r>
            <a:rPr lang="nb-NO" sz="1100" b="0" i="0" baseline="0">
              <a:effectLst/>
              <a:latin typeface="+mn-lt"/>
              <a:ea typeface="+mn-ea"/>
              <a:cs typeface="+mn-cs"/>
            </a:rPr>
            <a:t> </a:t>
          </a:r>
          <a:r>
            <a:rPr lang="nb-NO" sz="1100" b="0" i="0">
              <a:effectLst/>
              <a:latin typeface="+mn-lt"/>
              <a:ea typeface="+mn-ea"/>
              <a:cs typeface="+mn-cs"/>
            </a:rPr>
            <a:t>filial)</a:t>
          </a:r>
          <a:endParaRPr lang="nb-NO" sz="1200">
            <a:effectLst/>
          </a:endParaRPr>
        </a:p>
        <a:p>
          <a:pPr rtl="0" eaLnBrk="1" fontAlgn="auto" latinLnBrk="0" hangingPunct="1"/>
          <a:r>
            <a:rPr lang="nb-NO" sz="1100" b="0" i="0" baseline="0">
              <a:effectLst/>
              <a:latin typeface="+mn-lt"/>
              <a:ea typeface="+mn-ea"/>
              <a:cs typeface="+mn-cs"/>
            </a:rPr>
            <a:t>If Skadeforsikring NUF (skadeselskap)</a:t>
          </a:r>
          <a:endParaRPr lang="nb-NO" sz="1200">
            <a:effectLst/>
          </a:endParaRPr>
        </a:p>
        <a:p>
          <a:pPr rtl="0"/>
          <a:r>
            <a:rPr lang="nb-NO" sz="1100" b="0" i="0" baseline="0">
              <a:effectLst/>
              <a:latin typeface="+mn-lt"/>
              <a:ea typeface="+mn-ea"/>
              <a:cs typeface="+mn-cs"/>
            </a:rPr>
            <a:t>Insr (skadeselskap)</a:t>
          </a:r>
          <a:endParaRPr lang="nb-NO" sz="1200">
            <a:effectLst/>
          </a:endParaRPr>
        </a:p>
        <a:p>
          <a:pPr rtl="0"/>
          <a:r>
            <a:rPr lang="nb-NO" sz="1100" b="0" i="0">
              <a:effectLst/>
              <a:latin typeface="+mn-lt"/>
              <a:ea typeface="+mn-ea"/>
              <a:cs typeface="+mn-cs"/>
            </a:rPr>
            <a:t>KLP</a:t>
          </a:r>
          <a:endParaRPr lang="nb-NO" sz="1200">
            <a:effectLst/>
          </a:endParaRPr>
        </a:p>
        <a:p>
          <a:pPr rtl="0"/>
          <a:r>
            <a:rPr lang="nb-NO" sz="1100" b="0" i="0" baseline="0">
              <a:effectLst/>
              <a:latin typeface="+mn-lt"/>
              <a:ea typeface="+mn-ea"/>
              <a:cs typeface="+mn-cs"/>
            </a:rPr>
            <a:t>KLP Skadeforsikring AS (skadeselskap)</a:t>
          </a:r>
          <a:endParaRPr lang="nb-NO" sz="1200">
            <a:effectLst/>
          </a:endParaRPr>
        </a:p>
        <a:p>
          <a:pPr rtl="0"/>
          <a:r>
            <a:rPr lang="nb-NO" sz="1100" b="0" i="0" baseline="0">
              <a:effectLst/>
              <a:latin typeface="+mn-lt"/>
              <a:ea typeface="+mn-ea"/>
              <a:cs typeface="+mn-cs"/>
            </a:rPr>
            <a:t>Landkreditt Forsikring (skadeselskap)</a:t>
          </a:r>
          <a:endParaRPr lang="nb-NO" sz="1200">
            <a:effectLst/>
          </a:endParaRPr>
        </a:p>
        <a:p>
          <a:pPr rtl="0"/>
          <a:r>
            <a:rPr lang="nb-NO" sz="1100" b="0" i="0">
              <a:effectLst/>
              <a:latin typeface="+mn-lt"/>
              <a:ea typeface="+mn-ea"/>
              <a:cs typeface="+mn-cs"/>
            </a:rPr>
            <a:t>Livsforsikringsselskapet Nordea Liv Norge</a:t>
          </a:r>
          <a:endParaRPr lang="nb-NO" sz="1200">
            <a:effectLst/>
          </a:endParaRPr>
        </a:p>
        <a:p>
          <a:pPr rtl="0"/>
          <a:r>
            <a:rPr lang="nb-NO" sz="1100" b="0" i="0">
              <a:effectLst/>
              <a:latin typeface="+mn-lt"/>
              <a:ea typeface="+mn-ea"/>
              <a:cs typeface="+mn-cs"/>
            </a:rPr>
            <a:t>Oslo Pensjonsforsikring</a:t>
          </a:r>
          <a:endParaRPr lang="nb-NO" sz="1200">
            <a:effectLst/>
          </a:endParaRPr>
        </a:p>
        <a:p>
          <a:pPr rtl="0"/>
          <a:r>
            <a:rPr lang="nb-NO" sz="1100" b="0" i="0">
              <a:effectLst/>
              <a:latin typeface="+mn-lt"/>
              <a:ea typeface="+mn-ea"/>
              <a:cs typeface="+mn-cs"/>
            </a:rPr>
            <a:t>Protector Forsikring (skadeselskap)</a:t>
          </a:r>
          <a:endParaRPr lang="nb-NO" sz="1200">
            <a:effectLst/>
          </a:endParaRPr>
        </a:p>
        <a:p>
          <a:pPr rtl="0"/>
          <a:r>
            <a:rPr lang="nb-NO" sz="1100" b="0" i="0">
              <a:effectLst/>
              <a:latin typeface="+mn-lt"/>
              <a:ea typeface="+mn-ea"/>
              <a:cs typeface="+mn-cs"/>
            </a:rPr>
            <a:t>SpareBank 1 Forsikring</a:t>
          </a:r>
          <a:endParaRPr lang="nb-NO" sz="1200">
            <a:effectLst/>
          </a:endParaRPr>
        </a:p>
        <a:p>
          <a:pPr rtl="0"/>
          <a:r>
            <a:rPr lang="nb-NO" sz="1100" b="0" i="0">
              <a:effectLst/>
              <a:latin typeface="+mn-lt"/>
              <a:ea typeface="+mn-ea"/>
              <a:cs typeface="+mn-cs"/>
            </a:rPr>
            <a:t>Storebrand Livsforsikring</a:t>
          </a:r>
          <a:endParaRPr lang="nb-NO" sz="1200">
            <a:effectLst/>
          </a:endParaRPr>
        </a:p>
        <a:p>
          <a:pPr rtl="0" eaLnBrk="1" fontAlgn="auto" latinLnBrk="0" hangingPunct="1"/>
          <a:r>
            <a:rPr lang="nb-NO" sz="1100" b="0" i="0" baseline="0">
              <a:effectLst/>
              <a:latin typeface="+mn-lt"/>
              <a:ea typeface="+mn-ea"/>
              <a:cs typeface="+mn-cs"/>
            </a:rPr>
            <a:t>Telenor Forsikring (skadeselskap)</a:t>
          </a:r>
          <a:endParaRPr lang="nb-NO" sz="1200">
            <a:effectLst/>
          </a:endParaRPr>
        </a:p>
        <a:p>
          <a:pPr rtl="0" eaLnBrk="1" fontAlgn="auto" latinLnBrk="0" hangingPunct="1"/>
          <a:r>
            <a:rPr lang="nb-NO" sz="1100" b="0" i="0" baseline="0">
              <a:effectLst/>
              <a:latin typeface="+mn-lt"/>
              <a:ea typeface="+mn-ea"/>
              <a:cs typeface="+mn-cs"/>
            </a:rPr>
            <a:t>Tryg Forsikring (skadeselskap)</a:t>
          </a:r>
          <a:endParaRPr lang="nb-NO" sz="1200">
            <a:effectLst/>
          </a:endParaRPr>
        </a:p>
        <a:p>
          <a:pPr rtl="0" eaLnBrk="1" fontAlgn="auto" latinLnBrk="0" hangingPunct="1"/>
          <a:r>
            <a:rPr lang="nb-NO" sz="1100" b="0" i="0" baseline="0">
              <a:effectLst/>
              <a:latin typeface="+mn-lt"/>
              <a:ea typeface="+mn-ea"/>
              <a:cs typeface="+mn-cs"/>
            </a:rPr>
            <a:t>WaterCircle Forsikring (skadeselskap)</a:t>
          </a:r>
          <a:endParaRPr lang="nb-NO" sz="1200">
            <a:effectLst/>
          </a:endParaRPr>
        </a:p>
        <a:p>
          <a:pPr rtl="0"/>
          <a:endParaRPr lang="nb-NO" sz="1100" b="0" i="0" u="sng">
            <a:effectLst/>
            <a:latin typeface="+mn-lt"/>
            <a:ea typeface="+mn-ea"/>
            <a:cs typeface="+mn-cs"/>
          </a:endParaRPr>
        </a:p>
        <a:p>
          <a:pPr rtl="0"/>
          <a:r>
            <a:rPr lang="nb-NO" sz="1100" b="0" i="0" u="sng">
              <a:effectLst/>
              <a:latin typeface="+mn-lt"/>
              <a:ea typeface="+mn-ea"/>
              <a:cs typeface="+mn-cs"/>
            </a:rPr>
            <a:t>Produkter med investeringsvalg</a:t>
          </a:r>
          <a:r>
            <a:rPr lang="nb-NO" sz="1100" b="0" i="0">
              <a:effectLst/>
              <a:latin typeface="+mn-lt"/>
              <a:ea typeface="+mn-ea"/>
              <a:cs typeface="+mn-cs"/>
            </a:rPr>
            <a:t>:</a:t>
          </a:r>
          <a:endParaRPr lang="nb-NO" sz="1200">
            <a:effectLst/>
          </a:endParaRPr>
        </a:p>
        <a:p>
          <a:pPr rtl="0"/>
          <a:r>
            <a:rPr lang="nb-NO" sz="1100" b="0" i="0">
              <a:effectLst/>
              <a:latin typeface="+mn-lt"/>
              <a:ea typeface="+mn-ea"/>
              <a:cs typeface="+mn-cs"/>
            </a:rPr>
            <a:t>Danica Pensjonsforsikring</a:t>
          </a:r>
          <a:endParaRPr lang="nb-NO" sz="1200">
            <a:effectLst/>
          </a:endParaRPr>
        </a:p>
        <a:p>
          <a:pPr rtl="0"/>
          <a:r>
            <a:rPr lang="nb-NO" sz="1100" b="0" i="0">
              <a:effectLst/>
              <a:latin typeface="+mn-lt"/>
              <a:ea typeface="+mn-ea"/>
              <a:cs typeface="+mn-cs"/>
            </a:rPr>
            <a:t>DNB Bedriftspensjon</a:t>
          </a:r>
          <a:endParaRPr lang="nb-NO" sz="1200">
            <a:effectLst/>
          </a:endParaRPr>
        </a:p>
        <a:p>
          <a:pPr rtl="0"/>
          <a:r>
            <a:rPr lang="nb-NO" sz="1100" b="0" i="0">
              <a:effectLst/>
              <a:latin typeface="+mn-lt"/>
              <a:ea typeface="+mn-ea"/>
              <a:cs typeface="+mn-cs"/>
            </a:rPr>
            <a:t>DNB Livsforsikring ASA</a:t>
          </a:r>
          <a:endParaRPr lang="nb-NO" sz="1200">
            <a:effectLst/>
          </a:endParaRPr>
        </a:p>
        <a:p>
          <a:pPr rtl="0"/>
          <a:r>
            <a:rPr lang="nb-NO" sz="1100" b="0" i="0">
              <a:effectLst/>
              <a:latin typeface="+mn-lt"/>
              <a:ea typeface="+mn-ea"/>
              <a:cs typeface="+mn-cs"/>
            </a:rPr>
            <a:t>Frende</a:t>
          </a:r>
          <a:r>
            <a:rPr lang="nb-NO" sz="1100" b="0" i="0" baseline="0">
              <a:effectLst/>
              <a:latin typeface="+mn-lt"/>
              <a:ea typeface="+mn-ea"/>
              <a:cs typeface="+mn-cs"/>
            </a:rPr>
            <a:t> Livsforsikring</a:t>
          </a:r>
          <a:endParaRPr lang="nb-NO" sz="1200">
            <a:effectLst/>
          </a:endParaRPr>
        </a:p>
        <a:p>
          <a:pPr rtl="0"/>
          <a:r>
            <a:rPr lang="nb-NO" sz="1100" b="0" i="0">
              <a:effectLst/>
              <a:latin typeface="+mn-lt"/>
              <a:ea typeface="+mn-ea"/>
              <a:cs typeface="+mn-cs"/>
            </a:rPr>
            <a:t>Gjensidige Pensjonsforsikring</a:t>
          </a:r>
          <a:endParaRPr lang="nb-NO" sz="1200">
            <a:effectLst/>
          </a:endParaRPr>
        </a:p>
        <a:p>
          <a:pPr rtl="0"/>
          <a:r>
            <a:rPr lang="nb-NO" sz="1100" b="0" i="0">
              <a:effectLst/>
              <a:latin typeface="+mn-lt"/>
              <a:ea typeface="+mn-ea"/>
              <a:cs typeface="+mn-cs"/>
            </a:rPr>
            <a:t>KLP</a:t>
          </a:r>
          <a:endParaRPr lang="nb-NO" sz="1200">
            <a:effectLst/>
          </a:endParaRPr>
        </a:p>
        <a:p>
          <a:pPr rtl="0"/>
          <a:r>
            <a:rPr lang="nb-NO" sz="1100" b="0" i="0">
              <a:effectLst/>
              <a:latin typeface="+mn-lt"/>
              <a:ea typeface="+mn-ea"/>
              <a:cs typeface="+mn-cs"/>
            </a:rPr>
            <a:t>Livsforsikringsselskapet Nordea Liv Norge</a:t>
          </a:r>
          <a:endParaRPr lang="nb-NO" sz="1200">
            <a:effectLst/>
          </a:endParaRPr>
        </a:p>
        <a:p>
          <a:pPr rtl="0"/>
          <a:r>
            <a:rPr lang="nb-NO" sz="1100" b="0" i="0">
              <a:effectLst/>
              <a:latin typeface="+mn-lt"/>
              <a:ea typeface="+mn-ea"/>
              <a:cs typeface="+mn-cs"/>
            </a:rPr>
            <a:t>SHB Liv (utenlandsk, filial)</a:t>
          </a:r>
          <a:endParaRPr lang="nb-NO" sz="1200">
            <a:effectLst/>
          </a:endParaRPr>
        </a:p>
        <a:p>
          <a:pPr rtl="0"/>
          <a:r>
            <a:rPr lang="nb-NO" sz="1100" b="0" i="0">
              <a:effectLst/>
              <a:latin typeface="+mn-lt"/>
              <a:ea typeface="+mn-ea"/>
              <a:cs typeface="+mn-cs"/>
            </a:rPr>
            <a:t>SpareBank 1</a:t>
          </a:r>
          <a:endParaRPr lang="nb-NO" sz="1200">
            <a:effectLst/>
          </a:endParaRPr>
        </a:p>
        <a:p>
          <a:pPr rtl="0"/>
          <a:r>
            <a:rPr lang="nb-NO" sz="1100" b="0" i="0">
              <a:effectLst/>
              <a:latin typeface="+mn-lt"/>
              <a:ea typeface="+mn-ea"/>
              <a:cs typeface="+mn-cs"/>
            </a:rPr>
            <a:t>Storebrand Livsforsikring</a:t>
          </a:r>
          <a:endParaRPr lang="nb-NO" sz="1200">
            <a:effectLst/>
          </a:endParaRPr>
        </a:p>
        <a:p>
          <a:pPr rtl="0"/>
          <a:r>
            <a:rPr lang="nb-NO" sz="1100" b="0" i="0" u="sng">
              <a:effectLst/>
              <a:latin typeface="+mn-lt"/>
              <a:ea typeface="+mn-ea"/>
              <a:cs typeface="+mn-cs"/>
            </a:rPr>
            <a:t>Utenlandske filialer</a:t>
          </a:r>
          <a:r>
            <a:rPr lang="nb-NO" sz="1100" b="0" i="0">
              <a:effectLst/>
              <a:latin typeface="+mn-lt"/>
              <a:ea typeface="+mn-ea"/>
              <a:cs typeface="+mn-cs"/>
            </a:rPr>
            <a:t>:</a:t>
          </a:r>
          <a:endParaRPr lang="nb-NO" sz="1200">
            <a:effectLst/>
          </a:endParaRPr>
        </a:p>
        <a:p>
          <a:pPr rtl="0"/>
          <a:r>
            <a:rPr lang="nb-NO" sz="1100" b="0" i="0">
              <a:effectLst/>
              <a:latin typeface="+mn-lt"/>
              <a:ea typeface="+mn-ea"/>
              <a:cs typeface="+mn-cs"/>
            </a:rPr>
            <a:t>Disse har ikke samme krav til regnskapsføring som norske livselskaper, og rapporterer derfor kun utvalgte</a:t>
          </a:r>
          <a:r>
            <a:rPr lang="nb-NO" sz="1100" b="0" i="0" baseline="0">
              <a:effectLst/>
              <a:latin typeface="+mn-lt"/>
              <a:ea typeface="+mn-ea"/>
              <a:cs typeface="+mn-cs"/>
            </a:rPr>
            <a:t> poster</a:t>
          </a:r>
          <a:r>
            <a:rPr lang="nb-NO" sz="1100" b="0" i="0">
              <a:effectLst/>
              <a:latin typeface="+mn-lt"/>
              <a:ea typeface="+mn-ea"/>
              <a:cs typeface="+mn-cs"/>
            </a:rPr>
            <a:t>.</a:t>
          </a:r>
          <a:endParaRPr lang="nb-NO" sz="1200">
            <a:effectLst/>
          </a:endParaRPr>
        </a:p>
        <a:p>
          <a:pPr rtl="0"/>
          <a:r>
            <a:rPr lang="nb-NO" sz="1100" b="0" i="0">
              <a:effectLst/>
              <a:latin typeface="+mn-lt"/>
              <a:ea typeface="+mn-ea"/>
              <a:cs typeface="+mn-cs"/>
            </a:rPr>
            <a:t>I figurer og tabeller har enkelte selskap "forkortede" navn.</a:t>
          </a:r>
          <a:endParaRPr lang="nb-NO" sz="1200">
            <a:effectLst/>
          </a:endParaRPr>
        </a:p>
        <a:p>
          <a:pPr rtl="0"/>
          <a:r>
            <a:rPr lang="nb-NO" sz="1100" b="0" i="0">
              <a:effectLst/>
              <a:latin typeface="+mn-lt"/>
              <a:ea typeface="+mn-ea"/>
              <a:cs typeface="+mn-cs"/>
            </a:rPr>
            <a:t>   </a:t>
          </a:r>
          <a:endParaRPr lang="nb-NO" sz="1200">
            <a:effectLst/>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solidFill>
                <a:schemeClr val="dk1"/>
              </a:solidFill>
              <a:effectLst/>
              <a:latin typeface="+mn-lt"/>
              <a:ea typeface="+mn-ea"/>
              <a:cs typeface="+mn-cs"/>
            </a:rPr>
            <a:t>Codan Forsikring</a:t>
          </a:r>
          <a:endParaRPr lang="nb-NO">
            <a:effectLst/>
          </a:endParaRPr>
        </a:p>
        <a:p>
          <a:r>
            <a:rPr lang="nb-NO" sz="1100">
              <a:solidFill>
                <a:schemeClr val="dk1"/>
              </a:solidFill>
              <a:effectLst/>
              <a:latin typeface="+mn-lt"/>
              <a:ea typeface="+mn-ea"/>
              <a:cs typeface="+mn-cs"/>
            </a:rPr>
            <a:t>Selskapet inngår i statistikken fra 1.kvartal 2021.</a:t>
          </a:r>
          <a:endParaRPr lang="nb-NO">
            <a:effectLst/>
          </a:endParaRPr>
        </a:p>
        <a:p>
          <a:endParaRPr lang="nb-NO" sz="1100" u="sng">
            <a:solidFill>
              <a:schemeClr val="dk1"/>
            </a:solidFill>
            <a:effectLst/>
            <a:latin typeface="+mn-lt"/>
            <a:ea typeface="+mn-ea"/>
            <a:cs typeface="+mn-cs"/>
          </a:endParaRPr>
        </a:p>
        <a:p>
          <a:r>
            <a:rPr lang="nb-NO" sz="1100" u="sng">
              <a:solidFill>
                <a:schemeClr val="dk1"/>
              </a:solidFill>
              <a:effectLst/>
              <a:latin typeface="+mn-lt"/>
              <a:ea typeface="+mn-ea"/>
              <a:cs typeface="+mn-cs"/>
            </a:rPr>
            <a:t>DNB Bedriftspensjon</a:t>
          </a:r>
          <a:br>
            <a:rPr lang="nb-NO" sz="1100" u="sng">
              <a:solidFill>
                <a:schemeClr val="dk1"/>
              </a:solidFill>
              <a:effectLst/>
              <a:latin typeface="+mn-lt"/>
              <a:ea typeface="+mn-ea"/>
              <a:cs typeface="+mn-cs"/>
            </a:rPr>
          </a:br>
          <a:r>
            <a:rPr lang="nb-NO" sz="1100">
              <a:solidFill>
                <a:schemeClr val="dk1"/>
              </a:solidFill>
              <a:effectLst/>
              <a:latin typeface="+mn-lt"/>
              <a:ea typeface="+mn-ea"/>
              <a:cs typeface="+mn-cs"/>
            </a:rPr>
            <a:t>Selskapet</a:t>
          </a:r>
          <a:r>
            <a:rPr lang="nb-NO" sz="1100" baseline="0">
              <a:solidFill>
                <a:schemeClr val="dk1"/>
              </a:solidFill>
              <a:effectLst/>
              <a:latin typeface="+mn-lt"/>
              <a:ea typeface="+mn-ea"/>
              <a:cs typeface="+mn-cs"/>
            </a:rPr>
            <a:t> inngår fra 1.kvartal 2021 i DNB Livsforsikring.</a:t>
          </a:r>
          <a:endParaRPr lang="nb-NO">
            <a:effectLst/>
          </a:endParaRPr>
        </a:p>
        <a:p>
          <a:endParaRPr lang="nb-NO" sz="1100" u="sng">
            <a:latin typeface="Times New Roman" panose="02020603050405020304" pitchFamily="18" charset="0"/>
            <a:cs typeface="Times New Roman" panose="02020603050405020304" pitchFamily="18" charset="0"/>
          </a:endParaRPr>
        </a:p>
        <a:p>
          <a:r>
            <a:rPr lang="nb-NO" sz="1100" u="sng">
              <a:solidFill>
                <a:schemeClr val="dk1"/>
              </a:solidFill>
              <a:effectLst/>
              <a:latin typeface="+mn-lt"/>
              <a:ea typeface="+mn-ea"/>
              <a:cs typeface="+mn-cs"/>
            </a:rPr>
            <a:t>Euro</a:t>
          </a:r>
          <a:r>
            <a:rPr lang="nb-NO" sz="1100" u="sng" baseline="0">
              <a:solidFill>
                <a:schemeClr val="dk1"/>
              </a:solidFill>
              <a:effectLst/>
              <a:latin typeface="+mn-lt"/>
              <a:ea typeface="+mn-ea"/>
              <a:cs typeface="+mn-cs"/>
            </a:rPr>
            <a:t> Accident</a:t>
          </a:r>
          <a:endParaRPr lang="nb-NO">
            <a:effectLst/>
          </a:endParaRPr>
        </a:p>
        <a:p>
          <a:r>
            <a:rPr lang="nb-NO" sz="1100">
              <a:solidFill>
                <a:schemeClr val="dk1"/>
              </a:solidFill>
              <a:effectLst/>
              <a:latin typeface="+mn-lt"/>
              <a:ea typeface="+mn-ea"/>
              <a:cs typeface="+mn-cs"/>
            </a:rPr>
            <a:t>Selskapet</a:t>
          </a:r>
          <a:r>
            <a:rPr lang="nb-NO" sz="1100" baseline="0">
              <a:solidFill>
                <a:schemeClr val="dk1"/>
              </a:solidFill>
              <a:effectLst/>
              <a:latin typeface="+mn-lt"/>
              <a:ea typeface="+mn-ea"/>
              <a:cs typeface="+mn-cs"/>
            </a:rPr>
            <a:t> inngår i statistikken fra 1. kvartal 2021.</a:t>
          </a:r>
          <a:endParaRPr lang="nb-NO">
            <a:effectLst/>
          </a:endParaRPr>
        </a:p>
        <a:p>
          <a:endParaRPr lang="nb-NO" sz="1100" u="sng" baseline="0">
            <a:solidFill>
              <a:schemeClr val="dk1"/>
            </a:solidFill>
            <a:effectLst/>
            <a:latin typeface="+mn-lt"/>
            <a:ea typeface="+mn-ea"/>
            <a:cs typeface="+mn-cs"/>
          </a:endParaRPr>
        </a:p>
        <a:p>
          <a:r>
            <a:rPr lang="nb-NO" sz="1100" u="sng" baseline="0">
              <a:solidFill>
                <a:schemeClr val="dk1"/>
              </a:solidFill>
              <a:effectLst/>
              <a:latin typeface="+mn-lt"/>
              <a:ea typeface="+mn-ea"/>
              <a:cs typeface="+mn-cs"/>
            </a:rPr>
            <a:t>Frende Livsforsikring</a:t>
          </a:r>
          <a:endParaRPr lang="nb-NO">
            <a:effectLst/>
          </a:endParaRPr>
        </a:p>
        <a:p>
          <a:r>
            <a:rPr lang="nb-NO" sz="1100">
              <a:solidFill>
                <a:schemeClr val="dk1"/>
              </a:solidFill>
              <a:effectLst/>
              <a:latin typeface="+mn-lt"/>
              <a:ea typeface="+mn-ea"/>
              <a:cs typeface="+mn-cs"/>
            </a:rPr>
            <a:t>Nordea Liv overtok</a:t>
          </a:r>
          <a:r>
            <a:rPr lang="nb-NO" sz="1100" baseline="0">
              <a:solidFill>
                <a:schemeClr val="dk1"/>
              </a:solidFill>
              <a:effectLst/>
              <a:latin typeface="+mn-lt"/>
              <a:ea typeface="+mn-ea"/>
              <a:cs typeface="+mn-cs"/>
            </a:rPr>
            <a:t> pensjonsporteføljen til Frende Livsforsikring fra oktober 2020. </a:t>
          </a:r>
          <a:endParaRPr lang="nb-NO">
            <a:effectLst/>
          </a:endParaRPr>
        </a:p>
        <a:p>
          <a:endParaRPr lang="nb-NO" sz="1100" u="sng">
            <a:latin typeface="Times New Roman" panose="02020603050405020304" pitchFamily="18" charset="0"/>
            <a:cs typeface="Times New Roman" panose="02020603050405020304" pitchFamily="18" charset="0"/>
          </a:endParaRPr>
        </a:p>
        <a:p>
          <a:r>
            <a:rPr lang="nb-NO" sz="1100" u="sng" baseline="0">
              <a:solidFill>
                <a:schemeClr val="dk1"/>
              </a:solidFill>
              <a:effectLst/>
              <a:latin typeface="+mn-lt"/>
              <a:ea typeface="+mn-ea"/>
              <a:cs typeface="+mn-cs"/>
            </a:rPr>
            <a:t>Insr</a:t>
          </a:r>
          <a:endParaRPr lang="nb-NO">
            <a:effectLst/>
          </a:endParaRPr>
        </a:p>
        <a:p>
          <a:r>
            <a:rPr lang="nb-NO" sz="1100">
              <a:solidFill>
                <a:schemeClr val="dk1"/>
              </a:solidFill>
              <a:effectLst/>
              <a:latin typeface="+mn-lt"/>
              <a:ea typeface="+mn-ea"/>
              <a:cs typeface="+mn-cs"/>
            </a:rPr>
            <a:t>Porteføljen</a:t>
          </a:r>
          <a:r>
            <a:rPr lang="nb-NO" sz="1100" baseline="0">
              <a:solidFill>
                <a:schemeClr val="dk1"/>
              </a:solidFill>
              <a:effectLst/>
              <a:latin typeface="+mn-lt"/>
              <a:ea typeface="+mn-ea"/>
              <a:cs typeface="+mn-cs"/>
            </a:rPr>
            <a:t> er overtatt av Storebrand Livsforsikring.</a:t>
          </a:r>
          <a:endParaRPr lang="nb-NO" sz="1100" u="sng">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1/Q3-2021/Mottatte/SpareBank%201%20Forsikr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refreshError="1"/>
      <sheetData sheetId="1" refreshError="1"/>
      <sheetData sheetId="2" refreshError="1"/>
      <sheetData sheetId="3" refreshError="1"/>
      <sheetData sheetId="4" refreshError="1"/>
      <sheetData sheetId="5">
        <row r="68">
          <cell r="AJ68">
            <v>4257.0320000000002</v>
          </cell>
        </row>
        <row r="71">
          <cell r="AJ71">
            <v>1000</v>
          </cell>
        </row>
        <row r="74">
          <cell r="AJ74">
            <v>1157.4960000000001</v>
          </cell>
        </row>
        <row r="75">
          <cell r="AJ75">
            <v>2861.8960000000002</v>
          </cell>
        </row>
        <row r="78">
          <cell r="AJ78">
            <v>548.41065495000021</v>
          </cell>
        </row>
        <row r="79">
          <cell r="AJ79">
            <v>22988.318654949999</v>
          </cell>
        </row>
      </sheetData>
      <sheetData sheetId="6" refreshError="1"/>
      <sheetData sheetId="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3" zoomScale="80" zoomScaleNormal="80" workbookViewId="0">
      <selection activeCell="J43" sqref="J43"/>
    </sheetView>
  </sheetViews>
  <sheetFormatPr baseColWidth="10" defaultColWidth="11.44140625" defaultRowHeight="13.2" x14ac:dyDescent="0.25"/>
  <sheetData>
    <row r="1" spans="2:9" s="51" customFormat="1" x14ac:dyDescent="0.25"/>
    <row r="2" spans="2:9" s="51" customFormat="1" x14ac:dyDescent="0.25"/>
    <row r="3" spans="2:9" s="51" customFormat="1" x14ac:dyDescent="0.25"/>
    <row r="4" spans="2:9" s="51" customFormat="1" x14ac:dyDescent="0.25"/>
    <row r="5" spans="2:9" s="51" customFormat="1" x14ac:dyDescent="0.25">
      <c r="B5" s="52"/>
      <c r="C5" s="52"/>
      <c r="D5" s="52"/>
      <c r="E5" s="52"/>
      <c r="F5" s="52"/>
      <c r="G5" s="52"/>
      <c r="H5" s="52"/>
    </row>
    <row r="6" spans="2:9" s="51" customFormat="1" ht="22.8" x14ac:dyDescent="0.4">
      <c r="B6" s="53"/>
      <c r="C6" s="52"/>
      <c r="D6" s="52"/>
      <c r="E6" s="52"/>
      <c r="F6" s="52"/>
      <c r="G6" s="52"/>
      <c r="H6" s="52"/>
      <c r="I6" s="54"/>
    </row>
    <row r="7" spans="2:9" s="51" customFormat="1" x14ac:dyDescent="0.25">
      <c r="B7" s="52"/>
      <c r="C7" s="52"/>
      <c r="D7" s="52"/>
      <c r="E7" s="52"/>
      <c r="F7" s="52"/>
      <c r="G7" s="52"/>
      <c r="H7" s="52"/>
      <c r="I7" s="52"/>
    </row>
    <row r="8" spans="2:9" s="51" customFormat="1" x14ac:dyDescent="0.25">
      <c r="B8" s="52"/>
      <c r="C8" s="52"/>
      <c r="D8" s="52"/>
      <c r="F8" s="52"/>
      <c r="G8" s="52"/>
      <c r="H8" s="52"/>
    </row>
    <row r="9" spans="2:9" s="51" customFormat="1" x14ac:dyDescent="0.25">
      <c r="B9" s="52"/>
      <c r="C9" s="52"/>
      <c r="D9" s="52"/>
      <c r="E9" s="52"/>
      <c r="F9" s="52"/>
      <c r="G9" s="52"/>
      <c r="H9" s="52"/>
    </row>
    <row r="10" spans="2:9" s="51" customFormat="1" ht="22.8" x14ac:dyDescent="0.4">
      <c r="B10" s="52"/>
      <c r="C10" s="52"/>
      <c r="D10" s="52"/>
      <c r="I10" s="54"/>
    </row>
    <row r="11" spans="2:9" s="51" customFormat="1" x14ac:dyDescent="0.25">
      <c r="B11" s="52"/>
      <c r="C11" s="52"/>
      <c r="D11" s="52"/>
    </row>
    <row r="12" spans="2:9" s="51" customFormat="1" ht="27" customHeight="1" x14ac:dyDescent="0.4">
      <c r="B12" s="52"/>
      <c r="C12" s="52"/>
      <c r="D12" s="52"/>
      <c r="E12" s="52"/>
      <c r="F12" s="52"/>
      <c r="G12" s="52"/>
      <c r="H12" s="52"/>
      <c r="I12" s="54"/>
    </row>
    <row r="13" spans="2:9" s="51" customFormat="1" ht="19.5" customHeight="1" x14ac:dyDescent="0.4">
      <c r="B13" s="52"/>
      <c r="I13" s="54"/>
    </row>
    <row r="14" spans="2:9" s="51" customFormat="1" x14ac:dyDescent="0.25">
      <c r="B14" s="52"/>
      <c r="C14" s="52"/>
      <c r="D14" s="52"/>
      <c r="F14" s="52"/>
      <c r="G14" s="52"/>
      <c r="H14" s="52"/>
    </row>
    <row r="15" spans="2:9" s="51" customFormat="1" x14ac:dyDescent="0.25">
      <c r="B15" s="52"/>
      <c r="C15" s="52"/>
      <c r="D15" s="52"/>
      <c r="F15" s="52"/>
      <c r="G15" s="52"/>
      <c r="H15" s="52"/>
      <c r="I15" s="52"/>
    </row>
    <row r="16" spans="2:9" s="51" customFormat="1" ht="34.799999999999997" x14ac:dyDescent="0.55000000000000004">
      <c r="B16" s="52"/>
      <c r="C16" s="52"/>
      <c r="D16" s="52"/>
      <c r="E16" s="55"/>
      <c r="F16" s="52"/>
      <c r="G16" s="52"/>
      <c r="H16" s="52"/>
      <c r="I16" s="52"/>
    </row>
    <row r="17" spans="2:9" s="51" customFormat="1" ht="32.4" x14ac:dyDescent="0.55000000000000004">
      <c r="B17" s="52"/>
      <c r="C17" s="52"/>
      <c r="D17" s="52"/>
      <c r="E17" s="56"/>
      <c r="F17" s="52"/>
      <c r="G17" s="52"/>
      <c r="H17" s="52"/>
      <c r="I17" s="52"/>
    </row>
    <row r="18" spans="2:9" s="51" customFormat="1" ht="32.4" x14ac:dyDescent="0.55000000000000004">
      <c r="D18" s="56"/>
    </row>
    <row r="19" spans="2:9" s="51" customFormat="1" ht="18" x14ac:dyDescent="0.35">
      <c r="E19" s="57"/>
      <c r="I19" s="58"/>
    </row>
    <row r="20" spans="2:9" s="51" customFormat="1" x14ac:dyDescent="0.25"/>
    <row r="21" spans="2:9" s="51" customFormat="1" x14ac:dyDescent="0.25">
      <c r="E21" s="59"/>
    </row>
    <row r="22" spans="2:9" s="51" customFormat="1" ht="25.8" x14ac:dyDescent="0.5">
      <c r="E22" s="60"/>
    </row>
    <row r="23" spans="2:9" s="51" customFormat="1" x14ac:dyDescent="0.25"/>
    <row r="24" spans="2:9" s="51" customFormat="1" x14ac:dyDescent="0.25"/>
    <row r="25" spans="2:9" s="51" customFormat="1" ht="18" x14ac:dyDescent="0.35">
      <c r="E25" s="61"/>
    </row>
    <row r="26" spans="2:9" s="51" customFormat="1" ht="18" x14ac:dyDescent="0.35">
      <c r="E26" s="62"/>
    </row>
    <row r="27" spans="2:9" s="51" customFormat="1" x14ac:dyDescent="0.25"/>
    <row r="28" spans="2:9" s="51" customFormat="1" x14ac:dyDescent="0.25"/>
    <row r="29" spans="2:9" s="51" customFormat="1" x14ac:dyDescent="0.25"/>
    <row r="30" spans="2:9" s="51" customFormat="1" x14ac:dyDescent="0.25"/>
    <row r="31" spans="2:9" s="51" customFormat="1" x14ac:dyDescent="0.25"/>
    <row r="32" spans="2:9" s="51" customFormat="1" x14ac:dyDescent="0.25"/>
    <row r="33" spans="1:9" s="51" customFormat="1" ht="35.4" x14ac:dyDescent="0.25">
      <c r="A33" s="63"/>
    </row>
    <row r="34" spans="1:9" s="51" customFormat="1" x14ac:dyDescent="0.25"/>
    <row r="35" spans="1:9" s="51" customFormat="1" x14ac:dyDescent="0.25"/>
    <row r="36" spans="1:9" s="51" customFormat="1" ht="32.4" x14ac:dyDescent="0.25">
      <c r="B36" s="64"/>
    </row>
    <row r="37" spans="1:9" s="51" customFormat="1" x14ac:dyDescent="0.25"/>
    <row r="38" spans="1:9" s="51" customFormat="1" x14ac:dyDescent="0.25"/>
    <row r="39" spans="1:9" s="51" customFormat="1" ht="17.399999999999999" x14ac:dyDescent="0.3">
      <c r="B39" s="65"/>
    </row>
    <row r="40" spans="1:9" s="51" customFormat="1" x14ac:dyDescent="0.25"/>
    <row r="41" spans="1:9" s="51" customFormat="1" ht="18" x14ac:dyDescent="0.35">
      <c r="I41" s="66"/>
    </row>
    <row r="42" spans="1:9" s="51" customFormat="1" x14ac:dyDescent="0.25"/>
    <row r="43" spans="1:9" s="51" customFormat="1" ht="18" x14ac:dyDescent="0.35">
      <c r="B43" s="701"/>
      <c r="C43" s="701"/>
      <c r="D43" s="701"/>
    </row>
    <row r="44" spans="1:9" s="51" customFormat="1" x14ac:dyDescent="0.25"/>
    <row r="45" spans="1:9" s="51" customFormat="1" x14ac:dyDescent="0.25"/>
    <row r="46" spans="1:9" s="51" customFormat="1" x14ac:dyDescent="0.25"/>
    <row r="47" spans="1:9" s="51" customFormat="1" x14ac:dyDescent="0.25"/>
    <row r="48" spans="1:9" s="51" customFormat="1" x14ac:dyDescent="0.25"/>
    <row r="49" s="51" customFormat="1" x14ac:dyDescent="0.25"/>
    <row r="50" s="51" customFormat="1" x14ac:dyDescent="0.25"/>
    <row r="51" s="51" customFormat="1" x14ac:dyDescent="0.25"/>
    <row r="52" s="51" customFormat="1" x14ac:dyDescent="0.25"/>
    <row r="53" s="51" customFormat="1" x14ac:dyDescent="0.25"/>
    <row r="54" s="51" customFormat="1" x14ac:dyDescent="0.25"/>
    <row r="55" s="51" customFormat="1" x14ac:dyDescent="0.25"/>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N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415</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c r="C7" s="309"/>
      <c r="D7" s="351"/>
      <c r="E7" s="11"/>
      <c r="F7" s="308"/>
      <c r="G7" s="309"/>
      <c r="H7" s="351"/>
      <c r="I7" s="160"/>
      <c r="J7" s="310"/>
      <c r="K7" s="311"/>
      <c r="L7" s="425"/>
      <c r="M7" s="11"/>
    </row>
    <row r="8" spans="1:14" ht="15.6" x14ac:dyDescent="0.25">
      <c r="A8" s="21" t="s">
        <v>25</v>
      </c>
      <c r="B8" s="286"/>
      <c r="C8" s="287"/>
      <c r="D8" s="166"/>
      <c r="E8" s="27"/>
      <c r="F8" s="290"/>
      <c r="G8" s="291"/>
      <c r="H8" s="166"/>
      <c r="I8" s="176"/>
      <c r="J8" s="234"/>
      <c r="K8" s="292"/>
      <c r="L8" s="166"/>
      <c r="M8" s="27"/>
    </row>
    <row r="9" spans="1:14" ht="15.6" x14ac:dyDescent="0.25">
      <c r="A9" s="21" t="s">
        <v>24</v>
      </c>
      <c r="B9" s="286"/>
      <c r="C9" s="287"/>
      <c r="D9" s="166"/>
      <c r="E9" s="27"/>
      <c r="F9" s="290"/>
      <c r="G9" s="291"/>
      <c r="H9" s="166"/>
      <c r="I9" s="176"/>
      <c r="J9" s="234"/>
      <c r="K9" s="292"/>
      <c r="L9" s="166"/>
      <c r="M9" s="27"/>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1"/>
      <c r="J22" s="318"/>
      <c r="K22" s="318"/>
      <c r="L22" s="425"/>
      <c r="M22" s="24"/>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c r="C28" s="292"/>
      <c r="D28" s="166"/>
      <c r="E28" s="11"/>
      <c r="F28" s="321"/>
      <c r="G28" s="321"/>
      <c r="H28" s="166"/>
      <c r="I28" s="27"/>
      <c r="J28" s="44"/>
      <c r="K28" s="44"/>
      <c r="L28" s="259"/>
      <c r="M28" s="23"/>
    </row>
    <row r="29" spans="1:14" s="3" customFormat="1" ht="15.6" x14ac:dyDescent="0.25">
      <c r="A29" s="13" t="s">
        <v>363</v>
      </c>
      <c r="B29" s="236"/>
      <c r="C29" s="236"/>
      <c r="D29" s="171"/>
      <c r="E29" s="11"/>
      <c r="F29" s="310"/>
      <c r="G29" s="310"/>
      <c r="H29" s="171"/>
      <c r="I29" s="11"/>
      <c r="J29" s="236"/>
      <c r="K29" s="236"/>
      <c r="L29" s="426"/>
      <c r="M29" s="24"/>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c r="C47" s="313"/>
      <c r="D47" s="425"/>
      <c r="E47" s="11"/>
      <c r="F47" s="145"/>
      <c r="G47" s="33"/>
      <c r="H47" s="159"/>
      <c r="I47" s="159"/>
      <c r="J47" s="37"/>
      <c r="K47" s="37"/>
      <c r="L47" s="159"/>
      <c r="M47" s="159"/>
      <c r="N47" s="148"/>
    </row>
    <row r="48" spans="1:14" s="3" customFormat="1" ht="15.6" x14ac:dyDescent="0.25">
      <c r="A48" s="38" t="s">
        <v>374</v>
      </c>
      <c r="B48" s="286"/>
      <c r="C48" s="287"/>
      <c r="D48" s="259"/>
      <c r="E48" s="27"/>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v>74436</v>
      </c>
      <c r="C66" s="354"/>
      <c r="D66" s="351">
        <f t="shared" ref="D66:D111" si="0">IF(B66=0, "    ---- ", IF(ABS(ROUND(100/B66*C66-100,1))&lt;999,ROUND(100/B66*C66-100,1),IF(ROUND(100/B66*C66-100,1)&gt;999,999,-999)))</f>
        <v>-100</v>
      </c>
      <c r="E66" s="11">
        <f>IFERROR(100/'Skjema total MA'!C66*C66,0)</f>
        <v>0</v>
      </c>
      <c r="F66" s="353">
        <v>471105</v>
      </c>
      <c r="G66" s="353"/>
      <c r="H66" s="351">
        <f t="shared" ref="H66:H111" si="1">IF(F66=0, "    ---- ", IF(ABS(ROUND(100/F66*G66-100,1))&lt;999,ROUND(100/F66*G66-100,1),IF(ROUND(100/F66*G66-100,1)&gt;999,999,-999)))</f>
        <v>-100</v>
      </c>
      <c r="I66" s="11">
        <f>IFERROR(100/'Skjema total MA'!F66*G66,0)</f>
        <v>0</v>
      </c>
      <c r="J66" s="311">
        <f t="shared" ref="J66:J79" si="2">SUM(B66,F66)</f>
        <v>545541</v>
      </c>
      <c r="K66" s="318"/>
      <c r="L66" s="426">
        <f t="shared" ref="L66:L111" si="3">IF(J66=0, "    ---- ", IF(ABS(ROUND(100/J66*K66-100,1))&lt;999,ROUND(100/J66*K66-100,1),IF(ROUND(100/J66*K66-100,1)&gt;999,999,-999)))</f>
        <v>-100</v>
      </c>
      <c r="M66" s="11">
        <f>IFERROR(100/'Skjema total MA'!I66*K66,0)</f>
        <v>0</v>
      </c>
    </row>
    <row r="67" spans="1:14" x14ac:dyDescent="0.25">
      <c r="A67" s="417" t="s">
        <v>9</v>
      </c>
      <c r="B67" s="44">
        <v>74436</v>
      </c>
      <c r="C67" s="145"/>
      <c r="D67" s="166">
        <f t="shared" si="0"/>
        <v>-100</v>
      </c>
      <c r="E67" s="27">
        <f>IFERROR(100/'Skjema total MA'!C67*C67,0)</f>
        <v>0</v>
      </c>
      <c r="F67" s="234"/>
      <c r="G67" s="145"/>
      <c r="H67" s="166"/>
      <c r="I67" s="27"/>
      <c r="J67" s="292">
        <f t="shared" si="2"/>
        <v>74436</v>
      </c>
      <c r="K67" s="44"/>
      <c r="L67" s="259">
        <f t="shared" si="3"/>
        <v>-100</v>
      </c>
      <c r="M67" s="27">
        <f>IFERROR(100/'Skjema total MA'!I67*K67,0)</f>
        <v>0</v>
      </c>
    </row>
    <row r="68" spans="1:14" x14ac:dyDescent="0.25">
      <c r="A68" s="21" t="s">
        <v>10</v>
      </c>
      <c r="B68" s="296"/>
      <c r="C68" s="297"/>
      <c r="D68" s="166"/>
      <c r="E68" s="27"/>
      <c r="F68" s="296">
        <v>471105</v>
      </c>
      <c r="G68" s="297"/>
      <c r="H68" s="166">
        <f t="shared" si="1"/>
        <v>-100</v>
      </c>
      <c r="I68" s="27">
        <f>IFERROR(100/'Skjema total MA'!F68*G68,0)</f>
        <v>0</v>
      </c>
      <c r="J68" s="292">
        <f t="shared" si="2"/>
        <v>471105</v>
      </c>
      <c r="K68" s="44"/>
      <c r="L68" s="259">
        <f t="shared" si="3"/>
        <v>-100</v>
      </c>
      <c r="M68" s="27">
        <f>IFERROR(100/'Skjema total MA'!I68*K68,0)</f>
        <v>0</v>
      </c>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v>74436</v>
      </c>
      <c r="C77" s="234"/>
      <c r="D77" s="166">
        <f t="shared" si="0"/>
        <v>-100</v>
      </c>
      <c r="E77" s="27">
        <f>IFERROR(100/'Skjema total MA'!C77*C77,0)</f>
        <v>0</v>
      </c>
      <c r="F77" s="234">
        <v>471105</v>
      </c>
      <c r="G77" s="145"/>
      <c r="H77" s="166">
        <f t="shared" si="1"/>
        <v>-100</v>
      </c>
      <c r="I77" s="27">
        <f>IFERROR(100/'Skjema total MA'!F77*G77,0)</f>
        <v>0</v>
      </c>
      <c r="J77" s="292">
        <f t="shared" si="2"/>
        <v>545541</v>
      </c>
      <c r="K77" s="44"/>
      <c r="L77" s="259">
        <f t="shared" si="3"/>
        <v>-100</v>
      </c>
      <c r="M77" s="27">
        <f>IFERROR(100/'Skjema total MA'!I77*K77,0)</f>
        <v>0</v>
      </c>
    </row>
    <row r="78" spans="1:14" x14ac:dyDescent="0.25">
      <c r="A78" s="21" t="s">
        <v>9</v>
      </c>
      <c r="B78" s="234">
        <v>74436</v>
      </c>
      <c r="C78" s="145"/>
      <c r="D78" s="166">
        <f t="shared" si="0"/>
        <v>-100</v>
      </c>
      <c r="E78" s="27">
        <f>IFERROR(100/'Skjema total MA'!C78*C78,0)</f>
        <v>0</v>
      </c>
      <c r="F78" s="234"/>
      <c r="G78" s="145"/>
      <c r="H78" s="166"/>
      <c r="I78" s="27"/>
      <c r="J78" s="292">
        <f t="shared" si="2"/>
        <v>74436</v>
      </c>
      <c r="K78" s="44"/>
      <c r="L78" s="259">
        <f t="shared" si="3"/>
        <v>-100</v>
      </c>
      <c r="M78" s="27">
        <f>IFERROR(100/'Skjema total MA'!I78*K78,0)</f>
        <v>0</v>
      </c>
    </row>
    <row r="79" spans="1:14" x14ac:dyDescent="0.25">
      <c r="A79" s="38" t="s">
        <v>421</v>
      </c>
      <c r="B79" s="296"/>
      <c r="C79" s="297"/>
      <c r="D79" s="166"/>
      <c r="E79" s="27"/>
      <c r="F79" s="296">
        <v>471105</v>
      </c>
      <c r="G79" s="297"/>
      <c r="H79" s="166">
        <f t="shared" si="1"/>
        <v>-100</v>
      </c>
      <c r="I79" s="27">
        <f>IFERROR(100/'Skjema total MA'!F79*G79,0)</f>
        <v>0</v>
      </c>
      <c r="J79" s="292">
        <f t="shared" si="2"/>
        <v>471105</v>
      </c>
      <c r="K79" s="44"/>
      <c r="L79" s="259">
        <f t="shared" si="3"/>
        <v>-100</v>
      </c>
      <c r="M79" s="27">
        <f>IFERROR(100/'Skjema total MA'!I79*K79,0)</f>
        <v>0</v>
      </c>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v>1789003</v>
      </c>
      <c r="C87" s="354"/>
      <c r="D87" s="171">
        <f t="shared" si="0"/>
        <v>-100</v>
      </c>
      <c r="E87" s="11">
        <f>IFERROR(100/'Skjema total MA'!C87*C87,0)</f>
        <v>0</v>
      </c>
      <c r="F87" s="353">
        <v>5573307</v>
      </c>
      <c r="G87" s="353"/>
      <c r="H87" s="171">
        <f t="shared" si="1"/>
        <v>-100</v>
      </c>
      <c r="I87" s="11">
        <f>IFERROR(100/'Skjema total MA'!F87*G87,0)</f>
        <v>0</v>
      </c>
      <c r="J87" s="311">
        <f t="shared" ref="J87:J111" si="4">SUM(B87,F87)</f>
        <v>7362310</v>
      </c>
      <c r="K87" s="236"/>
      <c r="L87" s="426">
        <f t="shared" si="3"/>
        <v>-100</v>
      </c>
      <c r="M87" s="11">
        <f>IFERROR(100/'Skjema total MA'!I87*K87,0)</f>
        <v>0</v>
      </c>
    </row>
    <row r="88" spans="1:13" x14ac:dyDescent="0.25">
      <c r="A88" s="21" t="s">
        <v>9</v>
      </c>
      <c r="B88" s="234">
        <v>1789003</v>
      </c>
      <c r="C88" s="145"/>
      <c r="D88" s="166">
        <f t="shared" si="0"/>
        <v>-100</v>
      </c>
      <c r="E88" s="27">
        <f>IFERROR(100/'Skjema total MA'!C88*C88,0)</f>
        <v>0</v>
      </c>
      <c r="F88" s="234"/>
      <c r="G88" s="145"/>
      <c r="H88" s="166"/>
      <c r="I88" s="27"/>
      <c r="J88" s="292">
        <f t="shared" si="4"/>
        <v>1789003</v>
      </c>
      <c r="K88" s="44"/>
      <c r="L88" s="259">
        <f t="shared" si="3"/>
        <v>-100</v>
      </c>
      <c r="M88" s="27">
        <f>IFERROR(100/'Skjema total MA'!I88*K88,0)</f>
        <v>0</v>
      </c>
    </row>
    <row r="89" spans="1:13" x14ac:dyDescent="0.25">
      <c r="A89" s="21" t="s">
        <v>10</v>
      </c>
      <c r="B89" s="234"/>
      <c r="C89" s="145"/>
      <c r="D89" s="166"/>
      <c r="E89" s="27"/>
      <c r="F89" s="234">
        <v>5573307</v>
      </c>
      <c r="G89" s="145"/>
      <c r="H89" s="166">
        <f t="shared" si="1"/>
        <v>-100</v>
      </c>
      <c r="I89" s="27">
        <f>IFERROR(100/'Skjema total MA'!F89*G89,0)</f>
        <v>0</v>
      </c>
      <c r="J89" s="292">
        <f t="shared" si="4"/>
        <v>5573307</v>
      </c>
      <c r="K89" s="44"/>
      <c r="L89" s="259">
        <f t="shared" si="3"/>
        <v>-100</v>
      </c>
      <c r="M89" s="27">
        <f>IFERROR(100/'Skjema total MA'!I89*K89,0)</f>
        <v>0</v>
      </c>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v>1789003</v>
      </c>
      <c r="C98" s="234"/>
      <c r="D98" s="166">
        <f t="shared" si="0"/>
        <v>-100</v>
      </c>
      <c r="E98" s="27">
        <f>IFERROR(100/'Skjema total MA'!C98*C98,0)</f>
        <v>0</v>
      </c>
      <c r="F98" s="296">
        <v>5573307</v>
      </c>
      <c r="G98" s="296"/>
      <c r="H98" s="166">
        <f t="shared" si="1"/>
        <v>-100</v>
      </c>
      <c r="I98" s="27">
        <f>IFERROR(100/'Skjema total MA'!F98*G98,0)</f>
        <v>0</v>
      </c>
      <c r="J98" s="292">
        <f t="shared" si="4"/>
        <v>7362310</v>
      </c>
      <c r="K98" s="44"/>
      <c r="L98" s="259">
        <f t="shared" si="3"/>
        <v>-100</v>
      </c>
      <c r="M98" s="27">
        <f>IFERROR(100/'Skjema total MA'!I98*K98,0)</f>
        <v>0</v>
      </c>
    </row>
    <row r="99" spans="1:13" x14ac:dyDescent="0.25">
      <c r="A99" s="21" t="s">
        <v>9</v>
      </c>
      <c r="B99" s="296">
        <v>1789003</v>
      </c>
      <c r="C99" s="297"/>
      <c r="D99" s="166">
        <f t="shared" si="0"/>
        <v>-100</v>
      </c>
      <c r="E99" s="27">
        <f>IFERROR(100/'Skjema total MA'!C99*C99,0)</f>
        <v>0</v>
      </c>
      <c r="F99" s="234"/>
      <c r="G99" s="145"/>
      <c r="H99" s="166"/>
      <c r="I99" s="27"/>
      <c r="J99" s="292">
        <f t="shared" si="4"/>
        <v>1789003</v>
      </c>
      <c r="K99" s="44"/>
      <c r="L99" s="259">
        <f t="shared" si="3"/>
        <v>-100</v>
      </c>
      <c r="M99" s="27">
        <f>IFERROR(100/'Skjema total MA'!I99*K99,0)</f>
        <v>0</v>
      </c>
    </row>
    <row r="100" spans="1:13" ht="15.6" x14ac:dyDescent="0.25">
      <c r="A100" s="38" t="s">
        <v>422</v>
      </c>
      <c r="B100" s="296"/>
      <c r="C100" s="297"/>
      <c r="D100" s="166"/>
      <c r="E100" s="27"/>
      <c r="F100" s="234">
        <v>5573307</v>
      </c>
      <c r="G100" s="234"/>
      <c r="H100" s="166">
        <f t="shared" si="1"/>
        <v>-100</v>
      </c>
      <c r="I100" s="27">
        <f>IFERROR(100/'Skjema total MA'!F100*G100,0)</f>
        <v>0</v>
      </c>
      <c r="J100" s="292">
        <f t="shared" si="4"/>
        <v>5573307</v>
      </c>
      <c r="K100" s="44"/>
      <c r="L100" s="259">
        <f t="shared" si="3"/>
        <v>-100</v>
      </c>
      <c r="M100" s="27">
        <f>IFERROR(100/'Skjema total MA'!I100*K100,0)</f>
        <v>0</v>
      </c>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v>1043152</v>
      </c>
      <c r="C108" s="234"/>
      <c r="D108" s="166">
        <f t="shared" si="0"/>
        <v>-100</v>
      </c>
      <c r="E108" s="27">
        <f>IFERROR(100/'Skjema total MA'!C108*C108,0)</f>
        <v>0</v>
      </c>
      <c r="F108" s="234"/>
      <c r="G108" s="234"/>
      <c r="H108" s="166"/>
      <c r="I108" s="27"/>
      <c r="J108" s="292">
        <f t="shared" si="4"/>
        <v>1043152</v>
      </c>
      <c r="K108" s="44"/>
      <c r="L108" s="259">
        <f t="shared" si="3"/>
        <v>-100</v>
      </c>
      <c r="M108" s="27">
        <f>IFERROR(100/'Skjema total MA'!I108*K108,0)</f>
        <v>0</v>
      </c>
    </row>
    <row r="109" spans="1:13" ht="15.6" x14ac:dyDescent="0.25">
      <c r="A109" s="38" t="s">
        <v>437</v>
      </c>
      <c r="B109" s="234"/>
      <c r="C109" s="234"/>
      <c r="D109" s="166"/>
      <c r="E109" s="27"/>
      <c r="F109" s="234">
        <v>2390148</v>
      </c>
      <c r="G109" s="234"/>
      <c r="H109" s="166">
        <f t="shared" si="1"/>
        <v>-100</v>
      </c>
      <c r="I109" s="27">
        <f>IFERROR(100/'Skjema total MA'!F109*G109,0)</f>
        <v>0</v>
      </c>
      <c r="J109" s="292">
        <f t="shared" si="4"/>
        <v>2390148</v>
      </c>
      <c r="K109" s="44"/>
      <c r="L109" s="259">
        <f t="shared" si="3"/>
        <v>-100</v>
      </c>
      <c r="M109" s="27">
        <f>IFERROR(100/'Skjema total MA'!I109*K109,0)</f>
        <v>0</v>
      </c>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v>7508</v>
      </c>
      <c r="C111" s="159"/>
      <c r="D111" s="171">
        <f t="shared" si="0"/>
        <v>-100</v>
      </c>
      <c r="E111" s="11">
        <f>IFERROR(100/'Skjema total MA'!C111*C111,0)</f>
        <v>0</v>
      </c>
      <c r="F111" s="310">
        <v>312501</v>
      </c>
      <c r="G111" s="159"/>
      <c r="H111" s="171">
        <f t="shared" si="1"/>
        <v>-100</v>
      </c>
      <c r="I111" s="11">
        <f>IFERROR(100/'Skjema total MA'!F111*G111,0)</f>
        <v>0</v>
      </c>
      <c r="J111" s="311">
        <f t="shared" si="4"/>
        <v>320009</v>
      </c>
      <c r="K111" s="236"/>
      <c r="L111" s="426">
        <f t="shared" si="3"/>
        <v>-100</v>
      </c>
      <c r="M111" s="11">
        <f>IFERROR(100/'Skjema total MA'!I111*K111,0)</f>
        <v>0</v>
      </c>
    </row>
    <row r="112" spans="1:13" x14ac:dyDescent="0.25">
      <c r="A112" s="21" t="s">
        <v>9</v>
      </c>
      <c r="B112" s="234">
        <v>7508</v>
      </c>
      <c r="C112" s="145"/>
      <c r="D112" s="166">
        <f t="shared" ref="D112" si="5">IF(B112=0, "    ---- ", IF(ABS(ROUND(100/B112*C112-100,1))&lt;999,ROUND(100/B112*C112-100,1),IF(ROUND(100/B112*C112-100,1)&gt;999,999,-999)))</f>
        <v>-100</v>
      </c>
      <c r="E112" s="27">
        <f>IFERROR(100/'Skjema total MA'!C112*C112,0)</f>
        <v>0</v>
      </c>
      <c r="F112" s="234"/>
      <c r="G112" s="145"/>
      <c r="H112" s="166"/>
      <c r="I112" s="27"/>
      <c r="J112" s="292">
        <f t="shared" ref="J112:J125" si="6">SUM(B112,F112)</f>
        <v>7508</v>
      </c>
      <c r="K112" s="44"/>
      <c r="L112" s="259">
        <f t="shared" ref="L112:L125" si="7">IF(J112=0, "    ---- ", IF(ABS(ROUND(100/J112*K112-100,1))&lt;999,ROUND(100/J112*K112-100,1),IF(ROUND(100/J112*K112-100,1)&gt;999,999,-999)))</f>
        <v>-100</v>
      </c>
      <c r="M112" s="27">
        <f>IFERROR(100/'Skjema total MA'!I112*K112,0)</f>
        <v>0</v>
      </c>
    </row>
    <row r="113" spans="1:14" x14ac:dyDescent="0.25">
      <c r="A113" s="21" t="s">
        <v>10</v>
      </c>
      <c r="B113" s="234"/>
      <c r="C113" s="145"/>
      <c r="D113" s="166"/>
      <c r="E113" s="27"/>
      <c r="F113" s="234">
        <v>312501</v>
      </c>
      <c r="G113" s="145"/>
      <c r="H113" s="166">
        <f t="shared" ref="H113:H125" si="8">IF(F113=0, "    ---- ", IF(ABS(ROUND(100/F113*G113-100,1))&lt;999,ROUND(100/F113*G113-100,1),IF(ROUND(100/F113*G113-100,1)&gt;999,999,-999)))</f>
        <v>-100</v>
      </c>
      <c r="I113" s="27">
        <f>IFERROR(100/'Skjema total MA'!F113*G113,0)</f>
        <v>0</v>
      </c>
      <c r="J113" s="292">
        <f t="shared" si="6"/>
        <v>312501</v>
      </c>
      <c r="K113" s="44"/>
      <c r="L113" s="259">
        <f t="shared" si="7"/>
        <v>-100</v>
      </c>
      <c r="M113" s="27">
        <f>IFERROR(100/'Skjema total MA'!I113*K113,0)</f>
        <v>0</v>
      </c>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v>222480</v>
      </c>
      <c r="G117" s="234"/>
      <c r="H117" s="166">
        <f t="shared" si="8"/>
        <v>-100</v>
      </c>
      <c r="I117" s="27">
        <f>IFERROR(100/'Skjema total MA'!F117*G117,0)</f>
        <v>0</v>
      </c>
      <c r="J117" s="292">
        <f t="shared" si="6"/>
        <v>222480</v>
      </c>
      <c r="K117" s="44"/>
      <c r="L117" s="259">
        <f t="shared" si="7"/>
        <v>-100</v>
      </c>
      <c r="M117" s="27">
        <f>IFERROR(100/'Skjema total MA'!I117*K117,0)</f>
        <v>0</v>
      </c>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v>97862</v>
      </c>
      <c r="G119" s="159"/>
      <c r="H119" s="171">
        <f t="shared" si="8"/>
        <v>-100</v>
      </c>
      <c r="I119" s="11">
        <f>IFERROR(100/'Skjema total MA'!F119*G119,0)</f>
        <v>0</v>
      </c>
      <c r="J119" s="311">
        <f t="shared" si="6"/>
        <v>97862</v>
      </c>
      <c r="K119" s="236"/>
      <c r="L119" s="426">
        <f t="shared" si="7"/>
        <v>-100</v>
      </c>
      <c r="M119" s="11">
        <f>IFERROR(100/'Skjema total MA'!I119*K119,0)</f>
        <v>0</v>
      </c>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v>97862</v>
      </c>
      <c r="G121" s="145"/>
      <c r="H121" s="166">
        <f t="shared" si="8"/>
        <v>-100</v>
      </c>
      <c r="I121" s="27">
        <f>IFERROR(100/'Skjema total MA'!F121*G121,0)</f>
        <v>0</v>
      </c>
      <c r="J121" s="292">
        <f t="shared" si="6"/>
        <v>97862</v>
      </c>
      <c r="K121" s="44"/>
      <c r="L121" s="259">
        <f t="shared" si="7"/>
        <v>-100</v>
      </c>
      <c r="M121" s="27">
        <f>IFERROR(100/'Skjema total MA'!I121*K121,0)</f>
        <v>0</v>
      </c>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v>64739</v>
      </c>
      <c r="G125" s="234"/>
      <c r="H125" s="166">
        <f t="shared" si="8"/>
        <v>-100</v>
      </c>
      <c r="I125" s="27">
        <f>IFERROR(100/'Skjema total MA'!F125*G125,0)</f>
        <v>0</v>
      </c>
      <c r="J125" s="292">
        <f t="shared" si="6"/>
        <v>64739</v>
      </c>
      <c r="K125" s="44"/>
      <c r="L125" s="259">
        <f t="shared" si="7"/>
        <v>-100</v>
      </c>
      <c r="M125" s="27">
        <f>IFERROR(100/'Skjema total MA'!I125*K125,0)</f>
        <v>0</v>
      </c>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621" priority="76">
      <formula>kvartal &lt; 4</formula>
    </cfRule>
  </conditionalFormatting>
  <conditionalFormatting sqref="C115">
    <cfRule type="expression" dxfId="620" priority="75">
      <formula>kvartal &lt; 4</formula>
    </cfRule>
  </conditionalFormatting>
  <conditionalFormatting sqref="B123">
    <cfRule type="expression" dxfId="619" priority="74">
      <formula>kvartal &lt; 4</formula>
    </cfRule>
  </conditionalFormatting>
  <conditionalFormatting sqref="C123">
    <cfRule type="expression" dxfId="618" priority="73">
      <formula>kvartal &lt; 4</formula>
    </cfRule>
  </conditionalFormatting>
  <conditionalFormatting sqref="F115">
    <cfRule type="expression" dxfId="617" priority="58">
      <formula>kvartal &lt; 4</formula>
    </cfRule>
  </conditionalFormatting>
  <conditionalFormatting sqref="G115">
    <cfRule type="expression" dxfId="616" priority="57">
      <formula>kvartal &lt; 4</formula>
    </cfRule>
  </conditionalFormatting>
  <conditionalFormatting sqref="F123:G123">
    <cfRule type="expression" dxfId="615" priority="56">
      <formula>kvartal &lt; 4</formula>
    </cfRule>
  </conditionalFormatting>
  <conditionalFormatting sqref="J115:K115">
    <cfRule type="expression" dxfId="614" priority="32">
      <formula>kvartal &lt; 4</formula>
    </cfRule>
  </conditionalFormatting>
  <conditionalFormatting sqref="J123:K123">
    <cfRule type="expression" dxfId="613" priority="31">
      <formula>kvartal &lt; 4</formula>
    </cfRule>
  </conditionalFormatting>
  <conditionalFormatting sqref="A50:A52">
    <cfRule type="expression" dxfId="612" priority="12">
      <formula>kvartal &lt; 4</formula>
    </cfRule>
  </conditionalFormatting>
  <conditionalFormatting sqref="A69:A74">
    <cfRule type="expression" dxfId="611" priority="10">
      <formula>kvartal &lt; 4</formula>
    </cfRule>
  </conditionalFormatting>
  <conditionalFormatting sqref="A80:A85">
    <cfRule type="expression" dxfId="610" priority="9">
      <formula>kvartal &lt; 4</formula>
    </cfRule>
  </conditionalFormatting>
  <conditionalFormatting sqref="A90:A95">
    <cfRule type="expression" dxfId="609" priority="6">
      <formula>kvartal &lt; 4</formula>
    </cfRule>
  </conditionalFormatting>
  <conditionalFormatting sqref="A101:A106">
    <cfRule type="expression" dxfId="608" priority="5">
      <formula>kvartal &lt; 4</formula>
    </cfRule>
  </conditionalFormatting>
  <conditionalFormatting sqref="A115">
    <cfRule type="expression" dxfId="607" priority="4">
      <formula>kvartal &lt; 4</formula>
    </cfRule>
  </conditionalFormatting>
  <conditionalFormatting sqref="A123">
    <cfRule type="expression" dxfId="606" priority="3">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Normal="100" workbookViewId="0">
      <selection activeCell="I33" sqref="I33"/>
    </sheetView>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7" x14ac:dyDescent="0.25">
      <c r="A1" s="172" t="s">
        <v>134</v>
      </c>
      <c r="B1" s="696"/>
      <c r="C1" s="250" t="s">
        <v>124</v>
      </c>
      <c r="D1" s="26"/>
      <c r="E1" s="26"/>
      <c r="F1" s="26"/>
      <c r="G1" s="26"/>
      <c r="H1" s="26"/>
      <c r="I1" s="26"/>
      <c r="J1" s="26"/>
      <c r="K1" s="26"/>
      <c r="L1" s="26"/>
      <c r="M1" s="26"/>
    </row>
    <row r="2" spans="1:17" ht="15.6" x14ac:dyDescent="0.3">
      <c r="A2" s="165" t="s">
        <v>28</v>
      </c>
      <c r="B2" s="723"/>
      <c r="C2" s="723"/>
      <c r="D2" s="723"/>
      <c r="E2" s="301"/>
      <c r="F2" s="723"/>
      <c r="G2" s="723"/>
      <c r="H2" s="723"/>
      <c r="I2" s="301"/>
      <c r="J2" s="723"/>
      <c r="K2" s="723"/>
      <c r="L2" s="723"/>
      <c r="M2" s="301"/>
    </row>
    <row r="3" spans="1:17" ht="15.6" x14ac:dyDescent="0.3">
      <c r="A3" s="163"/>
      <c r="B3" s="301"/>
      <c r="C3" s="301"/>
      <c r="D3" s="301"/>
      <c r="E3" s="301"/>
      <c r="F3" s="301"/>
      <c r="G3" s="301"/>
      <c r="H3" s="301"/>
      <c r="I3" s="301"/>
      <c r="J3" s="301"/>
      <c r="K3" s="301"/>
      <c r="L3" s="301"/>
      <c r="M3" s="301"/>
    </row>
    <row r="4" spans="1:17" x14ac:dyDescent="0.25">
      <c r="A4" s="144"/>
      <c r="B4" s="724" t="s">
        <v>0</v>
      </c>
      <c r="C4" s="725"/>
      <c r="D4" s="725"/>
      <c r="E4" s="303"/>
      <c r="F4" s="724" t="s">
        <v>1</v>
      </c>
      <c r="G4" s="725"/>
      <c r="H4" s="725"/>
      <c r="I4" s="306"/>
      <c r="J4" s="724" t="s">
        <v>2</v>
      </c>
      <c r="K4" s="725"/>
      <c r="L4" s="725"/>
      <c r="M4" s="306"/>
    </row>
    <row r="5" spans="1:17"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7" x14ac:dyDescent="0.25">
      <c r="A6" s="697"/>
      <c r="B6" s="156"/>
      <c r="C6" s="156"/>
      <c r="D6" s="248" t="s">
        <v>4</v>
      </c>
      <c r="E6" s="156" t="s">
        <v>30</v>
      </c>
      <c r="F6" s="161"/>
      <c r="G6" s="161"/>
      <c r="H6" s="246" t="s">
        <v>4</v>
      </c>
      <c r="I6" s="156" t="s">
        <v>30</v>
      </c>
      <c r="J6" s="161"/>
      <c r="K6" s="161"/>
      <c r="L6" s="246" t="s">
        <v>4</v>
      </c>
      <c r="M6" s="156" t="s">
        <v>30</v>
      </c>
    </row>
    <row r="7" spans="1:17" ht="15.6" x14ac:dyDescent="0.25">
      <c r="A7" s="14" t="s">
        <v>23</v>
      </c>
      <c r="B7" s="308">
        <v>225034</v>
      </c>
      <c r="C7" s="309">
        <v>217387</v>
      </c>
      <c r="D7" s="351">
        <f>IF(B7=0, "    ---- ", IF(ABS(ROUND(100/B7*C7-100,1))&lt;999,ROUND(100/B7*C7-100,1),IF(ROUND(100/B7*C7-100,1)&gt;999,999,-999)))</f>
        <v>-3.4</v>
      </c>
      <c r="E7" s="11">
        <f>IFERROR(100/'Skjema total MA'!C7*C7,0)</f>
        <v>5.7004832739967748</v>
      </c>
      <c r="F7" s="308">
        <v>428593.18699999998</v>
      </c>
      <c r="G7" s="309">
        <v>426190</v>
      </c>
      <c r="H7" s="351">
        <f>IF(F7=0, "    ---- ", IF(ABS(ROUND(100/F7*G7-100,1))&lt;999,ROUND(100/F7*G7-100,1),IF(ROUND(100/F7*G7-100,1)&gt;999,999,-999)))</f>
        <v>-0.6</v>
      </c>
      <c r="I7" s="160">
        <f>IFERROR(100/'Skjema total MA'!F7*G7,0)</f>
        <v>3.9150085917992876</v>
      </c>
      <c r="J7" s="310">
        <f t="shared" ref="J7:K12" si="0">SUM(B7,F7)</f>
        <v>653627.18699999992</v>
      </c>
      <c r="K7" s="311">
        <f t="shared" si="0"/>
        <v>643577</v>
      </c>
      <c r="L7" s="425">
        <f>IF(J7=0, "    ---- ", IF(ABS(ROUND(100/J7*K7-100,1))&lt;999,ROUND(100/J7*K7-100,1),IF(ROUND(100/J7*K7-100,1)&gt;999,999,-999)))</f>
        <v>-1.5</v>
      </c>
      <c r="M7" s="11">
        <f>IFERROR(100/'Skjema total MA'!I7*K7,0)</f>
        <v>4.3782121378348364</v>
      </c>
    </row>
    <row r="8" spans="1:17" ht="15.6" x14ac:dyDescent="0.25">
      <c r="A8" s="21" t="s">
        <v>25</v>
      </c>
      <c r="B8" s="286">
        <v>27519.701000000001</v>
      </c>
      <c r="C8" s="287">
        <v>23257.175999999999</v>
      </c>
      <c r="D8" s="166">
        <f t="shared" ref="D8:D12" si="1">IF(B8=0, "    ---- ", IF(ABS(ROUND(100/B8*C8-100,1))&lt;999,ROUND(100/B8*C8-100,1),IF(ROUND(100/B8*C8-100,1)&gt;999,999,-999)))</f>
        <v>-15.5</v>
      </c>
      <c r="E8" s="27">
        <f>IFERROR(100/'Skjema total MA'!C8*C8,0)</f>
        <v>0.93760709214862459</v>
      </c>
      <c r="F8" s="290"/>
      <c r="G8" s="291"/>
      <c r="H8" s="166"/>
      <c r="I8" s="176"/>
      <c r="J8" s="234">
        <f t="shared" si="0"/>
        <v>27519.701000000001</v>
      </c>
      <c r="K8" s="292">
        <f t="shared" si="0"/>
        <v>23257.175999999999</v>
      </c>
      <c r="L8" s="166">
        <f t="shared" ref="L8:L9" si="2">IF(J8=0, "    ---- ", IF(ABS(ROUND(100/J8*K8-100,1))&lt;999,ROUND(100/J8*K8-100,1),IF(ROUND(100/J8*K8-100,1)&gt;999,999,-999)))</f>
        <v>-15.5</v>
      </c>
      <c r="M8" s="27">
        <f>IFERROR(100/'Skjema total MA'!I8*K8,0)</f>
        <v>0.93760709214862459</v>
      </c>
    </row>
    <row r="9" spans="1:17" ht="15.6" x14ac:dyDescent="0.25">
      <c r="A9" s="21" t="s">
        <v>24</v>
      </c>
      <c r="B9" s="286">
        <v>16733.897000000001</v>
      </c>
      <c r="C9" s="287">
        <v>15534.406000000001</v>
      </c>
      <c r="D9" s="166">
        <f t="shared" si="1"/>
        <v>-7.2</v>
      </c>
      <c r="E9" s="27">
        <f>IFERROR(100/'Skjema total MA'!C9*C9,0)</f>
        <v>1.9585017915891123</v>
      </c>
      <c r="F9" s="290"/>
      <c r="G9" s="291"/>
      <c r="H9" s="166"/>
      <c r="I9" s="176"/>
      <c r="J9" s="234">
        <f t="shared" si="0"/>
        <v>16733.897000000001</v>
      </c>
      <c r="K9" s="292">
        <f t="shared" si="0"/>
        <v>15534.406000000001</v>
      </c>
      <c r="L9" s="166">
        <f t="shared" si="2"/>
        <v>-7.2</v>
      </c>
      <c r="M9" s="27">
        <f>IFERROR(100/'Skjema total MA'!I9*K9,0)</f>
        <v>1.9585017915891123</v>
      </c>
    </row>
    <row r="10" spans="1:17" ht="15.6" x14ac:dyDescent="0.25">
      <c r="A10" s="13" t="s">
        <v>363</v>
      </c>
      <c r="B10" s="312">
        <v>11811289</v>
      </c>
      <c r="C10" s="313">
        <v>10758301</v>
      </c>
      <c r="D10" s="171">
        <f t="shared" si="1"/>
        <v>-8.9</v>
      </c>
      <c r="E10" s="11">
        <f>IFERROR(100/'Skjema total MA'!C10*C10,0)</f>
        <v>63.297914158284101</v>
      </c>
      <c r="F10" s="312">
        <v>6255609.5310000004</v>
      </c>
      <c r="G10" s="313">
        <v>7495734.2999999998</v>
      </c>
      <c r="H10" s="171">
        <f t="shared" ref="H10:H12" si="3">IF(F10=0, "    ---- ", IF(ABS(ROUND(100/F10*G10-100,1))&lt;999,ROUND(100/F10*G10-100,1),IF(ROUND(100/F10*G10-100,1)&gt;999,999,-999)))</f>
        <v>19.8</v>
      </c>
      <c r="I10" s="160">
        <f>IFERROR(100/'Skjema total MA'!F10*G10,0)</f>
        <v>10.239855810986413</v>
      </c>
      <c r="J10" s="310">
        <f t="shared" si="0"/>
        <v>18066898.530999999</v>
      </c>
      <c r="K10" s="311">
        <f t="shared" si="0"/>
        <v>18254035.300000001</v>
      </c>
      <c r="L10" s="426">
        <f t="shared" ref="L10:L12" si="4">IF(J10=0, "    ---- ", IF(ABS(ROUND(100/J10*K10-100,1))&lt;999,ROUND(100/J10*K10-100,1),IF(ROUND(100/J10*K10-100,1)&gt;999,999,-999)))</f>
        <v>1</v>
      </c>
      <c r="M10" s="11">
        <f>IFERROR(100/'Skjema total MA'!I10*K10,0)</f>
        <v>20.237770447660914</v>
      </c>
      <c r="Q10" s="149"/>
    </row>
    <row r="11" spans="1:17" s="43" customFormat="1" ht="15.6" x14ac:dyDescent="0.25">
      <c r="A11" s="13" t="s">
        <v>364</v>
      </c>
      <c r="B11" s="312">
        <v>29977</v>
      </c>
      <c r="C11" s="313">
        <v>42181.894999999997</v>
      </c>
      <c r="D11" s="171">
        <f t="shared" si="1"/>
        <v>40.700000000000003</v>
      </c>
      <c r="E11" s="11">
        <f>IFERROR(100/'Skjema total MA'!C11*C11,0)</f>
        <v>100.00000000000001</v>
      </c>
      <c r="F11" s="312">
        <v>40983</v>
      </c>
      <c r="G11" s="313">
        <v>43295</v>
      </c>
      <c r="H11" s="171">
        <f t="shared" si="3"/>
        <v>5.6</v>
      </c>
      <c r="I11" s="160">
        <f>IFERROR(100/'Skjema total MA'!F11*G11,0)</f>
        <v>12.53849306510762</v>
      </c>
      <c r="J11" s="310">
        <f t="shared" si="0"/>
        <v>70960</v>
      </c>
      <c r="K11" s="311">
        <f t="shared" si="0"/>
        <v>85476.89499999999</v>
      </c>
      <c r="L11" s="426">
        <f t="shared" si="4"/>
        <v>20.5</v>
      </c>
      <c r="M11" s="11">
        <f>IFERROR(100/'Skjema total MA'!I11*K11,0)</f>
        <v>22.059773365615118</v>
      </c>
      <c r="N11" s="143"/>
    </row>
    <row r="12" spans="1:17" s="43" customFormat="1" ht="15.6" x14ac:dyDescent="0.25">
      <c r="A12" s="41" t="s">
        <v>365</v>
      </c>
      <c r="B12" s="314">
        <v>2399</v>
      </c>
      <c r="C12" s="315">
        <v>6715.5570900000002</v>
      </c>
      <c r="D12" s="169">
        <f t="shared" si="1"/>
        <v>179.9</v>
      </c>
      <c r="E12" s="36">
        <f>IFERROR(100/'Skjema total MA'!C12*C12,0)</f>
        <v>100</v>
      </c>
      <c r="F12" s="314">
        <v>104875</v>
      </c>
      <c r="G12" s="315">
        <v>31896</v>
      </c>
      <c r="H12" s="169">
        <f t="shared" si="3"/>
        <v>-69.599999999999994</v>
      </c>
      <c r="I12" s="169">
        <f>IFERROR(100/'Skjema total MA'!F12*G12,0)</f>
        <v>21.77528075108723</v>
      </c>
      <c r="J12" s="316">
        <f t="shared" si="0"/>
        <v>107274</v>
      </c>
      <c r="K12" s="317">
        <f t="shared" si="0"/>
        <v>38611.557090000002</v>
      </c>
      <c r="L12" s="427">
        <f t="shared" si="4"/>
        <v>-64</v>
      </c>
      <c r="M12" s="36">
        <f>IFERROR(100/'Skjema total MA'!I12*K12,0)</f>
        <v>25.204423012914596</v>
      </c>
      <c r="N12" s="143"/>
      <c r="Q12" s="143"/>
    </row>
    <row r="13" spans="1:17" s="43" customFormat="1" x14ac:dyDescent="0.25">
      <c r="A13" s="168"/>
      <c r="B13" s="145"/>
      <c r="C13" s="33"/>
      <c r="D13" s="159"/>
      <c r="E13" s="159"/>
      <c r="F13" s="145"/>
      <c r="G13" s="33"/>
      <c r="H13" s="159"/>
      <c r="I13" s="159"/>
      <c r="J13" s="48"/>
      <c r="K13" s="48"/>
      <c r="L13" s="159"/>
      <c r="M13" s="159"/>
      <c r="N13" s="143"/>
    </row>
    <row r="14" spans="1:17" x14ac:dyDescent="0.25">
      <c r="A14" s="153" t="s">
        <v>273</v>
      </c>
      <c r="B14" s="26"/>
    </row>
    <row r="15" spans="1:17" x14ac:dyDescent="0.25">
      <c r="F15" s="146"/>
      <c r="G15" s="146"/>
      <c r="H15" s="146"/>
      <c r="I15" s="146"/>
      <c r="J15" s="146"/>
      <c r="K15" s="146"/>
      <c r="L15" s="146"/>
      <c r="M15" s="146"/>
    </row>
    <row r="16" spans="1:17"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v>223121.97200000001</v>
      </c>
      <c r="C22" s="312">
        <v>245991</v>
      </c>
      <c r="D22" s="351">
        <f t="shared" ref="D22:D39" si="5">IF(B22=0, "    ---- ", IF(ABS(ROUND(100/B22*C22-100,1))&lt;999,ROUND(100/B22*C22-100,1),IF(ROUND(100/B22*C22-100,1)&gt;999,999,-999)))</f>
        <v>10.199999999999999</v>
      </c>
      <c r="E22" s="11">
        <f>IFERROR(100/'Skjema total MA'!C22*C22,0)</f>
        <v>16.012171674675596</v>
      </c>
      <c r="F22" s="320">
        <v>97826.137000000002</v>
      </c>
      <c r="G22" s="320">
        <v>117197.431</v>
      </c>
      <c r="H22" s="351">
        <f t="shared" ref="H22:H35" si="6">IF(F22=0, "    ---- ", IF(ABS(ROUND(100/F22*G22-100,1))&lt;999,ROUND(100/F22*G22-100,1),IF(ROUND(100/F22*G22-100,1)&gt;999,999,-999)))</f>
        <v>19.8</v>
      </c>
      <c r="I22" s="11">
        <f>IFERROR(100/'Skjema total MA'!F22*G22,0)</f>
        <v>10.44125434665802</v>
      </c>
      <c r="J22" s="318">
        <f t="shared" ref="J22:K35" si="7">SUM(B22,F22)</f>
        <v>320948.109</v>
      </c>
      <c r="K22" s="318">
        <f t="shared" si="7"/>
        <v>363188.43099999998</v>
      </c>
      <c r="L22" s="425">
        <f t="shared" ref="L22:L35" si="8">IF(J22=0, "    ---- ", IF(ABS(ROUND(100/J22*K22-100,1))&lt;999,ROUND(100/J22*K22-100,1),IF(ROUND(100/J22*K22-100,1)&gt;999,999,-999)))</f>
        <v>13.2</v>
      </c>
      <c r="M22" s="24">
        <f>IFERROR(100/'Skjema total MA'!I22*K22,0)</f>
        <v>13.660268861918158</v>
      </c>
    </row>
    <row r="23" spans="1:14" ht="15.6" x14ac:dyDescent="0.25">
      <c r="A23" s="581" t="s">
        <v>366</v>
      </c>
      <c r="B23" s="286">
        <v>180337.652</v>
      </c>
      <c r="C23" s="286">
        <v>205866.36555018899</v>
      </c>
      <c r="D23" s="166">
        <f t="shared" si="5"/>
        <v>14.2</v>
      </c>
      <c r="E23" s="11">
        <f>IFERROR(100/'Skjema total MA'!C23*C23,0)</f>
        <v>36.771711844705756</v>
      </c>
      <c r="F23" s="295">
        <v>90515.798999999999</v>
      </c>
      <c r="G23" s="295">
        <v>110216.205</v>
      </c>
      <c r="H23" s="166">
        <f t="shared" si="6"/>
        <v>21.8</v>
      </c>
      <c r="I23" s="415">
        <f>IFERROR(100/'Skjema total MA'!F23*G23,0)</f>
        <v>62.577692071395283</v>
      </c>
      <c r="J23" s="295">
        <f t="shared" ref="J23:J25" si="9">SUM(B23,F23)</f>
        <v>270853.451</v>
      </c>
      <c r="K23" s="295">
        <f t="shared" ref="K23:K25" si="10">SUM(C23,G23)</f>
        <v>316082.570550189</v>
      </c>
      <c r="L23" s="166">
        <f t="shared" si="8"/>
        <v>16.7</v>
      </c>
      <c r="M23" s="23">
        <f>IFERROR(100/'Skjema total MA'!I23*K23,0)</f>
        <v>42.94735419545335</v>
      </c>
    </row>
    <row r="24" spans="1:14" ht="15.6" x14ac:dyDescent="0.25">
      <c r="A24" s="581" t="s">
        <v>367</v>
      </c>
      <c r="B24" s="286">
        <v>18914.817999999999</v>
      </c>
      <c r="C24" s="286">
        <v>14587.9585048299</v>
      </c>
      <c r="D24" s="166">
        <f t="shared" si="5"/>
        <v>-22.9</v>
      </c>
      <c r="E24" s="11">
        <f>IFERROR(100/'Skjema total MA'!C24*C24,0)</f>
        <v>74.13463799972989</v>
      </c>
      <c r="F24" s="295">
        <v>32.529000000000003</v>
      </c>
      <c r="G24" s="295">
        <v>169.78700000000001</v>
      </c>
      <c r="H24" s="166">
        <f t="shared" si="6"/>
        <v>422</v>
      </c>
      <c r="I24" s="415">
        <f>IFERROR(100/'Skjema total MA'!F24*G24,0)</f>
        <v>-27.643553724899139</v>
      </c>
      <c r="J24" s="295">
        <f t="shared" si="9"/>
        <v>18947.346999999998</v>
      </c>
      <c r="K24" s="295">
        <f t="shared" si="10"/>
        <v>14757.7455048299</v>
      </c>
      <c r="L24" s="166">
        <f t="shared" si="8"/>
        <v>-22.1</v>
      </c>
      <c r="M24" s="23">
        <f>IFERROR(100/'Skjema total MA'!I24*K24,0)</f>
        <v>77.413806220645526</v>
      </c>
    </row>
    <row r="25" spans="1:14" ht="15.6" x14ac:dyDescent="0.25">
      <c r="A25" s="581" t="s">
        <v>368</v>
      </c>
      <c r="B25" s="286">
        <v>23869.502</v>
      </c>
      <c r="C25" s="286">
        <v>25536.6759449811</v>
      </c>
      <c r="D25" s="166">
        <f t="shared" si="5"/>
        <v>7</v>
      </c>
      <c r="E25" s="11">
        <f>IFERROR(100/'Skjema total MA'!C25*C25,0)</f>
        <v>99.656697695691562</v>
      </c>
      <c r="F25" s="295">
        <v>7277.8090000000002</v>
      </c>
      <c r="G25" s="295">
        <v>6811.4390000000003</v>
      </c>
      <c r="H25" s="166">
        <f t="shared" si="6"/>
        <v>-6.4</v>
      </c>
      <c r="I25" s="415">
        <f>IFERROR(100/'Skjema total MA'!F25*G25,0)</f>
        <v>54.79848081466406</v>
      </c>
      <c r="J25" s="295">
        <f t="shared" si="9"/>
        <v>31147.311000000002</v>
      </c>
      <c r="K25" s="295">
        <f t="shared" si="10"/>
        <v>32348.114944981098</v>
      </c>
      <c r="L25" s="166">
        <f t="shared" si="8"/>
        <v>3.9</v>
      </c>
      <c r="M25" s="23">
        <f>IFERROR(100/'Skjema total MA'!I25*K25,0)</f>
        <v>85.004427219563254</v>
      </c>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v>86087.680999999997</v>
      </c>
      <c r="C28" s="292">
        <v>80710.073999999993</v>
      </c>
      <c r="D28" s="166">
        <f t="shared" si="5"/>
        <v>-6.2</v>
      </c>
      <c r="E28" s="11">
        <f>IFERROR(100/'Skjema total MA'!C28*C28,0)</f>
        <v>4.7872600498627369</v>
      </c>
      <c r="F28" s="321"/>
      <c r="G28" s="321"/>
      <c r="H28" s="166"/>
      <c r="I28" s="27"/>
      <c r="J28" s="44">
        <f t="shared" si="7"/>
        <v>86087.680999999997</v>
      </c>
      <c r="K28" s="44">
        <f t="shared" si="7"/>
        <v>80710.073999999993</v>
      </c>
      <c r="L28" s="259">
        <f t="shared" si="8"/>
        <v>-6.2</v>
      </c>
      <c r="M28" s="23">
        <f>IFERROR(100/'Skjema total MA'!I28*K28,0)</f>
        <v>4.7872600498627369</v>
      </c>
    </row>
    <row r="29" spans="1:14" s="3" customFormat="1" ht="15.6" x14ac:dyDescent="0.25">
      <c r="A29" s="13" t="s">
        <v>363</v>
      </c>
      <c r="B29" s="236">
        <v>23968731</v>
      </c>
      <c r="C29" s="236">
        <v>22580014</v>
      </c>
      <c r="D29" s="171">
        <f t="shared" si="5"/>
        <v>-5.8</v>
      </c>
      <c r="E29" s="11">
        <f>IFERROR(100/'Skjema total MA'!C29*C29,0)</f>
        <v>50.22045417720917</v>
      </c>
      <c r="F29" s="310">
        <v>5504152.7680000002</v>
      </c>
      <c r="G29" s="310">
        <v>5087435.5779999997</v>
      </c>
      <c r="H29" s="171">
        <f t="shared" si="6"/>
        <v>-7.6</v>
      </c>
      <c r="I29" s="11">
        <f>IFERROR(100/'Skjema total MA'!F29*G29,0)</f>
        <v>19.775874519766205</v>
      </c>
      <c r="J29" s="236">
        <f t="shared" si="7"/>
        <v>29472883.767999999</v>
      </c>
      <c r="K29" s="236">
        <f t="shared" si="7"/>
        <v>27667449.578000002</v>
      </c>
      <c r="L29" s="426">
        <f t="shared" si="8"/>
        <v>-6.1</v>
      </c>
      <c r="M29" s="24">
        <f>IFERROR(100/'Skjema total MA'!I29*K29,0)</f>
        <v>39.14064942504632</v>
      </c>
      <c r="N29" s="148"/>
    </row>
    <row r="30" spans="1:14" s="3" customFormat="1" ht="15.6" x14ac:dyDescent="0.25">
      <c r="A30" s="581" t="s">
        <v>366</v>
      </c>
      <c r="B30" s="286">
        <v>9526200</v>
      </c>
      <c r="C30" s="286">
        <v>8974263.9374164995</v>
      </c>
      <c r="D30" s="166">
        <f t="shared" si="5"/>
        <v>-5.8</v>
      </c>
      <c r="E30" s="11">
        <f>IFERROR(100/'Skjema total MA'!C30*C30,0)</f>
        <v>67.808847969887054</v>
      </c>
      <c r="F30" s="295">
        <v>2099086.2209999999</v>
      </c>
      <c r="G30" s="295">
        <v>1594725.219</v>
      </c>
      <c r="H30" s="166">
        <f t="shared" si="6"/>
        <v>-24</v>
      </c>
      <c r="I30" s="415">
        <f>IFERROR(100/'Skjema total MA'!F30*G30,0)</f>
        <v>38.792014576365865</v>
      </c>
      <c r="J30" s="295">
        <f t="shared" ref="J30:J32" si="11">SUM(B30,F30)</f>
        <v>11625286.221000001</v>
      </c>
      <c r="K30" s="295">
        <f t="shared" ref="K30:K32" si="12">SUM(C30,G30)</f>
        <v>10568989.1564165</v>
      </c>
      <c r="L30" s="166">
        <f t="shared" si="8"/>
        <v>-9.1</v>
      </c>
      <c r="M30" s="23">
        <f>IFERROR(100/'Skjema total MA'!I30*K30,0)</f>
        <v>60.931770888337262</v>
      </c>
      <c r="N30" s="148"/>
    </row>
    <row r="31" spans="1:14" s="3" customFormat="1" ht="15.6" x14ac:dyDescent="0.25">
      <c r="A31" s="581" t="s">
        <v>367</v>
      </c>
      <c r="B31" s="286">
        <v>11982468</v>
      </c>
      <c r="C31" s="286">
        <v>11288219.883881001</v>
      </c>
      <c r="D31" s="166">
        <f t="shared" si="5"/>
        <v>-5.8</v>
      </c>
      <c r="E31" s="11">
        <f>IFERROR(100/'Skjema total MA'!C31*C31,0)</f>
        <v>50.190360130872044</v>
      </c>
      <c r="F31" s="295">
        <v>2952253.0249999999</v>
      </c>
      <c r="G31" s="295">
        <v>2968586</v>
      </c>
      <c r="H31" s="166">
        <f t="shared" si="6"/>
        <v>0.6</v>
      </c>
      <c r="I31" s="415">
        <f>IFERROR(100/'Skjema total MA'!F31*G31,0)</f>
        <v>31.641877580289385</v>
      </c>
      <c r="J31" s="295">
        <f t="shared" si="11"/>
        <v>14934721.025</v>
      </c>
      <c r="K31" s="295">
        <f t="shared" si="12"/>
        <v>14256805.883881001</v>
      </c>
      <c r="L31" s="166">
        <f t="shared" si="8"/>
        <v>-4.5</v>
      </c>
      <c r="M31" s="23">
        <f>IFERROR(100/'Skjema total MA'!I31*K31,0)</f>
        <v>44.730547349306342</v>
      </c>
      <c r="N31" s="148"/>
    </row>
    <row r="32" spans="1:14" ht="15.6" x14ac:dyDescent="0.25">
      <c r="A32" s="581" t="s">
        <v>368</v>
      </c>
      <c r="B32" s="286">
        <v>2460063</v>
      </c>
      <c r="C32" s="286">
        <v>2317530.1787025002</v>
      </c>
      <c r="D32" s="166">
        <f t="shared" si="5"/>
        <v>-5.8</v>
      </c>
      <c r="E32" s="11">
        <f>IFERROR(100/'Skjema total MA'!C32*C32,0)</f>
        <v>79.270405515935295</v>
      </c>
      <c r="F32" s="295">
        <v>452813.522</v>
      </c>
      <c r="G32" s="295">
        <v>524124.359</v>
      </c>
      <c r="H32" s="166">
        <f t="shared" si="6"/>
        <v>15.7</v>
      </c>
      <c r="I32" s="415">
        <f>IFERROR(100/'Skjema total MA'!F32*G32,0)</f>
        <v>9.1421779114988766</v>
      </c>
      <c r="J32" s="295">
        <f t="shared" si="11"/>
        <v>2912876.5219999999</v>
      </c>
      <c r="K32" s="295">
        <f t="shared" si="12"/>
        <v>2841654.5377025004</v>
      </c>
      <c r="L32" s="166">
        <f t="shared" si="8"/>
        <v>-2.4</v>
      </c>
      <c r="M32" s="23">
        <f>IFERROR(100/'Skjema total MA'!I32*K32,0)</f>
        <v>32.826406711007571</v>
      </c>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v>7138</v>
      </c>
      <c r="C34" s="311">
        <v>681.34514999999897</v>
      </c>
      <c r="D34" s="171">
        <f t="shared" si="5"/>
        <v>-90.5</v>
      </c>
      <c r="E34" s="11">
        <f>IFERROR(100/'Skjema total MA'!C34*C34,0)</f>
        <v>6.1213645898240872</v>
      </c>
      <c r="F34" s="310">
        <v>-53537</v>
      </c>
      <c r="G34" s="311">
        <v>-54006</v>
      </c>
      <c r="H34" s="171">
        <f t="shared" si="6"/>
        <v>0.9</v>
      </c>
      <c r="I34" s="11">
        <f>IFERROR(100/'Skjema total MA'!F34*G34,0)</f>
        <v>-75.153297792438096</v>
      </c>
      <c r="J34" s="236">
        <f t="shared" si="7"/>
        <v>-46399</v>
      </c>
      <c r="K34" s="236">
        <f t="shared" si="7"/>
        <v>-53324.654849999999</v>
      </c>
      <c r="L34" s="426">
        <f t="shared" si="8"/>
        <v>14.9</v>
      </c>
      <c r="M34" s="24">
        <f>IFERROR(100/'Skjema total MA'!I34*K34,0)</f>
        <v>-64.252976612902842</v>
      </c>
    </row>
    <row r="35" spans="1:14" ht="15.6" x14ac:dyDescent="0.25">
      <c r="A35" s="13" t="s">
        <v>365</v>
      </c>
      <c r="B35" s="236">
        <v>-79979</v>
      </c>
      <c r="C35" s="311">
        <v>-74689.411099999998</v>
      </c>
      <c r="D35" s="171">
        <f t="shared" si="5"/>
        <v>-6.6</v>
      </c>
      <c r="E35" s="11">
        <f>IFERROR(100/'Skjema total MA'!C35*C35,0)</f>
        <v>101.05136127760531</v>
      </c>
      <c r="F35" s="310">
        <v>42083</v>
      </c>
      <c r="G35" s="311">
        <v>19242</v>
      </c>
      <c r="H35" s="171">
        <f t="shared" si="6"/>
        <v>-54.3</v>
      </c>
      <c r="I35" s="11">
        <f>IFERROR(100/'Skjema total MA'!F35*G35,0)</f>
        <v>14.886004523056078</v>
      </c>
      <c r="J35" s="236">
        <f t="shared" si="7"/>
        <v>-37896</v>
      </c>
      <c r="K35" s="236">
        <f t="shared" si="7"/>
        <v>-55447.411099999998</v>
      </c>
      <c r="L35" s="426">
        <f t="shared" si="8"/>
        <v>46.3</v>
      </c>
      <c r="M35" s="24">
        <f>IFERROR(100/'Skjema total MA'!I35*K35,0)</f>
        <v>-100.17593795536014</v>
      </c>
    </row>
    <row r="36" spans="1:14" ht="15.6" x14ac:dyDescent="0.25">
      <c r="A36" s="12" t="s">
        <v>282</v>
      </c>
      <c r="B36" s="236">
        <v>2680</v>
      </c>
      <c r="C36" s="311">
        <v>2099</v>
      </c>
      <c r="D36" s="171">
        <f t="shared" si="5"/>
        <v>-21.7</v>
      </c>
      <c r="E36" s="11">
        <f>IFERROR(100/'Skjema total MA'!C36*C36,0)</f>
        <v>97.035090274069802</v>
      </c>
      <c r="F36" s="321"/>
      <c r="G36" s="322"/>
      <c r="H36" s="171"/>
      <c r="I36" s="432"/>
      <c r="J36" s="236">
        <f t="shared" ref="J36:J39" si="13">SUM(B36,F36)</f>
        <v>2680</v>
      </c>
      <c r="K36" s="236">
        <f t="shared" ref="K36:K39" si="14">SUM(C36,G36)</f>
        <v>2099</v>
      </c>
      <c r="L36" s="426"/>
      <c r="M36" s="24">
        <f>IFERROR(100/'Skjema total MA'!I36*K36,0)</f>
        <v>97.035090274069802</v>
      </c>
    </row>
    <row r="37" spans="1:14" ht="15.6" x14ac:dyDescent="0.25">
      <c r="A37" s="12" t="s">
        <v>371</v>
      </c>
      <c r="B37" s="236">
        <v>3126694</v>
      </c>
      <c r="C37" s="311">
        <v>2904030</v>
      </c>
      <c r="D37" s="171">
        <f t="shared" si="5"/>
        <v>-7.1</v>
      </c>
      <c r="E37" s="11">
        <f>IFERROR(100/'Skjema total MA'!C37*C37,0)</f>
        <v>86.728497666844291</v>
      </c>
      <c r="F37" s="321"/>
      <c r="G37" s="323"/>
      <c r="H37" s="171"/>
      <c r="I37" s="432"/>
      <c r="J37" s="236">
        <f t="shared" si="13"/>
        <v>3126694</v>
      </c>
      <c r="K37" s="236">
        <f t="shared" si="14"/>
        <v>2904030</v>
      </c>
      <c r="L37" s="426"/>
      <c r="M37" s="24">
        <f>IFERROR(100/'Skjema total MA'!I37*K37,0)</f>
        <v>86.728497666844291</v>
      </c>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v>17</v>
      </c>
      <c r="C39" s="317">
        <v>3</v>
      </c>
      <c r="D39" s="169">
        <f t="shared" si="5"/>
        <v>-82.4</v>
      </c>
      <c r="E39" s="36">
        <f>IFERROR(100/'Skjema total MA'!C38*C39,0)</f>
        <v>2.1428571428571429E-2</v>
      </c>
      <c r="F39" s="324"/>
      <c r="G39" s="325"/>
      <c r="H39" s="169"/>
      <c r="I39" s="36"/>
      <c r="J39" s="236">
        <f t="shared" si="13"/>
        <v>17</v>
      </c>
      <c r="K39" s="236">
        <f t="shared" si="14"/>
        <v>3</v>
      </c>
      <c r="L39" s="427"/>
      <c r="M39" s="36">
        <f>IFERROR(100/'Skjema total MA'!I39*K39,0)</f>
        <v>100</v>
      </c>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506104</v>
      </c>
      <c r="C47" s="313">
        <v>543968</v>
      </c>
      <c r="D47" s="425">
        <f t="shared" ref="D47:D57" si="15">IF(B47=0, "    ---- ", IF(ABS(ROUND(100/B47*C47-100,1))&lt;999,ROUND(100/B47*C47-100,1),IF(ROUND(100/B47*C47-100,1)&gt;999,999,-999)))</f>
        <v>7.5</v>
      </c>
      <c r="E47" s="11">
        <f>IFERROR(100/'Skjema total MA'!C47*C47,0)</f>
        <v>12.166881433912907</v>
      </c>
      <c r="F47" s="145"/>
      <c r="G47" s="33"/>
      <c r="H47" s="159"/>
      <c r="I47" s="159"/>
      <c r="J47" s="37"/>
      <c r="K47" s="37"/>
      <c r="L47" s="159"/>
      <c r="M47" s="159"/>
      <c r="N47" s="148"/>
    </row>
    <row r="48" spans="1:14" s="3" customFormat="1" ht="15.6" x14ac:dyDescent="0.25">
      <c r="A48" s="38" t="s">
        <v>374</v>
      </c>
      <c r="B48" s="286">
        <v>506104</v>
      </c>
      <c r="C48" s="287">
        <v>543968</v>
      </c>
      <c r="D48" s="259">
        <f t="shared" si="15"/>
        <v>7.5</v>
      </c>
      <c r="E48" s="27">
        <f>IFERROR(100/'Skjema total MA'!C48*C48,0)</f>
        <v>21.695643775215206</v>
      </c>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v>56976</v>
      </c>
      <c r="C53" s="313">
        <v>35590</v>
      </c>
      <c r="D53" s="426">
        <f t="shared" si="15"/>
        <v>-37.5</v>
      </c>
      <c r="E53" s="11">
        <f>IFERROR(100/'Skjema total MA'!C53*C53,0)</f>
        <v>13.809132804812538</v>
      </c>
      <c r="F53" s="145"/>
      <c r="G53" s="33"/>
      <c r="H53" s="145"/>
      <c r="I53" s="145"/>
      <c r="J53" s="33"/>
      <c r="K53" s="33"/>
      <c r="L53" s="159"/>
      <c r="M53" s="159"/>
      <c r="N53" s="148"/>
    </row>
    <row r="54" spans="1:14" s="3" customFormat="1" ht="15.6" x14ac:dyDescent="0.25">
      <c r="A54" s="38" t="s">
        <v>374</v>
      </c>
      <c r="B54" s="286">
        <v>56976</v>
      </c>
      <c r="C54" s="287">
        <v>35590</v>
      </c>
      <c r="D54" s="259">
        <f t="shared" si="15"/>
        <v>-37.5</v>
      </c>
      <c r="E54" s="27">
        <f>IFERROR(100/'Skjema total MA'!C54*C54,0)</f>
        <v>14.145294262422226</v>
      </c>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v>10783</v>
      </c>
      <c r="C56" s="313">
        <v>32038</v>
      </c>
      <c r="D56" s="426">
        <f t="shared" si="15"/>
        <v>197.1</v>
      </c>
      <c r="E56" s="11">
        <f>IFERROR(100/'Skjema total MA'!C56*C56,0)</f>
        <v>26.458982292632914</v>
      </c>
      <c r="F56" s="145"/>
      <c r="G56" s="33"/>
      <c r="H56" s="145"/>
      <c r="I56" s="145"/>
      <c r="J56" s="33"/>
      <c r="K56" s="33"/>
      <c r="L56" s="159"/>
      <c r="M56" s="159"/>
      <c r="N56" s="148"/>
    </row>
    <row r="57" spans="1:14" s="3" customFormat="1" ht="15.6" x14ac:dyDescent="0.25">
      <c r="A57" s="38" t="s">
        <v>374</v>
      </c>
      <c r="B57" s="286">
        <v>10783</v>
      </c>
      <c r="C57" s="287">
        <v>32038</v>
      </c>
      <c r="D57" s="259">
        <f t="shared" si="15"/>
        <v>197.1</v>
      </c>
      <c r="E57" s="27">
        <f>IFERROR(100/'Skjema total MA'!C57*C57,0)</f>
        <v>26.460036668599294</v>
      </c>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v>1587906.875</v>
      </c>
      <c r="C66" s="354">
        <v>1641049.351</v>
      </c>
      <c r="D66" s="351">
        <f t="shared" ref="D66:D111" si="16">IF(B66=0, "    ---- ", IF(ABS(ROUND(100/B66*C66-100,1))&lt;999,ROUND(100/B66*C66-100,1),IF(ROUND(100/B66*C66-100,1)&gt;999,999,-999)))</f>
        <v>3.3</v>
      </c>
      <c r="E66" s="11">
        <f>IFERROR(100/'Skjema total MA'!C66*C66,0)</f>
        <v>26.159358043564126</v>
      </c>
      <c r="F66" s="353">
        <v>6875051.6770000001</v>
      </c>
      <c r="G66" s="353">
        <v>8060502</v>
      </c>
      <c r="H66" s="351">
        <f t="shared" ref="H66:H111" si="17">IF(F66=0, "    ---- ", IF(ABS(ROUND(100/F66*G66-100,1))&lt;999,ROUND(100/F66*G66-100,1),IF(ROUND(100/F66*G66-100,1)&gt;999,999,-999)))</f>
        <v>17.2</v>
      </c>
      <c r="I66" s="11">
        <f>IFERROR(100/'Skjema total MA'!F66*G66,0)</f>
        <v>28.716859850017009</v>
      </c>
      <c r="J66" s="311">
        <f t="shared" ref="J66:K86" si="18">SUM(B66,F66)</f>
        <v>8462958.5520000011</v>
      </c>
      <c r="K66" s="318">
        <f t="shared" si="18"/>
        <v>9701551.3509999998</v>
      </c>
      <c r="L66" s="426">
        <f t="shared" ref="L66:L111" si="19">IF(J66=0, "    ---- ", IF(ABS(ROUND(100/J66*K66-100,1))&lt;999,ROUND(100/J66*K66-100,1),IF(ROUND(100/J66*K66-100,1)&gt;999,999,-999)))</f>
        <v>14.6</v>
      </c>
      <c r="M66" s="11">
        <f>IFERROR(100/'Skjema total MA'!I66*K66,0)</f>
        <v>28.249681320910458</v>
      </c>
    </row>
    <row r="67" spans="1:14" x14ac:dyDescent="0.25">
      <c r="A67" s="21" t="s">
        <v>9</v>
      </c>
      <c r="B67" s="44">
        <v>1386100</v>
      </c>
      <c r="C67" s="145">
        <v>1439927.351</v>
      </c>
      <c r="D67" s="166">
        <f t="shared" si="16"/>
        <v>3.9</v>
      </c>
      <c r="E67" s="27">
        <f>IFERROR(100/'Skjema total MA'!C67*C67,0)</f>
        <v>32.283720086790382</v>
      </c>
      <c r="F67" s="234"/>
      <c r="G67" s="145"/>
      <c r="H67" s="166"/>
      <c r="I67" s="27"/>
      <c r="J67" s="292">
        <f t="shared" si="18"/>
        <v>1386100</v>
      </c>
      <c r="K67" s="44">
        <f t="shared" si="18"/>
        <v>1439927.351</v>
      </c>
      <c r="L67" s="259">
        <f t="shared" si="19"/>
        <v>3.9</v>
      </c>
      <c r="M67" s="27">
        <f>IFERROR(100/'Skjema total MA'!I67*K67,0)</f>
        <v>32.283720086790382</v>
      </c>
    </row>
    <row r="68" spans="1:14" x14ac:dyDescent="0.25">
      <c r="A68" s="21" t="s">
        <v>10</v>
      </c>
      <c r="B68" s="296"/>
      <c r="C68" s="297"/>
      <c r="D68" s="166"/>
      <c r="E68" s="27"/>
      <c r="F68" s="296">
        <v>6875051.6770000001</v>
      </c>
      <c r="G68" s="297">
        <v>8060502</v>
      </c>
      <c r="H68" s="166">
        <f t="shared" si="17"/>
        <v>17.2</v>
      </c>
      <c r="I68" s="27">
        <f>IFERROR(100/'Skjema total MA'!F68*G68,0)</f>
        <v>29.907017369244425</v>
      </c>
      <c r="J68" s="292">
        <f t="shared" si="18"/>
        <v>6875051.6770000001</v>
      </c>
      <c r="K68" s="44">
        <f t="shared" si="18"/>
        <v>8060502</v>
      </c>
      <c r="L68" s="259">
        <f t="shared" si="19"/>
        <v>17.2</v>
      </c>
      <c r="M68" s="27">
        <f>IFERROR(100/'Skjema total MA'!I68*K68,0)</f>
        <v>29.86826494614413</v>
      </c>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v>201806.875</v>
      </c>
      <c r="C76" s="145">
        <v>201122</v>
      </c>
      <c r="D76" s="166">
        <f t="shared" ref="D76" si="20">IF(B76=0, "    ---- ", IF(ABS(ROUND(100/B76*C76-100,1))&lt;999,ROUND(100/B76*C76-100,1),IF(ROUND(100/B76*C76-100,1)&gt;999,999,-999)))</f>
        <v>-0.3</v>
      </c>
      <c r="E76" s="27">
        <f>IFERROR(100/'Skjema total MA'!C77*C76,0)</f>
        <v>4.5680371793280052</v>
      </c>
      <c r="F76" s="234"/>
      <c r="G76" s="145"/>
      <c r="H76" s="166"/>
      <c r="I76" s="27"/>
      <c r="J76" s="292">
        <f t="shared" ref="J76" si="21">SUM(B76,F76)</f>
        <v>201806.875</v>
      </c>
      <c r="K76" s="44">
        <f t="shared" ref="K76" si="22">SUM(C76,G76)</f>
        <v>201122</v>
      </c>
      <c r="L76" s="259">
        <f t="shared" ref="L76" si="23">IF(J76=0, "    ---- ", IF(ABS(ROUND(100/J76*K76-100,1))&lt;999,ROUND(100/J76*K76-100,1),IF(ROUND(100/J76*K76-100,1)&gt;999,999,-999)))</f>
        <v>-0.3</v>
      </c>
      <c r="M76" s="27">
        <f>IFERROR(100/'Skjema total MA'!I77*K76,0)</f>
        <v>0.64163745157033603</v>
      </c>
      <c r="N76" s="148"/>
    </row>
    <row r="77" spans="1:14" ht="15.6" x14ac:dyDescent="0.25">
      <c r="A77" s="21" t="s">
        <v>380</v>
      </c>
      <c r="B77" s="234">
        <v>1359788.4480000001</v>
      </c>
      <c r="C77" s="234">
        <v>1420059.8230000001</v>
      </c>
      <c r="D77" s="166">
        <f t="shared" si="16"/>
        <v>4.4000000000000004</v>
      </c>
      <c r="E77" s="27">
        <f>IFERROR(100/'Skjema total MA'!C77*C77,0)</f>
        <v>32.253488272461226</v>
      </c>
      <c r="F77" s="234">
        <v>6875051.6770000001</v>
      </c>
      <c r="G77" s="145">
        <v>8060502</v>
      </c>
      <c r="H77" s="166">
        <f t="shared" si="17"/>
        <v>17.2</v>
      </c>
      <c r="I77" s="27">
        <f>IFERROR(100/'Skjema total MA'!F77*G77,0)</f>
        <v>29.917640226325315</v>
      </c>
      <c r="J77" s="292">
        <f t="shared" si="18"/>
        <v>8234840.125</v>
      </c>
      <c r="K77" s="44">
        <f t="shared" si="18"/>
        <v>9480561.8230000008</v>
      </c>
      <c r="L77" s="259">
        <f t="shared" si="19"/>
        <v>15.1</v>
      </c>
      <c r="M77" s="27">
        <f>IFERROR(100/'Skjema total MA'!I77*K77,0)</f>
        <v>30.245739041799208</v>
      </c>
    </row>
    <row r="78" spans="1:14" x14ac:dyDescent="0.25">
      <c r="A78" s="21" t="s">
        <v>9</v>
      </c>
      <c r="B78" s="234">
        <v>1359788.4480000001</v>
      </c>
      <c r="C78" s="145">
        <v>1420059.8230000001</v>
      </c>
      <c r="D78" s="166">
        <f t="shared" si="16"/>
        <v>4.4000000000000004</v>
      </c>
      <c r="E78" s="27">
        <f>IFERROR(100/'Skjema total MA'!C78*C78,0)</f>
        <v>32.498988000764335</v>
      </c>
      <c r="F78" s="234"/>
      <c r="G78" s="145"/>
      <c r="H78" s="166"/>
      <c r="I78" s="27"/>
      <c r="J78" s="292">
        <f t="shared" si="18"/>
        <v>1359788.4480000001</v>
      </c>
      <c r="K78" s="44">
        <f t="shared" si="18"/>
        <v>1420059.8230000001</v>
      </c>
      <c r="L78" s="259">
        <f t="shared" si="19"/>
        <v>4.4000000000000004</v>
      </c>
      <c r="M78" s="27">
        <f>IFERROR(100/'Skjema total MA'!I78*K78,0)</f>
        <v>32.498988000764335</v>
      </c>
    </row>
    <row r="79" spans="1:14" x14ac:dyDescent="0.25">
      <c r="A79" s="38" t="s">
        <v>421</v>
      </c>
      <c r="B79" s="296"/>
      <c r="C79" s="297"/>
      <c r="D79" s="166"/>
      <c r="E79" s="27"/>
      <c r="F79" s="296">
        <v>6875051.6770000001</v>
      </c>
      <c r="G79" s="297">
        <v>8060502</v>
      </c>
      <c r="H79" s="166">
        <f t="shared" si="17"/>
        <v>17.2</v>
      </c>
      <c r="I79" s="27">
        <f>IFERROR(100/'Skjema total MA'!F79*G79,0)</f>
        <v>29.917640226325315</v>
      </c>
      <c r="J79" s="292">
        <f t="shared" si="18"/>
        <v>6875051.6770000001</v>
      </c>
      <c r="K79" s="44">
        <f t="shared" si="18"/>
        <v>8060502</v>
      </c>
      <c r="L79" s="259">
        <f t="shared" si="19"/>
        <v>17.2</v>
      </c>
      <c r="M79" s="27">
        <f>IFERROR(100/'Skjema total MA'!I79*K79,0)</f>
        <v>29.880753686296046</v>
      </c>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v>26311.552</v>
      </c>
      <c r="C86" s="145">
        <v>19866.96</v>
      </c>
      <c r="D86" s="166">
        <f t="shared" si="16"/>
        <v>-24.5</v>
      </c>
      <c r="E86" s="27">
        <f>IFERROR(100/'Skjema total MA'!C86*C86,0)</f>
        <v>21.504432425640676</v>
      </c>
      <c r="F86" s="234"/>
      <c r="G86" s="145"/>
      <c r="H86" s="166"/>
      <c r="I86" s="27"/>
      <c r="J86" s="292">
        <f t="shared" si="18"/>
        <v>26311.552</v>
      </c>
      <c r="K86" s="44">
        <f t="shared" si="18"/>
        <v>19866.96</v>
      </c>
      <c r="L86" s="259">
        <f t="shared" si="19"/>
        <v>-24.5</v>
      </c>
      <c r="M86" s="27">
        <f>IFERROR(100/'Skjema total MA'!I86*K86,0)</f>
        <v>19.485966134405107</v>
      </c>
    </row>
    <row r="87" spans="1:13" ht="15.6" x14ac:dyDescent="0.25">
      <c r="A87" s="13" t="s">
        <v>363</v>
      </c>
      <c r="B87" s="354">
        <v>155890908</v>
      </c>
      <c r="C87" s="354">
        <v>158561237.38699999</v>
      </c>
      <c r="D87" s="171">
        <f t="shared" si="16"/>
        <v>1.7</v>
      </c>
      <c r="E87" s="11">
        <f>IFERROR(100/'Skjema total MA'!C87*C87,0)</f>
        <v>39.5029205353975</v>
      </c>
      <c r="F87" s="353">
        <v>88572165.280000001</v>
      </c>
      <c r="G87" s="353">
        <v>119033399.892</v>
      </c>
      <c r="H87" s="171">
        <f t="shared" si="17"/>
        <v>34.4</v>
      </c>
      <c r="I87" s="11">
        <f>IFERROR(100/'Skjema total MA'!F87*G87,0)</f>
        <v>27.998863321893175</v>
      </c>
      <c r="J87" s="311">
        <f t="shared" ref="J87:K111" si="24">SUM(B87,F87)</f>
        <v>244463073.28</v>
      </c>
      <c r="K87" s="236">
        <f t="shared" si="24"/>
        <v>277594637.27899998</v>
      </c>
      <c r="L87" s="426">
        <f t="shared" si="19"/>
        <v>13.6</v>
      </c>
      <c r="M87" s="11">
        <f>IFERROR(100/'Skjema total MA'!I87*K87,0)</f>
        <v>33.585641530628905</v>
      </c>
    </row>
    <row r="88" spans="1:13" x14ac:dyDescent="0.25">
      <c r="A88" s="21" t="s">
        <v>9</v>
      </c>
      <c r="B88" s="234">
        <v>155758250</v>
      </c>
      <c r="C88" s="145">
        <v>158418139</v>
      </c>
      <c r="D88" s="166">
        <f t="shared" si="16"/>
        <v>1.7</v>
      </c>
      <c r="E88" s="27">
        <f>IFERROR(100/'Skjema total MA'!C88*C88,0)</f>
        <v>40.800753558220414</v>
      </c>
      <c r="F88" s="234"/>
      <c r="G88" s="145"/>
      <c r="H88" s="166"/>
      <c r="I88" s="27"/>
      <c r="J88" s="292">
        <f t="shared" si="24"/>
        <v>155758250</v>
      </c>
      <c r="K88" s="44">
        <f t="shared" si="24"/>
        <v>158418139</v>
      </c>
      <c r="L88" s="259">
        <f t="shared" si="19"/>
        <v>1.7</v>
      </c>
      <c r="M88" s="27">
        <f>IFERROR(100/'Skjema total MA'!I88*K88,0)</f>
        <v>40.800753558220414</v>
      </c>
    </row>
    <row r="89" spans="1:13" x14ac:dyDescent="0.25">
      <c r="A89" s="21" t="s">
        <v>10</v>
      </c>
      <c r="B89" s="234">
        <v>95565</v>
      </c>
      <c r="C89" s="145">
        <v>94029</v>
      </c>
      <c r="D89" s="166">
        <f t="shared" si="16"/>
        <v>-1.6</v>
      </c>
      <c r="E89" s="27">
        <f>IFERROR(100/'Skjema total MA'!C89*C89,0)</f>
        <v>3.046453761844901</v>
      </c>
      <c r="F89" s="234">
        <v>88572165.280000001</v>
      </c>
      <c r="G89" s="145">
        <v>119033399.892</v>
      </c>
      <c r="H89" s="166">
        <f t="shared" si="17"/>
        <v>34.4</v>
      </c>
      <c r="I89" s="27">
        <f>IFERROR(100/'Skjema total MA'!F89*G89,0)</f>
        <v>28.290263179416314</v>
      </c>
      <c r="J89" s="292">
        <f t="shared" si="24"/>
        <v>88667730.280000001</v>
      </c>
      <c r="K89" s="44">
        <f t="shared" si="24"/>
        <v>119127428.892</v>
      </c>
      <c r="L89" s="259">
        <f t="shared" si="19"/>
        <v>34.4</v>
      </c>
      <c r="M89" s="27">
        <f>IFERROR(100/'Skjema total MA'!I89*K89,0)</f>
        <v>28.106433306075584</v>
      </c>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v>37093</v>
      </c>
      <c r="C97" s="145">
        <v>49069.387000000002</v>
      </c>
      <c r="D97" s="166">
        <f t="shared" ref="D97" si="25">IF(B97=0, "    ---- ", IF(ABS(ROUND(100/B97*C97-100,1))&lt;999,ROUND(100/B97*C97-100,1),IF(ROUND(100/B97*C97-100,1)&gt;999,999,-999)))</f>
        <v>32.299999999999997</v>
      </c>
      <c r="E97" s="27">
        <f>IFERROR(100/'Skjema total MA'!C98*C97,0)</f>
        <v>1.2682363233885304E-2</v>
      </c>
      <c r="F97" s="234"/>
      <c r="G97" s="145"/>
      <c r="H97" s="166"/>
      <c r="I97" s="27"/>
      <c r="J97" s="292">
        <f t="shared" ref="J97" si="26">SUM(B97,F97)</f>
        <v>37093</v>
      </c>
      <c r="K97" s="44">
        <f t="shared" ref="K97" si="27">SUM(C97,G97)</f>
        <v>49069.387000000002</v>
      </c>
      <c r="L97" s="259">
        <f t="shared" ref="L97" si="28">IF(J97=0, "    ---- ", IF(ABS(ROUND(100/J97*K97-100,1))&lt;999,ROUND(100/J97*K97-100,1),IF(ROUND(100/J97*K97-100,1)&gt;999,999,-999)))</f>
        <v>32.299999999999997</v>
      </c>
      <c r="M97" s="27">
        <f>IFERROR(100/'Skjema total MA'!I98*K97,0)</f>
        <v>6.0834783855152064E-3</v>
      </c>
    </row>
    <row r="98" spans="1:13" ht="15.6" x14ac:dyDescent="0.25">
      <c r="A98" s="21" t="s">
        <v>380</v>
      </c>
      <c r="B98" s="234">
        <v>154721629</v>
      </c>
      <c r="C98" s="234">
        <v>157375865.61300001</v>
      </c>
      <c r="D98" s="166">
        <f t="shared" si="16"/>
        <v>1.7</v>
      </c>
      <c r="E98" s="27">
        <f>IFERROR(100/'Skjema total MA'!C98*C98,0)</f>
        <v>40.675011732899485</v>
      </c>
      <c r="F98" s="296">
        <v>88472036.280000001</v>
      </c>
      <c r="G98" s="296">
        <v>118932458.892</v>
      </c>
      <c r="H98" s="166">
        <f t="shared" si="17"/>
        <v>34.4</v>
      </c>
      <c r="I98" s="27">
        <f>IFERROR(100/'Skjema total MA'!F98*G98,0)</f>
        <v>28.338142009859613</v>
      </c>
      <c r="J98" s="292">
        <f t="shared" si="24"/>
        <v>243193665.28</v>
      </c>
      <c r="K98" s="44">
        <f t="shared" si="24"/>
        <v>276308324.505</v>
      </c>
      <c r="L98" s="259">
        <f t="shared" si="19"/>
        <v>13.6</v>
      </c>
      <c r="M98" s="27">
        <f>IFERROR(100/'Skjema total MA'!I98*K98,0)</f>
        <v>34.255894002998019</v>
      </c>
    </row>
    <row r="99" spans="1:13" x14ac:dyDescent="0.25">
      <c r="A99" s="21" t="s">
        <v>9</v>
      </c>
      <c r="B99" s="296">
        <v>154626064</v>
      </c>
      <c r="C99" s="297">
        <v>157281836.61300001</v>
      </c>
      <c r="D99" s="166">
        <f t="shared" si="16"/>
        <v>1.7</v>
      </c>
      <c r="E99" s="27">
        <f>IFERROR(100/'Skjema total MA'!C99*C99,0)</f>
        <v>40.97760046643721</v>
      </c>
      <c r="F99" s="234"/>
      <c r="G99" s="145"/>
      <c r="H99" s="166"/>
      <c r="I99" s="27"/>
      <c r="J99" s="292">
        <f t="shared" si="24"/>
        <v>154626064</v>
      </c>
      <c r="K99" s="44">
        <f t="shared" si="24"/>
        <v>157281836.61300001</v>
      </c>
      <c r="L99" s="259">
        <f t="shared" si="19"/>
        <v>1.7</v>
      </c>
      <c r="M99" s="27">
        <f>IFERROR(100/'Skjema total MA'!I99*K99,0)</f>
        <v>40.97760046643721</v>
      </c>
    </row>
    <row r="100" spans="1:13" ht="15.6" x14ac:dyDescent="0.25">
      <c r="A100" s="38" t="s">
        <v>422</v>
      </c>
      <c r="B100" s="296">
        <v>95565</v>
      </c>
      <c r="C100" s="297">
        <v>94029</v>
      </c>
      <c r="D100" s="166">
        <f t="shared" si="16"/>
        <v>-1.6</v>
      </c>
      <c r="E100" s="27">
        <f>IFERROR(100/'Skjema total MA'!C100*C100,0)</f>
        <v>3.046453761844901</v>
      </c>
      <c r="F100" s="234">
        <v>88472036.280000001</v>
      </c>
      <c r="G100" s="234">
        <v>118932458.892</v>
      </c>
      <c r="H100" s="166">
        <f t="shared" si="17"/>
        <v>34.4</v>
      </c>
      <c r="I100" s="27">
        <f>IFERROR(100/'Skjema total MA'!F100*G100,0)</f>
        <v>28.338142009859613</v>
      </c>
      <c r="J100" s="292">
        <f t="shared" si="24"/>
        <v>88567601.280000001</v>
      </c>
      <c r="K100" s="44">
        <f t="shared" si="24"/>
        <v>119026487.892</v>
      </c>
      <c r="L100" s="259">
        <f t="shared" si="19"/>
        <v>34.4</v>
      </c>
      <c r="M100" s="27">
        <f>IFERROR(100/'Skjema total MA'!I100*K100,0)</f>
        <v>28.15349860534916</v>
      </c>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v>1132186</v>
      </c>
      <c r="C107" s="145">
        <v>1136302.287</v>
      </c>
      <c r="D107" s="166">
        <f t="shared" si="16"/>
        <v>0.4</v>
      </c>
      <c r="E107" s="27">
        <f>IFERROR(100/'Skjema total MA'!C107*C107,0)</f>
        <v>25.542626442663682</v>
      </c>
      <c r="F107" s="234">
        <v>100128.834</v>
      </c>
      <c r="G107" s="145">
        <v>100941.40300000001</v>
      </c>
      <c r="H107" s="166">
        <f t="shared" si="17"/>
        <v>0.8</v>
      </c>
      <c r="I107" s="27">
        <f>IFERROR(100/'Skjema total MA'!F107*G107,0)</f>
        <v>9.4594585742701014</v>
      </c>
      <c r="J107" s="292">
        <f t="shared" si="24"/>
        <v>1232314.834</v>
      </c>
      <c r="K107" s="44">
        <f t="shared" si="24"/>
        <v>1237243.69</v>
      </c>
      <c r="L107" s="259">
        <f t="shared" si="19"/>
        <v>0.4</v>
      </c>
      <c r="M107" s="27">
        <f>IFERROR(100/'Skjema total MA'!I107*K107,0)</f>
        <v>22.431122147785281</v>
      </c>
    </row>
    <row r="108" spans="1:13" ht="15.6" x14ac:dyDescent="0.25">
      <c r="A108" s="21" t="s">
        <v>382</v>
      </c>
      <c r="B108" s="234">
        <v>136153641</v>
      </c>
      <c r="C108" s="234">
        <v>139731565</v>
      </c>
      <c r="D108" s="166">
        <f t="shared" si="16"/>
        <v>2.6</v>
      </c>
      <c r="E108" s="27">
        <f>IFERROR(100/'Skjema total MA'!C108*C108,0)</f>
        <v>41.797058303648839</v>
      </c>
      <c r="F108" s="234">
        <v>597223.89800000004</v>
      </c>
      <c r="G108" s="234">
        <v>898032.21900000004</v>
      </c>
      <c r="H108" s="166">
        <f t="shared" si="17"/>
        <v>50.4</v>
      </c>
      <c r="I108" s="27">
        <f>IFERROR(100/'Skjema total MA'!F108*G108,0)</f>
        <v>4.4077827073227391</v>
      </c>
      <c r="J108" s="292">
        <f t="shared" si="24"/>
        <v>136750864.898</v>
      </c>
      <c r="K108" s="44">
        <f t="shared" si="24"/>
        <v>140629597.21900001</v>
      </c>
      <c r="L108" s="259">
        <f t="shared" si="19"/>
        <v>2.8</v>
      </c>
      <c r="M108" s="27">
        <f>IFERROR(100/'Skjema total MA'!I108*K108,0)</f>
        <v>39.649336698843548</v>
      </c>
    </row>
    <row r="109" spans="1:13" ht="15.6" x14ac:dyDescent="0.25">
      <c r="A109" s="38" t="s">
        <v>437</v>
      </c>
      <c r="B109" s="234">
        <v>95565</v>
      </c>
      <c r="C109" s="234">
        <v>94029</v>
      </c>
      <c r="D109" s="166">
        <f t="shared" si="16"/>
        <v>-1.6</v>
      </c>
      <c r="E109" s="27">
        <f>IFERROR(100/'Skjema total MA'!C109*C109,0)</f>
        <v>5.9635869991187889</v>
      </c>
      <c r="F109" s="234">
        <v>32636612</v>
      </c>
      <c r="G109" s="234">
        <v>42726911</v>
      </c>
      <c r="H109" s="166">
        <f t="shared" si="17"/>
        <v>30.9</v>
      </c>
      <c r="I109" s="27">
        <f>IFERROR(100/'Skjema total MA'!F109*G109,0)</f>
        <v>28.19591285254436</v>
      </c>
      <c r="J109" s="292">
        <f t="shared" si="24"/>
        <v>32732177</v>
      </c>
      <c r="K109" s="44">
        <f t="shared" si="24"/>
        <v>42820940</v>
      </c>
      <c r="L109" s="259">
        <f t="shared" si="19"/>
        <v>30.8</v>
      </c>
      <c r="M109" s="27">
        <f>IFERROR(100/'Skjema total MA'!I109*K109,0)</f>
        <v>27.966969326787098</v>
      </c>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v>147511</v>
      </c>
      <c r="C111" s="159">
        <v>253913</v>
      </c>
      <c r="D111" s="171">
        <f t="shared" si="16"/>
        <v>72.099999999999994</v>
      </c>
      <c r="E111" s="11">
        <f>IFERROR(100/'Skjema total MA'!C111*C111,0)</f>
        <v>55.260242244401816</v>
      </c>
      <c r="F111" s="310">
        <v>1923750</v>
      </c>
      <c r="G111" s="159">
        <v>18735686</v>
      </c>
      <c r="H111" s="171">
        <f t="shared" si="17"/>
        <v>873.9</v>
      </c>
      <c r="I111" s="11">
        <f>IFERROR(100/'Skjema total MA'!F111*G111,0)</f>
        <v>35.344608356842606</v>
      </c>
      <c r="J111" s="311">
        <f t="shared" si="24"/>
        <v>2071261</v>
      </c>
      <c r="K111" s="236">
        <f t="shared" si="24"/>
        <v>18989599</v>
      </c>
      <c r="L111" s="426">
        <f t="shared" si="19"/>
        <v>816.8</v>
      </c>
      <c r="M111" s="11">
        <f>IFERROR(100/'Skjema total MA'!I111*K111,0)</f>
        <v>35.515756250700242</v>
      </c>
    </row>
    <row r="112" spans="1:13" x14ac:dyDescent="0.25">
      <c r="A112" s="21" t="s">
        <v>9</v>
      </c>
      <c r="B112" s="234">
        <v>147511</v>
      </c>
      <c r="C112" s="145">
        <v>253913</v>
      </c>
      <c r="D112" s="166">
        <f t="shared" ref="D112:D124" si="29">IF(B112=0, "    ---- ", IF(ABS(ROUND(100/B112*C112-100,1))&lt;999,ROUND(100/B112*C112-100,1),IF(ROUND(100/B112*C112-100,1)&gt;999,999,-999)))</f>
        <v>72.099999999999994</v>
      </c>
      <c r="E112" s="27">
        <f>IFERROR(100/'Skjema total MA'!C112*C112,0)</f>
        <v>73.371996668251526</v>
      </c>
      <c r="F112" s="234"/>
      <c r="G112" s="145"/>
      <c r="H112" s="166"/>
      <c r="I112" s="27"/>
      <c r="J112" s="292">
        <f t="shared" ref="J112:K125" si="30">SUM(B112,F112)</f>
        <v>147511</v>
      </c>
      <c r="K112" s="44">
        <f t="shared" si="30"/>
        <v>253913</v>
      </c>
      <c r="L112" s="259">
        <f t="shared" ref="L112:L125" si="31">IF(J112=0, "    ---- ", IF(ABS(ROUND(100/J112*K112-100,1))&lt;999,ROUND(100/J112*K112-100,1),IF(ROUND(100/J112*K112-100,1)&gt;999,999,-999)))</f>
        <v>72.099999999999994</v>
      </c>
      <c r="M112" s="27">
        <f>IFERROR(100/'Skjema total MA'!I112*K112,0)</f>
        <v>71.060755119579682</v>
      </c>
    </row>
    <row r="113" spans="1:14" x14ac:dyDescent="0.25">
      <c r="A113" s="21" t="s">
        <v>10</v>
      </c>
      <c r="B113" s="234"/>
      <c r="C113" s="145"/>
      <c r="D113" s="166"/>
      <c r="E113" s="27"/>
      <c r="F113" s="234">
        <v>1923750</v>
      </c>
      <c r="G113" s="145">
        <v>18735686</v>
      </c>
      <c r="H113" s="166">
        <f t="shared" ref="H113:H125" si="32">IF(F113=0, "    ---- ", IF(ABS(ROUND(100/F113*G113-100,1))&lt;999,ROUND(100/F113*G113-100,1),IF(ROUND(100/F113*G113-100,1)&gt;999,999,-999)))</f>
        <v>873.9</v>
      </c>
      <c r="I113" s="27">
        <f>IFERROR(100/'Skjema total MA'!F113*G113,0)</f>
        <v>35.352114884540228</v>
      </c>
      <c r="J113" s="292">
        <f t="shared" si="30"/>
        <v>1923750</v>
      </c>
      <c r="K113" s="44">
        <f t="shared" si="30"/>
        <v>18735686</v>
      </c>
      <c r="L113" s="259">
        <f t="shared" si="31"/>
        <v>873.9</v>
      </c>
      <c r="M113" s="27">
        <f>IFERROR(100/'Skjema total MA'!I113*K113,0)</f>
        <v>35.351962036727933</v>
      </c>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v>54190</v>
      </c>
      <c r="C116" s="234">
        <v>46539.997000000003</v>
      </c>
      <c r="D116" s="166">
        <f t="shared" si="29"/>
        <v>-14.1</v>
      </c>
      <c r="E116" s="27">
        <f>IFERROR(100/'Skjema total MA'!C116*C116,0)</f>
        <v>63.070268634839842</v>
      </c>
      <c r="F116" s="234"/>
      <c r="G116" s="234"/>
      <c r="H116" s="166"/>
      <c r="I116" s="27"/>
      <c r="J116" s="292">
        <f t="shared" si="30"/>
        <v>54190</v>
      </c>
      <c r="K116" s="44">
        <f t="shared" si="30"/>
        <v>46539.997000000003</v>
      </c>
      <c r="L116" s="259">
        <f t="shared" si="31"/>
        <v>-14.1</v>
      </c>
      <c r="M116" s="27">
        <f>IFERROR(100/'Skjema total MA'!I116*K116,0)</f>
        <v>54.723100816288472</v>
      </c>
    </row>
    <row r="117" spans="1:14" ht="15.6" x14ac:dyDescent="0.25">
      <c r="A117" s="21" t="s">
        <v>386</v>
      </c>
      <c r="B117" s="234"/>
      <c r="C117" s="234"/>
      <c r="D117" s="166"/>
      <c r="E117" s="27"/>
      <c r="F117" s="234">
        <v>592988.87598999997</v>
      </c>
      <c r="G117" s="234">
        <v>395597.22100000002</v>
      </c>
      <c r="H117" s="166">
        <f t="shared" si="32"/>
        <v>-33.299999999999997</v>
      </c>
      <c r="I117" s="27">
        <f>IFERROR(100/'Skjema total MA'!F117*G117,0)</f>
        <v>5.2485298090451735</v>
      </c>
      <c r="J117" s="292">
        <f t="shared" si="30"/>
        <v>592988.87598999997</v>
      </c>
      <c r="K117" s="44">
        <f t="shared" si="30"/>
        <v>395597.22100000002</v>
      </c>
      <c r="L117" s="259">
        <f t="shared" si="31"/>
        <v>-33.299999999999997</v>
      </c>
      <c r="M117" s="27">
        <f>IFERROR(100/'Skjema total MA'!I117*K117,0)</f>
        <v>5.2485298090451735</v>
      </c>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v>360986</v>
      </c>
      <c r="C119" s="159">
        <v>75951.637719999999</v>
      </c>
      <c r="D119" s="171">
        <f t="shared" si="29"/>
        <v>-79</v>
      </c>
      <c r="E119" s="11">
        <f>IFERROR(100/'Skjema total MA'!C119*C119,0)</f>
        <v>16.728433224686068</v>
      </c>
      <c r="F119" s="310">
        <v>5453974</v>
      </c>
      <c r="G119" s="159">
        <v>20774229</v>
      </c>
      <c r="H119" s="171">
        <f t="shared" si="32"/>
        <v>280.89999999999998</v>
      </c>
      <c r="I119" s="11">
        <f>IFERROR(100/'Skjema total MA'!F119*G119,0)</f>
        <v>34.155875566959999</v>
      </c>
      <c r="J119" s="311">
        <f t="shared" si="30"/>
        <v>5814960</v>
      </c>
      <c r="K119" s="236">
        <f t="shared" si="30"/>
        <v>20850180.63772</v>
      </c>
      <c r="L119" s="426">
        <f t="shared" si="31"/>
        <v>258.60000000000002</v>
      </c>
      <c r="M119" s="11">
        <f>IFERROR(100/'Skjema total MA'!I119*K119,0)</f>
        <v>34.026745871728309</v>
      </c>
    </row>
    <row r="120" spans="1:14" x14ac:dyDescent="0.25">
      <c r="A120" s="21" t="s">
        <v>9</v>
      </c>
      <c r="B120" s="234">
        <v>360986</v>
      </c>
      <c r="C120" s="145">
        <v>75951.637719999999</v>
      </c>
      <c r="D120" s="166">
        <f t="shared" si="29"/>
        <v>-79</v>
      </c>
      <c r="E120" s="27">
        <f>IFERROR(100/'Skjema total MA'!C120*C120,0)</f>
        <v>23.929865319264874</v>
      </c>
      <c r="F120" s="234"/>
      <c r="G120" s="145"/>
      <c r="H120" s="166"/>
      <c r="I120" s="27"/>
      <c r="J120" s="292">
        <f t="shared" si="30"/>
        <v>360986</v>
      </c>
      <c r="K120" s="44">
        <f t="shared" si="30"/>
        <v>75951.637719999999</v>
      </c>
      <c r="L120" s="259">
        <f t="shared" si="31"/>
        <v>-79</v>
      </c>
      <c r="M120" s="27">
        <f>IFERROR(100/'Skjema total MA'!I120*K120,0)</f>
        <v>23.929865319264874</v>
      </c>
    </row>
    <row r="121" spans="1:14" x14ac:dyDescent="0.25">
      <c r="A121" s="21" t="s">
        <v>10</v>
      </c>
      <c r="B121" s="234"/>
      <c r="C121" s="145"/>
      <c r="D121" s="166"/>
      <c r="E121" s="27"/>
      <c r="F121" s="234">
        <v>5453974</v>
      </c>
      <c r="G121" s="145">
        <v>20774229</v>
      </c>
      <c r="H121" s="166">
        <f t="shared" si="32"/>
        <v>280.89999999999998</v>
      </c>
      <c r="I121" s="27">
        <f>IFERROR(100/'Skjema total MA'!F121*G121,0)</f>
        <v>34.155875566959999</v>
      </c>
      <c r="J121" s="292">
        <f t="shared" si="30"/>
        <v>5453974</v>
      </c>
      <c r="K121" s="44">
        <f t="shared" si="30"/>
        <v>20774229</v>
      </c>
      <c r="L121" s="259">
        <f t="shared" si="31"/>
        <v>280.89999999999998</v>
      </c>
      <c r="M121" s="27">
        <f>IFERROR(100/'Skjema total MA'!I121*K121,0)</f>
        <v>34.150120469789378</v>
      </c>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v>43395</v>
      </c>
      <c r="C124" s="234">
        <v>19354.378000000001</v>
      </c>
      <c r="D124" s="166">
        <f t="shared" si="29"/>
        <v>-55.4</v>
      </c>
      <c r="E124" s="27">
        <f>IFERROR(100/'Skjema total MA'!C124*C124,0)</f>
        <v>76.084427613649936</v>
      </c>
      <c r="F124" s="234"/>
      <c r="G124" s="234"/>
      <c r="H124" s="166"/>
      <c r="I124" s="27"/>
      <c r="J124" s="292">
        <f t="shared" si="30"/>
        <v>43395</v>
      </c>
      <c r="K124" s="44">
        <f t="shared" si="30"/>
        <v>19354.378000000001</v>
      </c>
      <c r="L124" s="259">
        <f t="shared" si="31"/>
        <v>-55.4</v>
      </c>
      <c r="M124" s="27">
        <f>IFERROR(100/'Skjema total MA'!I124*K124,0)</f>
        <v>28.646869620213639</v>
      </c>
    </row>
    <row r="125" spans="1:14" ht="15.6" x14ac:dyDescent="0.25">
      <c r="A125" s="21" t="s">
        <v>383</v>
      </c>
      <c r="B125" s="234"/>
      <c r="C125" s="234"/>
      <c r="D125" s="166"/>
      <c r="E125" s="27"/>
      <c r="F125" s="234">
        <v>716543.28628</v>
      </c>
      <c r="G125" s="234">
        <v>624810.09400000004</v>
      </c>
      <c r="H125" s="166">
        <f t="shared" si="32"/>
        <v>-12.8</v>
      </c>
      <c r="I125" s="27">
        <f>IFERROR(100/'Skjema total MA'!F125*G125,0)</f>
        <v>2.646829593994402</v>
      </c>
      <c r="J125" s="292">
        <f t="shared" si="30"/>
        <v>716543.28628</v>
      </c>
      <c r="K125" s="44">
        <f t="shared" si="30"/>
        <v>624810.09400000004</v>
      </c>
      <c r="L125" s="259">
        <f t="shared" si="31"/>
        <v>-12.8</v>
      </c>
      <c r="M125" s="27">
        <f>IFERROR(100/'Skjema total MA'!I125*K125,0)</f>
        <v>2.6465808969911295</v>
      </c>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605" priority="76">
      <formula>kvartal &lt; 4</formula>
    </cfRule>
  </conditionalFormatting>
  <conditionalFormatting sqref="C115">
    <cfRule type="expression" dxfId="604" priority="75">
      <formula>kvartal &lt; 4</formula>
    </cfRule>
  </conditionalFormatting>
  <conditionalFormatting sqref="B123">
    <cfRule type="expression" dxfId="603" priority="74">
      <formula>kvartal &lt; 4</formula>
    </cfRule>
  </conditionalFormatting>
  <conditionalFormatting sqref="C123">
    <cfRule type="expression" dxfId="602" priority="73">
      <formula>kvartal &lt; 4</formula>
    </cfRule>
  </conditionalFormatting>
  <conditionalFormatting sqref="F115">
    <cfRule type="expression" dxfId="601" priority="58">
      <formula>kvartal &lt; 4</formula>
    </cfRule>
  </conditionalFormatting>
  <conditionalFormatting sqref="G115">
    <cfRule type="expression" dxfId="600" priority="57">
      <formula>kvartal &lt; 4</formula>
    </cfRule>
  </conditionalFormatting>
  <conditionalFormatting sqref="F123:G123">
    <cfRule type="expression" dxfId="599" priority="56">
      <formula>kvartal &lt; 4</formula>
    </cfRule>
  </conditionalFormatting>
  <conditionalFormatting sqref="J115:K115">
    <cfRule type="expression" dxfId="598" priority="32">
      <formula>kvartal &lt; 4</formula>
    </cfRule>
  </conditionalFormatting>
  <conditionalFormatting sqref="J123:K123">
    <cfRule type="expression" dxfId="597" priority="31">
      <formula>kvartal &lt; 4</formula>
    </cfRule>
  </conditionalFormatting>
  <conditionalFormatting sqref="A50:A52">
    <cfRule type="expression" dxfId="596" priority="12">
      <formula>kvartal &lt; 4</formula>
    </cfRule>
  </conditionalFormatting>
  <conditionalFormatting sqref="A69:A74">
    <cfRule type="expression" dxfId="595" priority="10">
      <formula>kvartal &lt; 4</formula>
    </cfRule>
  </conditionalFormatting>
  <conditionalFormatting sqref="A80:A85">
    <cfRule type="expression" dxfId="594" priority="9">
      <formula>kvartal &lt; 4</formula>
    </cfRule>
  </conditionalFormatting>
  <conditionalFormatting sqref="A90:A95">
    <cfRule type="expression" dxfId="593" priority="6">
      <formula>kvartal &lt; 4</formula>
    </cfRule>
  </conditionalFormatting>
  <conditionalFormatting sqref="A101:A106">
    <cfRule type="expression" dxfId="592" priority="5">
      <formula>kvartal &lt; 4</formula>
    </cfRule>
  </conditionalFormatting>
  <conditionalFormatting sqref="A115">
    <cfRule type="expression" dxfId="591" priority="4">
      <formula>kvartal &lt; 4</formula>
    </cfRule>
  </conditionalFormatting>
  <conditionalFormatting sqref="A123">
    <cfRule type="expression" dxfId="590" priority="3">
      <formula>kvartal &lt; 4</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125</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v>269700</v>
      </c>
      <c r="C7" s="309">
        <v>291419</v>
      </c>
      <c r="D7" s="351">
        <f>IF(B7=0, "    ---- ", IF(ABS(ROUND(100/B7*C7-100,1))&lt;999,ROUND(100/B7*C7-100,1),IF(ROUND(100/B7*C7-100,1)&gt;999,999,-999)))</f>
        <v>8.1</v>
      </c>
      <c r="E7" s="11">
        <f>IFERROR(100/'Skjema total MA'!C7*C7,0)</f>
        <v>7.6418053297799142</v>
      </c>
      <c r="F7" s="308"/>
      <c r="G7" s="309"/>
      <c r="H7" s="351"/>
      <c r="I7" s="160"/>
      <c r="J7" s="310">
        <f t="shared" ref="J7:K9" si="0">SUM(B7,F7)</f>
        <v>269700</v>
      </c>
      <c r="K7" s="311">
        <f t="shared" si="0"/>
        <v>291419</v>
      </c>
      <c r="L7" s="425">
        <f>IF(J7=0, "    ---- ", IF(ABS(ROUND(100/J7*K7-100,1))&lt;999,ROUND(100/J7*K7-100,1),IF(ROUND(100/J7*K7-100,1)&gt;999,999,-999)))</f>
        <v>8.1</v>
      </c>
      <c r="M7" s="11">
        <f>IFERROR(100/'Skjema total MA'!I7*K7,0)</f>
        <v>1.9825043514539675</v>
      </c>
    </row>
    <row r="8" spans="1:14" ht="15.6" x14ac:dyDescent="0.25">
      <c r="A8" s="21" t="s">
        <v>25</v>
      </c>
      <c r="B8" s="286">
        <v>134606</v>
      </c>
      <c r="C8" s="287">
        <v>145529</v>
      </c>
      <c r="D8" s="166">
        <f t="shared" ref="D8:D9" si="1">IF(B8=0, "    ---- ", IF(ABS(ROUND(100/B8*C8-100,1))&lt;999,ROUND(100/B8*C8-100,1),IF(ROUND(100/B8*C8-100,1)&gt;999,999,-999)))</f>
        <v>8.1</v>
      </c>
      <c r="E8" s="27">
        <f>IFERROR(100/'Skjema total MA'!C8*C8,0)</f>
        <v>5.8669643517036292</v>
      </c>
      <c r="F8" s="290"/>
      <c r="G8" s="291"/>
      <c r="H8" s="166"/>
      <c r="I8" s="176"/>
      <c r="J8" s="234">
        <f t="shared" si="0"/>
        <v>134606</v>
      </c>
      <c r="K8" s="292">
        <f t="shared" si="0"/>
        <v>145529</v>
      </c>
      <c r="L8" s="166">
        <f t="shared" ref="L8:L9" si="2">IF(J8=0, "    ---- ", IF(ABS(ROUND(100/J8*K8-100,1))&lt;999,ROUND(100/J8*K8-100,1),IF(ROUND(100/J8*K8-100,1)&gt;999,999,-999)))</f>
        <v>8.1</v>
      </c>
      <c r="M8" s="27">
        <f>IFERROR(100/'Skjema total MA'!I8*K8,0)</f>
        <v>5.8669643517036292</v>
      </c>
    </row>
    <row r="9" spans="1:14" ht="15.6" x14ac:dyDescent="0.25">
      <c r="A9" s="21" t="s">
        <v>24</v>
      </c>
      <c r="B9" s="286">
        <v>135094</v>
      </c>
      <c r="C9" s="287">
        <v>145890</v>
      </c>
      <c r="D9" s="166">
        <f t="shared" si="1"/>
        <v>8</v>
      </c>
      <c r="E9" s="27">
        <f>IFERROR(100/'Skjema total MA'!C9*C9,0)</f>
        <v>18.393096354951425</v>
      </c>
      <c r="F9" s="290"/>
      <c r="G9" s="291"/>
      <c r="H9" s="166"/>
      <c r="I9" s="176"/>
      <c r="J9" s="234">
        <f t="shared" si="0"/>
        <v>135094</v>
      </c>
      <c r="K9" s="292">
        <f t="shared" si="0"/>
        <v>145890</v>
      </c>
      <c r="L9" s="166">
        <f t="shared" si="2"/>
        <v>8</v>
      </c>
      <c r="M9" s="27">
        <f>IFERROR(100/'Skjema total MA'!I9*K9,0)</f>
        <v>18.393096354951425</v>
      </c>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1"/>
      <c r="J22" s="318"/>
      <c r="K22" s="318"/>
      <c r="L22" s="425"/>
      <c r="M22" s="24"/>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c r="C28" s="292"/>
      <c r="D28" s="166"/>
      <c r="E28" s="11"/>
      <c r="F28" s="321"/>
      <c r="G28" s="321"/>
      <c r="H28" s="166"/>
      <c r="I28" s="27"/>
      <c r="J28" s="44"/>
      <c r="K28" s="44"/>
      <c r="L28" s="259"/>
      <c r="M28" s="23"/>
    </row>
    <row r="29" spans="1:14" s="3" customFormat="1" ht="15.6" x14ac:dyDescent="0.25">
      <c r="A29" s="13" t="s">
        <v>363</v>
      </c>
      <c r="B29" s="236"/>
      <c r="C29" s="236"/>
      <c r="D29" s="171"/>
      <c r="E29" s="11"/>
      <c r="F29" s="310"/>
      <c r="G29" s="310"/>
      <c r="H29" s="171"/>
      <c r="I29" s="11"/>
      <c r="J29" s="236"/>
      <c r="K29" s="236"/>
      <c r="L29" s="426"/>
      <c r="M29" s="24"/>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c r="C47" s="313"/>
      <c r="D47" s="425"/>
      <c r="E47" s="11"/>
      <c r="F47" s="145"/>
      <c r="G47" s="33"/>
      <c r="H47" s="159"/>
      <c r="I47" s="159"/>
      <c r="J47" s="37"/>
      <c r="K47" s="37"/>
      <c r="L47" s="159"/>
      <c r="M47" s="159"/>
      <c r="N47" s="148"/>
    </row>
    <row r="48" spans="1:14" s="3" customFormat="1" ht="15.6" x14ac:dyDescent="0.25">
      <c r="A48" s="38" t="s">
        <v>374</v>
      </c>
      <c r="B48" s="286"/>
      <c r="C48" s="287"/>
      <c r="D48" s="259"/>
      <c r="E48" s="27"/>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589" priority="76">
      <formula>kvartal &lt; 4</formula>
    </cfRule>
  </conditionalFormatting>
  <conditionalFormatting sqref="C115">
    <cfRule type="expression" dxfId="588" priority="75">
      <formula>kvartal &lt; 4</formula>
    </cfRule>
  </conditionalFormatting>
  <conditionalFormatting sqref="B123">
    <cfRule type="expression" dxfId="587" priority="74">
      <formula>kvartal &lt; 4</formula>
    </cfRule>
  </conditionalFormatting>
  <conditionalFormatting sqref="C123">
    <cfRule type="expression" dxfId="586" priority="73">
      <formula>kvartal &lt; 4</formula>
    </cfRule>
  </conditionalFormatting>
  <conditionalFormatting sqref="F115">
    <cfRule type="expression" dxfId="585" priority="58">
      <formula>kvartal &lt; 4</formula>
    </cfRule>
  </conditionalFormatting>
  <conditionalFormatting sqref="G115">
    <cfRule type="expression" dxfId="584" priority="57">
      <formula>kvartal &lt; 4</formula>
    </cfRule>
  </conditionalFormatting>
  <conditionalFormatting sqref="F123:G123">
    <cfRule type="expression" dxfId="583" priority="56">
      <formula>kvartal &lt; 4</formula>
    </cfRule>
  </conditionalFormatting>
  <conditionalFormatting sqref="J115:K115">
    <cfRule type="expression" dxfId="582" priority="32">
      <formula>kvartal &lt; 4</formula>
    </cfRule>
  </conditionalFormatting>
  <conditionalFormatting sqref="J123:K123">
    <cfRule type="expression" dxfId="581" priority="31">
      <formula>kvartal &lt; 4</formula>
    </cfRule>
  </conditionalFormatting>
  <conditionalFormatting sqref="A50:A52">
    <cfRule type="expression" dxfId="580" priority="12">
      <formula>kvartal &lt; 4</formula>
    </cfRule>
  </conditionalFormatting>
  <conditionalFormatting sqref="A69:A74">
    <cfRule type="expression" dxfId="579" priority="10">
      <formula>kvartal &lt; 4</formula>
    </cfRule>
  </conditionalFormatting>
  <conditionalFormatting sqref="A80:A85">
    <cfRule type="expression" dxfId="578" priority="9">
      <formula>kvartal &lt; 4</formula>
    </cfRule>
  </conditionalFormatting>
  <conditionalFormatting sqref="A90:A95">
    <cfRule type="expression" dxfId="577" priority="6">
      <formula>kvartal &lt; 4</formula>
    </cfRule>
  </conditionalFormatting>
  <conditionalFormatting sqref="A101:A106">
    <cfRule type="expression" dxfId="576" priority="5">
      <formula>kvartal &lt; 4</formula>
    </cfRule>
  </conditionalFormatting>
  <conditionalFormatting sqref="A115">
    <cfRule type="expression" dxfId="575" priority="4">
      <formula>kvartal &lt; 4</formula>
    </cfRule>
  </conditionalFormatting>
  <conditionalFormatting sqref="A123">
    <cfRule type="expression" dxfId="574" priority="3">
      <formula>kvartal &lt; 4</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1DA9-89CE-4218-BAD2-ABC9A5D34523}">
  <dimension ref="A1:N144"/>
  <sheetViews>
    <sheetView showGridLines="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420</v>
      </c>
      <c r="D1" s="26"/>
      <c r="E1" s="26"/>
      <c r="F1" s="26"/>
      <c r="G1" s="26"/>
      <c r="H1" s="26"/>
      <c r="I1" s="26"/>
      <c r="J1" s="26"/>
      <c r="K1" s="26"/>
      <c r="L1" s="26"/>
      <c r="M1" s="26"/>
    </row>
    <row r="2" spans="1:14" ht="15.6" x14ac:dyDescent="0.3">
      <c r="A2" s="165" t="s">
        <v>28</v>
      </c>
      <c r="B2" s="723"/>
      <c r="C2" s="723"/>
      <c r="D2" s="723"/>
      <c r="E2" s="670"/>
      <c r="F2" s="723"/>
      <c r="G2" s="723"/>
      <c r="H2" s="723"/>
      <c r="I2" s="670"/>
      <c r="J2" s="723"/>
      <c r="K2" s="723"/>
      <c r="L2" s="723"/>
      <c r="M2" s="670"/>
    </row>
    <row r="3" spans="1:14" ht="15.6" x14ac:dyDescent="0.3">
      <c r="A3" s="163"/>
      <c r="B3" s="670"/>
      <c r="C3" s="670"/>
      <c r="D3" s="670"/>
      <c r="E3" s="670"/>
      <c r="F3" s="670"/>
      <c r="G3" s="670"/>
      <c r="H3" s="670"/>
      <c r="I3" s="670"/>
      <c r="J3" s="670"/>
      <c r="K3" s="670"/>
      <c r="L3" s="670"/>
      <c r="M3" s="670"/>
    </row>
    <row r="4" spans="1:14" x14ac:dyDescent="0.25">
      <c r="A4" s="144"/>
      <c r="B4" s="724" t="s">
        <v>0</v>
      </c>
      <c r="C4" s="725"/>
      <c r="D4" s="725"/>
      <c r="E4" s="668"/>
      <c r="F4" s="724" t="s">
        <v>1</v>
      </c>
      <c r="G4" s="725"/>
      <c r="H4" s="725"/>
      <c r="I4" s="669"/>
      <c r="J4" s="724" t="s">
        <v>2</v>
      </c>
      <c r="K4" s="725"/>
      <c r="L4" s="725"/>
      <c r="M4" s="669"/>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c r="C7" s="309"/>
      <c r="D7" s="351"/>
      <c r="E7" s="11"/>
      <c r="F7" s="308"/>
      <c r="G7" s="309"/>
      <c r="H7" s="351"/>
      <c r="I7" s="160"/>
      <c r="J7" s="310"/>
      <c r="K7" s="311"/>
      <c r="L7" s="425"/>
      <c r="M7" s="11"/>
    </row>
    <row r="8" spans="1:14" ht="15.6" x14ac:dyDescent="0.25">
      <c r="A8" s="21" t="s">
        <v>25</v>
      </c>
      <c r="B8" s="286"/>
      <c r="C8" s="287"/>
      <c r="D8" s="166"/>
      <c r="E8" s="27"/>
      <c r="F8" s="290"/>
      <c r="G8" s="291"/>
      <c r="H8" s="166"/>
      <c r="I8" s="176"/>
      <c r="J8" s="234"/>
      <c r="K8" s="292"/>
      <c r="L8" s="166"/>
      <c r="M8" s="27"/>
    </row>
    <row r="9" spans="1:14" ht="15.6" x14ac:dyDescent="0.25">
      <c r="A9" s="21" t="s">
        <v>24</v>
      </c>
      <c r="B9" s="286"/>
      <c r="C9" s="287"/>
      <c r="D9" s="166"/>
      <c r="E9" s="27"/>
      <c r="F9" s="290"/>
      <c r="G9" s="291"/>
      <c r="H9" s="166"/>
      <c r="I9" s="176"/>
      <c r="J9" s="234"/>
      <c r="K9" s="292"/>
      <c r="L9" s="166"/>
      <c r="M9" s="27"/>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670"/>
      <c r="F18" s="726"/>
      <c r="G18" s="726"/>
      <c r="H18" s="726"/>
      <c r="I18" s="670"/>
      <c r="J18" s="726"/>
      <c r="K18" s="726"/>
      <c r="L18" s="726"/>
      <c r="M18" s="670"/>
    </row>
    <row r="19" spans="1:14" x14ac:dyDescent="0.25">
      <c r="A19" s="144"/>
      <c r="B19" s="724" t="s">
        <v>0</v>
      </c>
      <c r="C19" s="725"/>
      <c r="D19" s="725"/>
      <c r="E19" s="668"/>
      <c r="F19" s="724" t="s">
        <v>1</v>
      </c>
      <c r="G19" s="725"/>
      <c r="H19" s="725"/>
      <c r="I19" s="669"/>
      <c r="J19" s="724" t="s">
        <v>2</v>
      </c>
      <c r="K19" s="725"/>
      <c r="L19" s="725"/>
      <c r="M19" s="669"/>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414"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60"/>
      <c r="J22" s="318"/>
      <c r="K22" s="318"/>
      <c r="L22" s="425"/>
      <c r="M22" s="24"/>
    </row>
    <row r="23" spans="1:14" ht="15.6" x14ac:dyDescent="0.25">
      <c r="A23" s="581" t="s">
        <v>366</v>
      </c>
      <c r="B23" s="286"/>
      <c r="C23" s="286"/>
      <c r="D23" s="166"/>
      <c r="E23" s="11"/>
      <c r="F23" s="295"/>
      <c r="G23" s="295"/>
      <c r="H23" s="166"/>
      <c r="I23" s="240"/>
      <c r="J23" s="295"/>
      <c r="K23" s="295"/>
      <c r="L23" s="166"/>
      <c r="M23" s="23"/>
    </row>
    <row r="24" spans="1:14" ht="15.6" x14ac:dyDescent="0.25">
      <c r="A24" s="581" t="s">
        <v>367</v>
      </c>
      <c r="B24" s="286"/>
      <c r="C24" s="286"/>
      <c r="D24" s="166"/>
      <c r="E24" s="11"/>
      <c r="F24" s="295"/>
      <c r="G24" s="295"/>
      <c r="H24" s="166"/>
      <c r="I24" s="240"/>
      <c r="J24" s="295"/>
      <c r="K24" s="295"/>
      <c r="L24" s="166"/>
      <c r="M24" s="23"/>
    </row>
    <row r="25" spans="1:14" ht="15.6" x14ac:dyDescent="0.25">
      <c r="A25" s="581" t="s">
        <v>368</v>
      </c>
      <c r="B25" s="286"/>
      <c r="C25" s="286"/>
      <c r="D25" s="166"/>
      <c r="E25" s="11"/>
      <c r="F25" s="295"/>
      <c r="G25" s="295"/>
      <c r="H25" s="166"/>
      <c r="I25" s="240"/>
      <c r="J25" s="295"/>
      <c r="K25" s="295"/>
      <c r="L25" s="166"/>
      <c r="M25" s="23"/>
    </row>
    <row r="26" spans="1:14" ht="15.6" x14ac:dyDescent="0.25">
      <c r="A26" s="581" t="s">
        <v>369</v>
      </c>
      <c r="B26" s="286"/>
      <c r="C26" s="286"/>
      <c r="D26" s="166"/>
      <c r="E26" s="11"/>
      <c r="F26" s="295"/>
      <c r="G26" s="295"/>
      <c r="H26" s="166"/>
      <c r="I26" s="240"/>
      <c r="J26" s="295"/>
      <c r="K26" s="295"/>
      <c r="L26" s="166"/>
      <c r="M26" s="23"/>
    </row>
    <row r="27" spans="1:14" x14ac:dyDescent="0.25">
      <c r="A27" s="581" t="s">
        <v>11</v>
      </c>
      <c r="B27" s="286"/>
      <c r="C27" s="286"/>
      <c r="D27" s="166"/>
      <c r="E27" s="11"/>
      <c r="F27" s="295"/>
      <c r="G27" s="295"/>
      <c r="H27" s="166"/>
      <c r="I27" s="240"/>
      <c r="J27" s="295"/>
      <c r="K27" s="295"/>
      <c r="L27" s="166"/>
      <c r="M27" s="23"/>
    </row>
    <row r="28" spans="1:14" ht="15.6" x14ac:dyDescent="0.25">
      <c r="A28" s="49" t="s">
        <v>274</v>
      </c>
      <c r="B28" s="44"/>
      <c r="C28" s="292"/>
      <c r="D28" s="166"/>
      <c r="E28" s="11"/>
      <c r="F28" s="321"/>
      <c r="G28" s="321"/>
      <c r="H28" s="166"/>
      <c r="I28" s="176"/>
      <c r="J28" s="44"/>
      <c r="K28" s="44"/>
      <c r="L28" s="259"/>
      <c r="M28" s="23"/>
    </row>
    <row r="29" spans="1:14" s="3" customFormat="1" ht="15.6" x14ac:dyDescent="0.25">
      <c r="A29" s="13" t="s">
        <v>363</v>
      </c>
      <c r="B29" s="236"/>
      <c r="C29" s="236"/>
      <c r="D29" s="171"/>
      <c r="E29" s="11"/>
      <c r="F29" s="310"/>
      <c r="G29" s="310"/>
      <c r="H29" s="171"/>
      <c r="I29" s="160"/>
      <c r="J29" s="236"/>
      <c r="K29" s="236"/>
      <c r="L29" s="426"/>
      <c r="M29" s="24"/>
      <c r="N29" s="148"/>
    </row>
    <row r="30" spans="1:14" s="3" customFormat="1" ht="15.6" x14ac:dyDescent="0.25">
      <c r="A30" s="581" t="s">
        <v>366</v>
      </c>
      <c r="B30" s="286"/>
      <c r="C30" s="286"/>
      <c r="D30" s="166"/>
      <c r="E30" s="11"/>
      <c r="F30" s="295"/>
      <c r="G30" s="295"/>
      <c r="H30" s="166"/>
      <c r="I30" s="240"/>
      <c r="J30" s="295"/>
      <c r="K30" s="295"/>
      <c r="L30" s="166"/>
      <c r="M30" s="23"/>
      <c r="N30" s="148"/>
    </row>
    <row r="31" spans="1:14" s="3" customFormat="1" ht="15.6" x14ac:dyDescent="0.25">
      <c r="A31" s="581" t="s">
        <v>367</v>
      </c>
      <c r="B31" s="286"/>
      <c r="C31" s="286"/>
      <c r="D31" s="166"/>
      <c r="E31" s="11"/>
      <c r="F31" s="295"/>
      <c r="G31" s="295"/>
      <c r="H31" s="166"/>
      <c r="I31" s="240"/>
      <c r="J31" s="295"/>
      <c r="K31" s="295"/>
      <c r="L31" s="166"/>
      <c r="M31" s="23"/>
      <c r="N31" s="148"/>
    </row>
    <row r="32" spans="1:14" ht="15.6" x14ac:dyDescent="0.25">
      <c r="A32" s="581" t="s">
        <v>368</v>
      </c>
      <c r="B32" s="286"/>
      <c r="C32" s="286"/>
      <c r="D32" s="166"/>
      <c r="E32" s="11"/>
      <c r="F32" s="295"/>
      <c r="G32" s="295"/>
      <c r="H32" s="166"/>
      <c r="I32" s="240"/>
      <c r="J32" s="295"/>
      <c r="K32" s="295"/>
      <c r="L32" s="166"/>
      <c r="M32" s="23"/>
    </row>
    <row r="33" spans="1:14" ht="15.6" x14ac:dyDescent="0.25">
      <c r="A33" s="581" t="s">
        <v>369</v>
      </c>
      <c r="B33" s="286"/>
      <c r="C33" s="286"/>
      <c r="D33" s="166"/>
      <c r="E33" s="11"/>
      <c r="F33" s="295"/>
      <c r="G33" s="295"/>
      <c r="H33" s="166"/>
      <c r="I33" s="240"/>
      <c r="J33" s="295"/>
      <c r="K33" s="295"/>
      <c r="L33" s="166"/>
      <c r="M33" s="23"/>
    </row>
    <row r="34" spans="1:14" ht="15.6" x14ac:dyDescent="0.25">
      <c r="A34" s="13" t="s">
        <v>364</v>
      </c>
      <c r="B34" s="236"/>
      <c r="C34" s="311"/>
      <c r="D34" s="171"/>
      <c r="E34" s="11"/>
      <c r="F34" s="310"/>
      <c r="G34" s="311"/>
      <c r="H34" s="171"/>
      <c r="I34" s="160"/>
      <c r="J34" s="236"/>
      <c r="K34" s="236"/>
      <c r="L34" s="426"/>
      <c r="M34" s="24"/>
    </row>
    <row r="35" spans="1:14" ht="15.6" x14ac:dyDescent="0.25">
      <c r="A35" s="13" t="s">
        <v>365</v>
      </c>
      <c r="B35" s="236"/>
      <c r="C35" s="311"/>
      <c r="D35" s="171"/>
      <c r="E35" s="11"/>
      <c r="F35" s="310"/>
      <c r="G35" s="311"/>
      <c r="H35" s="171"/>
      <c r="I35" s="160"/>
      <c r="J35" s="236"/>
      <c r="K35" s="236"/>
      <c r="L35" s="426"/>
      <c r="M35" s="24"/>
    </row>
    <row r="36" spans="1:14" ht="15.6" x14ac:dyDescent="0.25">
      <c r="A36" s="12" t="s">
        <v>282</v>
      </c>
      <c r="B36" s="236"/>
      <c r="C36" s="311"/>
      <c r="D36" s="171"/>
      <c r="E36" s="11"/>
      <c r="F36" s="321"/>
      <c r="G36" s="322"/>
      <c r="H36" s="171"/>
      <c r="I36" s="428"/>
      <c r="J36" s="236"/>
      <c r="K36" s="236"/>
      <c r="L36" s="426"/>
      <c r="M36" s="24"/>
    </row>
    <row r="37" spans="1:14" ht="15.6" x14ac:dyDescent="0.25">
      <c r="A37" s="12" t="s">
        <v>371</v>
      </c>
      <c r="B37" s="236"/>
      <c r="C37" s="311"/>
      <c r="D37" s="171"/>
      <c r="E37" s="11"/>
      <c r="F37" s="321"/>
      <c r="G37" s="323"/>
      <c r="H37" s="171"/>
      <c r="I37" s="428"/>
      <c r="J37" s="236"/>
      <c r="K37" s="236"/>
      <c r="L37" s="426"/>
      <c r="M37" s="24"/>
    </row>
    <row r="38" spans="1:14" ht="15.6" x14ac:dyDescent="0.25">
      <c r="A38" s="12" t="s">
        <v>372</v>
      </c>
      <c r="B38" s="236"/>
      <c r="C38" s="311"/>
      <c r="D38" s="171"/>
      <c r="E38" s="24"/>
      <c r="F38" s="321"/>
      <c r="G38" s="322"/>
      <c r="H38" s="171"/>
      <c r="I38" s="428"/>
      <c r="J38" s="236"/>
      <c r="K38" s="236"/>
      <c r="L38" s="426"/>
      <c r="M38" s="24"/>
    </row>
    <row r="39" spans="1:14" ht="15.6" x14ac:dyDescent="0.25">
      <c r="A39" s="18" t="s">
        <v>373</v>
      </c>
      <c r="B39" s="281"/>
      <c r="C39" s="317"/>
      <c r="D39" s="169"/>
      <c r="E39" s="36"/>
      <c r="F39" s="324"/>
      <c r="G39" s="325"/>
      <c r="H39" s="169"/>
      <c r="I39" s="169"/>
      <c r="J39" s="236"/>
      <c r="K39" s="236"/>
      <c r="L39" s="427"/>
      <c r="M39" s="36"/>
    </row>
    <row r="40" spans="1:14" ht="15.6" x14ac:dyDescent="0.3">
      <c r="A40" s="47"/>
      <c r="B40" s="258"/>
      <c r="C40" s="258"/>
      <c r="D40" s="727"/>
      <c r="E40" s="727"/>
      <c r="F40" s="727"/>
      <c r="G40" s="727"/>
      <c r="H40" s="727"/>
      <c r="I40" s="727"/>
      <c r="J40" s="727"/>
      <c r="K40" s="727"/>
      <c r="L40" s="727"/>
      <c r="M40" s="671"/>
    </row>
    <row r="41" spans="1:14" x14ac:dyDescent="0.25">
      <c r="A41" s="155"/>
    </row>
    <row r="42" spans="1:14" ht="15.6" x14ac:dyDescent="0.3">
      <c r="A42" s="147" t="s">
        <v>271</v>
      </c>
      <c r="B42" s="723"/>
      <c r="C42" s="723"/>
      <c r="D42" s="723"/>
      <c r="E42" s="670"/>
      <c r="F42" s="728"/>
      <c r="G42" s="728"/>
      <c r="H42" s="728"/>
      <c r="I42" s="671"/>
      <c r="J42" s="728"/>
      <c r="K42" s="728"/>
      <c r="L42" s="728"/>
      <c r="M42" s="671"/>
    </row>
    <row r="43" spans="1:14" ht="15.6" x14ac:dyDescent="0.3">
      <c r="A43" s="163"/>
      <c r="B43" s="666"/>
      <c r="C43" s="666"/>
      <c r="D43" s="666"/>
      <c r="E43" s="666"/>
      <c r="F43" s="671"/>
      <c r="G43" s="671"/>
      <c r="H43" s="671"/>
      <c r="I43" s="671"/>
      <c r="J43" s="671"/>
      <c r="K43" s="671"/>
      <c r="L43" s="671"/>
      <c r="M43" s="671"/>
    </row>
    <row r="44" spans="1:14" ht="15.6" x14ac:dyDescent="0.3">
      <c r="A44" s="249"/>
      <c r="B44" s="724" t="s">
        <v>0</v>
      </c>
      <c r="C44" s="725"/>
      <c r="D44" s="725"/>
      <c r="E44" s="244"/>
      <c r="F44" s="671"/>
      <c r="G44" s="671"/>
      <c r="H44" s="671"/>
      <c r="I44" s="671"/>
      <c r="J44" s="671"/>
      <c r="K44" s="671"/>
      <c r="L44" s="671"/>
      <c r="M44" s="671"/>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c r="C47" s="313">
        <v>10359.611999999999</v>
      </c>
      <c r="D47" s="425" t="str">
        <f t="shared" ref="D47:D55" si="0">IF(B47=0, "    ---- ", IF(ABS(ROUND(100/B47*C47-100,1))&lt;999,ROUND(100/B47*C47-100,1),IF(ROUND(100/B47*C47-100,1)&gt;999,999,-999)))</f>
        <v xml:space="preserve">    ---- </v>
      </c>
      <c r="E47" s="11">
        <f>IFERROR(100/'Skjema total MA'!C47*C47,0)</f>
        <v>0.23171247372150816</v>
      </c>
      <c r="F47" s="145"/>
      <c r="G47" s="33"/>
      <c r="H47" s="159"/>
      <c r="I47" s="159"/>
      <c r="J47" s="37"/>
      <c r="K47" s="37"/>
      <c r="L47" s="159"/>
      <c r="M47" s="159"/>
      <c r="N47" s="148"/>
    </row>
    <row r="48" spans="1:14" s="3" customFormat="1" ht="15.6" x14ac:dyDescent="0.25">
      <c r="A48" s="38" t="s">
        <v>374</v>
      </c>
      <c r="B48" s="286"/>
      <c r="C48" s="287">
        <v>9418.0439999999999</v>
      </c>
      <c r="D48" s="259" t="str">
        <f t="shared" si="0"/>
        <v xml:space="preserve">    ---- </v>
      </c>
      <c r="E48" s="27">
        <f>IFERROR(100/'Skjema total MA'!C48*C48,0)</f>
        <v>0.37562968351686665</v>
      </c>
      <c r="F48" s="145"/>
      <c r="G48" s="33"/>
      <c r="H48" s="145"/>
      <c r="I48" s="145"/>
      <c r="J48" s="33"/>
      <c r="K48" s="33"/>
      <c r="L48" s="159"/>
      <c r="M48" s="159"/>
      <c r="N48" s="148"/>
    </row>
    <row r="49" spans="1:14" s="3" customFormat="1" ht="15.6" x14ac:dyDescent="0.25">
      <c r="A49" s="38" t="s">
        <v>375</v>
      </c>
      <c r="B49" s="44"/>
      <c r="C49" s="292">
        <v>941.56799999999998</v>
      </c>
      <c r="D49" s="259" t="str">
        <f>IF(B49=0, "    ---- ", IF(ABS(ROUND(100/B49*C49-100,1))&lt;999,ROUND(100/B49*C49-100,1),IF(ROUND(100/B49*C49-100,1)&gt;999,999,-999)))</f>
        <v xml:space="preserve">    ---- </v>
      </c>
      <c r="E49" s="27">
        <f>IFERROR(100/'Skjema total MA'!C49*C49,0)</f>
        <v>4.7950557413667633E-2</v>
      </c>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v>10359.611999999999</v>
      </c>
      <c r="D53" s="426" t="str">
        <f t="shared" si="0"/>
        <v xml:space="preserve">    ---- </v>
      </c>
      <c r="E53" s="11">
        <f>IFERROR(100/'Skjema total MA'!C53*C53,0)</f>
        <v>4.0195913996720884</v>
      </c>
      <c r="F53" s="145"/>
      <c r="G53" s="33"/>
      <c r="H53" s="145"/>
      <c r="I53" s="145"/>
      <c r="J53" s="33"/>
      <c r="K53" s="33"/>
      <c r="L53" s="159"/>
      <c r="M53" s="159"/>
      <c r="N53" s="148"/>
    </row>
    <row r="54" spans="1:14" s="3" customFormat="1" ht="15.6" x14ac:dyDescent="0.25">
      <c r="A54" s="38" t="s">
        <v>374</v>
      </c>
      <c r="B54" s="286"/>
      <c r="C54" s="287">
        <v>9418.0439999999999</v>
      </c>
      <c r="D54" s="259" t="str">
        <f t="shared" si="0"/>
        <v xml:space="preserve">    ---- </v>
      </c>
      <c r="E54" s="27">
        <f>IFERROR(100/'Skjema total MA'!C54*C54,0)</f>
        <v>3.7432144916111287</v>
      </c>
      <c r="F54" s="145"/>
      <c r="G54" s="33"/>
      <c r="H54" s="145"/>
      <c r="I54" s="145"/>
      <c r="J54" s="33"/>
      <c r="K54" s="33"/>
      <c r="L54" s="159"/>
      <c r="M54" s="159"/>
      <c r="N54" s="148"/>
    </row>
    <row r="55" spans="1:14" s="3" customFormat="1" ht="15.6" x14ac:dyDescent="0.25">
      <c r="A55" s="38" t="s">
        <v>375</v>
      </c>
      <c r="B55" s="286"/>
      <c r="C55" s="287">
        <v>941.56799999999998</v>
      </c>
      <c r="D55" s="259" t="str">
        <f t="shared" si="0"/>
        <v xml:space="preserve">    ---- </v>
      </c>
      <c r="E55" s="27">
        <f>IFERROR(100/'Skjema total MA'!C55*C55,0)</f>
        <v>18.165377304198032</v>
      </c>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670"/>
      <c r="F62" s="726"/>
      <c r="G62" s="726"/>
      <c r="H62" s="726"/>
      <c r="I62" s="670"/>
      <c r="J62" s="726"/>
      <c r="K62" s="726"/>
      <c r="L62" s="726"/>
      <c r="M62" s="670"/>
    </row>
    <row r="63" spans="1:14" x14ac:dyDescent="0.25">
      <c r="A63" s="144"/>
      <c r="B63" s="724" t="s">
        <v>0</v>
      </c>
      <c r="C63" s="725"/>
      <c r="D63" s="729"/>
      <c r="E63" s="667"/>
      <c r="F63" s="725" t="s">
        <v>1</v>
      </c>
      <c r="G63" s="725"/>
      <c r="H63" s="725"/>
      <c r="I63" s="669"/>
      <c r="J63" s="724" t="s">
        <v>2</v>
      </c>
      <c r="K63" s="725"/>
      <c r="L63" s="725"/>
      <c r="M63" s="669"/>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21"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670"/>
      <c r="F130" s="726"/>
      <c r="G130" s="726"/>
      <c r="H130" s="726"/>
      <c r="I130" s="670"/>
      <c r="J130" s="726"/>
      <c r="K130" s="726"/>
      <c r="L130" s="726"/>
      <c r="M130" s="670"/>
    </row>
    <row r="131" spans="1:14" s="3" customFormat="1" x14ac:dyDescent="0.25">
      <c r="A131" s="144"/>
      <c r="B131" s="724" t="s">
        <v>0</v>
      </c>
      <c r="C131" s="725"/>
      <c r="D131" s="725"/>
      <c r="E131" s="668"/>
      <c r="F131" s="724" t="s">
        <v>1</v>
      </c>
      <c r="G131" s="725"/>
      <c r="H131" s="725"/>
      <c r="I131" s="669"/>
      <c r="J131" s="724" t="s">
        <v>2</v>
      </c>
      <c r="K131" s="725"/>
      <c r="L131" s="725"/>
      <c r="M131" s="669"/>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115">
    <cfRule type="expression" dxfId="573" priority="42">
      <formula>kvartal &lt; 4</formula>
    </cfRule>
  </conditionalFormatting>
  <conditionalFormatting sqref="C115">
    <cfRule type="expression" dxfId="572" priority="41">
      <formula>kvartal &lt; 4</formula>
    </cfRule>
  </conditionalFormatting>
  <conditionalFormatting sqref="B123">
    <cfRule type="expression" dxfId="571" priority="40">
      <formula>kvartal &lt; 4</formula>
    </cfRule>
  </conditionalFormatting>
  <conditionalFormatting sqref="C123">
    <cfRule type="expression" dxfId="570" priority="39">
      <formula>kvartal &lt; 4</formula>
    </cfRule>
  </conditionalFormatting>
  <conditionalFormatting sqref="F115">
    <cfRule type="expression" dxfId="569" priority="28">
      <formula>kvartal &lt; 4</formula>
    </cfRule>
  </conditionalFormatting>
  <conditionalFormatting sqref="G115">
    <cfRule type="expression" dxfId="568" priority="27">
      <formula>kvartal &lt; 4</formula>
    </cfRule>
  </conditionalFormatting>
  <conditionalFormatting sqref="F123:G123">
    <cfRule type="expression" dxfId="567" priority="26">
      <formula>kvartal &lt; 4</formula>
    </cfRule>
  </conditionalFormatting>
  <conditionalFormatting sqref="J115:K115">
    <cfRule type="expression" dxfId="566" priority="9">
      <formula>kvartal &lt; 4</formula>
    </cfRule>
  </conditionalFormatting>
  <conditionalFormatting sqref="J123:K123">
    <cfRule type="expression" dxfId="565" priority="8">
      <formula>kvartal &lt; 4</formula>
    </cfRule>
  </conditionalFormatting>
  <conditionalFormatting sqref="A50:A52">
    <cfRule type="expression" dxfId="564" priority="7">
      <formula>kvartal &lt; 4</formula>
    </cfRule>
  </conditionalFormatting>
  <conditionalFormatting sqref="A69:A74">
    <cfRule type="expression" dxfId="563" priority="6">
      <formula>kvartal &lt; 4</formula>
    </cfRule>
  </conditionalFormatting>
  <conditionalFormatting sqref="A80:A85">
    <cfRule type="expression" dxfId="562" priority="5">
      <formula>kvartal &lt; 4</formula>
    </cfRule>
  </conditionalFormatting>
  <conditionalFormatting sqref="A90:A95">
    <cfRule type="expression" dxfId="561" priority="4">
      <formula>kvartal &lt; 4</formula>
    </cfRule>
  </conditionalFormatting>
  <conditionalFormatting sqref="A101:A106">
    <cfRule type="expression" dxfId="560" priority="3">
      <formula>kvartal &lt; 4</formula>
    </cfRule>
  </conditionalFormatting>
  <conditionalFormatting sqref="A115">
    <cfRule type="expression" dxfId="559" priority="2">
      <formula>kvartal &lt; 4</formula>
    </cfRule>
  </conditionalFormatting>
  <conditionalFormatting sqref="A123">
    <cfRule type="expression" dxfId="558" priority="1">
      <formula>kvartal &lt; 4</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N144"/>
  <sheetViews>
    <sheetView showGridLines="0" zoomScaleNormal="100" workbookViewId="0">
      <pane xSplit="1" topLeftCell="B1" activePane="topRight" state="frozen"/>
      <selection activeCell="B103" sqref="B103"/>
      <selection pane="topRight"/>
    </sheetView>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400</v>
      </c>
      <c r="D1" s="26"/>
      <c r="E1" s="26"/>
      <c r="F1" s="26"/>
      <c r="G1" s="26"/>
      <c r="H1" s="26"/>
      <c r="I1" s="26"/>
      <c r="J1" s="26"/>
      <c r="K1" s="26"/>
      <c r="L1" s="26"/>
      <c r="M1" s="26"/>
    </row>
    <row r="2" spans="1:14" ht="15.6" x14ac:dyDescent="0.3">
      <c r="A2" s="165" t="s">
        <v>28</v>
      </c>
      <c r="B2" s="360"/>
      <c r="C2" s="360"/>
      <c r="D2" s="360"/>
      <c r="E2" s="360"/>
      <c r="F2" s="360"/>
      <c r="G2" s="360"/>
      <c r="H2" s="360"/>
      <c r="I2" s="360"/>
      <c r="J2" s="360"/>
      <c r="K2" s="360"/>
      <c r="L2" s="360"/>
      <c r="M2" s="360"/>
    </row>
    <row r="3" spans="1:14" ht="15.6" x14ac:dyDescent="0.3">
      <c r="A3" s="163"/>
      <c r="B3" s="360"/>
      <c r="C3" s="360"/>
      <c r="D3" s="360"/>
      <c r="E3" s="360"/>
      <c r="F3" s="360"/>
      <c r="G3" s="360"/>
      <c r="H3" s="360"/>
      <c r="I3" s="360"/>
      <c r="J3" s="360"/>
      <c r="K3" s="360"/>
      <c r="L3" s="360"/>
      <c r="M3" s="360"/>
    </row>
    <row r="4" spans="1:14" x14ac:dyDescent="0.25">
      <c r="A4" s="144"/>
      <c r="B4" s="724" t="s">
        <v>0</v>
      </c>
      <c r="C4" s="725"/>
      <c r="D4" s="725"/>
      <c r="E4" s="357"/>
      <c r="F4" s="724" t="s">
        <v>1</v>
      </c>
      <c r="G4" s="725"/>
      <c r="H4" s="725"/>
      <c r="I4" s="358"/>
      <c r="J4" s="724" t="s">
        <v>2</v>
      </c>
      <c r="K4" s="725"/>
      <c r="L4" s="725"/>
      <c r="M4" s="358"/>
    </row>
    <row r="5" spans="1:14" x14ac:dyDescent="0.25">
      <c r="A5" s="158"/>
      <c r="B5" s="152" t="s">
        <v>435</v>
      </c>
      <c r="C5" s="152" t="s">
        <v>436</v>
      </c>
      <c r="D5" s="246" t="s">
        <v>3</v>
      </c>
      <c r="E5" s="307" t="s">
        <v>29</v>
      </c>
      <c r="F5" s="152" t="s">
        <v>435</v>
      </c>
      <c r="G5" s="152" t="s">
        <v>436</v>
      </c>
      <c r="H5" s="246" t="s">
        <v>3</v>
      </c>
      <c r="I5" s="307"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63">
        <v>902772</v>
      </c>
      <c r="C7" s="364">
        <v>890408.8432999996</v>
      </c>
      <c r="D7" s="372">
        <f t="shared" ref="D7:D10" si="0">IF(AND(_xlfn.NUMBERVALUE(B7)=0,_xlfn.NUMBERVALUE(C7)=0),,IF(B7=0, "    ---- ", IF(ABS(ROUND(100/B7*C7-100,1))&lt;999,IF(ROUND(100/B7*C7-100,1)=0,"    ---- ",ROUND(100/B7*C7-100,1)),IF(ROUND(100/B7*C7-100,1)&gt;999,999,-999))))</f>
        <v>-1.4</v>
      </c>
      <c r="E7" s="27">
        <f>IFERROR(100/'Skjema total MA'!C7*C7,0)</f>
        <v>23.348961613392074</v>
      </c>
      <c r="F7" s="363"/>
      <c r="G7" s="364"/>
      <c r="H7" s="372"/>
      <c r="I7" s="373"/>
      <c r="J7" s="374">
        <f t="shared" ref="J7:K10" si="1">SUM(B7,F7)</f>
        <v>902772</v>
      </c>
      <c r="K7" s="369">
        <f t="shared" si="1"/>
        <v>890408.8432999996</v>
      </c>
      <c r="L7" s="372">
        <f t="shared" ref="L7:L10" si="2">IF(AND(_xlfn.NUMBERVALUE(J7)=0,_xlfn.NUMBERVALUE(K7)=0),,IF(J7=0, "    ---- ", IF(ABS(ROUND(100/J7*K7-100,1))&lt;999,IF(ROUND(100/J7*K7-100,1)=0,"    ---- ",ROUND(100/J7*K7-100,1)),IF(ROUND(100/J7*K7-100,1)&gt;999,999,-999))))</f>
        <v>-1.4</v>
      </c>
      <c r="M7" s="27">
        <f>IFERROR(100/'Skjema total MA'!I7*K7,0)</f>
        <v>6.0573929854105026</v>
      </c>
    </row>
    <row r="8" spans="1:14" ht="15.6" x14ac:dyDescent="0.25">
      <c r="A8" s="21" t="s">
        <v>25</v>
      </c>
      <c r="B8" s="366">
        <v>831963</v>
      </c>
      <c r="C8" s="367">
        <v>790844.36217999959</v>
      </c>
      <c r="D8" s="375">
        <f t="shared" si="0"/>
        <v>-4.9000000000000004</v>
      </c>
      <c r="E8" s="27">
        <f>IFERROR(100/'Skjema total MA'!C8*C8,0)</f>
        <v>31.882687853663882</v>
      </c>
      <c r="F8" s="376"/>
      <c r="G8" s="377"/>
      <c r="H8" s="375"/>
      <c r="I8" s="373"/>
      <c r="J8" s="378">
        <f t="shared" si="1"/>
        <v>831963</v>
      </c>
      <c r="K8" s="367">
        <f t="shared" si="1"/>
        <v>790844.36217999959</v>
      </c>
      <c r="L8" s="375">
        <f t="shared" si="2"/>
        <v>-4.9000000000000004</v>
      </c>
      <c r="M8" s="27">
        <f>IFERROR(100/'Skjema total MA'!I8*K8,0)</f>
        <v>31.882687853663882</v>
      </c>
    </row>
    <row r="9" spans="1:14" ht="15.6" x14ac:dyDescent="0.25">
      <c r="A9" s="21" t="s">
        <v>24</v>
      </c>
      <c r="B9" s="366">
        <v>70809</v>
      </c>
      <c r="C9" s="367">
        <v>99564.481119999997</v>
      </c>
      <c r="D9" s="375">
        <f t="shared" si="0"/>
        <v>40.6</v>
      </c>
      <c r="E9" s="27">
        <f>IFERROR(100/'Skjema total MA'!C9*C9,0)</f>
        <v>12.552601924538365</v>
      </c>
      <c r="F9" s="376"/>
      <c r="G9" s="377"/>
      <c r="H9" s="375"/>
      <c r="I9" s="373"/>
      <c r="J9" s="378">
        <f t="shared" si="1"/>
        <v>70809</v>
      </c>
      <c r="K9" s="367">
        <f t="shared" si="1"/>
        <v>99564.481119999997</v>
      </c>
      <c r="L9" s="375">
        <f t="shared" si="2"/>
        <v>40.6</v>
      </c>
      <c r="M9" s="27">
        <f>IFERROR(100/'Skjema total MA'!I9*K9,0)</f>
        <v>12.552601924538365</v>
      </c>
    </row>
    <row r="10" spans="1:14" ht="15.6" x14ac:dyDescent="0.25">
      <c r="A10" s="13" t="s">
        <v>363</v>
      </c>
      <c r="B10" s="368">
        <v>537719</v>
      </c>
      <c r="C10" s="369">
        <v>588142.33348000003</v>
      </c>
      <c r="D10" s="375">
        <f t="shared" si="0"/>
        <v>9.4</v>
      </c>
      <c r="E10" s="27">
        <f>IFERROR(100/'Skjema total MA'!C10*C10,0)</f>
        <v>3.4604147009337205</v>
      </c>
      <c r="F10" s="368"/>
      <c r="G10" s="369"/>
      <c r="H10" s="375"/>
      <c r="I10" s="373"/>
      <c r="J10" s="374">
        <f t="shared" si="1"/>
        <v>537719</v>
      </c>
      <c r="K10" s="369">
        <f t="shared" si="1"/>
        <v>588142.33348000003</v>
      </c>
      <c r="L10" s="375">
        <f t="shared" si="2"/>
        <v>9.4</v>
      </c>
      <c r="M10" s="27">
        <f>IFERROR(100/'Skjema total MA'!I10*K10,0)</f>
        <v>0.65205798826957861</v>
      </c>
    </row>
    <row r="11" spans="1:14" s="43" customFormat="1" ht="15.6" x14ac:dyDescent="0.25">
      <c r="A11" s="13" t="s">
        <v>364</v>
      </c>
      <c r="B11" s="368"/>
      <c r="C11" s="369"/>
      <c r="D11" s="375"/>
      <c r="E11" s="373"/>
      <c r="F11" s="368"/>
      <c r="G11" s="369"/>
      <c r="H11" s="375"/>
      <c r="I11" s="373"/>
      <c r="J11" s="374"/>
      <c r="K11" s="369"/>
      <c r="L11" s="375"/>
      <c r="M11" s="373"/>
      <c r="N11" s="143"/>
    </row>
    <row r="12" spans="1:14" s="43" customFormat="1" ht="15.6" x14ac:dyDescent="0.25">
      <c r="A12" s="41" t="s">
        <v>365</v>
      </c>
      <c r="B12" s="370"/>
      <c r="C12" s="371"/>
      <c r="D12" s="379"/>
      <c r="E12" s="379"/>
      <c r="F12" s="370"/>
      <c r="G12" s="371"/>
      <c r="H12" s="379"/>
      <c r="I12" s="379"/>
      <c r="J12" s="380"/>
      <c r="K12" s="371"/>
      <c r="L12" s="379"/>
      <c r="M12" s="379"/>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359"/>
      <c r="C18" s="359"/>
      <c r="D18" s="359"/>
      <c r="E18" s="360"/>
      <c r="F18" s="359"/>
      <c r="G18" s="359"/>
      <c r="H18" s="359"/>
      <c r="I18" s="360"/>
      <c r="J18" s="359"/>
      <c r="K18" s="359"/>
      <c r="L18" s="359"/>
      <c r="M18" s="360"/>
    </row>
    <row r="19" spans="1:14" x14ac:dyDescent="0.25">
      <c r="A19" s="144"/>
      <c r="B19" s="724" t="s">
        <v>0</v>
      </c>
      <c r="C19" s="725"/>
      <c r="D19" s="725"/>
      <c r="E19" s="357"/>
      <c r="F19" s="724" t="s">
        <v>1</v>
      </c>
      <c r="G19" s="725"/>
      <c r="H19" s="725"/>
      <c r="I19" s="358"/>
      <c r="J19" s="724" t="s">
        <v>2</v>
      </c>
      <c r="K19" s="725"/>
      <c r="L19" s="725"/>
      <c r="M19" s="358"/>
    </row>
    <row r="20" spans="1:14" x14ac:dyDescent="0.25">
      <c r="A20" s="140" t="s">
        <v>5</v>
      </c>
      <c r="B20" s="243" t="s">
        <v>435</v>
      </c>
      <c r="C20" s="243" t="s">
        <v>436</v>
      </c>
      <c r="D20" s="162" t="s">
        <v>3</v>
      </c>
      <c r="E20" s="307" t="s">
        <v>29</v>
      </c>
      <c r="F20" s="243" t="s">
        <v>435</v>
      </c>
      <c r="G20" s="243" t="s">
        <v>436</v>
      </c>
      <c r="H20" s="162" t="s">
        <v>3</v>
      </c>
      <c r="I20" s="307"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599">
        <v>441164</v>
      </c>
      <c r="C22" s="368">
        <v>543464.98641000013</v>
      </c>
      <c r="D22" s="372">
        <f t="shared" ref="D22:D29" si="3">IF(AND(_xlfn.NUMBERVALUE(B22)=0,_xlfn.NUMBERVALUE(C22)=0),,IF(B22=0, "    ---- ", IF(ABS(ROUND(100/B22*C22-100,1))&lt;999,IF(ROUND(100/B22*C22-100,1)=0,"    ---- ",ROUND(100/B22*C22-100,1)),IF(ROUND(100/B22*C22-100,1)&gt;999,999,-999))))</f>
        <v>23.2</v>
      </c>
      <c r="E22" s="27">
        <f>IFERROR(100/'Skjema total MA'!C22*C22,0)</f>
        <v>35.375500166966113</v>
      </c>
      <c r="F22" s="381"/>
      <c r="G22" s="381"/>
      <c r="H22" s="372"/>
      <c r="I22" s="373"/>
      <c r="J22" s="363">
        <f t="shared" ref="J22:K29" si="4">SUM(B22,F22)</f>
        <v>441164</v>
      </c>
      <c r="K22" s="363">
        <f t="shared" si="4"/>
        <v>543464.98641000013</v>
      </c>
      <c r="L22" s="372">
        <f t="shared" ref="L22:L29" si="5">IF(AND(_xlfn.NUMBERVALUE(J22)=0,_xlfn.NUMBERVALUE(K22)=0),,IF(J22=0, "    ---- ", IF(ABS(ROUND(100/J22*K22-100,1))&lt;999,IF(ROUND(100/J22*K22-100,1)=0,"    ---- ",ROUND(100/J22*K22-100,1)),IF(ROUND(100/J22*K22-100,1)&gt;999,999,-999))))</f>
        <v>23.2</v>
      </c>
      <c r="M22" s="27">
        <f>IFERROR(100/'Skjema total MA'!I22*K22,0)</f>
        <v>20.440843368712095</v>
      </c>
    </row>
    <row r="23" spans="1:14" ht="15.6" x14ac:dyDescent="0.25">
      <c r="A23" s="581" t="s">
        <v>366</v>
      </c>
      <c r="B23" s="365"/>
      <c r="C23" s="366"/>
      <c r="D23" s="375"/>
      <c r="E23" s="373"/>
      <c r="F23" s="365"/>
      <c r="G23" s="365"/>
      <c r="H23" s="375"/>
      <c r="I23" s="373"/>
      <c r="J23" s="365"/>
      <c r="K23" s="365"/>
      <c r="L23" s="375"/>
      <c r="M23" s="373"/>
    </row>
    <row r="24" spans="1:14" ht="15.6" x14ac:dyDescent="0.25">
      <c r="A24" s="581" t="s">
        <v>367</v>
      </c>
      <c r="B24" s="365"/>
      <c r="C24" s="366"/>
      <c r="D24" s="375"/>
      <c r="E24" s="373"/>
      <c r="F24" s="365"/>
      <c r="G24" s="365"/>
      <c r="H24" s="375"/>
      <c r="I24" s="373"/>
      <c r="J24" s="365"/>
      <c r="K24" s="365"/>
      <c r="L24" s="375"/>
      <c r="M24" s="373"/>
    </row>
    <row r="25" spans="1:14" ht="15.6" x14ac:dyDescent="0.25">
      <c r="A25" s="581" t="s">
        <v>368</v>
      </c>
      <c r="B25" s="365"/>
      <c r="C25" s="366"/>
      <c r="D25" s="375"/>
      <c r="E25" s="373"/>
      <c r="F25" s="365"/>
      <c r="G25" s="365"/>
      <c r="H25" s="375"/>
      <c r="I25" s="373"/>
      <c r="J25" s="365"/>
      <c r="K25" s="365"/>
      <c r="L25" s="375"/>
      <c r="M25" s="373"/>
    </row>
    <row r="26" spans="1:14" ht="15.6" x14ac:dyDescent="0.25">
      <c r="A26" s="581" t="s">
        <v>369</v>
      </c>
      <c r="B26" s="365"/>
      <c r="C26" s="366"/>
      <c r="D26" s="375"/>
      <c r="E26" s="373"/>
      <c r="F26" s="365"/>
      <c r="G26" s="365"/>
      <c r="H26" s="375"/>
      <c r="I26" s="373"/>
      <c r="J26" s="365"/>
      <c r="K26" s="365"/>
      <c r="L26" s="375"/>
      <c r="M26" s="373"/>
    </row>
    <row r="27" spans="1:14" x14ac:dyDescent="0.25">
      <c r="A27" s="581" t="s">
        <v>11</v>
      </c>
      <c r="B27" s="365"/>
      <c r="C27" s="366"/>
      <c r="D27" s="375"/>
      <c r="E27" s="373"/>
      <c r="F27" s="365"/>
      <c r="G27" s="365"/>
      <c r="H27" s="375"/>
      <c r="I27" s="373"/>
      <c r="J27" s="365"/>
      <c r="K27" s="365"/>
      <c r="L27" s="375"/>
      <c r="M27" s="373"/>
    </row>
    <row r="28" spans="1:14" ht="15.6" x14ac:dyDescent="0.25">
      <c r="A28" s="49" t="s">
        <v>274</v>
      </c>
      <c r="B28" s="365">
        <v>441164</v>
      </c>
      <c r="C28" s="366">
        <v>543464.98641000013</v>
      </c>
      <c r="D28" s="375">
        <f t="shared" si="3"/>
        <v>23.2</v>
      </c>
      <c r="E28" s="27">
        <f>IFERROR(100/'Skjema total MA'!C28*C28,0)</f>
        <v>32.235235194305346</v>
      </c>
      <c r="F28" s="382"/>
      <c r="G28" s="382"/>
      <c r="H28" s="375"/>
      <c r="I28" s="373"/>
      <c r="J28" s="366">
        <f t="shared" si="4"/>
        <v>441164</v>
      </c>
      <c r="K28" s="366">
        <f t="shared" si="4"/>
        <v>543464.98641000013</v>
      </c>
      <c r="L28" s="375">
        <f t="shared" si="5"/>
        <v>23.2</v>
      </c>
      <c r="M28" s="27">
        <f>IFERROR(100/'Skjema total MA'!I28*K28,0)</f>
        <v>32.235235194305346</v>
      </c>
    </row>
    <row r="29" spans="1:14" s="3" customFormat="1" ht="15.6" x14ac:dyDescent="0.25">
      <c r="A29" s="13" t="s">
        <v>363</v>
      </c>
      <c r="B29" s="368">
        <v>3137561</v>
      </c>
      <c r="C29" s="368">
        <v>3564663.16493</v>
      </c>
      <c r="D29" s="375">
        <f t="shared" si="3"/>
        <v>13.6</v>
      </c>
      <c r="E29" s="27">
        <f>IFERROR(100/'Skjema total MA'!C29*C29,0)</f>
        <v>7.9282060290818457</v>
      </c>
      <c r="F29" s="374"/>
      <c r="G29" s="374"/>
      <c r="H29" s="375"/>
      <c r="I29" s="373"/>
      <c r="J29" s="368">
        <f t="shared" si="4"/>
        <v>3137561</v>
      </c>
      <c r="K29" s="368">
        <f t="shared" si="4"/>
        <v>3564663.16493</v>
      </c>
      <c r="L29" s="375">
        <f t="shared" si="5"/>
        <v>13.6</v>
      </c>
      <c r="M29" s="27">
        <f>IFERROR(100/'Skjema total MA'!I29*K29,0)</f>
        <v>5.0428656556708509</v>
      </c>
      <c r="N29" s="148"/>
    </row>
    <row r="30" spans="1:14" s="3" customFormat="1" ht="15.6" x14ac:dyDescent="0.25">
      <c r="A30" s="581" t="s">
        <v>366</v>
      </c>
      <c r="B30" s="365"/>
      <c r="C30" s="365"/>
      <c r="D30" s="375"/>
      <c r="E30" s="373"/>
      <c r="F30" s="365"/>
      <c r="G30" s="365"/>
      <c r="H30" s="375"/>
      <c r="I30" s="373"/>
      <c r="J30" s="365"/>
      <c r="K30" s="365"/>
      <c r="L30" s="375"/>
      <c r="M30" s="373"/>
      <c r="N30" s="148"/>
    </row>
    <row r="31" spans="1:14" s="3" customFormat="1" ht="15.6" x14ac:dyDescent="0.25">
      <c r="A31" s="581" t="s">
        <v>367</v>
      </c>
      <c r="B31" s="365"/>
      <c r="C31" s="365"/>
      <c r="D31" s="375"/>
      <c r="E31" s="373"/>
      <c r="F31" s="365"/>
      <c r="G31" s="365"/>
      <c r="H31" s="375"/>
      <c r="I31" s="373"/>
      <c r="J31" s="365"/>
      <c r="K31" s="365"/>
      <c r="L31" s="375"/>
      <c r="M31" s="373"/>
      <c r="N31" s="148"/>
    </row>
    <row r="32" spans="1:14" ht="15.6" x14ac:dyDescent="0.25">
      <c r="A32" s="581" t="s">
        <v>368</v>
      </c>
      <c r="B32" s="365"/>
      <c r="C32" s="365"/>
      <c r="D32" s="375"/>
      <c r="E32" s="373"/>
      <c r="F32" s="365"/>
      <c r="G32" s="365"/>
      <c r="H32" s="375"/>
      <c r="I32" s="373"/>
      <c r="J32" s="365"/>
      <c r="K32" s="365"/>
      <c r="L32" s="375"/>
      <c r="M32" s="373"/>
    </row>
    <row r="33" spans="1:14" ht="15.6" x14ac:dyDescent="0.25">
      <c r="A33" s="581" t="s">
        <v>369</v>
      </c>
      <c r="B33" s="365"/>
      <c r="C33" s="365"/>
      <c r="D33" s="375"/>
      <c r="E33" s="373"/>
      <c r="F33" s="365"/>
      <c r="G33" s="365"/>
      <c r="H33" s="375"/>
      <c r="I33" s="373"/>
      <c r="J33" s="365"/>
      <c r="K33" s="365"/>
      <c r="L33" s="375"/>
      <c r="M33" s="373"/>
    </row>
    <row r="34" spans="1:14" ht="15.6" x14ac:dyDescent="0.25">
      <c r="A34" s="13" t="s">
        <v>364</v>
      </c>
      <c r="B34" s="368"/>
      <c r="C34" s="369"/>
      <c r="D34" s="375"/>
      <c r="E34" s="373"/>
      <c r="F34" s="374"/>
      <c r="G34" s="369"/>
      <c r="H34" s="375"/>
      <c r="I34" s="373"/>
      <c r="J34" s="368"/>
      <c r="K34" s="368"/>
      <c r="L34" s="375"/>
      <c r="M34" s="373"/>
    </row>
    <row r="35" spans="1:14" ht="15.6" x14ac:dyDescent="0.25">
      <c r="A35" s="13" t="s">
        <v>365</v>
      </c>
      <c r="B35" s="368"/>
      <c r="C35" s="369"/>
      <c r="D35" s="375"/>
      <c r="E35" s="373"/>
      <c r="F35" s="374"/>
      <c r="G35" s="369"/>
      <c r="H35" s="375"/>
      <c r="I35" s="373"/>
      <c r="J35" s="368"/>
      <c r="K35" s="368"/>
      <c r="L35" s="375"/>
      <c r="M35" s="373"/>
    </row>
    <row r="36" spans="1:14" ht="15.6" x14ac:dyDescent="0.25">
      <c r="A36" s="12" t="s">
        <v>282</v>
      </c>
      <c r="B36" s="368"/>
      <c r="C36" s="369"/>
      <c r="D36" s="375"/>
      <c r="E36" s="373"/>
      <c r="F36" s="382"/>
      <c r="G36" s="383"/>
      <c r="H36" s="375"/>
      <c r="I36" s="373"/>
      <c r="J36" s="368"/>
      <c r="K36" s="368"/>
      <c r="L36" s="375"/>
      <c r="M36" s="373"/>
    </row>
    <row r="37" spans="1:14" ht="15.6" x14ac:dyDescent="0.25">
      <c r="A37" s="12" t="s">
        <v>371</v>
      </c>
      <c r="B37" s="368"/>
      <c r="C37" s="369"/>
      <c r="D37" s="375"/>
      <c r="E37" s="373"/>
      <c r="F37" s="382"/>
      <c r="G37" s="384"/>
      <c r="H37" s="375"/>
      <c r="I37" s="373"/>
      <c r="J37" s="368"/>
      <c r="K37" s="368"/>
      <c r="L37" s="375"/>
      <c r="M37" s="373"/>
    </row>
    <row r="38" spans="1:14" ht="15.6" x14ac:dyDescent="0.25">
      <c r="A38" s="12" t="s">
        <v>372</v>
      </c>
      <c r="B38" s="368"/>
      <c r="C38" s="369"/>
      <c r="D38" s="375"/>
      <c r="E38" s="166"/>
      <c r="F38" s="382"/>
      <c r="G38" s="383"/>
      <c r="H38" s="375"/>
      <c r="I38" s="373"/>
      <c r="J38" s="368"/>
      <c r="K38" s="368"/>
      <c r="L38" s="375"/>
      <c r="M38" s="373"/>
    </row>
    <row r="39" spans="1:14" ht="15.6" x14ac:dyDescent="0.25">
      <c r="A39" s="18" t="s">
        <v>373</v>
      </c>
      <c r="B39" s="370"/>
      <c r="C39" s="371"/>
      <c r="D39" s="379"/>
      <c r="E39" s="167"/>
      <c r="F39" s="385"/>
      <c r="G39" s="386"/>
      <c r="H39" s="379"/>
      <c r="I39" s="373"/>
      <c r="J39" s="368"/>
      <c r="K39" s="368"/>
      <c r="L39" s="379"/>
      <c r="M39" s="379"/>
    </row>
    <row r="40" spans="1:14" ht="15.6" x14ac:dyDescent="0.3">
      <c r="A40" s="47"/>
      <c r="B40" s="258"/>
      <c r="C40" s="258"/>
      <c r="D40" s="362"/>
      <c r="E40" s="362"/>
      <c r="F40" s="362"/>
      <c r="G40" s="362"/>
      <c r="H40" s="362"/>
      <c r="I40" s="362"/>
      <c r="J40" s="362"/>
      <c r="K40" s="362"/>
      <c r="L40" s="362"/>
      <c r="M40" s="361"/>
    </row>
    <row r="41" spans="1:14" x14ac:dyDescent="0.25">
      <c r="A41" s="155"/>
    </row>
    <row r="42" spans="1:14" ht="15.6" x14ac:dyDescent="0.3">
      <c r="A42" s="147" t="s">
        <v>271</v>
      </c>
      <c r="B42" s="360"/>
      <c r="C42" s="360"/>
      <c r="D42" s="360"/>
      <c r="E42" s="360"/>
      <c r="F42" s="361"/>
      <c r="G42" s="361"/>
      <c r="H42" s="361"/>
      <c r="I42" s="361"/>
      <c r="J42" s="361"/>
      <c r="K42" s="361"/>
      <c r="L42" s="361"/>
      <c r="M42" s="361"/>
    </row>
    <row r="43" spans="1:14" ht="15.6" x14ac:dyDescent="0.3">
      <c r="A43" s="163"/>
      <c r="B43" s="359"/>
      <c r="C43" s="359"/>
      <c r="D43" s="359"/>
      <c r="E43" s="359"/>
      <c r="F43" s="361"/>
      <c r="G43" s="361"/>
      <c r="H43" s="361"/>
      <c r="I43" s="361"/>
      <c r="J43" s="361"/>
      <c r="K43" s="361"/>
      <c r="L43" s="361"/>
      <c r="M43" s="361"/>
    </row>
    <row r="44" spans="1:14" ht="15.6" x14ac:dyDescent="0.3">
      <c r="A44" s="249"/>
      <c r="B44" s="724" t="s">
        <v>0</v>
      </c>
      <c r="C44" s="725"/>
      <c r="D44" s="725"/>
      <c r="E44" s="244"/>
      <c r="F44" s="361"/>
      <c r="G44" s="361"/>
      <c r="H44" s="361"/>
      <c r="I44" s="361"/>
      <c r="J44" s="361"/>
      <c r="K44" s="361"/>
      <c r="L44" s="361"/>
      <c r="M44" s="361"/>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418" customFormat="1" ht="15.6" x14ac:dyDescent="0.25">
      <c r="A47" s="14" t="s">
        <v>23</v>
      </c>
      <c r="B47" s="368">
        <v>861214</v>
      </c>
      <c r="C47" s="369">
        <v>873376.99849999999</v>
      </c>
      <c r="D47" s="422">
        <f>IF(AND(_xlfn.NUMBERVALUE(B47)=0,_xlfn.NUMBERVALUE(C47)=0),,IF(B47=0, "    ---- ", IF(ABS(ROUND(100/B47*C47-100,1))&lt;999,IF(ROUND(100/B47*C47-100,1)=0,"    ---- ",ROUND(100/B47*C47-100,1)),IF(ROUND(100/B47*C47-100,1)&gt;999,999,-999))))</f>
        <v>1.4</v>
      </c>
      <c r="E47" s="423">
        <f>IFERROR(100/'Skjema total MA'!C47*C47,0)</f>
        <v>19.534741727190259</v>
      </c>
      <c r="F47" s="159"/>
      <c r="G47" s="174"/>
      <c r="H47" s="159"/>
      <c r="I47" s="159"/>
      <c r="J47" s="421"/>
      <c r="K47" s="421"/>
      <c r="L47" s="159"/>
      <c r="M47" s="159"/>
      <c r="N47" s="424"/>
    </row>
    <row r="48" spans="1:14" s="3" customFormat="1" ht="15.6" x14ac:dyDescent="0.25">
      <c r="A48" s="38" t="s">
        <v>374</v>
      </c>
      <c r="B48" s="366">
        <v>96450</v>
      </c>
      <c r="C48" s="367">
        <v>100869.8075</v>
      </c>
      <c r="D48" s="375">
        <f t="shared" ref="D48:D57" si="6">IF(AND(_xlfn.NUMBERVALUE(B48)=0,_xlfn.NUMBERVALUE(C48)=0),,IF(B48=0, "    ---- ", IF(ABS(ROUND(100/B48*C48-100,1))&lt;999,IF(ROUND(100/B48*C48-100,1)=0,"    ---- ",ROUND(100/B48*C48-100,1)),IF(ROUND(100/B48*C48-100,1)&gt;999,999,-999))))</f>
        <v>4.5999999999999996</v>
      </c>
      <c r="E48" s="27">
        <f>IFERROR(100/'Skjema total MA'!C48*C48,0)</f>
        <v>4.0230958644525616</v>
      </c>
      <c r="F48" s="145"/>
      <c r="G48" s="33"/>
      <c r="H48" s="145"/>
      <c r="I48" s="145"/>
      <c r="J48" s="33"/>
      <c r="K48" s="33"/>
      <c r="L48" s="159"/>
      <c r="M48" s="159"/>
      <c r="N48" s="148"/>
    </row>
    <row r="49" spans="1:14" s="3" customFormat="1" ht="15.6" x14ac:dyDescent="0.25">
      <c r="A49" s="38" t="s">
        <v>375</v>
      </c>
      <c r="B49" s="366">
        <v>764764</v>
      </c>
      <c r="C49" s="367">
        <v>772507.19099999999</v>
      </c>
      <c r="D49" s="375">
        <f t="shared" si="6"/>
        <v>1</v>
      </c>
      <c r="E49" s="27">
        <f>IFERROR(100/'Skjema total MA'!C49*C49,0)</f>
        <v>39.340918993122756</v>
      </c>
      <c r="F49" s="145"/>
      <c r="G49" s="33"/>
      <c r="H49" s="145"/>
      <c r="I49" s="145"/>
      <c r="J49" s="37"/>
      <c r="K49" s="37"/>
      <c r="L49" s="159"/>
      <c r="M49" s="159"/>
      <c r="N49" s="148"/>
    </row>
    <row r="50" spans="1:14" s="3" customFormat="1" x14ac:dyDescent="0.25">
      <c r="A50" s="298" t="s">
        <v>6</v>
      </c>
      <c r="B50" s="382"/>
      <c r="C50" s="382"/>
      <c r="D50" s="375"/>
      <c r="E50" s="412"/>
      <c r="F50" s="145"/>
      <c r="G50" s="33"/>
      <c r="H50" s="145"/>
      <c r="I50" s="145"/>
      <c r="J50" s="33"/>
      <c r="K50" s="33"/>
      <c r="L50" s="159"/>
      <c r="M50" s="159"/>
      <c r="N50" s="148"/>
    </row>
    <row r="51" spans="1:14" s="3" customFormat="1" x14ac:dyDescent="0.25">
      <c r="A51" s="298" t="s">
        <v>7</v>
      </c>
      <c r="B51" s="382"/>
      <c r="C51" s="382"/>
      <c r="D51" s="375"/>
      <c r="E51" s="412"/>
      <c r="F51" s="145"/>
      <c r="G51" s="33"/>
      <c r="H51" s="145"/>
      <c r="I51" s="145"/>
      <c r="J51" s="33"/>
      <c r="K51" s="33"/>
      <c r="L51" s="159"/>
      <c r="M51" s="159"/>
      <c r="N51" s="148"/>
    </row>
    <row r="52" spans="1:14" s="3" customFormat="1" x14ac:dyDescent="0.25">
      <c r="A52" s="298" t="s">
        <v>8</v>
      </c>
      <c r="B52" s="382"/>
      <c r="C52" s="382"/>
      <c r="D52" s="375"/>
      <c r="E52" s="412"/>
      <c r="F52" s="145"/>
      <c r="G52" s="33"/>
      <c r="H52" s="145"/>
      <c r="I52" s="145"/>
      <c r="J52" s="33"/>
      <c r="K52" s="33"/>
      <c r="L52" s="159"/>
      <c r="M52" s="159"/>
      <c r="N52" s="148"/>
    </row>
    <row r="53" spans="1:14" s="3" customFormat="1" ht="15.6" x14ac:dyDescent="0.25">
      <c r="A53" s="39" t="s">
        <v>376</v>
      </c>
      <c r="B53" s="368">
        <v>2037</v>
      </c>
      <c r="C53" s="369">
        <v>1005</v>
      </c>
      <c r="D53" s="375">
        <f t="shared" si="6"/>
        <v>-50.7</v>
      </c>
      <c r="E53" s="411">
        <f>IFERROR(100/'Skjema total MA'!C53*C53,0)</f>
        <v>0.38994600923957856</v>
      </c>
      <c r="F53" s="145"/>
      <c r="G53" s="33"/>
      <c r="H53" s="145"/>
      <c r="I53" s="145"/>
      <c r="J53" s="33"/>
      <c r="K53" s="33"/>
      <c r="L53" s="159"/>
      <c r="M53" s="159"/>
      <c r="N53" s="148"/>
    </row>
    <row r="54" spans="1:14" s="3" customFormat="1" ht="15.6" x14ac:dyDescent="0.25">
      <c r="A54" s="38" t="s">
        <v>374</v>
      </c>
      <c r="B54" s="366">
        <v>2037</v>
      </c>
      <c r="C54" s="367">
        <v>1005</v>
      </c>
      <c r="D54" s="375">
        <f t="shared" si="6"/>
        <v>-50.7</v>
      </c>
      <c r="E54" s="27">
        <f>IFERROR(100/'Skjema total MA'!C54*C54,0)</f>
        <v>0.39943862696640453</v>
      </c>
      <c r="F54" s="145"/>
      <c r="G54" s="33"/>
      <c r="H54" s="145"/>
      <c r="I54" s="145"/>
      <c r="J54" s="33"/>
      <c r="K54" s="33"/>
      <c r="L54" s="159"/>
      <c r="M54" s="159"/>
      <c r="N54" s="148"/>
    </row>
    <row r="55" spans="1:14" s="3" customFormat="1" ht="15.6" x14ac:dyDescent="0.25">
      <c r="A55" s="38" t="s">
        <v>375</v>
      </c>
      <c r="B55" s="366"/>
      <c r="C55" s="367"/>
      <c r="D55" s="375"/>
      <c r="E55" s="411"/>
      <c r="F55" s="145"/>
      <c r="G55" s="33"/>
      <c r="H55" s="145"/>
      <c r="I55" s="145"/>
      <c r="J55" s="33"/>
      <c r="K55" s="33"/>
      <c r="L55" s="159"/>
      <c r="M55" s="159"/>
      <c r="N55" s="148"/>
    </row>
    <row r="56" spans="1:14" s="3" customFormat="1" ht="15.6" x14ac:dyDescent="0.25">
      <c r="A56" s="39" t="s">
        <v>377</v>
      </c>
      <c r="B56" s="368">
        <v>1940</v>
      </c>
      <c r="C56" s="369">
        <v>1967</v>
      </c>
      <c r="D56" s="375">
        <f t="shared" si="6"/>
        <v>1.4</v>
      </c>
      <c r="E56" s="411">
        <f>IFERROR(100/'Skjema total MA'!C56*C56,0)</f>
        <v>1.6244715078846663</v>
      </c>
      <c r="F56" s="145"/>
      <c r="G56" s="33"/>
      <c r="H56" s="145"/>
      <c r="I56" s="145"/>
      <c r="J56" s="33"/>
      <c r="K56" s="33"/>
      <c r="L56" s="159"/>
      <c r="M56" s="159"/>
      <c r="N56" s="148"/>
    </row>
    <row r="57" spans="1:14" s="3" customFormat="1" ht="15.6" x14ac:dyDescent="0.25">
      <c r="A57" s="38" t="s">
        <v>374</v>
      </c>
      <c r="B57" s="366">
        <v>1940</v>
      </c>
      <c r="C57" s="367">
        <v>1967</v>
      </c>
      <c r="D57" s="375">
        <f t="shared" si="6"/>
        <v>1.4</v>
      </c>
      <c r="E57" s="27">
        <f>IFERROR(100/'Skjema total MA'!C57*C57,0)</f>
        <v>1.6245362421853677</v>
      </c>
      <c r="F57" s="145"/>
      <c r="G57" s="33"/>
      <c r="H57" s="145"/>
      <c r="I57" s="145"/>
      <c r="J57" s="33"/>
      <c r="K57" s="33"/>
      <c r="L57" s="159"/>
      <c r="M57" s="159"/>
      <c r="N57" s="148"/>
    </row>
    <row r="58" spans="1:14" s="3" customFormat="1" ht="15.6" x14ac:dyDescent="0.25">
      <c r="A58" s="46" t="s">
        <v>375</v>
      </c>
      <c r="B58" s="387"/>
      <c r="C58" s="388"/>
      <c r="D58" s="379"/>
      <c r="E58" s="413"/>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359"/>
      <c r="C62" s="359"/>
      <c r="D62" s="359"/>
      <c r="E62" s="360"/>
      <c r="F62" s="359"/>
      <c r="G62" s="359"/>
      <c r="H62" s="359"/>
      <c r="I62" s="360"/>
      <c r="J62" s="359"/>
      <c r="K62" s="359"/>
      <c r="L62" s="359"/>
      <c r="M62" s="360"/>
    </row>
    <row r="63" spans="1:14" x14ac:dyDescent="0.25">
      <c r="A63" s="144"/>
      <c r="B63" s="724" t="s">
        <v>0</v>
      </c>
      <c r="C63" s="725"/>
      <c r="D63" s="729"/>
      <c r="E63" s="356"/>
      <c r="F63" s="725" t="s">
        <v>1</v>
      </c>
      <c r="G63" s="725"/>
      <c r="H63" s="725"/>
      <c r="I63" s="358"/>
      <c r="J63" s="724" t="s">
        <v>2</v>
      </c>
      <c r="K63" s="725"/>
      <c r="L63" s="725"/>
      <c r="M63" s="358"/>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89"/>
      <c r="C66" s="389"/>
      <c r="D66" s="372"/>
      <c r="E66" s="373"/>
      <c r="F66" s="389"/>
      <c r="G66" s="389"/>
      <c r="H66" s="372"/>
      <c r="I66" s="373"/>
      <c r="J66" s="369"/>
      <c r="K66" s="363"/>
      <c r="L66" s="375"/>
      <c r="M66" s="373"/>
    </row>
    <row r="67" spans="1:14" x14ac:dyDescent="0.25">
      <c r="A67" s="21" t="s">
        <v>9</v>
      </c>
      <c r="B67" s="366"/>
      <c r="C67" s="390"/>
      <c r="D67" s="375"/>
      <c r="E67" s="373"/>
      <c r="F67" s="378"/>
      <c r="G67" s="390"/>
      <c r="H67" s="375"/>
      <c r="I67" s="373"/>
      <c r="J67" s="367"/>
      <c r="K67" s="366"/>
      <c r="L67" s="375"/>
      <c r="M67" s="373"/>
    </row>
    <row r="68" spans="1:14" x14ac:dyDescent="0.25">
      <c r="A68" s="21" t="s">
        <v>10</v>
      </c>
      <c r="B68" s="391"/>
      <c r="C68" s="392"/>
      <c r="D68" s="375"/>
      <c r="E68" s="373"/>
      <c r="F68" s="391"/>
      <c r="G68" s="392"/>
      <c r="H68" s="375"/>
      <c r="I68" s="373"/>
      <c r="J68" s="367"/>
      <c r="K68" s="366"/>
      <c r="L68" s="375"/>
      <c r="M68" s="373"/>
    </row>
    <row r="69" spans="1:14" ht="15.6" x14ac:dyDescent="0.25">
      <c r="A69" s="298" t="s">
        <v>378</v>
      </c>
      <c r="B69" s="376"/>
      <c r="C69" s="376"/>
      <c r="D69" s="375"/>
      <c r="E69" s="397"/>
      <c r="F69" s="376"/>
      <c r="G69" s="376"/>
      <c r="H69" s="375"/>
      <c r="I69" s="373"/>
      <c r="J69" s="376"/>
      <c r="K69" s="376"/>
      <c r="L69" s="375"/>
      <c r="M69" s="373"/>
    </row>
    <row r="70" spans="1:14" x14ac:dyDescent="0.25">
      <c r="A70" s="298" t="s">
        <v>12</v>
      </c>
      <c r="B70" s="376"/>
      <c r="C70" s="376"/>
      <c r="D70" s="375"/>
      <c r="E70" s="397"/>
      <c r="F70" s="376"/>
      <c r="G70" s="376"/>
      <c r="H70" s="375"/>
      <c r="I70" s="373"/>
      <c r="J70" s="376"/>
      <c r="K70" s="376"/>
      <c r="L70" s="375"/>
      <c r="M70" s="373"/>
    </row>
    <row r="71" spans="1:14" x14ac:dyDescent="0.25">
      <c r="A71" s="298" t="s">
        <v>13</v>
      </c>
      <c r="B71" s="376"/>
      <c r="C71" s="376"/>
      <c r="D71" s="375"/>
      <c r="E71" s="397"/>
      <c r="F71" s="376"/>
      <c r="G71" s="376"/>
      <c r="H71" s="375"/>
      <c r="I71" s="373"/>
      <c r="J71" s="376"/>
      <c r="K71" s="376"/>
      <c r="L71" s="375"/>
      <c r="M71" s="373"/>
    </row>
    <row r="72" spans="1:14" ht="15.6" x14ac:dyDescent="0.25">
      <c r="A72" s="298" t="s">
        <v>379</v>
      </c>
      <c r="B72" s="376"/>
      <c r="C72" s="376"/>
      <c r="D72" s="375"/>
      <c r="E72" s="397"/>
      <c r="F72" s="376"/>
      <c r="G72" s="376"/>
      <c r="H72" s="375"/>
      <c r="I72" s="373"/>
      <c r="J72" s="376"/>
      <c r="K72" s="376"/>
      <c r="L72" s="375"/>
      <c r="M72" s="373"/>
    </row>
    <row r="73" spans="1:14" x14ac:dyDescent="0.25">
      <c r="A73" s="298" t="s">
        <v>12</v>
      </c>
      <c r="B73" s="376"/>
      <c r="C73" s="376"/>
      <c r="D73" s="375"/>
      <c r="E73" s="397"/>
      <c r="F73" s="376"/>
      <c r="G73" s="376"/>
      <c r="H73" s="375"/>
      <c r="I73" s="373"/>
      <c r="J73" s="376"/>
      <c r="K73" s="376"/>
      <c r="L73" s="375"/>
      <c r="M73" s="373"/>
    </row>
    <row r="74" spans="1:14" s="3" customFormat="1" x14ac:dyDescent="0.25">
      <c r="A74" s="298" t="s">
        <v>13</v>
      </c>
      <c r="B74" s="376"/>
      <c r="C74" s="376"/>
      <c r="D74" s="375"/>
      <c r="E74" s="397"/>
      <c r="F74" s="376"/>
      <c r="G74" s="376"/>
      <c r="H74" s="375"/>
      <c r="I74" s="373"/>
      <c r="J74" s="376"/>
      <c r="K74" s="376"/>
      <c r="L74" s="375"/>
      <c r="M74" s="373"/>
      <c r="N74" s="148"/>
    </row>
    <row r="75" spans="1:14" s="3" customFormat="1" x14ac:dyDescent="0.25">
      <c r="A75" s="21" t="s">
        <v>348</v>
      </c>
      <c r="B75" s="378"/>
      <c r="C75" s="390"/>
      <c r="D75" s="375"/>
      <c r="E75" s="373"/>
      <c r="F75" s="378"/>
      <c r="G75" s="390"/>
      <c r="H75" s="375"/>
      <c r="I75" s="373"/>
      <c r="J75" s="367"/>
      <c r="K75" s="366"/>
      <c r="L75" s="375"/>
      <c r="M75" s="373"/>
      <c r="N75" s="148"/>
    </row>
    <row r="76" spans="1:14" s="3" customFormat="1" x14ac:dyDescent="0.25">
      <c r="A76" s="21" t="s">
        <v>347</v>
      </c>
      <c r="B76" s="378"/>
      <c r="C76" s="390"/>
      <c r="D76" s="375"/>
      <c r="E76" s="373"/>
      <c r="F76" s="378"/>
      <c r="G76" s="390"/>
      <c r="H76" s="375"/>
      <c r="I76" s="373"/>
      <c r="J76" s="367"/>
      <c r="K76" s="366"/>
      <c r="L76" s="375"/>
      <c r="M76" s="373"/>
      <c r="N76" s="148"/>
    </row>
    <row r="77" spans="1:14" ht="15.6" x14ac:dyDescent="0.25">
      <c r="A77" s="21" t="s">
        <v>380</v>
      </c>
      <c r="B77" s="378"/>
      <c r="C77" s="378"/>
      <c r="D77" s="375"/>
      <c r="E77" s="373"/>
      <c r="F77" s="378"/>
      <c r="G77" s="390"/>
      <c r="H77" s="375"/>
      <c r="I77" s="373"/>
      <c r="J77" s="367"/>
      <c r="K77" s="366"/>
      <c r="L77" s="375"/>
      <c r="M77" s="373"/>
    </row>
    <row r="78" spans="1:14" x14ac:dyDescent="0.25">
      <c r="A78" s="21" t="s">
        <v>9</v>
      </c>
      <c r="B78" s="378"/>
      <c r="C78" s="390"/>
      <c r="D78" s="375"/>
      <c r="E78" s="373"/>
      <c r="F78" s="378"/>
      <c r="G78" s="390"/>
      <c r="H78" s="375"/>
      <c r="I78" s="373"/>
      <c r="J78" s="367"/>
      <c r="K78" s="366"/>
      <c r="L78" s="375"/>
      <c r="M78" s="373"/>
    </row>
    <row r="79" spans="1:14" x14ac:dyDescent="0.25">
      <c r="A79" s="38" t="s">
        <v>421</v>
      </c>
      <c r="B79" s="391"/>
      <c r="C79" s="392"/>
      <c r="D79" s="375"/>
      <c r="E79" s="373"/>
      <c r="F79" s="391"/>
      <c r="G79" s="392"/>
      <c r="H79" s="375"/>
      <c r="I79" s="373"/>
      <c r="J79" s="367"/>
      <c r="K79" s="366"/>
      <c r="L79" s="375"/>
      <c r="M79" s="373"/>
    </row>
    <row r="80" spans="1:14" ht="15.6" x14ac:dyDescent="0.25">
      <c r="A80" s="298" t="s">
        <v>378</v>
      </c>
      <c r="B80" s="376"/>
      <c r="C80" s="376"/>
      <c r="D80" s="375"/>
      <c r="E80" s="397"/>
      <c r="F80" s="376"/>
      <c r="G80" s="376"/>
      <c r="H80" s="375"/>
      <c r="I80" s="373"/>
      <c r="J80" s="376"/>
      <c r="K80" s="376"/>
      <c r="L80" s="375"/>
      <c r="M80" s="373"/>
    </row>
    <row r="81" spans="1:13" x14ac:dyDescent="0.25">
      <c r="A81" s="298" t="s">
        <v>12</v>
      </c>
      <c r="B81" s="376"/>
      <c r="C81" s="376"/>
      <c r="D81" s="375"/>
      <c r="E81" s="397"/>
      <c r="F81" s="376"/>
      <c r="G81" s="376"/>
      <c r="H81" s="375"/>
      <c r="I81" s="373"/>
      <c r="J81" s="376"/>
      <c r="K81" s="376"/>
      <c r="L81" s="375"/>
      <c r="M81" s="373"/>
    </row>
    <row r="82" spans="1:13" x14ac:dyDescent="0.25">
      <c r="A82" s="298" t="s">
        <v>13</v>
      </c>
      <c r="B82" s="376"/>
      <c r="C82" s="376"/>
      <c r="D82" s="375"/>
      <c r="E82" s="397"/>
      <c r="F82" s="376"/>
      <c r="G82" s="376"/>
      <c r="H82" s="375"/>
      <c r="I82" s="373"/>
      <c r="J82" s="376"/>
      <c r="K82" s="376"/>
      <c r="L82" s="375"/>
      <c r="M82" s="373"/>
    </row>
    <row r="83" spans="1:13" ht="15.6" x14ac:dyDescent="0.25">
      <c r="A83" s="298" t="s">
        <v>379</v>
      </c>
      <c r="B83" s="376"/>
      <c r="C83" s="376"/>
      <c r="D83" s="375"/>
      <c r="E83" s="397"/>
      <c r="F83" s="376"/>
      <c r="G83" s="376"/>
      <c r="H83" s="375"/>
      <c r="I83" s="373"/>
      <c r="J83" s="376"/>
      <c r="K83" s="376"/>
      <c r="L83" s="375"/>
      <c r="M83" s="373"/>
    </row>
    <row r="84" spans="1:13" x14ac:dyDescent="0.25">
      <c r="A84" s="298" t="s">
        <v>12</v>
      </c>
      <c r="B84" s="393"/>
      <c r="C84" s="394"/>
      <c r="D84" s="375"/>
      <c r="E84" s="397"/>
      <c r="F84" s="376"/>
      <c r="G84" s="376"/>
      <c r="H84" s="375"/>
      <c r="I84" s="373"/>
      <c r="J84" s="376"/>
      <c r="K84" s="376"/>
      <c r="L84" s="375"/>
      <c r="M84" s="373"/>
    </row>
    <row r="85" spans="1:13" x14ac:dyDescent="0.25">
      <c r="A85" s="298" t="s">
        <v>13</v>
      </c>
      <c r="B85" s="393"/>
      <c r="C85" s="394"/>
      <c r="D85" s="375"/>
      <c r="E85" s="397"/>
      <c r="F85" s="376"/>
      <c r="G85" s="376"/>
      <c r="H85" s="375"/>
      <c r="I85" s="373"/>
      <c r="J85" s="376"/>
      <c r="K85" s="376"/>
      <c r="L85" s="375"/>
      <c r="M85" s="373"/>
    </row>
    <row r="86" spans="1:13" ht="15.6" x14ac:dyDescent="0.25">
      <c r="A86" s="21" t="s">
        <v>381</v>
      </c>
      <c r="B86" s="378"/>
      <c r="C86" s="390"/>
      <c r="D86" s="375"/>
      <c r="E86" s="373"/>
      <c r="F86" s="378"/>
      <c r="G86" s="390"/>
      <c r="H86" s="375"/>
      <c r="I86" s="373"/>
      <c r="J86" s="367"/>
      <c r="K86" s="366"/>
      <c r="L86" s="375"/>
      <c r="M86" s="373"/>
    </row>
    <row r="87" spans="1:13" ht="15.6" x14ac:dyDescent="0.25">
      <c r="A87" s="13" t="s">
        <v>363</v>
      </c>
      <c r="B87" s="389"/>
      <c r="C87" s="389"/>
      <c r="D87" s="375"/>
      <c r="E87" s="373"/>
      <c r="F87" s="389"/>
      <c r="G87" s="389"/>
      <c r="H87" s="375"/>
      <c r="I87" s="373"/>
      <c r="J87" s="369"/>
      <c r="K87" s="368"/>
      <c r="L87" s="375"/>
      <c r="M87" s="373"/>
    </row>
    <row r="88" spans="1:13" x14ac:dyDescent="0.25">
      <c r="A88" s="21" t="s">
        <v>9</v>
      </c>
      <c r="B88" s="378"/>
      <c r="C88" s="390"/>
      <c r="D88" s="375"/>
      <c r="E88" s="373"/>
      <c r="F88" s="378"/>
      <c r="G88" s="390"/>
      <c r="H88" s="375"/>
      <c r="I88" s="373"/>
      <c r="J88" s="367"/>
      <c r="K88" s="366"/>
      <c r="L88" s="375"/>
      <c r="M88" s="373"/>
    </row>
    <row r="89" spans="1:13" x14ac:dyDescent="0.25">
      <c r="A89" s="21" t="s">
        <v>10</v>
      </c>
      <c r="B89" s="378"/>
      <c r="C89" s="390"/>
      <c r="D89" s="375"/>
      <c r="E89" s="373"/>
      <c r="F89" s="378"/>
      <c r="G89" s="390"/>
      <c r="H89" s="375"/>
      <c r="I89" s="373"/>
      <c r="J89" s="367"/>
      <c r="K89" s="366"/>
      <c r="L89" s="375"/>
      <c r="M89" s="373"/>
    </row>
    <row r="90" spans="1:13" ht="15.6" x14ac:dyDescent="0.25">
      <c r="A90" s="298" t="s">
        <v>378</v>
      </c>
      <c r="B90" s="376"/>
      <c r="C90" s="376"/>
      <c r="D90" s="375"/>
      <c r="E90" s="397"/>
      <c r="F90" s="376"/>
      <c r="G90" s="376"/>
      <c r="H90" s="375"/>
      <c r="I90" s="373"/>
      <c r="J90" s="376"/>
      <c r="K90" s="376"/>
      <c r="L90" s="375"/>
      <c r="M90" s="373"/>
    </row>
    <row r="91" spans="1:13" x14ac:dyDescent="0.25">
      <c r="A91" s="298" t="s">
        <v>12</v>
      </c>
      <c r="B91" s="376"/>
      <c r="C91" s="376"/>
      <c r="D91" s="375"/>
      <c r="E91" s="397"/>
      <c r="F91" s="376"/>
      <c r="G91" s="376"/>
      <c r="H91" s="375"/>
      <c r="I91" s="373"/>
      <c r="J91" s="376"/>
      <c r="K91" s="376"/>
      <c r="L91" s="375"/>
      <c r="M91" s="373"/>
    </row>
    <row r="92" spans="1:13" x14ac:dyDescent="0.25">
      <c r="A92" s="298" t="s">
        <v>13</v>
      </c>
      <c r="B92" s="376"/>
      <c r="C92" s="376"/>
      <c r="D92" s="375"/>
      <c r="E92" s="397"/>
      <c r="F92" s="376"/>
      <c r="G92" s="376"/>
      <c r="H92" s="375"/>
      <c r="I92" s="373"/>
      <c r="J92" s="376"/>
      <c r="K92" s="376"/>
      <c r="L92" s="375"/>
      <c r="M92" s="373"/>
    </row>
    <row r="93" spans="1:13" ht="15.6" x14ac:dyDescent="0.25">
      <c r="A93" s="298" t="s">
        <v>379</v>
      </c>
      <c r="B93" s="376"/>
      <c r="C93" s="376"/>
      <c r="D93" s="375"/>
      <c r="E93" s="397"/>
      <c r="F93" s="376"/>
      <c r="G93" s="376"/>
      <c r="H93" s="375"/>
      <c r="I93" s="373"/>
      <c r="J93" s="376"/>
      <c r="K93" s="376"/>
      <c r="L93" s="375"/>
      <c r="M93" s="373"/>
    </row>
    <row r="94" spans="1:13" x14ac:dyDescent="0.25">
      <c r="A94" s="298" t="s">
        <v>12</v>
      </c>
      <c r="B94" s="393"/>
      <c r="C94" s="394"/>
      <c r="D94" s="375"/>
      <c r="E94" s="397"/>
      <c r="F94" s="376"/>
      <c r="G94" s="376"/>
      <c r="H94" s="375"/>
      <c r="I94" s="373"/>
      <c r="J94" s="376"/>
      <c r="K94" s="376"/>
      <c r="L94" s="375"/>
      <c r="M94" s="373"/>
    </row>
    <row r="95" spans="1:13" x14ac:dyDescent="0.25">
      <c r="A95" s="298" t="s">
        <v>13</v>
      </c>
      <c r="B95" s="393"/>
      <c r="C95" s="394"/>
      <c r="D95" s="375"/>
      <c r="E95" s="397"/>
      <c r="F95" s="376"/>
      <c r="G95" s="376"/>
      <c r="H95" s="375"/>
      <c r="I95" s="373"/>
      <c r="J95" s="376"/>
      <c r="K95" s="376"/>
      <c r="L95" s="375"/>
      <c r="M95" s="373"/>
    </row>
    <row r="96" spans="1:13" x14ac:dyDescent="0.25">
      <c r="A96" s="21" t="s">
        <v>346</v>
      </c>
      <c r="B96" s="378"/>
      <c r="C96" s="390"/>
      <c r="D96" s="375"/>
      <c r="E96" s="373"/>
      <c r="F96" s="378"/>
      <c r="G96" s="390"/>
      <c r="H96" s="375"/>
      <c r="I96" s="373"/>
      <c r="J96" s="367"/>
      <c r="K96" s="366"/>
      <c r="L96" s="375"/>
      <c r="M96" s="373"/>
    </row>
    <row r="97" spans="1:13" x14ac:dyDescent="0.25">
      <c r="A97" s="21" t="s">
        <v>345</v>
      </c>
      <c r="B97" s="378"/>
      <c r="C97" s="390"/>
      <c r="D97" s="375"/>
      <c r="E97" s="373"/>
      <c r="F97" s="378"/>
      <c r="G97" s="390"/>
      <c r="H97" s="375"/>
      <c r="I97" s="373"/>
      <c r="J97" s="367"/>
      <c r="K97" s="366"/>
      <c r="L97" s="375"/>
      <c r="M97" s="373"/>
    </row>
    <row r="98" spans="1:13" ht="15.6" x14ac:dyDescent="0.25">
      <c r="A98" s="21" t="s">
        <v>380</v>
      </c>
      <c r="B98" s="378"/>
      <c r="C98" s="378"/>
      <c r="D98" s="375"/>
      <c r="E98" s="373"/>
      <c r="F98" s="391"/>
      <c r="G98" s="391"/>
      <c r="H98" s="375"/>
      <c r="I98" s="373"/>
      <c r="J98" s="367"/>
      <c r="K98" s="366"/>
      <c r="L98" s="375"/>
      <c r="M98" s="373"/>
    </row>
    <row r="99" spans="1:13" x14ac:dyDescent="0.25">
      <c r="A99" s="21" t="s">
        <v>9</v>
      </c>
      <c r="B99" s="391"/>
      <c r="C99" s="392"/>
      <c r="D99" s="375"/>
      <c r="E99" s="373"/>
      <c r="F99" s="378"/>
      <c r="G99" s="390"/>
      <c r="H99" s="375"/>
      <c r="I99" s="373"/>
      <c r="J99" s="367"/>
      <c r="K99" s="366"/>
      <c r="L99" s="375"/>
      <c r="M99" s="373"/>
    </row>
    <row r="100" spans="1:13" ht="15.6" x14ac:dyDescent="0.25">
      <c r="A100" s="38" t="s">
        <v>422</v>
      </c>
      <c r="B100" s="391"/>
      <c r="C100" s="392"/>
      <c r="D100" s="375"/>
      <c r="E100" s="373"/>
      <c r="F100" s="378"/>
      <c r="G100" s="378"/>
      <c r="H100" s="375"/>
      <c r="I100" s="373"/>
      <c r="J100" s="367"/>
      <c r="K100" s="366"/>
      <c r="L100" s="375"/>
      <c r="M100" s="373"/>
    </row>
    <row r="101" spans="1:13" ht="15.6" x14ac:dyDescent="0.25">
      <c r="A101" s="298" t="s">
        <v>378</v>
      </c>
      <c r="B101" s="376"/>
      <c r="C101" s="376"/>
      <c r="D101" s="375"/>
      <c r="E101" s="397"/>
      <c r="F101" s="376"/>
      <c r="G101" s="376"/>
      <c r="H101" s="375"/>
      <c r="I101" s="373"/>
      <c r="J101" s="376"/>
      <c r="K101" s="376"/>
      <c r="L101" s="375"/>
      <c r="M101" s="373"/>
    </row>
    <row r="102" spans="1:13" x14ac:dyDescent="0.25">
      <c r="A102" s="298" t="s">
        <v>12</v>
      </c>
      <c r="B102" s="376"/>
      <c r="C102" s="376"/>
      <c r="D102" s="375"/>
      <c r="E102" s="397"/>
      <c r="F102" s="376"/>
      <c r="G102" s="376"/>
      <c r="H102" s="375"/>
      <c r="I102" s="373"/>
      <c r="J102" s="376"/>
      <c r="K102" s="376"/>
      <c r="L102" s="375"/>
      <c r="M102" s="373"/>
    </row>
    <row r="103" spans="1:13" x14ac:dyDescent="0.25">
      <c r="A103" s="298" t="s">
        <v>13</v>
      </c>
      <c r="B103" s="376"/>
      <c r="C103" s="376"/>
      <c r="D103" s="375"/>
      <c r="E103" s="397"/>
      <c r="F103" s="376"/>
      <c r="G103" s="376"/>
      <c r="H103" s="375"/>
      <c r="I103" s="373"/>
      <c r="J103" s="376"/>
      <c r="K103" s="376"/>
      <c r="L103" s="375"/>
      <c r="M103" s="373"/>
    </row>
    <row r="104" spans="1:13" ht="15.6" x14ac:dyDescent="0.25">
      <c r="A104" s="298" t="s">
        <v>379</v>
      </c>
      <c r="B104" s="376"/>
      <c r="C104" s="376"/>
      <c r="D104" s="375"/>
      <c r="E104" s="397"/>
      <c r="F104" s="376"/>
      <c r="G104" s="376"/>
      <c r="H104" s="375"/>
      <c r="I104" s="373"/>
      <c r="J104" s="376"/>
      <c r="K104" s="376"/>
      <c r="L104" s="375"/>
      <c r="M104" s="373"/>
    </row>
    <row r="105" spans="1:13" x14ac:dyDescent="0.25">
      <c r="A105" s="298" t="s">
        <v>12</v>
      </c>
      <c r="B105" s="393"/>
      <c r="C105" s="394"/>
      <c r="D105" s="375"/>
      <c r="E105" s="397"/>
      <c r="F105" s="376"/>
      <c r="G105" s="376"/>
      <c r="H105" s="375"/>
      <c r="I105" s="373"/>
      <c r="J105" s="376"/>
      <c r="K105" s="376"/>
      <c r="L105" s="375"/>
      <c r="M105" s="373"/>
    </row>
    <row r="106" spans="1:13" x14ac:dyDescent="0.25">
      <c r="A106" s="298" t="s">
        <v>13</v>
      </c>
      <c r="B106" s="393"/>
      <c r="C106" s="394"/>
      <c r="D106" s="375"/>
      <c r="E106" s="397"/>
      <c r="F106" s="376"/>
      <c r="G106" s="376"/>
      <c r="H106" s="375"/>
      <c r="I106" s="373"/>
      <c r="J106" s="376"/>
      <c r="K106" s="376"/>
      <c r="L106" s="375"/>
      <c r="M106" s="373"/>
    </row>
    <row r="107" spans="1:13" ht="15.6" x14ac:dyDescent="0.25">
      <c r="A107" s="21" t="s">
        <v>381</v>
      </c>
      <c r="B107" s="378"/>
      <c r="C107" s="390"/>
      <c r="D107" s="375"/>
      <c r="E107" s="373"/>
      <c r="F107" s="378"/>
      <c r="G107" s="390"/>
      <c r="H107" s="375"/>
      <c r="I107" s="373"/>
      <c r="J107" s="367"/>
      <c r="K107" s="366"/>
      <c r="L107" s="375"/>
      <c r="M107" s="373"/>
    </row>
    <row r="108" spans="1:13" ht="15.6" x14ac:dyDescent="0.25">
      <c r="A108" s="21" t="s">
        <v>382</v>
      </c>
      <c r="B108" s="378"/>
      <c r="C108" s="378"/>
      <c r="D108" s="375"/>
      <c r="E108" s="373"/>
      <c r="F108" s="378"/>
      <c r="G108" s="378"/>
      <c r="H108" s="375"/>
      <c r="I108" s="373"/>
      <c r="J108" s="367"/>
      <c r="K108" s="366"/>
      <c r="L108" s="375"/>
      <c r="M108" s="373"/>
    </row>
    <row r="109" spans="1:13" ht="15.6" x14ac:dyDescent="0.25">
      <c r="A109" s="38" t="s">
        <v>437</v>
      </c>
      <c r="B109" s="378"/>
      <c r="C109" s="378"/>
      <c r="D109" s="375"/>
      <c r="E109" s="373"/>
      <c r="F109" s="378"/>
      <c r="G109" s="378"/>
      <c r="H109" s="375"/>
      <c r="I109" s="373"/>
      <c r="J109" s="367"/>
      <c r="K109" s="366"/>
      <c r="L109" s="375"/>
      <c r="M109" s="373"/>
    </row>
    <row r="110" spans="1:13" ht="15.6" x14ac:dyDescent="0.25">
      <c r="A110" s="21" t="s">
        <v>384</v>
      </c>
      <c r="B110" s="378"/>
      <c r="C110" s="378"/>
      <c r="D110" s="375"/>
      <c r="E110" s="373"/>
      <c r="F110" s="378"/>
      <c r="G110" s="378"/>
      <c r="H110" s="375"/>
      <c r="I110" s="373"/>
      <c r="J110" s="367"/>
      <c r="K110" s="366"/>
      <c r="L110" s="375"/>
      <c r="M110" s="373"/>
    </row>
    <row r="111" spans="1:13" ht="15.6" x14ac:dyDescent="0.25">
      <c r="A111" s="13" t="s">
        <v>364</v>
      </c>
      <c r="B111" s="374"/>
      <c r="C111" s="395"/>
      <c r="D111" s="375"/>
      <c r="E111" s="373"/>
      <c r="F111" s="374"/>
      <c r="G111" s="395"/>
      <c r="H111" s="375"/>
      <c r="I111" s="373"/>
      <c r="J111" s="369"/>
      <c r="K111" s="368"/>
      <c r="L111" s="375"/>
      <c r="M111" s="373"/>
    </row>
    <row r="112" spans="1:13" x14ac:dyDescent="0.25">
      <c r="A112" s="21" t="s">
        <v>9</v>
      </c>
      <c r="B112" s="378"/>
      <c r="C112" s="390"/>
      <c r="D112" s="375"/>
      <c r="E112" s="373"/>
      <c r="F112" s="378"/>
      <c r="G112" s="390"/>
      <c r="H112" s="375"/>
      <c r="I112" s="373"/>
      <c r="J112" s="367"/>
      <c r="K112" s="366"/>
      <c r="L112" s="375"/>
      <c r="M112" s="373"/>
    </row>
    <row r="113" spans="1:14" x14ac:dyDescent="0.25">
      <c r="A113" s="21" t="s">
        <v>10</v>
      </c>
      <c r="B113" s="378"/>
      <c r="C113" s="390"/>
      <c r="D113" s="375"/>
      <c r="E113" s="373"/>
      <c r="F113" s="378"/>
      <c r="G113" s="390"/>
      <c r="H113" s="375"/>
      <c r="I113" s="373"/>
      <c r="J113" s="367"/>
      <c r="K113" s="366"/>
      <c r="L113" s="375"/>
      <c r="M113" s="373"/>
    </row>
    <row r="114" spans="1:14" x14ac:dyDescent="0.25">
      <c r="A114" s="21" t="s">
        <v>26</v>
      </c>
      <c r="B114" s="378"/>
      <c r="C114" s="390"/>
      <c r="D114" s="375"/>
      <c r="E114" s="373"/>
      <c r="F114" s="378"/>
      <c r="G114" s="390"/>
      <c r="H114" s="375"/>
      <c r="I114" s="373"/>
      <c r="J114" s="367"/>
      <c r="K114" s="366"/>
      <c r="L114" s="375"/>
      <c r="M114" s="373"/>
    </row>
    <row r="115" spans="1:14" x14ac:dyDescent="0.25">
      <c r="A115" s="298" t="s">
        <v>15</v>
      </c>
      <c r="B115" s="366"/>
      <c r="C115" s="366"/>
      <c r="D115" s="375"/>
      <c r="E115" s="397"/>
      <c r="F115" s="366"/>
      <c r="G115" s="366"/>
      <c r="H115" s="375"/>
      <c r="I115" s="373"/>
      <c r="J115" s="365"/>
      <c r="K115" s="365"/>
      <c r="L115" s="375"/>
      <c r="M115" s="373"/>
    </row>
    <row r="116" spans="1:14" ht="15.6" x14ac:dyDescent="0.25">
      <c r="A116" s="21" t="s">
        <v>385</v>
      </c>
      <c r="B116" s="378"/>
      <c r="C116" s="378"/>
      <c r="D116" s="375"/>
      <c r="E116" s="373"/>
      <c r="F116" s="378"/>
      <c r="G116" s="378"/>
      <c r="H116" s="375"/>
      <c r="I116" s="373"/>
      <c r="J116" s="367"/>
      <c r="K116" s="366"/>
      <c r="L116" s="375"/>
      <c r="M116" s="373"/>
    </row>
    <row r="117" spans="1:14" ht="15.6" x14ac:dyDescent="0.25">
      <c r="A117" s="21" t="s">
        <v>386</v>
      </c>
      <c r="B117" s="378"/>
      <c r="C117" s="378"/>
      <c r="D117" s="375"/>
      <c r="E117" s="373"/>
      <c r="F117" s="378"/>
      <c r="G117" s="378"/>
      <c r="H117" s="375"/>
      <c r="I117" s="373"/>
      <c r="J117" s="367"/>
      <c r="K117" s="366"/>
      <c r="L117" s="375"/>
      <c r="M117" s="373"/>
    </row>
    <row r="118" spans="1:14" ht="15.6" x14ac:dyDescent="0.25">
      <c r="A118" s="21" t="s">
        <v>384</v>
      </c>
      <c r="B118" s="378"/>
      <c r="C118" s="378"/>
      <c r="D118" s="375"/>
      <c r="E118" s="373"/>
      <c r="F118" s="378"/>
      <c r="G118" s="378"/>
      <c r="H118" s="375"/>
      <c r="I118" s="373"/>
      <c r="J118" s="367"/>
      <c r="K118" s="366"/>
      <c r="L118" s="375"/>
      <c r="M118" s="373"/>
    </row>
    <row r="119" spans="1:14" ht="15.6" x14ac:dyDescent="0.25">
      <c r="A119" s="13" t="s">
        <v>365</v>
      </c>
      <c r="B119" s="374"/>
      <c r="C119" s="395"/>
      <c r="D119" s="375"/>
      <c r="E119" s="373"/>
      <c r="F119" s="374"/>
      <c r="G119" s="395"/>
      <c r="H119" s="375"/>
      <c r="I119" s="373"/>
      <c r="J119" s="369"/>
      <c r="K119" s="368"/>
      <c r="L119" s="375"/>
      <c r="M119" s="373"/>
    </row>
    <row r="120" spans="1:14" x14ac:dyDescent="0.25">
      <c r="A120" s="21" t="s">
        <v>9</v>
      </c>
      <c r="B120" s="378"/>
      <c r="C120" s="390"/>
      <c r="D120" s="375"/>
      <c r="E120" s="373"/>
      <c r="F120" s="378"/>
      <c r="G120" s="390"/>
      <c r="H120" s="375"/>
      <c r="I120" s="373"/>
      <c r="J120" s="367"/>
      <c r="K120" s="366"/>
      <c r="L120" s="375"/>
      <c r="M120" s="373"/>
    </row>
    <row r="121" spans="1:14" x14ac:dyDescent="0.25">
      <c r="A121" s="21" t="s">
        <v>10</v>
      </c>
      <c r="B121" s="378"/>
      <c r="C121" s="390"/>
      <c r="D121" s="375"/>
      <c r="E121" s="373"/>
      <c r="F121" s="378"/>
      <c r="G121" s="390"/>
      <c r="H121" s="375"/>
      <c r="I121" s="373"/>
      <c r="J121" s="367"/>
      <c r="K121" s="366"/>
      <c r="L121" s="375"/>
      <c r="M121" s="373"/>
    </row>
    <row r="122" spans="1:14" x14ac:dyDescent="0.25">
      <c r="A122" s="21" t="s">
        <v>26</v>
      </c>
      <c r="B122" s="378"/>
      <c r="C122" s="390"/>
      <c r="D122" s="375"/>
      <c r="E122" s="373"/>
      <c r="F122" s="378"/>
      <c r="G122" s="390"/>
      <c r="H122" s="375"/>
      <c r="I122" s="373"/>
      <c r="J122" s="367"/>
      <c r="K122" s="366"/>
      <c r="L122" s="375"/>
      <c r="M122" s="373"/>
    </row>
    <row r="123" spans="1:14" x14ac:dyDescent="0.25">
      <c r="A123" s="298" t="s">
        <v>14</v>
      </c>
      <c r="B123" s="366"/>
      <c r="C123" s="366"/>
      <c r="D123" s="375"/>
      <c r="E123" s="397"/>
      <c r="F123" s="366"/>
      <c r="G123" s="366"/>
      <c r="H123" s="375"/>
      <c r="I123" s="373"/>
      <c r="J123" s="365"/>
      <c r="K123" s="365"/>
      <c r="L123" s="375"/>
      <c r="M123" s="373"/>
    </row>
    <row r="124" spans="1:14" ht="15.6" x14ac:dyDescent="0.25">
      <c r="A124" s="21" t="s">
        <v>391</v>
      </c>
      <c r="B124" s="378"/>
      <c r="C124" s="378"/>
      <c r="D124" s="375"/>
      <c r="E124" s="373"/>
      <c r="F124" s="378"/>
      <c r="G124" s="378"/>
      <c r="H124" s="375"/>
      <c r="I124" s="373"/>
      <c r="J124" s="367"/>
      <c r="K124" s="366"/>
      <c r="L124" s="375"/>
      <c r="M124" s="373"/>
    </row>
    <row r="125" spans="1:14" ht="15.6" x14ac:dyDescent="0.25">
      <c r="A125" s="21" t="s">
        <v>383</v>
      </c>
      <c r="B125" s="378"/>
      <c r="C125" s="378"/>
      <c r="D125" s="375"/>
      <c r="E125" s="373"/>
      <c r="F125" s="378"/>
      <c r="G125" s="378"/>
      <c r="H125" s="375"/>
      <c r="I125" s="373"/>
      <c r="J125" s="367"/>
      <c r="K125" s="366"/>
      <c r="L125" s="375"/>
      <c r="M125" s="373"/>
    </row>
    <row r="126" spans="1:14" ht="15.6" x14ac:dyDescent="0.25">
      <c r="A126" s="10" t="s">
        <v>384</v>
      </c>
      <c r="B126" s="387"/>
      <c r="C126" s="387"/>
      <c r="D126" s="379"/>
      <c r="E126" s="396"/>
      <c r="F126" s="387"/>
      <c r="G126" s="387"/>
      <c r="H126" s="379"/>
      <c r="I126" s="379"/>
      <c r="J126" s="388"/>
      <c r="K126" s="387"/>
      <c r="L126" s="379"/>
      <c r="M126" s="379"/>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359"/>
      <c r="C130" s="359"/>
      <c r="D130" s="359"/>
      <c r="E130" s="360"/>
      <c r="F130" s="359"/>
      <c r="G130" s="359"/>
      <c r="H130" s="359"/>
      <c r="I130" s="360"/>
      <c r="J130" s="359"/>
      <c r="K130" s="359"/>
      <c r="L130" s="359"/>
      <c r="M130" s="360"/>
    </row>
    <row r="131" spans="1:14" s="3" customFormat="1" x14ac:dyDescent="0.25">
      <c r="A131" s="144"/>
      <c r="B131" s="724" t="s">
        <v>0</v>
      </c>
      <c r="C131" s="725"/>
      <c r="D131" s="725"/>
      <c r="E131" s="357"/>
      <c r="F131" s="724" t="s">
        <v>1</v>
      </c>
      <c r="G131" s="725"/>
      <c r="H131" s="725"/>
      <c r="I131" s="358"/>
      <c r="J131" s="724" t="s">
        <v>2</v>
      </c>
      <c r="K131" s="725"/>
      <c r="L131" s="725"/>
      <c r="M131" s="358"/>
      <c r="N131" s="148"/>
    </row>
    <row r="132" spans="1:14" s="3" customFormat="1" x14ac:dyDescent="0.25">
      <c r="A132" s="140"/>
      <c r="B132" s="152" t="s">
        <v>435</v>
      </c>
      <c r="C132" s="152" t="s">
        <v>436</v>
      </c>
      <c r="D132" s="246" t="s">
        <v>3</v>
      </c>
      <c r="E132" s="307" t="s">
        <v>29</v>
      </c>
      <c r="F132" s="152" t="s">
        <v>435</v>
      </c>
      <c r="G132" s="152" t="s">
        <v>436</v>
      </c>
      <c r="H132" s="206" t="s">
        <v>3</v>
      </c>
      <c r="I132" s="307"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368"/>
      <c r="C134" s="369"/>
      <c r="D134" s="372"/>
      <c r="E134" s="373"/>
      <c r="F134" s="363"/>
      <c r="G134" s="364"/>
      <c r="H134" s="398"/>
      <c r="I134" s="373"/>
      <c r="J134" s="381"/>
      <c r="K134" s="381"/>
      <c r="L134" s="372"/>
      <c r="M134" s="373"/>
      <c r="N134" s="148"/>
    </row>
    <row r="135" spans="1:14" s="3" customFormat="1" ht="15.6" x14ac:dyDescent="0.25">
      <c r="A135" s="13" t="s">
        <v>392</v>
      </c>
      <c r="B135" s="368"/>
      <c r="C135" s="369"/>
      <c r="D135" s="375"/>
      <c r="E135" s="373"/>
      <c r="F135" s="368"/>
      <c r="G135" s="369"/>
      <c r="H135" s="399"/>
      <c r="I135" s="373"/>
      <c r="J135" s="374"/>
      <c r="K135" s="374"/>
      <c r="L135" s="375"/>
      <c r="M135" s="373"/>
      <c r="N135" s="148"/>
    </row>
    <row r="136" spans="1:14" s="3" customFormat="1" ht="15.6" x14ac:dyDescent="0.25">
      <c r="A136" s="13" t="s">
        <v>389</v>
      </c>
      <c r="B136" s="368"/>
      <c r="C136" s="369"/>
      <c r="D136" s="375"/>
      <c r="E136" s="373"/>
      <c r="F136" s="368"/>
      <c r="G136" s="369"/>
      <c r="H136" s="399"/>
      <c r="I136" s="373"/>
      <c r="J136" s="374"/>
      <c r="K136" s="374"/>
      <c r="L136" s="375"/>
      <c r="M136" s="373"/>
      <c r="N136" s="148"/>
    </row>
    <row r="137" spans="1:14" s="3" customFormat="1" ht="15.6" x14ac:dyDescent="0.25">
      <c r="A137" s="41" t="s">
        <v>390</v>
      </c>
      <c r="B137" s="370"/>
      <c r="C137" s="371"/>
      <c r="D137" s="379"/>
      <c r="E137" s="396"/>
      <c r="F137" s="370"/>
      <c r="G137" s="371"/>
      <c r="H137" s="400"/>
      <c r="I137" s="396"/>
      <c r="J137" s="380"/>
      <c r="K137" s="380"/>
      <c r="L137" s="379"/>
      <c r="M137" s="379"/>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13">
    <mergeCell ref="J131:L131"/>
    <mergeCell ref="F131:H131"/>
    <mergeCell ref="B131:D131"/>
    <mergeCell ref="J63:L63"/>
    <mergeCell ref="F63:H63"/>
    <mergeCell ref="B63:D63"/>
    <mergeCell ref="B44:D44"/>
    <mergeCell ref="J19:L19"/>
    <mergeCell ref="F19:H19"/>
    <mergeCell ref="B19:D19"/>
    <mergeCell ref="J4:L4"/>
    <mergeCell ref="F4:H4"/>
    <mergeCell ref="B4:D4"/>
  </mergeCells>
  <conditionalFormatting sqref="B115">
    <cfRule type="expression" dxfId="557" priority="76">
      <formula>kvartal &lt; 4</formula>
    </cfRule>
  </conditionalFormatting>
  <conditionalFormatting sqref="C115">
    <cfRule type="expression" dxfId="556" priority="75">
      <formula>kvartal &lt; 4</formula>
    </cfRule>
  </conditionalFormatting>
  <conditionalFormatting sqref="B123">
    <cfRule type="expression" dxfId="555" priority="74">
      <formula>kvartal &lt; 4</formula>
    </cfRule>
  </conditionalFormatting>
  <conditionalFormatting sqref="C123">
    <cfRule type="expression" dxfId="554" priority="73">
      <formula>kvartal &lt; 4</formula>
    </cfRule>
  </conditionalFormatting>
  <conditionalFormatting sqref="F115">
    <cfRule type="expression" dxfId="553" priority="58">
      <formula>kvartal &lt; 4</formula>
    </cfRule>
  </conditionalFormatting>
  <conditionalFormatting sqref="G115">
    <cfRule type="expression" dxfId="552" priority="57">
      <formula>kvartal &lt; 4</formula>
    </cfRule>
  </conditionalFormatting>
  <conditionalFormatting sqref="F123:G123">
    <cfRule type="expression" dxfId="551" priority="56">
      <formula>kvartal &lt; 4</formula>
    </cfRule>
  </conditionalFormatting>
  <conditionalFormatting sqref="J115:K115">
    <cfRule type="expression" dxfId="550" priority="32">
      <formula>kvartal &lt; 4</formula>
    </cfRule>
  </conditionalFormatting>
  <conditionalFormatting sqref="J123:K123">
    <cfRule type="expression" dxfId="549" priority="31">
      <formula>kvartal &lt; 4</formula>
    </cfRule>
  </conditionalFormatting>
  <conditionalFormatting sqref="A50:A52">
    <cfRule type="expression" dxfId="548" priority="12">
      <formula>kvartal &lt; 4</formula>
    </cfRule>
  </conditionalFormatting>
  <conditionalFormatting sqref="A69:A74">
    <cfRule type="expression" dxfId="547" priority="10">
      <formula>kvartal &lt; 4</formula>
    </cfRule>
  </conditionalFormatting>
  <conditionalFormatting sqref="A80:A85">
    <cfRule type="expression" dxfId="546" priority="9">
      <formula>kvartal &lt; 4</formula>
    </cfRule>
  </conditionalFormatting>
  <conditionalFormatting sqref="A90:A95">
    <cfRule type="expression" dxfId="545" priority="6">
      <formula>kvartal &lt; 4</formula>
    </cfRule>
  </conditionalFormatting>
  <conditionalFormatting sqref="A101:A106">
    <cfRule type="expression" dxfId="544" priority="5">
      <formula>kvartal &lt; 4</formula>
    </cfRule>
  </conditionalFormatting>
  <conditionalFormatting sqref="A115">
    <cfRule type="expression" dxfId="543" priority="4">
      <formula>kvartal &lt; 4</formula>
    </cfRule>
  </conditionalFormatting>
  <conditionalFormatting sqref="A123">
    <cfRule type="expression" dxfId="542"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Normal="100" workbookViewId="0">
      <selection activeCell="I33" sqref="I33"/>
    </sheetView>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7" x14ac:dyDescent="0.25">
      <c r="A1" s="172" t="s">
        <v>134</v>
      </c>
      <c r="B1" s="696"/>
      <c r="C1" s="250" t="s">
        <v>126</v>
      </c>
      <c r="D1" s="26"/>
      <c r="E1" s="26"/>
      <c r="F1" s="26"/>
      <c r="G1" s="26"/>
      <c r="H1" s="26"/>
      <c r="I1" s="26"/>
      <c r="J1" s="26"/>
      <c r="K1" s="26"/>
      <c r="L1" s="26"/>
      <c r="M1" s="26"/>
    </row>
    <row r="2" spans="1:17" ht="15.6" x14ac:dyDescent="0.3">
      <c r="A2" s="165" t="s">
        <v>28</v>
      </c>
      <c r="B2" s="723"/>
      <c r="C2" s="723"/>
      <c r="D2" s="723"/>
      <c r="E2" s="301"/>
      <c r="F2" s="723"/>
      <c r="G2" s="723"/>
      <c r="H2" s="723"/>
      <c r="I2" s="301"/>
      <c r="J2" s="723"/>
      <c r="K2" s="723"/>
      <c r="L2" s="723"/>
      <c r="M2" s="301"/>
    </row>
    <row r="3" spans="1:17" ht="15.6" x14ac:dyDescent="0.3">
      <c r="A3" s="163"/>
      <c r="B3" s="301"/>
      <c r="C3" s="301"/>
      <c r="D3" s="301"/>
      <c r="E3" s="301"/>
      <c r="F3" s="301"/>
      <c r="G3" s="301"/>
      <c r="H3" s="301"/>
      <c r="I3" s="301"/>
      <c r="J3" s="301"/>
      <c r="K3" s="301"/>
      <c r="L3" s="301"/>
      <c r="M3" s="301"/>
    </row>
    <row r="4" spans="1:17" x14ac:dyDescent="0.25">
      <c r="A4" s="144"/>
      <c r="B4" s="724" t="s">
        <v>0</v>
      </c>
      <c r="C4" s="725"/>
      <c r="D4" s="725"/>
      <c r="E4" s="303"/>
      <c r="F4" s="724" t="s">
        <v>1</v>
      </c>
      <c r="G4" s="725"/>
      <c r="H4" s="725"/>
      <c r="I4" s="306"/>
      <c r="J4" s="724" t="s">
        <v>2</v>
      </c>
      <c r="K4" s="725"/>
      <c r="L4" s="725"/>
      <c r="M4" s="306"/>
    </row>
    <row r="5" spans="1:17"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7" x14ac:dyDescent="0.25">
      <c r="A6" s="697"/>
      <c r="B6" s="156"/>
      <c r="C6" s="156"/>
      <c r="D6" s="248" t="s">
        <v>4</v>
      </c>
      <c r="E6" s="156" t="s">
        <v>30</v>
      </c>
      <c r="F6" s="161"/>
      <c r="G6" s="161"/>
      <c r="H6" s="246" t="s">
        <v>4</v>
      </c>
      <c r="I6" s="156" t="s">
        <v>30</v>
      </c>
      <c r="J6" s="161"/>
      <c r="K6" s="161"/>
      <c r="L6" s="246" t="s">
        <v>4</v>
      </c>
      <c r="M6" s="156" t="s">
        <v>30</v>
      </c>
    </row>
    <row r="7" spans="1:17" ht="15.6" x14ac:dyDescent="0.25">
      <c r="A7" s="14" t="s">
        <v>23</v>
      </c>
      <c r="B7" s="308">
        <v>203921</v>
      </c>
      <c r="C7" s="309">
        <v>217165</v>
      </c>
      <c r="D7" s="351">
        <f>IF(B7=0, "    ---- ", IF(ABS(ROUND(100/B7*C7-100,1))&lt;999,ROUND(100/B7*C7-100,1),IF(ROUND(100/B7*C7-100,1)&gt;999,999,-999)))</f>
        <v>6.5</v>
      </c>
      <c r="E7" s="11">
        <f>IFERROR(100/'Skjema total MA'!C7*C7,0)</f>
        <v>5.6946618252126839</v>
      </c>
      <c r="F7" s="308"/>
      <c r="G7" s="309"/>
      <c r="H7" s="351"/>
      <c r="I7" s="160"/>
      <c r="J7" s="310">
        <f t="shared" ref="J7:K10" si="0">SUM(B7,F7)</f>
        <v>203921</v>
      </c>
      <c r="K7" s="311">
        <f t="shared" si="0"/>
        <v>217165</v>
      </c>
      <c r="L7" s="425">
        <f>IF(J7=0, "    ---- ", IF(ABS(ROUND(100/J7*K7-100,1))&lt;999,ROUND(100/J7*K7-100,1),IF(ROUND(100/J7*K7-100,1)&gt;999,999,-999)))</f>
        <v>6.5</v>
      </c>
      <c r="M7" s="11">
        <f>IFERROR(100/'Skjema total MA'!I7*K7,0)</f>
        <v>1.4773592575758645</v>
      </c>
    </row>
    <row r="8" spans="1:17" ht="15.6" x14ac:dyDescent="0.25">
      <c r="A8" s="21" t="s">
        <v>25</v>
      </c>
      <c r="B8" s="286">
        <v>176281</v>
      </c>
      <c r="C8" s="287">
        <v>188637</v>
      </c>
      <c r="D8" s="166">
        <f t="shared" ref="D8:D10" si="1">IF(B8=0, "    ---- ", IF(ABS(ROUND(100/B8*C8-100,1))&lt;999,ROUND(100/B8*C8-100,1),IF(ROUND(100/B8*C8-100,1)&gt;999,999,-999)))</f>
        <v>7</v>
      </c>
      <c r="E8" s="27">
        <f>IFERROR(100/'Skjema total MA'!C8*C8,0)</f>
        <v>7.6048523277993905</v>
      </c>
      <c r="F8" s="290"/>
      <c r="G8" s="291"/>
      <c r="H8" s="166"/>
      <c r="I8" s="176"/>
      <c r="J8" s="234">
        <f t="shared" si="0"/>
        <v>176281</v>
      </c>
      <c r="K8" s="292">
        <f t="shared" si="0"/>
        <v>188637</v>
      </c>
      <c r="L8" s="166">
        <f t="shared" ref="L8:L9" si="2">IF(J8=0, "    ---- ", IF(ABS(ROUND(100/J8*K8-100,1))&lt;999,ROUND(100/J8*K8-100,1),IF(ROUND(100/J8*K8-100,1)&gt;999,999,-999)))</f>
        <v>7</v>
      </c>
      <c r="M8" s="27">
        <f>IFERROR(100/'Skjema total MA'!I8*K8,0)</f>
        <v>7.6048523277993905</v>
      </c>
    </row>
    <row r="9" spans="1:17" ht="15.6" x14ac:dyDescent="0.25">
      <c r="A9" s="21" t="s">
        <v>24</v>
      </c>
      <c r="B9" s="286">
        <v>27640</v>
      </c>
      <c r="C9" s="287">
        <v>28528</v>
      </c>
      <c r="D9" s="166">
        <f t="shared" si="1"/>
        <v>3.2</v>
      </c>
      <c r="E9" s="27">
        <f>IFERROR(100/'Skjema total MA'!C9*C9,0)</f>
        <v>3.5966704559192149</v>
      </c>
      <c r="F9" s="290"/>
      <c r="G9" s="291"/>
      <c r="H9" s="166"/>
      <c r="I9" s="176"/>
      <c r="J9" s="234">
        <f t="shared" si="0"/>
        <v>27640</v>
      </c>
      <c r="K9" s="292">
        <f t="shared" si="0"/>
        <v>28528</v>
      </c>
      <c r="L9" s="166">
        <f t="shared" si="2"/>
        <v>3.2</v>
      </c>
      <c r="M9" s="27">
        <f>IFERROR(100/'Skjema total MA'!I9*K9,0)</f>
        <v>3.5966704559192149</v>
      </c>
    </row>
    <row r="10" spans="1:17" ht="15.6" x14ac:dyDescent="0.25">
      <c r="A10" s="13" t="s">
        <v>363</v>
      </c>
      <c r="B10" s="312">
        <v>109406</v>
      </c>
      <c r="C10" s="313">
        <v>118217</v>
      </c>
      <c r="D10" s="171">
        <f t="shared" si="1"/>
        <v>8.1</v>
      </c>
      <c r="E10" s="11">
        <f>IFERROR(100/'Skjema total MA'!C10*C10,0)</f>
        <v>0.69554565521543521</v>
      </c>
      <c r="F10" s="312"/>
      <c r="G10" s="313"/>
      <c r="H10" s="171"/>
      <c r="I10" s="160"/>
      <c r="J10" s="310">
        <f t="shared" si="0"/>
        <v>109406</v>
      </c>
      <c r="K10" s="311">
        <f t="shared" si="0"/>
        <v>118217</v>
      </c>
      <c r="L10" s="426">
        <f t="shared" ref="L10" si="3">IF(J10=0, "    ---- ", IF(ABS(ROUND(100/J10*K10-100,1))&lt;999,ROUND(100/J10*K10-100,1),IF(ROUND(100/J10*K10-100,1)&gt;999,999,-999)))</f>
        <v>8.1</v>
      </c>
      <c r="M10" s="11">
        <f>IFERROR(100/'Skjema total MA'!I10*K10,0)</f>
        <v>0.13106408910095238</v>
      </c>
    </row>
    <row r="11" spans="1:17" s="43" customFormat="1" ht="15.6" x14ac:dyDescent="0.25">
      <c r="A11" s="13" t="s">
        <v>364</v>
      </c>
      <c r="B11" s="312"/>
      <c r="C11" s="313"/>
      <c r="D11" s="171"/>
      <c r="E11" s="11"/>
      <c r="F11" s="312"/>
      <c r="G11" s="313"/>
      <c r="H11" s="171"/>
      <c r="I11" s="160"/>
      <c r="J11" s="310"/>
      <c r="K11" s="311"/>
      <c r="L11" s="426"/>
      <c r="M11" s="11"/>
      <c r="N11" s="143"/>
      <c r="Q11" s="143"/>
    </row>
    <row r="12" spans="1:17" s="43" customFormat="1" ht="15.6" x14ac:dyDescent="0.25">
      <c r="A12" s="41" t="s">
        <v>365</v>
      </c>
      <c r="B12" s="314"/>
      <c r="C12" s="315"/>
      <c r="D12" s="169"/>
      <c r="E12" s="36"/>
      <c r="F12" s="314"/>
      <c r="G12" s="315"/>
      <c r="H12" s="169"/>
      <c r="I12" s="169"/>
      <c r="J12" s="316"/>
      <c r="K12" s="317"/>
      <c r="L12" s="427"/>
      <c r="M12" s="36"/>
      <c r="N12" s="143"/>
    </row>
    <row r="13" spans="1:17" s="43" customFormat="1" x14ac:dyDescent="0.25">
      <c r="A13" s="168"/>
      <c r="B13" s="145"/>
      <c r="C13" s="33"/>
      <c r="D13" s="159"/>
      <c r="E13" s="159"/>
      <c r="F13" s="145"/>
      <c r="G13" s="33"/>
      <c r="H13" s="159"/>
      <c r="I13" s="159"/>
      <c r="J13" s="48"/>
      <c r="K13" s="48"/>
      <c r="L13" s="159"/>
      <c r="M13" s="159"/>
      <c r="N13" s="143"/>
    </row>
    <row r="14" spans="1:17" x14ac:dyDescent="0.25">
      <c r="A14" s="153" t="s">
        <v>273</v>
      </c>
      <c r="B14" s="26"/>
    </row>
    <row r="15" spans="1:17" x14ac:dyDescent="0.25">
      <c r="F15" s="146"/>
      <c r="G15" s="146"/>
      <c r="H15" s="146"/>
      <c r="I15" s="146"/>
      <c r="J15" s="146"/>
      <c r="K15" s="146"/>
      <c r="L15" s="146"/>
      <c r="M15" s="146"/>
    </row>
    <row r="16" spans="1:17"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v>192216</v>
      </c>
      <c r="C22" s="312">
        <v>206967</v>
      </c>
      <c r="D22" s="351">
        <f t="shared" ref="D22:D32" si="4">IF(B22=0, "    ---- ", IF(ABS(ROUND(100/B22*C22-100,1))&lt;999,ROUND(100/B22*C22-100,1),IF(ROUND(100/B22*C22-100,1)&gt;999,999,-999)))</f>
        <v>7.7</v>
      </c>
      <c r="E22" s="11">
        <f>IFERROR(100/'Skjema total MA'!C22*C22,0)</f>
        <v>13.472001556937384</v>
      </c>
      <c r="F22" s="320">
        <v>9375</v>
      </c>
      <c r="G22" s="320">
        <v>0</v>
      </c>
      <c r="H22" s="351">
        <f t="shared" ref="H22:H33" si="5">IF(F22=0, "    ---- ", IF(ABS(ROUND(100/F22*G22-100,1))&lt;999,ROUND(100/F22*G22-100,1),IF(ROUND(100/F22*G22-100,1)&gt;999,999,-999)))</f>
        <v>-100</v>
      </c>
      <c r="I22" s="11">
        <f>IFERROR(100/'Skjema total MA'!F22*G22,0)</f>
        <v>0</v>
      </c>
      <c r="J22" s="318">
        <f t="shared" ref="J22:K29" si="6">SUM(B22,F22)</f>
        <v>201591</v>
      </c>
      <c r="K22" s="318">
        <f t="shared" si="6"/>
        <v>206967</v>
      </c>
      <c r="L22" s="425">
        <f t="shared" ref="L22:L33" si="7">IF(J22=0, "    ---- ", IF(ABS(ROUND(100/J22*K22-100,1))&lt;999,ROUND(100/J22*K22-100,1),IF(ROUND(100/J22*K22-100,1)&gt;999,999,-999)))</f>
        <v>2.7</v>
      </c>
      <c r="M22" s="24">
        <f>IFERROR(100/'Skjema total MA'!I22*K22,0)</f>
        <v>7.7844573896810489</v>
      </c>
    </row>
    <row r="23" spans="1:14" ht="15.6" x14ac:dyDescent="0.25">
      <c r="A23" s="581" t="s">
        <v>366</v>
      </c>
      <c r="B23" s="286">
        <v>191911</v>
      </c>
      <c r="C23" s="286">
        <v>206967</v>
      </c>
      <c r="D23" s="166">
        <f t="shared" si="4"/>
        <v>7.8</v>
      </c>
      <c r="E23" s="11">
        <f>IFERROR(100/'Skjema total MA'!C23*C23,0)</f>
        <v>36.968306430356705</v>
      </c>
      <c r="F23" s="295"/>
      <c r="G23" s="295"/>
      <c r="H23" s="166"/>
      <c r="I23" s="415"/>
      <c r="J23" s="295">
        <f t="shared" ref="J23:J26" si="8">SUM(B23,F23)</f>
        <v>191911</v>
      </c>
      <c r="K23" s="295">
        <f t="shared" ref="K23:K26" si="9">SUM(C23,G23)</f>
        <v>206967</v>
      </c>
      <c r="L23" s="166">
        <f t="shared" si="7"/>
        <v>7.8</v>
      </c>
      <c r="M23" s="23">
        <f>IFERROR(100/'Skjema total MA'!I23*K23,0)</f>
        <v>28.12140207635716</v>
      </c>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v>305</v>
      </c>
      <c r="C25" s="286">
        <v>0</v>
      </c>
      <c r="D25" s="166">
        <f t="shared" si="4"/>
        <v>-100</v>
      </c>
      <c r="E25" s="11">
        <f>IFERROR(100/'Skjema total MA'!C25*C25,0)</f>
        <v>0</v>
      </c>
      <c r="F25" s="295">
        <v>2672</v>
      </c>
      <c r="G25" s="295">
        <v>0</v>
      </c>
      <c r="H25" s="166">
        <f t="shared" si="5"/>
        <v>-100</v>
      </c>
      <c r="I25" s="415">
        <f>IFERROR(100/'Skjema total MA'!F25*G25,0)</f>
        <v>0</v>
      </c>
      <c r="J25" s="295">
        <f t="shared" si="8"/>
        <v>2977</v>
      </c>
      <c r="K25" s="295">
        <f t="shared" si="9"/>
        <v>0</v>
      </c>
      <c r="L25" s="166">
        <f t="shared" si="7"/>
        <v>-100</v>
      </c>
      <c r="M25" s="23">
        <f>IFERROR(100/'Skjema total MA'!I25*K25,0)</f>
        <v>0</v>
      </c>
    </row>
    <row r="26" spans="1:14" ht="15.6" x14ac:dyDescent="0.25">
      <c r="A26" s="581" t="s">
        <v>369</v>
      </c>
      <c r="B26" s="286"/>
      <c r="C26" s="286"/>
      <c r="D26" s="166"/>
      <c r="E26" s="11"/>
      <c r="F26" s="295">
        <v>6703</v>
      </c>
      <c r="G26" s="295">
        <v>0</v>
      </c>
      <c r="H26" s="166">
        <f t="shared" si="5"/>
        <v>-100</v>
      </c>
      <c r="I26" s="415">
        <f>IFERROR(100/'Skjema total MA'!F26*G26,0)</f>
        <v>0</v>
      </c>
      <c r="J26" s="295">
        <f t="shared" si="8"/>
        <v>6703</v>
      </c>
      <c r="K26" s="295">
        <f t="shared" si="9"/>
        <v>0</v>
      </c>
      <c r="L26" s="166">
        <f t="shared" si="7"/>
        <v>-100</v>
      </c>
      <c r="M26" s="23">
        <f>IFERROR(100/'Skjema total MA'!I26*K26,0)</f>
        <v>0</v>
      </c>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v>191911</v>
      </c>
      <c r="C28" s="292">
        <v>206967</v>
      </c>
      <c r="D28" s="166">
        <f t="shared" si="4"/>
        <v>7.8</v>
      </c>
      <c r="E28" s="11">
        <f>IFERROR(100/'Skjema total MA'!C28*C28,0)</f>
        <v>12.276098901110425</v>
      </c>
      <c r="F28" s="321"/>
      <c r="G28" s="321"/>
      <c r="H28" s="166"/>
      <c r="I28" s="27"/>
      <c r="J28" s="44">
        <f t="shared" si="6"/>
        <v>191911</v>
      </c>
      <c r="K28" s="44">
        <f t="shared" si="6"/>
        <v>206967</v>
      </c>
      <c r="L28" s="259">
        <f t="shared" si="7"/>
        <v>7.8</v>
      </c>
      <c r="M28" s="23">
        <f>IFERROR(100/'Skjema total MA'!I28*K28,0)</f>
        <v>12.276098901110425</v>
      </c>
    </row>
    <row r="29" spans="1:14" s="3" customFormat="1" ht="15.6" x14ac:dyDescent="0.25">
      <c r="A29" s="13" t="s">
        <v>363</v>
      </c>
      <c r="B29" s="236">
        <v>737400</v>
      </c>
      <c r="C29" s="236">
        <v>932447</v>
      </c>
      <c r="D29" s="171">
        <f t="shared" si="4"/>
        <v>26.5</v>
      </c>
      <c r="E29" s="11">
        <f>IFERROR(100/'Skjema total MA'!C29*C29,0)</f>
        <v>2.0738654916766728</v>
      </c>
      <c r="F29" s="310">
        <v>167802</v>
      </c>
      <c r="G29" s="310">
        <v>0</v>
      </c>
      <c r="H29" s="171">
        <f t="shared" si="5"/>
        <v>-100</v>
      </c>
      <c r="I29" s="11">
        <f>IFERROR(100/'Skjema total MA'!F29*G29,0)</f>
        <v>0</v>
      </c>
      <c r="J29" s="236">
        <f t="shared" si="6"/>
        <v>905202</v>
      </c>
      <c r="K29" s="236">
        <f t="shared" si="6"/>
        <v>932447</v>
      </c>
      <c r="L29" s="426">
        <f t="shared" si="7"/>
        <v>3</v>
      </c>
      <c r="M29" s="24">
        <f>IFERROR(100/'Skjema total MA'!I29*K29,0)</f>
        <v>1.319116206629205</v>
      </c>
      <c r="N29" s="148"/>
    </row>
    <row r="30" spans="1:14" s="3" customFormat="1" ht="15.6" x14ac:dyDescent="0.25">
      <c r="A30" s="581" t="s">
        <v>366</v>
      </c>
      <c r="B30" s="286">
        <v>736405</v>
      </c>
      <c r="C30" s="286">
        <v>932447</v>
      </c>
      <c r="D30" s="166">
        <f t="shared" si="4"/>
        <v>26.6</v>
      </c>
      <c r="E30" s="11">
        <f>IFERROR(100/'Skjema total MA'!C30*C30,0)</f>
        <v>7.0454978039323555</v>
      </c>
      <c r="F30" s="295"/>
      <c r="G30" s="295"/>
      <c r="H30" s="166"/>
      <c r="I30" s="415"/>
      <c r="J30" s="295">
        <f t="shared" ref="J30:J33" si="10">SUM(B30,F30)</f>
        <v>736405</v>
      </c>
      <c r="K30" s="295">
        <f t="shared" ref="K30:K33" si="11">SUM(C30,G30)</f>
        <v>932447</v>
      </c>
      <c r="L30" s="166">
        <f t="shared" si="7"/>
        <v>26.6</v>
      </c>
      <c r="M30" s="23">
        <f>IFERROR(100/'Skjema total MA'!I30*K30,0)</f>
        <v>5.3756935624278013</v>
      </c>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v>995</v>
      </c>
      <c r="C32" s="286">
        <v>0</v>
      </c>
      <c r="D32" s="166">
        <f t="shared" si="4"/>
        <v>-100</v>
      </c>
      <c r="E32" s="11">
        <f>IFERROR(100/'Skjema total MA'!C32*C32,0)</f>
        <v>0</v>
      </c>
      <c r="F32" s="295">
        <v>119510</v>
      </c>
      <c r="G32" s="295">
        <v>0</v>
      </c>
      <c r="H32" s="166">
        <f t="shared" si="5"/>
        <v>-100</v>
      </c>
      <c r="I32" s="415">
        <f>IFERROR(100/'Skjema total MA'!F32*G32,0)</f>
        <v>0</v>
      </c>
      <c r="J32" s="295">
        <f t="shared" si="10"/>
        <v>120505</v>
      </c>
      <c r="K32" s="295">
        <f t="shared" si="11"/>
        <v>0</v>
      </c>
      <c r="L32" s="166">
        <f t="shared" si="7"/>
        <v>-100</v>
      </c>
      <c r="M32" s="23">
        <f>IFERROR(100/'Skjema total MA'!I32*K32,0)</f>
        <v>0</v>
      </c>
    </row>
    <row r="33" spans="1:14" ht="15.6" x14ac:dyDescent="0.25">
      <c r="A33" s="581" t="s">
        <v>369</v>
      </c>
      <c r="B33" s="286"/>
      <c r="C33" s="286"/>
      <c r="D33" s="166"/>
      <c r="E33" s="11"/>
      <c r="F33" s="295">
        <v>48292</v>
      </c>
      <c r="G33" s="295">
        <v>0</v>
      </c>
      <c r="H33" s="166">
        <f t="shared" si="5"/>
        <v>-100</v>
      </c>
      <c r="I33" s="415">
        <f>IFERROR(100/'Skjema total MA'!F33*G33,0)</f>
        <v>0</v>
      </c>
      <c r="J33" s="295">
        <f t="shared" si="10"/>
        <v>48292</v>
      </c>
      <c r="K33" s="295">
        <f t="shared" si="11"/>
        <v>0</v>
      </c>
      <c r="L33" s="166">
        <f t="shared" si="7"/>
        <v>-100</v>
      </c>
      <c r="M33" s="23">
        <f>IFERROR(100/'Skjema total MA'!I34*K33,0)</f>
        <v>0</v>
      </c>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34026</v>
      </c>
      <c r="C47" s="313">
        <v>35232</v>
      </c>
      <c r="D47" s="425">
        <f t="shared" ref="D47:D48" si="12">IF(B47=0, "    ---- ", IF(ABS(ROUND(100/B47*C47-100,1))&lt;999,ROUND(100/B47*C47-100,1),IF(ROUND(100/B47*C47-100,1)&gt;999,999,-999)))</f>
        <v>3.5</v>
      </c>
      <c r="E47" s="11">
        <f>IFERROR(100/'Skjema total MA'!C47*C47,0)</f>
        <v>0.7880308523288494</v>
      </c>
      <c r="F47" s="145"/>
      <c r="G47" s="33"/>
      <c r="H47" s="159"/>
      <c r="I47" s="159"/>
      <c r="J47" s="37"/>
      <c r="K47" s="37"/>
      <c r="L47" s="159"/>
      <c r="M47" s="159"/>
      <c r="N47" s="148"/>
    </row>
    <row r="48" spans="1:14" s="3" customFormat="1" ht="15.6" x14ac:dyDescent="0.25">
      <c r="A48" s="38" t="s">
        <v>374</v>
      </c>
      <c r="B48" s="286">
        <v>34026</v>
      </c>
      <c r="C48" s="287">
        <v>35232</v>
      </c>
      <c r="D48" s="259">
        <f t="shared" si="12"/>
        <v>3.5</v>
      </c>
      <c r="E48" s="27">
        <f>IFERROR(100/'Skjema total MA'!C48*C48,0)</f>
        <v>1.4051946465387342</v>
      </c>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v>73915</v>
      </c>
      <c r="C66" s="354">
        <v>0</v>
      </c>
      <c r="D66" s="351">
        <f t="shared" ref="D66:D111" si="13">IF(B66=0, "    ---- ", IF(ABS(ROUND(100/B66*C66-100,1))&lt;999,ROUND(100/B66*C66-100,1),IF(ROUND(100/B66*C66-100,1)&gt;999,999,-999)))</f>
        <v>-100</v>
      </c>
      <c r="E66" s="11">
        <f>IFERROR(100/'Skjema total MA'!C66*C66,0)</f>
        <v>0</v>
      </c>
      <c r="F66" s="353">
        <v>313444</v>
      </c>
      <c r="G66" s="353">
        <v>0</v>
      </c>
      <c r="H66" s="351">
        <f t="shared" ref="H66:H111" si="14">IF(F66=0, "    ---- ", IF(ABS(ROUND(100/F66*G66-100,1))&lt;999,ROUND(100/F66*G66-100,1),IF(ROUND(100/F66*G66-100,1)&gt;999,999,-999)))</f>
        <v>-100</v>
      </c>
      <c r="I66" s="11">
        <f>IFERROR(100/'Skjema total MA'!F66*G66,0)</f>
        <v>0</v>
      </c>
      <c r="J66" s="311">
        <f t="shared" ref="J66:K79" si="15">SUM(B66,F66)</f>
        <v>387359</v>
      </c>
      <c r="K66" s="318">
        <f t="shared" si="15"/>
        <v>0</v>
      </c>
      <c r="L66" s="426">
        <f t="shared" ref="L66:L111" si="16">IF(J66=0, "    ---- ", IF(ABS(ROUND(100/J66*K66-100,1))&lt;999,ROUND(100/J66*K66-100,1),IF(ROUND(100/J66*K66-100,1)&gt;999,999,-999)))</f>
        <v>-100</v>
      </c>
      <c r="M66" s="11">
        <f>IFERROR(100/'Skjema total MA'!I66*K66,0)</f>
        <v>0</v>
      </c>
    </row>
    <row r="67" spans="1:14" x14ac:dyDescent="0.25">
      <c r="A67" s="417" t="s">
        <v>9</v>
      </c>
      <c r="B67" s="44"/>
      <c r="C67" s="145"/>
      <c r="D67" s="166"/>
      <c r="E67" s="27"/>
      <c r="F67" s="234"/>
      <c r="G67" s="145"/>
      <c r="H67" s="166"/>
      <c r="I67" s="27"/>
      <c r="J67" s="292"/>
      <c r="K67" s="44"/>
      <c r="L67" s="259"/>
      <c r="M67" s="27"/>
    </row>
    <row r="68" spans="1:14" x14ac:dyDescent="0.25">
      <c r="A68" s="21" t="s">
        <v>10</v>
      </c>
      <c r="B68" s="296">
        <v>73915</v>
      </c>
      <c r="C68" s="297">
        <v>0</v>
      </c>
      <c r="D68" s="166">
        <f t="shared" si="13"/>
        <v>-100</v>
      </c>
      <c r="E68" s="27">
        <f>IFERROR(100/'Skjema total MA'!C68*C68,0)</f>
        <v>0</v>
      </c>
      <c r="F68" s="296">
        <v>313444</v>
      </c>
      <c r="G68" s="297">
        <v>0</v>
      </c>
      <c r="H68" s="166">
        <f t="shared" si="14"/>
        <v>-100</v>
      </c>
      <c r="I68" s="27">
        <f>IFERROR(100/'Skjema total MA'!F68*G68,0)</f>
        <v>0</v>
      </c>
      <c r="J68" s="292">
        <f t="shared" si="15"/>
        <v>387359</v>
      </c>
      <c r="K68" s="44">
        <f t="shared" si="15"/>
        <v>0</v>
      </c>
      <c r="L68" s="259">
        <f t="shared" si="16"/>
        <v>-100</v>
      </c>
      <c r="M68" s="27">
        <f>IFERROR(100/'Skjema total MA'!I68*K68,0)</f>
        <v>0</v>
      </c>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v>73915</v>
      </c>
      <c r="C77" s="234">
        <v>0</v>
      </c>
      <c r="D77" s="166">
        <f t="shared" si="13"/>
        <v>-100</v>
      </c>
      <c r="E77" s="27">
        <f>IFERROR(100/'Skjema total MA'!C77*C77,0)</f>
        <v>0</v>
      </c>
      <c r="F77" s="234">
        <v>313444</v>
      </c>
      <c r="G77" s="145">
        <v>0</v>
      </c>
      <c r="H77" s="166">
        <f t="shared" si="14"/>
        <v>-100</v>
      </c>
      <c r="I77" s="27">
        <f>IFERROR(100/'Skjema total MA'!F77*G77,0)</f>
        <v>0</v>
      </c>
      <c r="J77" s="292">
        <f t="shared" si="15"/>
        <v>387359</v>
      </c>
      <c r="K77" s="44">
        <f t="shared" si="15"/>
        <v>0</v>
      </c>
      <c r="L77" s="259">
        <f t="shared" si="16"/>
        <v>-100</v>
      </c>
      <c r="M77" s="27">
        <f>IFERROR(100/'Skjema total MA'!I77*K77,0)</f>
        <v>0</v>
      </c>
    </row>
    <row r="78" spans="1:14" x14ac:dyDescent="0.25">
      <c r="A78" s="21" t="s">
        <v>9</v>
      </c>
      <c r="B78" s="234"/>
      <c r="C78" s="145"/>
      <c r="D78" s="166"/>
      <c r="E78" s="27"/>
      <c r="F78" s="234"/>
      <c r="G78" s="145"/>
      <c r="H78" s="166"/>
      <c r="I78" s="27"/>
      <c r="J78" s="292"/>
      <c r="K78" s="44"/>
      <c r="L78" s="259"/>
      <c r="M78" s="27"/>
    </row>
    <row r="79" spans="1:14" x14ac:dyDescent="0.25">
      <c r="A79" s="38" t="s">
        <v>421</v>
      </c>
      <c r="B79" s="296">
        <v>73915</v>
      </c>
      <c r="C79" s="297">
        <v>0</v>
      </c>
      <c r="D79" s="166">
        <f t="shared" si="13"/>
        <v>-100</v>
      </c>
      <c r="E79" s="27">
        <f>IFERROR(100/'Skjema total MA'!C79*C79,0)</f>
        <v>0</v>
      </c>
      <c r="F79" s="296">
        <v>313444</v>
      </c>
      <c r="G79" s="297">
        <v>0</v>
      </c>
      <c r="H79" s="166">
        <f t="shared" si="14"/>
        <v>-100</v>
      </c>
      <c r="I79" s="27">
        <f>IFERROR(100/'Skjema total MA'!F79*G79,0)</f>
        <v>0</v>
      </c>
      <c r="J79" s="292">
        <f t="shared" si="15"/>
        <v>387359</v>
      </c>
      <c r="K79" s="44">
        <f t="shared" si="15"/>
        <v>0</v>
      </c>
      <c r="L79" s="259">
        <f t="shared" si="16"/>
        <v>-100</v>
      </c>
      <c r="M79" s="27">
        <f>IFERROR(100/'Skjema total MA'!I79*K79,0)</f>
        <v>0</v>
      </c>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v>185062</v>
      </c>
      <c r="C87" s="354">
        <v>0</v>
      </c>
      <c r="D87" s="171">
        <f t="shared" si="13"/>
        <v>-100</v>
      </c>
      <c r="E87" s="11">
        <f>IFERROR(100/'Skjema total MA'!C87*C87,0)</f>
        <v>0</v>
      </c>
      <c r="F87" s="353">
        <v>4345129</v>
      </c>
      <c r="G87" s="353">
        <v>0</v>
      </c>
      <c r="H87" s="171">
        <f t="shared" si="14"/>
        <v>-100</v>
      </c>
      <c r="I87" s="11">
        <f>IFERROR(100/'Skjema total MA'!F87*G87,0)</f>
        <v>0</v>
      </c>
      <c r="J87" s="311">
        <f t="shared" ref="J87:K111" si="17">SUM(B87,F87)</f>
        <v>4530191</v>
      </c>
      <c r="K87" s="236">
        <f t="shared" si="17"/>
        <v>0</v>
      </c>
      <c r="L87" s="426">
        <f t="shared" si="16"/>
        <v>-100</v>
      </c>
      <c r="M87" s="11">
        <f>IFERROR(100/'Skjema total MA'!I87*K87,0)</f>
        <v>0</v>
      </c>
    </row>
    <row r="88" spans="1:13" x14ac:dyDescent="0.25">
      <c r="A88" s="21" t="s">
        <v>9</v>
      </c>
      <c r="B88" s="234"/>
      <c r="C88" s="145"/>
      <c r="D88" s="166"/>
      <c r="E88" s="27"/>
      <c r="F88" s="234"/>
      <c r="G88" s="145"/>
      <c r="H88" s="166"/>
      <c r="I88" s="27"/>
      <c r="J88" s="292"/>
      <c r="K88" s="44"/>
      <c r="L88" s="259"/>
      <c r="M88" s="27"/>
    </row>
    <row r="89" spans="1:13" x14ac:dyDescent="0.25">
      <c r="A89" s="21" t="s">
        <v>10</v>
      </c>
      <c r="B89" s="234">
        <v>185062</v>
      </c>
      <c r="C89" s="145">
        <v>0</v>
      </c>
      <c r="D89" s="166">
        <f t="shared" si="13"/>
        <v>-100</v>
      </c>
      <c r="E89" s="27">
        <f>IFERROR(100/'Skjema total MA'!C89*C89,0)</f>
        <v>0</v>
      </c>
      <c r="F89" s="234">
        <v>4345129</v>
      </c>
      <c r="G89" s="145">
        <v>0</v>
      </c>
      <c r="H89" s="166">
        <f t="shared" si="14"/>
        <v>-100</v>
      </c>
      <c r="I89" s="27">
        <f>IFERROR(100/'Skjema total MA'!F89*G89,0)</f>
        <v>0</v>
      </c>
      <c r="J89" s="292">
        <f t="shared" si="17"/>
        <v>4530191</v>
      </c>
      <c r="K89" s="44">
        <f t="shared" si="17"/>
        <v>0</v>
      </c>
      <c r="L89" s="259">
        <f t="shared" si="16"/>
        <v>-100</v>
      </c>
      <c r="M89" s="27">
        <f>IFERROR(100/'Skjema total MA'!I89*K89,0)</f>
        <v>0</v>
      </c>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v>185062</v>
      </c>
      <c r="C98" s="234">
        <v>0</v>
      </c>
      <c r="D98" s="166">
        <f t="shared" si="13"/>
        <v>-100</v>
      </c>
      <c r="E98" s="27">
        <f>IFERROR(100/'Skjema total MA'!C98*C98,0)</f>
        <v>0</v>
      </c>
      <c r="F98" s="296">
        <v>4345129</v>
      </c>
      <c r="G98" s="296">
        <v>0</v>
      </c>
      <c r="H98" s="166">
        <f t="shared" si="14"/>
        <v>-100</v>
      </c>
      <c r="I98" s="27">
        <f>IFERROR(100/'Skjema total MA'!F98*G98,0)</f>
        <v>0</v>
      </c>
      <c r="J98" s="292">
        <f t="shared" si="17"/>
        <v>4530191</v>
      </c>
      <c r="K98" s="44">
        <f t="shared" si="17"/>
        <v>0</v>
      </c>
      <c r="L98" s="259">
        <f t="shared" si="16"/>
        <v>-100</v>
      </c>
      <c r="M98" s="27">
        <f>IFERROR(100/'Skjema total MA'!I98*K98,0)</f>
        <v>0</v>
      </c>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v>185062</v>
      </c>
      <c r="C100" s="297">
        <v>0</v>
      </c>
      <c r="D100" s="166">
        <f t="shared" si="13"/>
        <v>-100</v>
      </c>
      <c r="E100" s="27">
        <f>IFERROR(100/'Skjema total MA'!C100*C100,0)</f>
        <v>0</v>
      </c>
      <c r="F100" s="234">
        <v>4345129</v>
      </c>
      <c r="G100" s="234">
        <v>0</v>
      </c>
      <c r="H100" s="166">
        <f t="shared" si="14"/>
        <v>-100</v>
      </c>
      <c r="I100" s="27">
        <f>IFERROR(100/'Skjema total MA'!F100*G100,0)</f>
        <v>0</v>
      </c>
      <c r="J100" s="292">
        <f t="shared" si="17"/>
        <v>4530191</v>
      </c>
      <c r="K100" s="44">
        <f t="shared" si="17"/>
        <v>0</v>
      </c>
      <c r="L100" s="259">
        <f t="shared" si="16"/>
        <v>-100</v>
      </c>
      <c r="M100" s="27">
        <f>IFERROR(100/'Skjema total MA'!I100*K100,0)</f>
        <v>0</v>
      </c>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v>1439938</v>
      </c>
      <c r="G109" s="234">
        <v>0</v>
      </c>
      <c r="H109" s="166">
        <f t="shared" si="14"/>
        <v>-100</v>
      </c>
      <c r="I109" s="27">
        <f>IFERROR(100/'Skjema total MA'!F109*G109,0)</f>
        <v>0</v>
      </c>
      <c r="J109" s="292">
        <f t="shared" si="17"/>
        <v>1439938</v>
      </c>
      <c r="K109" s="44">
        <f t="shared" si="17"/>
        <v>0</v>
      </c>
      <c r="L109" s="259">
        <f t="shared" si="16"/>
        <v>-100</v>
      </c>
      <c r="M109" s="27">
        <f>IFERROR(100/'Skjema total MA'!I109*K109,0)</f>
        <v>0</v>
      </c>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v>1371</v>
      </c>
      <c r="C111" s="159">
        <v>0</v>
      </c>
      <c r="D111" s="171">
        <f t="shared" si="13"/>
        <v>-100</v>
      </c>
      <c r="E111" s="11">
        <f>IFERROR(100/'Skjema total MA'!C111*C111,0)</f>
        <v>0</v>
      </c>
      <c r="F111" s="310">
        <v>100218</v>
      </c>
      <c r="G111" s="159">
        <v>0</v>
      </c>
      <c r="H111" s="171">
        <f t="shared" si="14"/>
        <v>-100</v>
      </c>
      <c r="I111" s="11">
        <f>IFERROR(100/'Skjema total MA'!F111*G111,0)</f>
        <v>0</v>
      </c>
      <c r="J111" s="311">
        <f t="shared" si="17"/>
        <v>101589</v>
      </c>
      <c r="K111" s="236">
        <f t="shared" si="17"/>
        <v>0</v>
      </c>
      <c r="L111" s="426">
        <f t="shared" si="16"/>
        <v>-100</v>
      </c>
      <c r="M111" s="11">
        <f>IFERROR(100/'Skjema total MA'!I111*K111,0)</f>
        <v>0</v>
      </c>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v>1371</v>
      </c>
      <c r="C113" s="145">
        <v>0</v>
      </c>
      <c r="D113" s="166">
        <f t="shared" ref="D113:D121" si="18">IF(B113=0, "    ---- ", IF(ABS(ROUND(100/B113*C113-100,1))&lt;999,ROUND(100/B113*C113-100,1),IF(ROUND(100/B113*C113-100,1)&gt;999,999,-999)))</f>
        <v>-100</v>
      </c>
      <c r="E113" s="27">
        <f>IFERROR(100/'Skjema total MA'!C113*C113,0)</f>
        <v>0</v>
      </c>
      <c r="F113" s="234">
        <v>100218</v>
      </c>
      <c r="G113" s="145">
        <v>0</v>
      </c>
      <c r="H113" s="166">
        <f t="shared" ref="H113:H121" si="19">IF(F113=0, "    ---- ", IF(ABS(ROUND(100/F113*G113-100,1))&lt;999,ROUND(100/F113*G113-100,1),IF(ROUND(100/F113*G113-100,1)&gt;999,999,-999)))</f>
        <v>-100</v>
      </c>
      <c r="I113" s="27">
        <f>IFERROR(100/'Skjema total MA'!F113*G113,0)</f>
        <v>0</v>
      </c>
      <c r="J113" s="292">
        <f t="shared" ref="J113:K121" si="20">SUM(B113,F113)</f>
        <v>101589</v>
      </c>
      <c r="K113" s="44">
        <f t="shared" si="20"/>
        <v>0</v>
      </c>
      <c r="L113" s="259">
        <f t="shared" ref="L113:L121" si="21">IF(J113=0, "    ---- ", IF(ABS(ROUND(100/J113*K113-100,1))&lt;999,ROUND(100/J113*K113-100,1),IF(ROUND(100/J113*K113-100,1)&gt;999,999,-999)))</f>
        <v>-100</v>
      </c>
      <c r="M113" s="27">
        <f>IFERROR(100/'Skjema total MA'!I113*K113,0)</f>
        <v>0</v>
      </c>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v>2241</v>
      </c>
      <c r="C119" s="159">
        <v>0</v>
      </c>
      <c r="D119" s="171">
        <f t="shared" si="18"/>
        <v>-100</v>
      </c>
      <c r="E119" s="11">
        <f>IFERROR(100/'Skjema total MA'!C119*C119,0)</f>
        <v>0</v>
      </c>
      <c r="F119" s="310">
        <v>100813</v>
      </c>
      <c r="G119" s="159">
        <v>0</v>
      </c>
      <c r="H119" s="171">
        <f t="shared" si="19"/>
        <v>-100</v>
      </c>
      <c r="I119" s="11">
        <f>IFERROR(100/'Skjema total MA'!F119*G119,0)</f>
        <v>0</v>
      </c>
      <c r="J119" s="311">
        <f t="shared" si="20"/>
        <v>103054</v>
      </c>
      <c r="K119" s="236">
        <f t="shared" si="20"/>
        <v>0</v>
      </c>
      <c r="L119" s="426">
        <f t="shared" si="21"/>
        <v>-100</v>
      </c>
      <c r="M119" s="11">
        <f>IFERROR(100/'Skjema total MA'!I119*K119,0)</f>
        <v>0</v>
      </c>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v>2241</v>
      </c>
      <c r="C121" s="145">
        <v>0</v>
      </c>
      <c r="D121" s="166">
        <f t="shared" si="18"/>
        <v>-100</v>
      </c>
      <c r="E121" s="27">
        <f>IFERROR(100/'Skjema total MA'!C121*C121,0)</f>
        <v>0</v>
      </c>
      <c r="F121" s="234">
        <v>100813</v>
      </c>
      <c r="G121" s="145">
        <v>0</v>
      </c>
      <c r="H121" s="166">
        <f t="shared" si="19"/>
        <v>-100</v>
      </c>
      <c r="I121" s="27">
        <f>IFERROR(100/'Skjema total MA'!F121*G121,0)</f>
        <v>0</v>
      </c>
      <c r="J121" s="292">
        <f t="shared" si="20"/>
        <v>103054</v>
      </c>
      <c r="K121" s="44">
        <f t="shared" si="20"/>
        <v>0</v>
      </c>
      <c r="L121" s="259">
        <f t="shared" si="21"/>
        <v>-100</v>
      </c>
      <c r="M121" s="27">
        <f>IFERROR(100/'Skjema total MA'!I121*K121,0)</f>
        <v>0</v>
      </c>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541" priority="76">
      <formula>kvartal &lt; 4</formula>
    </cfRule>
  </conditionalFormatting>
  <conditionalFormatting sqref="C115">
    <cfRule type="expression" dxfId="540" priority="75">
      <formula>kvartal &lt; 4</formula>
    </cfRule>
  </conditionalFormatting>
  <conditionalFormatting sqref="B123">
    <cfRule type="expression" dxfId="539" priority="74">
      <formula>kvartal &lt; 4</formula>
    </cfRule>
  </conditionalFormatting>
  <conditionalFormatting sqref="C123">
    <cfRule type="expression" dxfId="538" priority="73">
      <formula>kvartal &lt; 4</formula>
    </cfRule>
  </conditionalFormatting>
  <conditionalFormatting sqref="F115">
    <cfRule type="expression" dxfId="537" priority="58">
      <formula>kvartal &lt; 4</formula>
    </cfRule>
  </conditionalFormatting>
  <conditionalFormatting sqref="G115">
    <cfRule type="expression" dxfId="536" priority="57">
      <formula>kvartal &lt; 4</formula>
    </cfRule>
  </conditionalFormatting>
  <conditionalFormatting sqref="F123:G123">
    <cfRule type="expression" dxfId="535" priority="56">
      <formula>kvartal &lt; 4</formula>
    </cfRule>
  </conditionalFormatting>
  <conditionalFormatting sqref="J115:K115">
    <cfRule type="expression" dxfId="534" priority="32">
      <formula>kvartal &lt; 4</formula>
    </cfRule>
  </conditionalFormatting>
  <conditionalFormatting sqref="J123:K123">
    <cfRule type="expression" dxfId="533" priority="31">
      <formula>kvartal &lt; 4</formula>
    </cfRule>
  </conditionalFormatting>
  <conditionalFormatting sqref="A50:A52">
    <cfRule type="expression" dxfId="532" priority="12">
      <formula>kvartal &lt; 4</formula>
    </cfRule>
  </conditionalFormatting>
  <conditionalFormatting sqref="A69:A74">
    <cfRule type="expression" dxfId="531" priority="10">
      <formula>kvartal &lt; 4</formula>
    </cfRule>
  </conditionalFormatting>
  <conditionalFormatting sqref="A80:A85">
    <cfRule type="expression" dxfId="530" priority="9">
      <formula>kvartal &lt; 4</formula>
    </cfRule>
  </conditionalFormatting>
  <conditionalFormatting sqref="A90:A95">
    <cfRule type="expression" dxfId="529" priority="6">
      <formula>kvartal &lt; 4</formula>
    </cfRule>
  </conditionalFormatting>
  <conditionalFormatting sqref="A101:A106">
    <cfRule type="expression" dxfId="528" priority="5">
      <formula>kvartal &lt; 4</formula>
    </cfRule>
  </conditionalFormatting>
  <conditionalFormatting sqref="A115">
    <cfRule type="expression" dxfId="527" priority="4">
      <formula>kvartal &lt; 4</formula>
    </cfRule>
  </conditionalFormatting>
  <conditionalFormatting sqref="A123">
    <cfRule type="expression" dxfId="526" priority="3">
      <formula>kvartal &lt; 4</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127</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c r="C7" s="309"/>
      <c r="D7" s="351"/>
      <c r="E7" s="11"/>
      <c r="F7" s="308"/>
      <c r="G7" s="309"/>
      <c r="H7" s="351"/>
      <c r="I7" s="160"/>
      <c r="J7" s="310"/>
      <c r="K7" s="311"/>
      <c r="L7" s="425"/>
      <c r="M7" s="11"/>
    </row>
    <row r="8" spans="1:14" ht="15.6" x14ac:dyDescent="0.25">
      <c r="A8" s="21" t="s">
        <v>25</v>
      </c>
      <c r="B8" s="286"/>
      <c r="C8" s="287"/>
      <c r="D8" s="166"/>
      <c r="E8" s="27"/>
      <c r="F8" s="290"/>
      <c r="G8" s="291"/>
      <c r="H8" s="166"/>
      <c r="I8" s="176"/>
      <c r="J8" s="234"/>
      <c r="K8" s="292"/>
      <c r="L8" s="166"/>
      <c r="M8" s="27"/>
    </row>
    <row r="9" spans="1:14" ht="15.6" x14ac:dyDescent="0.25">
      <c r="A9" s="21" t="s">
        <v>24</v>
      </c>
      <c r="B9" s="286"/>
      <c r="C9" s="287"/>
      <c r="D9" s="166"/>
      <c r="E9" s="27"/>
      <c r="F9" s="290"/>
      <c r="G9" s="291"/>
      <c r="H9" s="166"/>
      <c r="I9" s="176"/>
      <c r="J9" s="234"/>
      <c r="K9" s="292"/>
      <c r="L9" s="166"/>
      <c r="M9" s="27"/>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1"/>
      <c r="J22" s="318"/>
      <c r="K22" s="318"/>
      <c r="L22" s="425"/>
      <c r="M22" s="24"/>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c r="C28" s="292"/>
      <c r="D28" s="166"/>
      <c r="E28" s="11"/>
      <c r="F28" s="321"/>
      <c r="G28" s="321"/>
      <c r="H28" s="166"/>
      <c r="I28" s="27"/>
      <c r="J28" s="44"/>
      <c r="K28" s="44"/>
      <c r="L28" s="259"/>
      <c r="M28" s="23"/>
    </row>
    <row r="29" spans="1:14" s="3" customFormat="1" ht="15.6" x14ac:dyDescent="0.25">
      <c r="A29" s="13" t="s">
        <v>363</v>
      </c>
      <c r="B29" s="236"/>
      <c r="C29" s="236"/>
      <c r="D29" s="171"/>
      <c r="E29" s="11"/>
      <c r="F29" s="310"/>
      <c r="G29" s="310"/>
      <c r="H29" s="171"/>
      <c r="I29" s="11"/>
      <c r="J29" s="236"/>
      <c r="K29" s="236"/>
      <c r="L29" s="426"/>
      <c r="M29" s="24"/>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3713.2633999999998</v>
      </c>
      <c r="C47" s="313">
        <v>5330.2790000000005</v>
      </c>
      <c r="D47" s="425">
        <f t="shared" ref="D47:D57" si="0">IF(B47=0, "    ---- ", IF(ABS(ROUND(100/B47*C47-100,1))&lt;999,ROUND(100/B47*C47-100,1),IF(ROUND(100/B47*C47-100,1)&gt;999,999,-999)))</f>
        <v>43.5</v>
      </c>
      <c r="E47" s="11">
        <f>IFERROR(100/'Skjema total MA'!C47*C47,0)</f>
        <v>0.11922185239329494</v>
      </c>
      <c r="F47" s="145"/>
      <c r="G47" s="33"/>
      <c r="H47" s="159"/>
      <c r="I47" s="159"/>
      <c r="J47" s="37"/>
      <c r="K47" s="37"/>
      <c r="L47" s="159"/>
      <c r="M47" s="159"/>
      <c r="N47" s="148"/>
    </row>
    <row r="48" spans="1:14" s="3" customFormat="1" ht="15.6" x14ac:dyDescent="0.25">
      <c r="A48" s="38" t="s">
        <v>374</v>
      </c>
      <c r="B48" s="286">
        <v>3713.2633999999998</v>
      </c>
      <c r="C48" s="287">
        <v>5330.2790000000005</v>
      </c>
      <c r="D48" s="259">
        <f t="shared" si="0"/>
        <v>43.5</v>
      </c>
      <c r="E48" s="27">
        <f>IFERROR(100/'Skjema total MA'!C48*C48,0)</f>
        <v>0.21259308342863981</v>
      </c>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v>177.88800000000001</v>
      </c>
      <c r="C53" s="313">
        <v>371.29</v>
      </c>
      <c r="D53" s="426">
        <f t="shared" si="0"/>
        <v>108.7</v>
      </c>
      <c r="E53" s="11">
        <f>IFERROR(100/'Skjema total MA'!C53*C53,0)</f>
        <v>0.14406274007021208</v>
      </c>
      <c r="F53" s="145"/>
      <c r="G53" s="33"/>
      <c r="H53" s="145"/>
      <c r="I53" s="145"/>
      <c r="J53" s="33"/>
      <c r="K53" s="33"/>
      <c r="L53" s="159"/>
      <c r="M53" s="159"/>
      <c r="N53" s="148"/>
    </row>
    <row r="54" spans="1:14" s="3" customFormat="1" ht="15.6" x14ac:dyDescent="0.25">
      <c r="A54" s="38" t="s">
        <v>374</v>
      </c>
      <c r="B54" s="286">
        <v>177.88800000000001</v>
      </c>
      <c r="C54" s="287">
        <v>371.29</v>
      </c>
      <c r="D54" s="259">
        <f t="shared" si="0"/>
        <v>108.7</v>
      </c>
      <c r="E54" s="27">
        <f>IFERROR(100/'Skjema total MA'!C54*C54,0)</f>
        <v>0.14756971921030482</v>
      </c>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v>137.988</v>
      </c>
      <c r="D56" s="426" t="str">
        <f t="shared" si="0"/>
        <v xml:space="preserve">    ---- </v>
      </c>
      <c r="E56" s="11">
        <f>IFERROR(100/'Skjema total MA'!C56*C56,0)</f>
        <v>0.11395911257243993</v>
      </c>
      <c r="F56" s="145"/>
      <c r="G56" s="33"/>
      <c r="H56" s="145"/>
      <c r="I56" s="145"/>
      <c r="J56" s="33"/>
      <c r="K56" s="33"/>
      <c r="L56" s="159"/>
      <c r="M56" s="159"/>
      <c r="N56" s="148"/>
    </row>
    <row r="57" spans="1:14" s="3" customFormat="1" ht="15.6" x14ac:dyDescent="0.25">
      <c r="A57" s="38" t="s">
        <v>374</v>
      </c>
      <c r="B57" s="286"/>
      <c r="C57" s="287">
        <v>137.988</v>
      </c>
      <c r="D57" s="259" t="str">
        <f t="shared" si="0"/>
        <v xml:space="preserve">    ---- </v>
      </c>
      <c r="E57" s="27">
        <f>IFERROR(100/'Skjema total MA'!C57*C57,0)</f>
        <v>0.11396365378071913</v>
      </c>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525" priority="76">
      <formula>kvartal &lt; 4</formula>
    </cfRule>
  </conditionalFormatting>
  <conditionalFormatting sqref="C115">
    <cfRule type="expression" dxfId="524" priority="75">
      <formula>kvartal &lt; 4</formula>
    </cfRule>
  </conditionalFormatting>
  <conditionalFormatting sqref="B123">
    <cfRule type="expression" dxfId="523" priority="74">
      <formula>kvartal &lt; 4</formula>
    </cfRule>
  </conditionalFormatting>
  <conditionalFormatting sqref="C123">
    <cfRule type="expression" dxfId="522" priority="73">
      <formula>kvartal &lt; 4</formula>
    </cfRule>
  </conditionalFormatting>
  <conditionalFormatting sqref="F115">
    <cfRule type="expression" dxfId="521" priority="58">
      <formula>kvartal &lt; 4</formula>
    </cfRule>
  </conditionalFormatting>
  <conditionalFormatting sqref="G115">
    <cfRule type="expression" dxfId="520" priority="57">
      <formula>kvartal &lt; 4</formula>
    </cfRule>
  </conditionalFormatting>
  <conditionalFormatting sqref="F123:G123">
    <cfRule type="expression" dxfId="519" priority="56">
      <formula>kvartal &lt; 4</formula>
    </cfRule>
  </conditionalFormatting>
  <conditionalFormatting sqref="J115:K115">
    <cfRule type="expression" dxfId="518" priority="32">
      <formula>kvartal &lt; 4</formula>
    </cfRule>
  </conditionalFormatting>
  <conditionalFormatting sqref="J123:K123">
    <cfRule type="expression" dxfId="517" priority="31">
      <formula>kvartal &lt; 4</formula>
    </cfRule>
  </conditionalFormatting>
  <conditionalFormatting sqref="A50:A52">
    <cfRule type="expression" dxfId="516" priority="12">
      <formula>kvartal &lt; 4</formula>
    </cfRule>
  </conditionalFormatting>
  <conditionalFormatting sqref="A69:A74">
    <cfRule type="expression" dxfId="515" priority="10">
      <formula>kvartal &lt; 4</formula>
    </cfRule>
  </conditionalFormatting>
  <conditionalFormatting sqref="A80:A85">
    <cfRule type="expression" dxfId="514" priority="9">
      <formula>kvartal &lt; 4</formula>
    </cfRule>
  </conditionalFormatting>
  <conditionalFormatting sqref="A90:A95">
    <cfRule type="expression" dxfId="513" priority="6">
      <formula>kvartal &lt; 4</formula>
    </cfRule>
  </conditionalFormatting>
  <conditionalFormatting sqref="A101:A106">
    <cfRule type="expression" dxfId="512" priority="5">
      <formula>kvartal &lt; 4</formula>
    </cfRule>
  </conditionalFormatting>
  <conditionalFormatting sqref="A115">
    <cfRule type="expression" dxfId="511" priority="4">
      <formula>kvartal &lt; 4</formula>
    </cfRule>
  </conditionalFormatting>
  <conditionalFormatting sqref="A123">
    <cfRule type="expression" dxfId="510" priority="3">
      <formula>kvartal &lt; 4</formula>
    </cfRule>
  </conditionalFormatting>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Normal="100" zoomScaleSheetLayoutView="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128</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v>653121</v>
      </c>
      <c r="C7" s="309">
        <v>681568.00699999998</v>
      </c>
      <c r="D7" s="351">
        <f>IF(B7=0, "    ---- ", IF(ABS(ROUND(100/B7*C7-100,1))&lt;999,ROUND(100/B7*C7-100,1),IF(ROUND(100/B7*C7-100,1)&gt;999,999,-999)))</f>
        <v>4.4000000000000004</v>
      </c>
      <c r="E7" s="11">
        <f>IFERROR(100/'Skjema total MA'!C7*C7,0)</f>
        <v>17.872582187503468</v>
      </c>
      <c r="F7" s="308"/>
      <c r="G7" s="309"/>
      <c r="H7" s="351"/>
      <c r="I7" s="160"/>
      <c r="J7" s="310">
        <f t="shared" ref="J7:K9" si="0">SUM(B7,F7)</f>
        <v>653121</v>
      </c>
      <c r="K7" s="311">
        <f t="shared" si="0"/>
        <v>681568.00699999998</v>
      </c>
      <c r="L7" s="425">
        <f>IF(J7=0, "    ---- ", IF(ABS(ROUND(100/J7*K7-100,1))&lt;999,ROUND(100/J7*K7-100,1),IF(ROUND(100/J7*K7-100,1)&gt;999,999,-999)))</f>
        <v>4.4000000000000004</v>
      </c>
      <c r="M7" s="11">
        <f>IFERROR(100/'Skjema total MA'!I7*K7,0)</f>
        <v>4.6366624677502433</v>
      </c>
    </row>
    <row r="8" spans="1:14" ht="15.6" x14ac:dyDescent="0.25">
      <c r="A8" s="21" t="s">
        <v>25</v>
      </c>
      <c r="B8" s="286">
        <v>405176</v>
      </c>
      <c r="C8" s="287">
        <v>429044.20899999997</v>
      </c>
      <c r="D8" s="166">
        <f t="shared" ref="D8:D9" si="1">IF(B8=0, "    ---- ", IF(ABS(ROUND(100/B8*C8-100,1))&lt;999,ROUND(100/B8*C8-100,1),IF(ROUND(100/B8*C8-100,1)&gt;999,999,-999)))</f>
        <v>5.9</v>
      </c>
      <c r="E8" s="27">
        <f>IFERROR(100/'Skjema total MA'!C8*C8,0)</f>
        <v>17.296807368345011</v>
      </c>
      <c r="F8" s="290"/>
      <c r="G8" s="291"/>
      <c r="H8" s="166"/>
      <c r="I8" s="176"/>
      <c r="J8" s="234">
        <f t="shared" si="0"/>
        <v>405176</v>
      </c>
      <c r="K8" s="292">
        <f t="shared" si="0"/>
        <v>429044.20899999997</v>
      </c>
      <c r="L8" s="166">
        <f t="shared" ref="L8:L9" si="2">IF(J8=0, "    ---- ", IF(ABS(ROUND(100/J8*K8-100,1))&lt;999,ROUND(100/J8*K8-100,1),IF(ROUND(100/J8*K8-100,1)&gt;999,999,-999)))</f>
        <v>5.9</v>
      </c>
      <c r="M8" s="27">
        <f>IFERROR(100/'Skjema total MA'!I8*K8,0)</f>
        <v>17.296807368345011</v>
      </c>
    </row>
    <row r="9" spans="1:14" ht="15.6" x14ac:dyDescent="0.25">
      <c r="A9" s="21" t="s">
        <v>24</v>
      </c>
      <c r="B9" s="286">
        <v>247945</v>
      </c>
      <c r="C9" s="287">
        <v>252523.79800000001</v>
      </c>
      <c r="D9" s="166">
        <f t="shared" si="1"/>
        <v>1.8</v>
      </c>
      <c r="E9" s="27">
        <f>IFERROR(100/'Skjema total MA'!C9*C9,0)</f>
        <v>31.836963112840429</v>
      </c>
      <c r="F9" s="290"/>
      <c r="G9" s="291"/>
      <c r="H9" s="166"/>
      <c r="I9" s="176"/>
      <c r="J9" s="234">
        <f t="shared" si="0"/>
        <v>247945</v>
      </c>
      <c r="K9" s="292">
        <f t="shared" si="0"/>
        <v>252523.79800000001</v>
      </c>
      <c r="L9" s="166">
        <f t="shared" si="2"/>
        <v>1.8</v>
      </c>
      <c r="M9" s="27">
        <f>IFERROR(100/'Skjema total MA'!I9*K9,0)</f>
        <v>31.836963112840429</v>
      </c>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1"/>
      <c r="J22" s="318"/>
      <c r="K22" s="318"/>
      <c r="L22" s="425"/>
      <c r="M22" s="24"/>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c r="C28" s="292"/>
      <c r="D28" s="166"/>
      <c r="E28" s="11"/>
      <c r="F28" s="321"/>
      <c r="G28" s="321"/>
      <c r="H28" s="166"/>
      <c r="I28" s="27"/>
      <c r="J28" s="44"/>
      <c r="K28" s="44"/>
      <c r="L28" s="259"/>
      <c r="M28" s="23"/>
    </row>
    <row r="29" spans="1:14" s="3" customFormat="1" ht="15.6" x14ac:dyDescent="0.25">
      <c r="A29" s="13" t="s">
        <v>363</v>
      </c>
      <c r="B29" s="236"/>
      <c r="C29" s="236"/>
      <c r="D29" s="171"/>
      <c r="E29" s="11"/>
      <c r="F29" s="310"/>
      <c r="G29" s="310"/>
      <c r="H29" s="171"/>
      <c r="I29" s="11"/>
      <c r="J29" s="236"/>
      <c r="K29" s="236"/>
      <c r="L29" s="426"/>
      <c r="M29" s="24"/>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792024</v>
      </c>
      <c r="C47" s="313">
        <v>990317.94400000002</v>
      </c>
      <c r="D47" s="425">
        <f t="shared" ref="D47:D57" si="3">IF(B47=0, "    ---- ", IF(ABS(ROUND(100/B47*C47-100,1))&lt;999,ROUND(100/B47*C47-100,1),IF(ROUND(100/B47*C47-100,1)&gt;999,999,-999)))</f>
        <v>25</v>
      </c>
      <c r="E47" s="11">
        <f>IFERROR(100/'Skjema total MA'!C47*C47,0)</f>
        <v>22.150348929577479</v>
      </c>
      <c r="F47" s="145"/>
      <c r="G47" s="33"/>
      <c r="H47" s="159"/>
      <c r="I47" s="159"/>
      <c r="J47" s="37"/>
      <c r="K47" s="37"/>
      <c r="L47" s="159"/>
      <c r="M47" s="159"/>
      <c r="N47" s="148"/>
    </row>
    <row r="48" spans="1:14" s="3" customFormat="1" ht="15.6" x14ac:dyDescent="0.25">
      <c r="A48" s="38" t="s">
        <v>374</v>
      </c>
      <c r="B48" s="286">
        <v>502374</v>
      </c>
      <c r="C48" s="287">
        <v>662538.87</v>
      </c>
      <c r="D48" s="259">
        <f t="shared" si="3"/>
        <v>31.9</v>
      </c>
      <c r="E48" s="27">
        <f>IFERROR(100/'Skjema total MA'!C48*C48,0)</f>
        <v>26.424729599449996</v>
      </c>
      <c r="F48" s="145"/>
      <c r="G48" s="33"/>
      <c r="H48" s="145"/>
      <c r="I48" s="145"/>
      <c r="J48" s="33"/>
      <c r="K48" s="33"/>
      <c r="L48" s="159"/>
      <c r="M48" s="159"/>
      <c r="N48" s="148"/>
    </row>
    <row r="49" spans="1:14" s="3" customFormat="1" ht="15.6" x14ac:dyDescent="0.25">
      <c r="A49" s="38" t="s">
        <v>375</v>
      </c>
      <c r="B49" s="44">
        <v>289650</v>
      </c>
      <c r="C49" s="292">
        <v>327779.07400000002</v>
      </c>
      <c r="D49" s="259">
        <f>IF(B49=0, "    ---- ", IF(ABS(ROUND(100/B49*C49-100,1))&lt;999,ROUND(100/B49*C49-100,1),IF(ROUND(100/B49*C49-100,1)&gt;999,999,-999)))</f>
        <v>13.2</v>
      </c>
      <c r="E49" s="27">
        <f>IFERROR(100/'Skjema total MA'!C49*C49,0)</f>
        <v>16.692569529588742</v>
      </c>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v>69788</v>
      </c>
      <c r="C53" s="313">
        <v>176361</v>
      </c>
      <c r="D53" s="426">
        <f t="shared" si="3"/>
        <v>152.69999999999999</v>
      </c>
      <c r="E53" s="11">
        <f>IFERROR(100/'Skjema total MA'!C53*C53,0)</f>
        <v>68.429122522886885</v>
      </c>
      <c r="F53" s="145"/>
      <c r="G53" s="33"/>
      <c r="H53" s="145"/>
      <c r="I53" s="145"/>
      <c r="J53" s="33"/>
      <c r="K53" s="33"/>
      <c r="L53" s="159"/>
      <c r="M53" s="159"/>
      <c r="N53" s="148"/>
    </row>
    <row r="54" spans="1:14" s="3" customFormat="1" ht="15.6" x14ac:dyDescent="0.25">
      <c r="A54" s="38" t="s">
        <v>374</v>
      </c>
      <c r="B54" s="286">
        <v>69788</v>
      </c>
      <c r="C54" s="287">
        <v>176361</v>
      </c>
      <c r="D54" s="259">
        <f t="shared" si="3"/>
        <v>152.69999999999999</v>
      </c>
      <c r="E54" s="27">
        <f>IFERROR(100/'Skjema total MA'!C54*C54,0)</f>
        <v>70.094921084997083</v>
      </c>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v>29377</v>
      </c>
      <c r="C56" s="313">
        <v>29960</v>
      </c>
      <c r="D56" s="426">
        <f t="shared" si="3"/>
        <v>2</v>
      </c>
      <c r="E56" s="11">
        <f>IFERROR(100/'Skjema total MA'!C56*C56,0)</f>
        <v>24.742840048919472</v>
      </c>
      <c r="F56" s="145"/>
      <c r="G56" s="33"/>
      <c r="H56" s="145"/>
      <c r="I56" s="145"/>
      <c r="J56" s="33"/>
      <c r="K56" s="33"/>
      <c r="L56" s="159"/>
      <c r="M56" s="159"/>
      <c r="N56" s="148"/>
    </row>
    <row r="57" spans="1:14" s="3" customFormat="1" ht="15.6" x14ac:dyDescent="0.25">
      <c r="A57" s="38" t="s">
        <v>374</v>
      </c>
      <c r="B57" s="286">
        <v>29377</v>
      </c>
      <c r="C57" s="287">
        <v>29960</v>
      </c>
      <c r="D57" s="259">
        <f t="shared" si="3"/>
        <v>2</v>
      </c>
      <c r="E57" s="27">
        <f>IFERROR(100/'Skjema total MA'!C57*C57,0)</f>
        <v>24.743826037556492</v>
      </c>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509" priority="76">
      <formula>kvartal &lt; 4</formula>
    </cfRule>
  </conditionalFormatting>
  <conditionalFormatting sqref="C115">
    <cfRule type="expression" dxfId="508" priority="75">
      <formula>kvartal &lt; 4</formula>
    </cfRule>
  </conditionalFormatting>
  <conditionalFormatting sqref="B123">
    <cfRule type="expression" dxfId="507" priority="74">
      <formula>kvartal &lt; 4</formula>
    </cfRule>
  </conditionalFormatting>
  <conditionalFormatting sqref="C123">
    <cfRule type="expression" dxfId="506" priority="73">
      <formula>kvartal &lt; 4</formula>
    </cfRule>
  </conditionalFormatting>
  <conditionalFormatting sqref="F115">
    <cfRule type="expression" dxfId="505" priority="58">
      <formula>kvartal &lt; 4</formula>
    </cfRule>
  </conditionalFormatting>
  <conditionalFormatting sqref="G115">
    <cfRule type="expression" dxfId="504" priority="57">
      <formula>kvartal &lt; 4</formula>
    </cfRule>
  </conditionalFormatting>
  <conditionalFormatting sqref="F123:G123">
    <cfRule type="expression" dxfId="503" priority="56">
      <formula>kvartal &lt; 4</formula>
    </cfRule>
  </conditionalFormatting>
  <conditionalFormatting sqref="J115:K115">
    <cfRule type="expression" dxfId="502" priority="32">
      <formula>kvartal &lt; 4</formula>
    </cfRule>
  </conditionalFormatting>
  <conditionalFormatting sqref="J123:K123">
    <cfRule type="expression" dxfId="501" priority="31">
      <formula>kvartal &lt; 4</formula>
    </cfRule>
  </conditionalFormatting>
  <conditionalFormatting sqref="A50:A52">
    <cfRule type="expression" dxfId="500" priority="12">
      <formula>kvartal &lt; 4</formula>
    </cfRule>
  </conditionalFormatting>
  <conditionalFormatting sqref="A69:A74">
    <cfRule type="expression" dxfId="499" priority="10">
      <formula>kvartal &lt; 4</formula>
    </cfRule>
  </conditionalFormatting>
  <conditionalFormatting sqref="A80:A85">
    <cfRule type="expression" dxfId="498" priority="9">
      <formula>kvartal &lt; 4</formula>
    </cfRule>
  </conditionalFormatting>
  <conditionalFormatting sqref="A90:A95">
    <cfRule type="expression" dxfId="497" priority="6">
      <formula>kvartal &lt; 4</formula>
    </cfRule>
  </conditionalFormatting>
  <conditionalFormatting sqref="A101:A106">
    <cfRule type="expression" dxfId="496" priority="5">
      <formula>kvartal &lt; 4</formula>
    </cfRule>
  </conditionalFormatting>
  <conditionalFormatting sqref="A115">
    <cfRule type="expression" dxfId="495" priority="4">
      <formula>kvartal &lt; 4</formula>
    </cfRule>
  </conditionalFormatting>
  <conditionalFormatting sqref="A123">
    <cfRule type="expression" dxfId="494" priority="3">
      <formula>kvartal &lt; 4</formula>
    </cfRule>
  </conditionalFormatting>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90</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c r="C7" s="309"/>
      <c r="D7" s="351"/>
      <c r="E7" s="11"/>
      <c r="F7" s="308">
        <v>96452</v>
      </c>
      <c r="G7" s="309">
        <v>121922.6</v>
      </c>
      <c r="H7" s="351">
        <f>IF(F7=0, "    ---- ", IF(ABS(ROUND(100/F7*G7-100,1))&lt;999,ROUND(100/F7*G7-100,1),IF(ROUND(100/F7*G7-100,1)&gt;999,999,-999)))</f>
        <v>26.4</v>
      </c>
      <c r="I7" s="160">
        <f>IFERROR(100/'Skjema total MA'!F7*G7,0)</f>
        <v>1.1199887996773923</v>
      </c>
      <c r="J7" s="310">
        <f t="shared" ref="J7:K12" si="0">SUM(B7,F7)</f>
        <v>96452</v>
      </c>
      <c r="K7" s="311">
        <f t="shared" si="0"/>
        <v>121922.6</v>
      </c>
      <c r="L7" s="425">
        <f>IF(J7=0, "    ---- ", IF(ABS(ROUND(100/J7*K7-100,1))&lt;999,ROUND(100/J7*K7-100,1),IF(ROUND(100/J7*K7-100,1)&gt;999,999,-999)))</f>
        <v>26.4</v>
      </c>
      <c r="M7" s="11">
        <f>IFERROR(100/'Skjema total MA'!I7*K7,0)</f>
        <v>0.82943145450564826</v>
      </c>
    </row>
    <row r="8" spans="1:14" ht="15.6" x14ac:dyDescent="0.25">
      <c r="A8" s="21" t="s">
        <v>25</v>
      </c>
      <c r="B8" s="286"/>
      <c r="C8" s="287"/>
      <c r="D8" s="166"/>
      <c r="E8" s="27"/>
      <c r="F8" s="290"/>
      <c r="G8" s="291"/>
      <c r="H8" s="166"/>
      <c r="I8" s="176"/>
      <c r="J8" s="234"/>
      <c r="K8" s="292"/>
      <c r="L8" s="166"/>
      <c r="M8" s="27"/>
    </row>
    <row r="9" spans="1:14" ht="15.6" x14ac:dyDescent="0.25">
      <c r="A9" s="21" t="s">
        <v>24</v>
      </c>
      <c r="B9" s="286"/>
      <c r="C9" s="287"/>
      <c r="D9" s="166"/>
      <c r="E9" s="27"/>
      <c r="F9" s="290"/>
      <c r="G9" s="291"/>
      <c r="H9" s="166"/>
      <c r="I9" s="176"/>
      <c r="J9" s="234"/>
      <c r="K9" s="292"/>
      <c r="L9" s="166"/>
      <c r="M9" s="27"/>
    </row>
    <row r="10" spans="1:14" ht="15.6" x14ac:dyDescent="0.25">
      <c r="A10" s="13" t="s">
        <v>363</v>
      </c>
      <c r="B10" s="312"/>
      <c r="C10" s="313"/>
      <c r="D10" s="171"/>
      <c r="E10" s="11"/>
      <c r="F10" s="312">
        <v>737415</v>
      </c>
      <c r="G10" s="313">
        <v>984172.6</v>
      </c>
      <c r="H10" s="171">
        <f t="shared" ref="H10:H12" si="1">IF(F10=0, "    ---- ", IF(ABS(ROUND(100/F10*G10-100,1))&lt;999,ROUND(100/F10*G10-100,1),IF(ROUND(100/F10*G10-100,1)&gt;999,999,-999)))</f>
        <v>33.5</v>
      </c>
      <c r="I10" s="160">
        <f>IFERROR(100/'Skjema total MA'!F10*G10,0)</f>
        <v>1.3444694160415487</v>
      </c>
      <c r="J10" s="310">
        <f t="shared" si="0"/>
        <v>737415</v>
      </c>
      <c r="K10" s="311">
        <f t="shared" si="0"/>
        <v>984172.6</v>
      </c>
      <c r="L10" s="426">
        <f t="shared" ref="L10:L12" si="2">IF(J10=0, "    ---- ", IF(ABS(ROUND(100/J10*K10-100,1))&lt;999,ROUND(100/J10*K10-100,1),IF(ROUND(100/J10*K10-100,1)&gt;999,999,-999)))</f>
        <v>33.5</v>
      </c>
      <c r="M10" s="11">
        <f>IFERROR(100/'Skjema total MA'!I10*K10,0)</f>
        <v>1.0911263636965578</v>
      </c>
    </row>
    <row r="11" spans="1:14" s="43" customFormat="1" ht="15.6" x14ac:dyDescent="0.25">
      <c r="A11" s="13" t="s">
        <v>364</v>
      </c>
      <c r="B11" s="312"/>
      <c r="C11" s="313"/>
      <c r="D11" s="171"/>
      <c r="E11" s="11"/>
      <c r="F11" s="312">
        <v>3963</v>
      </c>
      <c r="G11" s="313">
        <v>8234.2000000000007</v>
      </c>
      <c r="H11" s="171">
        <f t="shared" si="1"/>
        <v>107.8</v>
      </c>
      <c r="I11" s="160">
        <f>IFERROR(100/'Skjema total MA'!F11*G11,0)</f>
        <v>2.3846739715142435</v>
      </c>
      <c r="J11" s="310">
        <f t="shared" si="0"/>
        <v>3963</v>
      </c>
      <c r="K11" s="311">
        <f t="shared" si="0"/>
        <v>8234.2000000000007</v>
      </c>
      <c r="L11" s="426">
        <f t="shared" si="2"/>
        <v>107.8</v>
      </c>
      <c r="M11" s="11">
        <f>IFERROR(100/'Skjema total MA'!I11*K11,0)</f>
        <v>2.1250723467101613</v>
      </c>
      <c r="N11" s="143"/>
    </row>
    <row r="12" spans="1:14" s="43" customFormat="1" ht="15.6" x14ac:dyDescent="0.25">
      <c r="A12" s="41" t="s">
        <v>365</v>
      </c>
      <c r="B12" s="314"/>
      <c r="C12" s="315"/>
      <c r="D12" s="169"/>
      <c r="E12" s="36"/>
      <c r="F12" s="314">
        <v>4258</v>
      </c>
      <c r="G12" s="315">
        <v>6281.2</v>
      </c>
      <c r="H12" s="169">
        <f t="shared" si="1"/>
        <v>47.5</v>
      </c>
      <c r="I12" s="169">
        <f>IFERROR(100/'Skjema total MA'!F12*G12,0)</f>
        <v>4.2881519141500224</v>
      </c>
      <c r="J12" s="316">
        <f t="shared" si="0"/>
        <v>4258</v>
      </c>
      <c r="K12" s="317">
        <f t="shared" si="0"/>
        <v>6281.2</v>
      </c>
      <c r="L12" s="427">
        <f t="shared" si="2"/>
        <v>47.5</v>
      </c>
      <c r="M12" s="36">
        <f>IFERROR(100/'Skjema total MA'!I12*K12,0)</f>
        <v>4.1001719112156936</v>
      </c>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v>325289</v>
      </c>
      <c r="C22" s="312">
        <v>362543.8</v>
      </c>
      <c r="D22" s="351">
        <f t="shared" ref="D22:D29" si="3">IF(B22=0, "    ---- ", IF(ABS(ROUND(100/B22*C22-100,1))&lt;999,ROUND(100/B22*C22-100,1),IF(ROUND(100/B22*C22-100,1)&gt;999,999,-999)))</f>
        <v>11.5</v>
      </c>
      <c r="E22" s="11">
        <f>IFERROR(100/'Skjema total MA'!C22*C22,0)</f>
        <v>23.598885996598469</v>
      </c>
      <c r="F22" s="320">
        <v>51990</v>
      </c>
      <c r="G22" s="320">
        <v>62269.46</v>
      </c>
      <c r="H22" s="351">
        <f t="shared" ref="H22:H35" si="4">IF(F22=0, "    ---- ", IF(ABS(ROUND(100/F22*G22-100,1))&lt;999,ROUND(100/F22*G22-100,1),IF(ROUND(100/F22*G22-100,1)&gt;999,999,-999)))</f>
        <v>19.8</v>
      </c>
      <c r="I22" s="11">
        <f>IFERROR(100/'Skjema total MA'!F22*G22,0)</f>
        <v>5.5476580360285181</v>
      </c>
      <c r="J22" s="318">
        <f t="shared" ref="J22:K35" si="5">SUM(B22,F22)</f>
        <v>377279</v>
      </c>
      <c r="K22" s="318">
        <f t="shared" si="5"/>
        <v>424813.26</v>
      </c>
      <c r="L22" s="425">
        <f t="shared" ref="L22:L35" si="6">IF(J22=0, "    ---- ", IF(ABS(ROUND(100/J22*K22-100,1))&lt;999,ROUND(100/J22*K22-100,1),IF(ROUND(100/J22*K22-100,1)&gt;999,999,-999)))</f>
        <v>12.6</v>
      </c>
      <c r="M22" s="24">
        <f>IFERROR(100/'Skjema total MA'!I22*K22,0)</f>
        <v>15.978106273181217</v>
      </c>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v>22</v>
      </c>
      <c r="G24" s="295">
        <v>0</v>
      </c>
      <c r="H24" s="166">
        <f t="shared" si="4"/>
        <v>-100</v>
      </c>
      <c r="I24" s="415">
        <f>IFERROR(100/'Skjema total MA'!F24*G24,0)</f>
        <v>0</v>
      </c>
      <c r="J24" s="295">
        <f t="shared" ref="J24:J26" si="7">SUM(B24,F24)</f>
        <v>22</v>
      </c>
      <c r="K24" s="295">
        <f t="shared" ref="K24:K26" si="8">SUM(C24,G24)</f>
        <v>0</v>
      </c>
      <c r="L24" s="166">
        <f t="shared" si="6"/>
        <v>-100</v>
      </c>
      <c r="M24" s="23">
        <f>IFERROR(100/'Skjema total MA'!I24*K24,0)</f>
        <v>0</v>
      </c>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v>51968</v>
      </c>
      <c r="G26" s="295">
        <v>62269.46</v>
      </c>
      <c r="H26" s="166">
        <f t="shared" si="4"/>
        <v>19.8</v>
      </c>
      <c r="I26" s="415">
        <f>IFERROR(100/'Skjema total MA'!F26*G26,0)</f>
        <v>6.6633762842538156</v>
      </c>
      <c r="J26" s="295">
        <f t="shared" si="7"/>
        <v>51968</v>
      </c>
      <c r="K26" s="295">
        <f t="shared" si="8"/>
        <v>62269.46</v>
      </c>
      <c r="L26" s="166">
        <f t="shared" si="6"/>
        <v>19.8</v>
      </c>
      <c r="M26" s="23">
        <f>IFERROR(100/'Skjema total MA'!I26*K26,0)</f>
        <v>6.6633762842538156</v>
      </c>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v>325289</v>
      </c>
      <c r="C28" s="292">
        <v>362543.8</v>
      </c>
      <c r="D28" s="166">
        <f t="shared" si="3"/>
        <v>11.5</v>
      </c>
      <c r="E28" s="11">
        <f>IFERROR(100/'Skjema total MA'!C28*C28,0)</f>
        <v>21.504025012607794</v>
      </c>
      <c r="F28" s="321"/>
      <c r="G28" s="321"/>
      <c r="H28" s="166"/>
      <c r="I28" s="27"/>
      <c r="J28" s="44">
        <f t="shared" si="5"/>
        <v>325289</v>
      </c>
      <c r="K28" s="44">
        <f t="shared" si="5"/>
        <v>362543.8</v>
      </c>
      <c r="L28" s="259">
        <f t="shared" si="6"/>
        <v>11.5</v>
      </c>
      <c r="M28" s="23">
        <f>IFERROR(100/'Skjema total MA'!I28*K28,0)</f>
        <v>21.504025012607794</v>
      </c>
    </row>
    <row r="29" spans="1:14" s="3" customFormat="1" ht="15.6" x14ac:dyDescent="0.25">
      <c r="A29" s="13" t="s">
        <v>363</v>
      </c>
      <c r="B29" s="236">
        <v>2184145</v>
      </c>
      <c r="C29" s="236">
        <v>2553122</v>
      </c>
      <c r="D29" s="171">
        <f t="shared" si="3"/>
        <v>16.899999999999999</v>
      </c>
      <c r="E29" s="11">
        <f>IFERROR(100/'Skjema total MA'!C29*C29,0)</f>
        <v>5.6784263468492373</v>
      </c>
      <c r="F29" s="310">
        <v>1570269</v>
      </c>
      <c r="G29" s="310">
        <v>1707289.7</v>
      </c>
      <c r="H29" s="171">
        <f t="shared" si="4"/>
        <v>8.6999999999999993</v>
      </c>
      <c r="I29" s="11">
        <f>IFERROR(100/'Skjema total MA'!F29*G29,0)</f>
        <v>6.6365748240811024</v>
      </c>
      <c r="J29" s="236">
        <f t="shared" si="5"/>
        <v>3754414</v>
      </c>
      <c r="K29" s="236">
        <f t="shared" si="5"/>
        <v>4260411.7</v>
      </c>
      <c r="L29" s="426">
        <f t="shared" si="6"/>
        <v>13.5</v>
      </c>
      <c r="M29" s="24">
        <f>IFERROR(100/'Skjema total MA'!I29*K29,0)</f>
        <v>6.0271287487467742</v>
      </c>
      <c r="N29" s="148"/>
    </row>
    <row r="30" spans="1:14" s="3" customFormat="1" ht="15.6" x14ac:dyDescent="0.25">
      <c r="A30" s="581" t="s">
        <v>366</v>
      </c>
      <c r="B30" s="286"/>
      <c r="C30" s="286"/>
      <c r="D30" s="166"/>
      <c r="E30" s="11"/>
      <c r="F30" s="295">
        <v>26330</v>
      </c>
      <c r="G30" s="295">
        <v>25744.400000000001</v>
      </c>
      <c r="H30" s="166">
        <f t="shared" si="4"/>
        <v>-2.2000000000000002</v>
      </c>
      <c r="I30" s="415">
        <f>IFERROR(100/'Skjema total MA'!F30*G30,0)</f>
        <v>0.62623775441767404</v>
      </c>
      <c r="J30" s="295">
        <f t="shared" ref="J30:J33" si="9">SUM(B30,F30)</f>
        <v>26330</v>
      </c>
      <c r="K30" s="295">
        <f t="shared" ref="K30:K33" si="10">SUM(C30,G30)</f>
        <v>25744.400000000001</v>
      </c>
      <c r="L30" s="166">
        <f t="shared" si="6"/>
        <v>-2.2000000000000002</v>
      </c>
      <c r="M30" s="23">
        <f>IFERROR(100/'Skjema total MA'!I30*K30,0)</f>
        <v>0.14842023766344498</v>
      </c>
      <c r="N30" s="148"/>
    </row>
    <row r="31" spans="1:14" s="3" customFormat="1" ht="15.6" x14ac:dyDescent="0.25">
      <c r="A31" s="581" t="s">
        <v>367</v>
      </c>
      <c r="B31" s="286"/>
      <c r="C31" s="286"/>
      <c r="D31" s="166"/>
      <c r="E31" s="11"/>
      <c r="F31" s="295">
        <v>1091439</v>
      </c>
      <c r="G31" s="295">
        <v>1054481.2</v>
      </c>
      <c r="H31" s="166">
        <f t="shared" si="4"/>
        <v>-3.4</v>
      </c>
      <c r="I31" s="415">
        <f>IFERROR(100/'Skjema total MA'!F31*G31,0)</f>
        <v>11.23961544018487</v>
      </c>
      <c r="J31" s="295">
        <f t="shared" si="9"/>
        <v>1091439</v>
      </c>
      <c r="K31" s="295">
        <f t="shared" si="10"/>
        <v>1054481.2</v>
      </c>
      <c r="L31" s="166">
        <f t="shared" si="6"/>
        <v>-3.4</v>
      </c>
      <c r="M31" s="23">
        <f>IFERROR(100/'Skjema total MA'!I31*K31,0)</f>
        <v>3.308421369395357</v>
      </c>
      <c r="N31" s="148"/>
    </row>
    <row r="32" spans="1:14" ht="15.6" x14ac:dyDescent="0.25">
      <c r="A32" s="581" t="s">
        <v>368</v>
      </c>
      <c r="B32" s="286"/>
      <c r="C32" s="286"/>
      <c r="D32" s="166"/>
      <c r="E32" s="11"/>
      <c r="F32" s="295">
        <v>124420</v>
      </c>
      <c r="G32" s="295">
        <v>132984.1</v>
      </c>
      <c r="H32" s="166">
        <f t="shared" si="4"/>
        <v>6.9</v>
      </c>
      <c r="I32" s="415">
        <f>IFERROR(100/'Skjema total MA'!F32*G32,0)</f>
        <v>2.3196103762858269</v>
      </c>
      <c r="J32" s="295">
        <f t="shared" si="9"/>
        <v>124420</v>
      </c>
      <c r="K32" s="295">
        <f t="shared" si="10"/>
        <v>132984.1</v>
      </c>
      <c r="L32" s="166">
        <f t="shared" si="6"/>
        <v>6.9</v>
      </c>
      <c r="M32" s="23">
        <f>IFERROR(100/'Skjema total MA'!I32*K32,0)</f>
        <v>1.5362142353259991</v>
      </c>
    </row>
    <row r="33" spans="1:14" ht="15.6" x14ac:dyDescent="0.25">
      <c r="A33" s="581" t="s">
        <v>369</v>
      </c>
      <c r="B33" s="286"/>
      <c r="C33" s="286"/>
      <c r="D33" s="166"/>
      <c r="E33" s="11"/>
      <c r="F33" s="295">
        <v>328080</v>
      </c>
      <c r="G33" s="295">
        <v>494080</v>
      </c>
      <c r="H33" s="166">
        <f t="shared" si="4"/>
        <v>50.6</v>
      </c>
      <c r="I33" s="415">
        <f>IFERROR(100/'Skjema total MA'!F33*G33,0)</f>
        <v>7.6016524139081518</v>
      </c>
      <c r="J33" s="295">
        <f t="shared" si="9"/>
        <v>328080</v>
      </c>
      <c r="K33" s="295">
        <f t="shared" si="10"/>
        <v>494080</v>
      </c>
      <c r="L33" s="166">
        <f t="shared" si="6"/>
        <v>50.6</v>
      </c>
      <c r="M33" s="23">
        <f>IFERROR(100/'Skjema total MA'!I33*K33,0)</f>
        <v>7.6016524139081518</v>
      </c>
    </row>
    <row r="34" spans="1:14" ht="15.6" x14ac:dyDescent="0.25">
      <c r="A34" s="13" t="s">
        <v>364</v>
      </c>
      <c r="B34" s="236"/>
      <c r="C34" s="311"/>
      <c r="D34" s="171"/>
      <c r="E34" s="11"/>
      <c r="F34" s="310">
        <v>9736</v>
      </c>
      <c r="G34" s="311">
        <v>59994.1</v>
      </c>
      <c r="H34" s="171">
        <f t="shared" si="4"/>
        <v>516.20000000000005</v>
      </c>
      <c r="I34" s="11">
        <f>IFERROR(100/'Skjema total MA'!F34*G34,0)</f>
        <v>83.486176778308149</v>
      </c>
      <c r="J34" s="236">
        <f t="shared" si="5"/>
        <v>9736</v>
      </c>
      <c r="K34" s="236">
        <f t="shared" si="5"/>
        <v>59994.1</v>
      </c>
      <c r="L34" s="426">
        <f t="shared" si="6"/>
        <v>516.20000000000005</v>
      </c>
      <c r="M34" s="24">
        <f>IFERROR(100/'Skjema total MA'!I34*K34,0)</f>
        <v>72.289253724295861</v>
      </c>
    </row>
    <row r="35" spans="1:14" ht="15.6" x14ac:dyDescent="0.25">
      <c r="A35" s="13" t="s">
        <v>365</v>
      </c>
      <c r="B35" s="236"/>
      <c r="C35" s="311"/>
      <c r="D35" s="171"/>
      <c r="E35" s="11"/>
      <c r="F35" s="310">
        <v>7057</v>
      </c>
      <c r="G35" s="311">
        <v>13690.8</v>
      </c>
      <c r="H35" s="171">
        <f t="shared" si="4"/>
        <v>94</v>
      </c>
      <c r="I35" s="11">
        <f>IFERROR(100/'Skjema total MA'!F35*G35,0)</f>
        <v>10.59148273174598</v>
      </c>
      <c r="J35" s="236">
        <f t="shared" si="5"/>
        <v>7057</v>
      </c>
      <c r="K35" s="236">
        <f t="shared" si="5"/>
        <v>13690.8</v>
      </c>
      <c r="L35" s="426">
        <f t="shared" si="6"/>
        <v>94</v>
      </c>
      <c r="M35" s="24">
        <f>IFERROR(100/'Skjema total MA'!I35*K35,0)</f>
        <v>24.734946215716906</v>
      </c>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c r="C47" s="313"/>
      <c r="D47" s="425"/>
      <c r="E47" s="11"/>
      <c r="F47" s="145"/>
      <c r="G47" s="33"/>
      <c r="H47" s="159"/>
      <c r="I47" s="159"/>
      <c r="J47" s="37"/>
      <c r="K47" s="37"/>
      <c r="L47" s="159"/>
      <c r="M47" s="159"/>
      <c r="N47" s="148"/>
    </row>
    <row r="48" spans="1:14" s="3" customFormat="1" ht="15.6" x14ac:dyDescent="0.25">
      <c r="A48" s="38" t="s">
        <v>374</v>
      </c>
      <c r="B48" s="286"/>
      <c r="C48" s="287"/>
      <c r="D48" s="259"/>
      <c r="E48" s="27"/>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v>183993</v>
      </c>
      <c r="C66" s="354">
        <v>193965.7</v>
      </c>
      <c r="D66" s="351">
        <f t="shared" ref="D66:D111" si="11">IF(B66=0, "    ---- ", IF(ABS(ROUND(100/B66*C66-100,1))&lt;999,ROUND(100/B66*C66-100,1),IF(ROUND(100/B66*C66-100,1)&gt;999,999,-999)))</f>
        <v>5.4</v>
      </c>
      <c r="E66" s="11">
        <f>IFERROR(100/'Skjema total MA'!C66*C66,0)</f>
        <v>3.0919351641549424</v>
      </c>
      <c r="F66" s="353">
        <v>2213127</v>
      </c>
      <c r="G66" s="353">
        <v>2522965.7000000002</v>
      </c>
      <c r="H66" s="351">
        <f t="shared" ref="H66:H111" si="12">IF(F66=0, "    ---- ", IF(ABS(ROUND(100/F66*G66-100,1))&lt;999,ROUND(100/F66*G66-100,1),IF(ROUND(100/F66*G66-100,1)&gt;999,999,-999)))</f>
        <v>14</v>
      </c>
      <c r="I66" s="11">
        <f>IFERROR(100/'Skjema total MA'!F66*G66,0)</f>
        <v>8.9884789326148749</v>
      </c>
      <c r="J66" s="311">
        <f t="shared" ref="J66:K86" si="13">SUM(B66,F66)</f>
        <v>2397120</v>
      </c>
      <c r="K66" s="318">
        <f t="shared" si="13"/>
        <v>2716931.4000000004</v>
      </c>
      <c r="L66" s="426">
        <f t="shared" ref="L66:L111" si="14">IF(J66=0, "    ---- ", IF(ABS(ROUND(100/J66*K66-100,1))&lt;999,ROUND(100/J66*K66-100,1),IF(ROUND(100/J66*K66-100,1)&gt;999,999,-999)))</f>
        <v>13.3</v>
      </c>
      <c r="M66" s="11">
        <f>IFERROR(100/'Skjema total MA'!I66*K66,0)</f>
        <v>7.9113580337709344</v>
      </c>
    </row>
    <row r="67" spans="1:14" x14ac:dyDescent="0.25">
      <c r="A67" s="417" t="s">
        <v>9</v>
      </c>
      <c r="B67" s="44">
        <v>183993</v>
      </c>
      <c r="C67" s="145">
        <v>193965.7</v>
      </c>
      <c r="D67" s="166">
        <f t="shared" si="11"/>
        <v>5.4</v>
      </c>
      <c r="E67" s="27">
        <f>IFERROR(100/'Skjema total MA'!C67*C67,0)</f>
        <v>4.3487849306352659</v>
      </c>
      <c r="F67" s="234"/>
      <c r="G67" s="145"/>
      <c r="H67" s="166"/>
      <c r="I67" s="27"/>
      <c r="J67" s="292">
        <f t="shared" si="13"/>
        <v>183993</v>
      </c>
      <c r="K67" s="44">
        <f t="shared" si="13"/>
        <v>193965.7</v>
      </c>
      <c r="L67" s="259">
        <f t="shared" si="14"/>
        <v>5.4</v>
      </c>
      <c r="M67" s="27">
        <f>IFERROR(100/'Skjema total MA'!I67*K67,0)</f>
        <v>4.3487849306352659</v>
      </c>
    </row>
    <row r="68" spans="1:14" x14ac:dyDescent="0.25">
      <c r="A68" s="21" t="s">
        <v>10</v>
      </c>
      <c r="B68" s="296"/>
      <c r="C68" s="297"/>
      <c r="D68" s="166"/>
      <c r="E68" s="27"/>
      <c r="F68" s="296">
        <v>2213127</v>
      </c>
      <c r="G68" s="296">
        <v>2522965.7000000002</v>
      </c>
      <c r="H68" s="166">
        <f t="shared" si="12"/>
        <v>14</v>
      </c>
      <c r="I68" s="27">
        <f>IFERROR(100/'Skjema total MA'!F68*G68,0)</f>
        <v>9.3610024551706488</v>
      </c>
      <c r="J68" s="292">
        <f t="shared" si="13"/>
        <v>2213127</v>
      </c>
      <c r="K68" s="44">
        <f t="shared" si="13"/>
        <v>2522965.7000000002</v>
      </c>
      <c r="L68" s="259">
        <f t="shared" si="14"/>
        <v>14</v>
      </c>
      <c r="M68" s="27">
        <f>IFERROR(100/'Skjema total MA'!I68*K68,0)</f>
        <v>9.348872809365222</v>
      </c>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v>183550</v>
      </c>
      <c r="C77" s="234">
        <v>193433.1</v>
      </c>
      <c r="D77" s="166">
        <f t="shared" si="11"/>
        <v>5.4</v>
      </c>
      <c r="E77" s="27">
        <f>IFERROR(100/'Skjema total MA'!C77*C77,0)</f>
        <v>4.3934009830484584</v>
      </c>
      <c r="F77" s="234">
        <v>2213127</v>
      </c>
      <c r="G77" s="145">
        <v>2522965.7000000002</v>
      </c>
      <c r="H77" s="166">
        <f t="shared" si="12"/>
        <v>14</v>
      </c>
      <c r="I77" s="27">
        <f>IFERROR(100/'Skjema total MA'!F77*G77,0)</f>
        <v>9.3643274470943645</v>
      </c>
      <c r="J77" s="292">
        <f t="shared" si="13"/>
        <v>2396677</v>
      </c>
      <c r="K77" s="44">
        <f t="shared" si="13"/>
        <v>2716398.8000000003</v>
      </c>
      <c r="L77" s="259">
        <f t="shared" si="14"/>
        <v>13.3</v>
      </c>
      <c r="M77" s="27">
        <f>IFERROR(100/'Skjema total MA'!I77*K77,0)</f>
        <v>8.666099200886622</v>
      </c>
    </row>
    <row r="78" spans="1:14" x14ac:dyDescent="0.25">
      <c r="A78" s="21" t="s">
        <v>9</v>
      </c>
      <c r="B78" s="234">
        <v>183550</v>
      </c>
      <c r="C78" s="145">
        <v>193433.1</v>
      </c>
      <c r="D78" s="166">
        <f t="shared" si="11"/>
        <v>5.4</v>
      </c>
      <c r="E78" s="27">
        <f>IFERROR(100/'Skjema total MA'!C78*C78,0)</f>
        <v>4.4268416682405132</v>
      </c>
      <c r="F78" s="234"/>
      <c r="G78" s="145"/>
      <c r="H78" s="166"/>
      <c r="I78" s="27"/>
      <c r="J78" s="292">
        <f t="shared" si="13"/>
        <v>183550</v>
      </c>
      <c r="K78" s="44">
        <f t="shared" si="13"/>
        <v>193433.1</v>
      </c>
      <c r="L78" s="259">
        <f t="shared" si="14"/>
        <v>5.4</v>
      </c>
      <c r="M78" s="27">
        <f>IFERROR(100/'Skjema total MA'!I78*K78,0)</f>
        <v>4.4268416682405132</v>
      </c>
    </row>
    <row r="79" spans="1:14" x14ac:dyDescent="0.25">
      <c r="A79" s="38" t="s">
        <v>421</v>
      </c>
      <c r="B79" s="296"/>
      <c r="C79" s="297"/>
      <c r="D79" s="166"/>
      <c r="E79" s="27"/>
      <c r="F79" s="296">
        <v>2213127</v>
      </c>
      <c r="G79" s="297">
        <v>2522965.7000000002</v>
      </c>
      <c r="H79" s="166">
        <f t="shared" si="12"/>
        <v>14</v>
      </c>
      <c r="I79" s="27">
        <f>IFERROR(100/'Skjema total MA'!F79*G79,0)</f>
        <v>9.3643274470943645</v>
      </c>
      <c r="J79" s="292">
        <f t="shared" si="13"/>
        <v>2213127</v>
      </c>
      <c r="K79" s="44">
        <f t="shared" si="13"/>
        <v>2522965.7000000002</v>
      </c>
      <c r="L79" s="259">
        <f t="shared" si="14"/>
        <v>14</v>
      </c>
      <c r="M79" s="27">
        <f>IFERROR(100/'Skjema total MA'!I79*K79,0)</f>
        <v>9.3527818293046128</v>
      </c>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v>443</v>
      </c>
      <c r="C86" s="145">
        <v>532.6</v>
      </c>
      <c r="D86" s="166">
        <f t="shared" si="11"/>
        <v>20.2</v>
      </c>
      <c r="E86" s="27">
        <f>IFERROR(100/'Skjema total MA'!C86*C86,0)</f>
        <v>0.57649789952243446</v>
      </c>
      <c r="F86" s="234"/>
      <c r="G86" s="145"/>
      <c r="H86" s="166"/>
      <c r="I86" s="27"/>
      <c r="J86" s="292">
        <f t="shared" si="13"/>
        <v>443</v>
      </c>
      <c r="K86" s="44">
        <f t="shared" si="13"/>
        <v>532.6</v>
      </c>
      <c r="L86" s="259">
        <f t="shared" si="14"/>
        <v>20.2</v>
      </c>
      <c r="M86" s="27">
        <f>IFERROR(100/'Skjema total MA'!I86*K86,0)</f>
        <v>0.52238619110242135</v>
      </c>
    </row>
    <row r="87" spans="1:13" ht="15.6" x14ac:dyDescent="0.25">
      <c r="A87" s="13" t="s">
        <v>363</v>
      </c>
      <c r="B87" s="354">
        <v>5304843</v>
      </c>
      <c r="C87" s="354">
        <v>5554398.2000000002</v>
      </c>
      <c r="D87" s="171">
        <f t="shared" si="11"/>
        <v>4.7</v>
      </c>
      <c r="E87" s="11">
        <f>IFERROR(100/'Skjema total MA'!C87*C87,0)</f>
        <v>1.3837868216241869</v>
      </c>
      <c r="F87" s="353">
        <v>29219913</v>
      </c>
      <c r="G87" s="353">
        <v>37310643</v>
      </c>
      <c r="H87" s="171">
        <f t="shared" si="12"/>
        <v>27.7</v>
      </c>
      <c r="I87" s="11">
        <f>IFERROR(100/'Skjema total MA'!F87*G87,0)</f>
        <v>8.7761552199363795</v>
      </c>
      <c r="J87" s="311">
        <f t="shared" ref="J87:K111" si="15">SUM(B87,F87)</f>
        <v>34524756</v>
      </c>
      <c r="K87" s="236">
        <f t="shared" si="15"/>
        <v>42865041.200000003</v>
      </c>
      <c r="L87" s="426">
        <f t="shared" si="14"/>
        <v>24.2</v>
      </c>
      <c r="M87" s="11">
        <f>IFERROR(100/'Skjema total MA'!I87*K87,0)</f>
        <v>5.1861589332213969</v>
      </c>
    </row>
    <row r="88" spans="1:13" x14ac:dyDescent="0.25">
      <c r="A88" s="21" t="s">
        <v>9</v>
      </c>
      <c r="B88" s="234">
        <v>5304843</v>
      </c>
      <c r="C88" s="145">
        <v>5554398.2000000002</v>
      </c>
      <c r="D88" s="166">
        <f t="shared" si="11"/>
        <v>4.7</v>
      </c>
      <c r="E88" s="27">
        <f>IFERROR(100/'Skjema total MA'!C88*C88,0)</f>
        <v>1.4305409314423463</v>
      </c>
      <c r="F88" s="234"/>
      <c r="G88" s="145"/>
      <c r="H88" s="166"/>
      <c r="I88" s="27"/>
      <c r="J88" s="292">
        <f t="shared" si="15"/>
        <v>5304843</v>
      </c>
      <c r="K88" s="44">
        <f t="shared" si="15"/>
        <v>5554398.2000000002</v>
      </c>
      <c r="L88" s="259">
        <f t="shared" si="14"/>
        <v>4.7</v>
      </c>
      <c r="M88" s="27">
        <f>IFERROR(100/'Skjema total MA'!I88*K88,0)</f>
        <v>1.4305409314423463</v>
      </c>
    </row>
    <row r="89" spans="1:13" x14ac:dyDescent="0.25">
      <c r="A89" s="21" t="s">
        <v>10</v>
      </c>
      <c r="B89" s="234"/>
      <c r="C89" s="145"/>
      <c r="D89" s="166"/>
      <c r="E89" s="27"/>
      <c r="F89" s="234">
        <v>29219913</v>
      </c>
      <c r="G89" s="145">
        <v>37310643</v>
      </c>
      <c r="H89" s="166">
        <f t="shared" si="12"/>
        <v>27.7</v>
      </c>
      <c r="I89" s="27">
        <f>IFERROR(100/'Skjema total MA'!F89*G89,0)</f>
        <v>8.8674935843295781</v>
      </c>
      <c r="J89" s="292">
        <f t="shared" si="15"/>
        <v>29219913</v>
      </c>
      <c r="K89" s="44">
        <f t="shared" si="15"/>
        <v>37310643</v>
      </c>
      <c r="L89" s="259">
        <f t="shared" si="14"/>
        <v>27.7</v>
      </c>
      <c r="M89" s="27">
        <f>IFERROR(100/'Skjema total MA'!I89*K89,0)</f>
        <v>8.8029189317685272</v>
      </c>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v>5303510</v>
      </c>
      <c r="C98" s="234">
        <v>5552411</v>
      </c>
      <c r="D98" s="166">
        <f t="shared" si="11"/>
        <v>4.7</v>
      </c>
      <c r="E98" s="27">
        <f>IFERROR(100/'Skjema total MA'!C98*C98,0)</f>
        <v>1.4350636401025414</v>
      </c>
      <c r="F98" s="296">
        <v>29219913</v>
      </c>
      <c r="G98" s="296">
        <v>37310643</v>
      </c>
      <c r="H98" s="166">
        <f t="shared" si="12"/>
        <v>27.7</v>
      </c>
      <c r="I98" s="27">
        <f>IFERROR(100/'Skjema total MA'!F98*G98,0)</f>
        <v>8.8900398567669292</v>
      </c>
      <c r="J98" s="292">
        <f t="shared" si="15"/>
        <v>34523423</v>
      </c>
      <c r="K98" s="44">
        <f t="shared" si="15"/>
        <v>42863054</v>
      </c>
      <c r="L98" s="259">
        <f t="shared" si="14"/>
        <v>24.2</v>
      </c>
      <c r="M98" s="27">
        <f>IFERROR(100/'Skjema total MA'!I98*K98,0)</f>
        <v>5.3140354605646714</v>
      </c>
    </row>
    <row r="99" spans="1:13" x14ac:dyDescent="0.25">
      <c r="A99" s="21" t="s">
        <v>9</v>
      </c>
      <c r="B99" s="296">
        <v>5303510</v>
      </c>
      <c r="C99" s="297">
        <v>5552411</v>
      </c>
      <c r="D99" s="166">
        <f t="shared" si="11"/>
        <v>4.7</v>
      </c>
      <c r="E99" s="27">
        <f>IFERROR(100/'Skjema total MA'!C99*C99,0)</f>
        <v>1.4466036541987153</v>
      </c>
      <c r="F99" s="234"/>
      <c r="G99" s="145"/>
      <c r="H99" s="166"/>
      <c r="I99" s="27"/>
      <c r="J99" s="292">
        <f t="shared" si="15"/>
        <v>5303510</v>
      </c>
      <c r="K99" s="44">
        <f t="shared" si="15"/>
        <v>5552411</v>
      </c>
      <c r="L99" s="259">
        <f t="shared" si="14"/>
        <v>4.7</v>
      </c>
      <c r="M99" s="27">
        <f>IFERROR(100/'Skjema total MA'!I99*K99,0)</f>
        <v>1.4466036541987153</v>
      </c>
    </row>
    <row r="100" spans="1:13" ht="15.6" x14ac:dyDescent="0.25">
      <c r="A100" s="38" t="s">
        <v>422</v>
      </c>
      <c r="B100" s="296"/>
      <c r="C100" s="297"/>
      <c r="D100" s="166"/>
      <c r="E100" s="27"/>
      <c r="F100" s="234">
        <v>29219913</v>
      </c>
      <c r="G100" s="234">
        <v>37310643</v>
      </c>
      <c r="H100" s="166">
        <f t="shared" si="12"/>
        <v>27.7</v>
      </c>
      <c r="I100" s="27">
        <f>IFERROR(100/'Skjema total MA'!F100*G100,0)</f>
        <v>8.8900398567669292</v>
      </c>
      <c r="J100" s="292">
        <f t="shared" si="15"/>
        <v>29219913</v>
      </c>
      <c r="K100" s="44">
        <f t="shared" si="15"/>
        <v>37310643</v>
      </c>
      <c r="L100" s="259">
        <f t="shared" si="14"/>
        <v>27.7</v>
      </c>
      <c r="M100" s="27">
        <f>IFERROR(100/'Skjema total MA'!I100*K100,0)</f>
        <v>8.8251376165807329</v>
      </c>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v>1333</v>
      </c>
      <c r="C107" s="145">
        <v>1987.2</v>
      </c>
      <c r="D107" s="166">
        <f t="shared" si="11"/>
        <v>49.1</v>
      </c>
      <c r="E107" s="27">
        <f>IFERROR(100/'Skjema total MA'!C107*C107,0)</f>
        <v>4.4669721998774142E-2</v>
      </c>
      <c r="F107" s="234"/>
      <c r="G107" s="145"/>
      <c r="H107" s="166"/>
      <c r="I107" s="27"/>
      <c r="J107" s="292">
        <f t="shared" si="15"/>
        <v>1333</v>
      </c>
      <c r="K107" s="44">
        <f t="shared" si="15"/>
        <v>1987.2</v>
      </c>
      <c r="L107" s="259">
        <f t="shared" si="14"/>
        <v>49.1</v>
      </c>
      <c r="M107" s="27">
        <f>IFERROR(100/'Skjema total MA'!I107*K107,0)</f>
        <v>3.6027765825242496E-2</v>
      </c>
    </row>
    <row r="108" spans="1:13" ht="15.6" x14ac:dyDescent="0.25">
      <c r="A108" s="21" t="s">
        <v>382</v>
      </c>
      <c r="B108" s="234">
        <v>4090860</v>
      </c>
      <c r="C108" s="234">
        <v>4184600.4</v>
      </c>
      <c r="D108" s="166">
        <f t="shared" si="11"/>
        <v>2.2999999999999998</v>
      </c>
      <c r="E108" s="27">
        <f>IFERROR(100/'Skjema total MA'!C108*C108,0)</f>
        <v>1.2517142200208826</v>
      </c>
      <c r="F108" s="234"/>
      <c r="G108" s="234"/>
      <c r="H108" s="166"/>
      <c r="I108" s="27"/>
      <c r="J108" s="292">
        <f t="shared" si="15"/>
        <v>4090860</v>
      </c>
      <c r="K108" s="44">
        <f t="shared" si="15"/>
        <v>4184600.4</v>
      </c>
      <c r="L108" s="259">
        <f t="shared" si="14"/>
        <v>2.2999999999999998</v>
      </c>
      <c r="M108" s="27">
        <f>IFERROR(100/'Skjema total MA'!I108*K108,0)</f>
        <v>1.1798130229395192</v>
      </c>
    </row>
    <row r="109" spans="1:13" ht="15.6" x14ac:dyDescent="0.25">
      <c r="A109" s="38" t="s">
        <v>437</v>
      </c>
      <c r="B109" s="234"/>
      <c r="C109" s="234"/>
      <c r="D109" s="166"/>
      <c r="E109" s="27"/>
      <c r="F109" s="234">
        <v>10820701</v>
      </c>
      <c r="G109" s="234">
        <v>14480096.1</v>
      </c>
      <c r="H109" s="166">
        <f t="shared" si="12"/>
        <v>33.799999999999997</v>
      </c>
      <c r="I109" s="27">
        <f>IFERROR(100/'Skjema total MA'!F109*G109,0)</f>
        <v>9.5555592055804706</v>
      </c>
      <c r="J109" s="292">
        <f t="shared" si="15"/>
        <v>10820701</v>
      </c>
      <c r="K109" s="44">
        <f t="shared" si="15"/>
        <v>14480096.1</v>
      </c>
      <c r="L109" s="259">
        <f t="shared" si="14"/>
        <v>33.799999999999997</v>
      </c>
      <c r="M109" s="27">
        <f>IFERROR(100/'Skjema total MA'!I109*K109,0)</f>
        <v>9.4571581912407687</v>
      </c>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v>57072</v>
      </c>
      <c r="C111" s="159">
        <v>61992.2</v>
      </c>
      <c r="D111" s="171">
        <f t="shared" si="11"/>
        <v>8.6</v>
      </c>
      <c r="E111" s="11">
        <f>IFERROR(100/'Skjema total MA'!C111*C111,0)</f>
        <v>13.491644733682033</v>
      </c>
      <c r="F111" s="310">
        <v>1270549</v>
      </c>
      <c r="G111" s="159">
        <v>6972144.7000000002</v>
      </c>
      <c r="H111" s="171">
        <f t="shared" si="12"/>
        <v>448.8</v>
      </c>
      <c r="I111" s="11">
        <f>IFERROR(100/'Skjema total MA'!F111*G111,0)</f>
        <v>13.152853000884829</v>
      </c>
      <c r="J111" s="311">
        <f t="shared" si="15"/>
        <v>1327621</v>
      </c>
      <c r="K111" s="236">
        <f t="shared" si="15"/>
        <v>7034136.9000000004</v>
      </c>
      <c r="L111" s="426">
        <f t="shared" si="14"/>
        <v>429.8</v>
      </c>
      <c r="M111" s="11">
        <f>IFERROR(100/'Skjema total MA'!I111*K111,0)</f>
        <v>13.15576445687222</v>
      </c>
    </row>
    <row r="112" spans="1:13" x14ac:dyDescent="0.25">
      <c r="A112" s="21" t="s">
        <v>9</v>
      </c>
      <c r="B112" s="234">
        <v>57072</v>
      </c>
      <c r="C112" s="145">
        <v>61992.2</v>
      </c>
      <c r="D112" s="166">
        <f t="shared" ref="D112:D120" si="16">IF(B112=0, "    ---- ", IF(ABS(ROUND(100/B112*C112-100,1))&lt;999,ROUND(100/B112*C112-100,1),IF(ROUND(100/B112*C112-100,1)&gt;999,999,-999)))</f>
        <v>8.6</v>
      </c>
      <c r="E112" s="27">
        <f>IFERROR(100/'Skjema total MA'!C112*C112,0)</f>
        <v>17.913582572997768</v>
      </c>
      <c r="F112" s="234"/>
      <c r="G112" s="145"/>
      <c r="H112" s="166"/>
      <c r="I112" s="27"/>
      <c r="J112" s="292">
        <f t="shared" ref="J112:K125" si="17">SUM(B112,F112)</f>
        <v>57072</v>
      </c>
      <c r="K112" s="44">
        <f t="shared" si="17"/>
        <v>61992.2</v>
      </c>
      <c r="L112" s="259">
        <f t="shared" ref="L112:L125" si="18">IF(J112=0, "    ---- ", IF(ABS(ROUND(100/J112*K112-100,1))&lt;999,ROUND(100/J112*K112-100,1),IF(ROUND(100/J112*K112-100,1)&gt;999,999,-999)))</f>
        <v>8.6</v>
      </c>
      <c r="M112" s="27">
        <f>IFERROR(100/'Skjema total MA'!I112*K112,0)</f>
        <v>17.349298946977928</v>
      </c>
    </row>
    <row r="113" spans="1:14" x14ac:dyDescent="0.25">
      <c r="A113" s="21" t="s">
        <v>10</v>
      </c>
      <c r="B113" s="234"/>
      <c r="C113" s="145"/>
      <c r="D113" s="166"/>
      <c r="E113" s="27"/>
      <c r="F113" s="234">
        <v>1270549</v>
      </c>
      <c r="G113" s="145">
        <v>6972144.7000000002</v>
      </c>
      <c r="H113" s="166">
        <f t="shared" ref="H113:H125" si="19">IF(F113=0, "    ---- ", IF(ABS(ROUND(100/F113*G113-100,1))&lt;999,ROUND(100/F113*G113-100,1),IF(ROUND(100/F113*G113-100,1)&gt;999,999,-999)))</f>
        <v>448.8</v>
      </c>
      <c r="I113" s="27">
        <f>IFERROR(100/'Skjema total MA'!F113*G113,0)</f>
        <v>13.155646418606624</v>
      </c>
      <c r="J113" s="292">
        <f t="shared" si="17"/>
        <v>1270549</v>
      </c>
      <c r="K113" s="44">
        <f t="shared" si="17"/>
        <v>6972144.7000000002</v>
      </c>
      <c r="L113" s="259">
        <f t="shared" si="18"/>
        <v>448.8</v>
      </c>
      <c r="M113" s="27">
        <f>IFERROR(100/'Skjema total MA'!I113*K113,0)</f>
        <v>13.155589539073929</v>
      </c>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v>4194</v>
      </c>
      <c r="C116" s="234">
        <v>23356.9</v>
      </c>
      <c r="D116" s="166">
        <f t="shared" si="16"/>
        <v>456.9</v>
      </c>
      <c r="E116" s="27">
        <f>IFERROR(100/'Skjema total MA'!C116*C116,0)</f>
        <v>31.652901857236706</v>
      </c>
      <c r="F116" s="234"/>
      <c r="G116" s="234"/>
      <c r="H116" s="166"/>
      <c r="I116" s="27"/>
      <c r="J116" s="292">
        <f t="shared" si="17"/>
        <v>4194</v>
      </c>
      <c r="K116" s="44">
        <f t="shared" si="17"/>
        <v>23356.9</v>
      </c>
      <c r="L116" s="259">
        <f t="shared" si="18"/>
        <v>456.9</v>
      </c>
      <c r="M116" s="27">
        <f>IFERROR(100/'Skjema total MA'!I116*K116,0)</f>
        <v>27.463731754343865</v>
      </c>
    </row>
    <row r="117" spans="1:14" ht="15.6" x14ac:dyDescent="0.25">
      <c r="A117" s="21" t="s">
        <v>386</v>
      </c>
      <c r="B117" s="234"/>
      <c r="C117" s="234"/>
      <c r="D117" s="166"/>
      <c r="E117" s="27"/>
      <c r="F117" s="234">
        <v>145648</v>
      </c>
      <c r="G117" s="234">
        <v>124985.60000000001</v>
      </c>
      <c r="H117" s="166">
        <f t="shared" si="19"/>
        <v>-14.2</v>
      </c>
      <c r="I117" s="27">
        <f>IFERROR(100/'Skjema total MA'!F117*G117,0)</f>
        <v>1.6582286539909654</v>
      </c>
      <c r="J117" s="292">
        <f t="shared" si="17"/>
        <v>145648</v>
      </c>
      <c r="K117" s="44">
        <f t="shared" si="17"/>
        <v>124985.60000000001</v>
      </c>
      <c r="L117" s="259">
        <f t="shared" si="18"/>
        <v>-14.2</v>
      </c>
      <c r="M117" s="27">
        <f>IFERROR(100/'Skjema total MA'!I117*K117,0)</f>
        <v>1.6582286539909654</v>
      </c>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v>111893</v>
      </c>
      <c r="C119" s="159">
        <v>64930.6</v>
      </c>
      <c r="D119" s="171">
        <f t="shared" si="16"/>
        <v>-42</v>
      </c>
      <c r="E119" s="11">
        <f>IFERROR(100/'Skjema total MA'!C119*C119,0)</f>
        <v>14.301037330400849</v>
      </c>
      <c r="F119" s="310">
        <v>2239488</v>
      </c>
      <c r="G119" s="159">
        <v>6962132.4000000004</v>
      </c>
      <c r="H119" s="171">
        <f t="shared" si="19"/>
        <v>210.9</v>
      </c>
      <c r="I119" s="11">
        <f>IFERROR(100/'Skjema total MA'!F119*G119,0)</f>
        <v>11.446765506200043</v>
      </c>
      <c r="J119" s="311">
        <f t="shared" si="17"/>
        <v>2351381</v>
      </c>
      <c r="K119" s="236">
        <f t="shared" si="17"/>
        <v>7027063</v>
      </c>
      <c r="L119" s="426">
        <f t="shared" si="18"/>
        <v>198.8</v>
      </c>
      <c r="M119" s="11">
        <f>IFERROR(100/'Skjema total MA'!I119*K119,0)</f>
        <v>11.46791440708456</v>
      </c>
    </row>
    <row r="120" spans="1:14" x14ac:dyDescent="0.25">
      <c r="A120" s="21" t="s">
        <v>9</v>
      </c>
      <c r="B120" s="234">
        <v>111893</v>
      </c>
      <c r="C120" s="145">
        <v>64930.6</v>
      </c>
      <c r="D120" s="166">
        <f t="shared" si="16"/>
        <v>-42</v>
      </c>
      <c r="E120" s="27">
        <f>IFERROR(100/'Skjema total MA'!C120*C120,0)</f>
        <v>20.457498478533925</v>
      </c>
      <c r="F120" s="234"/>
      <c r="G120" s="145"/>
      <c r="H120" s="166"/>
      <c r="I120" s="27"/>
      <c r="J120" s="292">
        <f t="shared" si="17"/>
        <v>111893</v>
      </c>
      <c r="K120" s="44">
        <f t="shared" si="17"/>
        <v>64930.6</v>
      </c>
      <c r="L120" s="259">
        <f t="shared" si="18"/>
        <v>-42</v>
      </c>
      <c r="M120" s="27">
        <f>IFERROR(100/'Skjema total MA'!I120*K120,0)</f>
        <v>20.457498478533925</v>
      </c>
    </row>
    <row r="121" spans="1:14" x14ac:dyDescent="0.25">
      <c r="A121" s="21" t="s">
        <v>10</v>
      </c>
      <c r="B121" s="234"/>
      <c r="C121" s="145"/>
      <c r="D121" s="166"/>
      <c r="E121" s="27"/>
      <c r="F121" s="234">
        <v>2239488</v>
      </c>
      <c r="G121" s="145">
        <v>6962132.4000000004</v>
      </c>
      <c r="H121" s="166">
        <f t="shared" si="19"/>
        <v>210.9</v>
      </c>
      <c r="I121" s="27">
        <f>IFERROR(100/'Skjema total MA'!F121*G121,0)</f>
        <v>11.446765506200043</v>
      </c>
      <c r="J121" s="292">
        <f t="shared" si="17"/>
        <v>2239488</v>
      </c>
      <c r="K121" s="44">
        <f t="shared" si="17"/>
        <v>6962132.4000000004</v>
      </c>
      <c r="L121" s="259">
        <f t="shared" si="18"/>
        <v>210.9</v>
      </c>
      <c r="M121" s="27">
        <f>IFERROR(100/'Skjema total MA'!I121*K121,0)</f>
        <v>11.444836782468503</v>
      </c>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v>319086</v>
      </c>
      <c r="G125" s="234">
        <v>932946.3</v>
      </c>
      <c r="H125" s="166">
        <f t="shared" si="19"/>
        <v>192.4</v>
      </c>
      <c r="I125" s="27">
        <f>IFERROR(100/'Skjema total MA'!F125*G125,0)</f>
        <v>3.9521606647532481</v>
      </c>
      <c r="J125" s="292">
        <f t="shared" si="17"/>
        <v>319086</v>
      </c>
      <c r="K125" s="44">
        <f t="shared" si="17"/>
        <v>932946.3</v>
      </c>
      <c r="L125" s="259">
        <f t="shared" si="18"/>
        <v>192.4</v>
      </c>
      <c r="M125" s="27">
        <f>IFERROR(100/'Skjema total MA'!I125*K125,0)</f>
        <v>3.951789318401369</v>
      </c>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493" priority="77">
      <formula>kvartal &lt; 4</formula>
    </cfRule>
  </conditionalFormatting>
  <conditionalFormatting sqref="C115">
    <cfRule type="expression" dxfId="492" priority="76">
      <formula>kvartal &lt; 4</formula>
    </cfRule>
  </conditionalFormatting>
  <conditionalFormatting sqref="B123">
    <cfRule type="expression" dxfId="491" priority="75">
      <formula>kvartal &lt; 4</formula>
    </cfRule>
  </conditionalFormatting>
  <conditionalFormatting sqref="C123">
    <cfRule type="expression" dxfId="490" priority="74">
      <formula>kvartal &lt; 4</formula>
    </cfRule>
  </conditionalFormatting>
  <conditionalFormatting sqref="F115">
    <cfRule type="expression" dxfId="489" priority="59">
      <formula>kvartal &lt; 4</formula>
    </cfRule>
  </conditionalFormatting>
  <conditionalFormatting sqref="G115">
    <cfRule type="expression" dxfId="488" priority="58">
      <formula>kvartal &lt; 4</formula>
    </cfRule>
  </conditionalFormatting>
  <conditionalFormatting sqref="F123:G123">
    <cfRule type="expression" dxfId="487" priority="57">
      <formula>kvartal &lt; 4</formula>
    </cfRule>
  </conditionalFormatting>
  <conditionalFormatting sqref="J115:K115">
    <cfRule type="expression" dxfId="486" priority="33">
      <formula>kvartal &lt; 4</formula>
    </cfRule>
  </conditionalFormatting>
  <conditionalFormatting sqref="J123:K123">
    <cfRule type="expression" dxfId="485" priority="32">
      <formula>kvartal &lt; 4</formula>
    </cfRule>
  </conditionalFormatting>
  <conditionalFormatting sqref="A50:A52">
    <cfRule type="expression" dxfId="484" priority="13">
      <formula>kvartal &lt; 4</formula>
    </cfRule>
  </conditionalFormatting>
  <conditionalFormatting sqref="A69:A74">
    <cfRule type="expression" dxfId="483" priority="11">
      <formula>kvartal &lt; 4</formula>
    </cfRule>
  </conditionalFormatting>
  <conditionalFormatting sqref="A80:A85">
    <cfRule type="expression" dxfId="482" priority="10">
      <formula>kvartal &lt; 4</formula>
    </cfRule>
  </conditionalFormatting>
  <conditionalFormatting sqref="A90:A95">
    <cfRule type="expression" dxfId="481" priority="7">
      <formula>kvartal &lt; 4</formula>
    </cfRule>
  </conditionalFormatting>
  <conditionalFormatting sqref="A101:A106">
    <cfRule type="expression" dxfId="480" priority="6">
      <formula>kvartal &lt; 4</formula>
    </cfRule>
  </conditionalFormatting>
  <conditionalFormatting sqref="A115">
    <cfRule type="expression" dxfId="479" priority="5">
      <formula>kvartal &lt; 4</formula>
    </cfRule>
  </conditionalFormatting>
  <conditionalFormatting sqref="A123">
    <cfRule type="expression" dxfId="478" priority="4">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91</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v>26019.714</v>
      </c>
      <c r="C7" s="309">
        <v>25866.788830000001</v>
      </c>
      <c r="D7" s="351">
        <f>IF(B7=0, "    ---- ", IF(ABS(ROUND(100/B7*C7-100,1))&lt;999,ROUND(100/B7*C7-100,1),IF(ROUND(100/B7*C7-100,1)&gt;999,999,-999)))</f>
        <v>-0.6</v>
      </c>
      <c r="E7" s="11">
        <f>IFERROR(100/'Skjema total MA'!C7*C7,0)</f>
        <v>0.67829813685924922</v>
      </c>
      <c r="F7" s="308"/>
      <c r="G7" s="309"/>
      <c r="H7" s="351"/>
      <c r="I7" s="160"/>
      <c r="J7" s="310">
        <f t="shared" ref="J7:K10" si="0">SUM(B7,F7)</f>
        <v>26019.714</v>
      </c>
      <c r="K7" s="311">
        <f t="shared" si="0"/>
        <v>25866.788830000001</v>
      </c>
      <c r="L7" s="425">
        <f>IF(J7=0, "    ---- ", IF(ABS(ROUND(100/J7*K7-100,1))&lt;999,ROUND(100/J7*K7-100,1),IF(ROUND(100/J7*K7-100,1)&gt;999,999,-999)))</f>
        <v>-0.6</v>
      </c>
      <c r="M7" s="11">
        <f>IFERROR(100/'Skjema total MA'!I7*K7,0)</f>
        <v>0.17597006857348316</v>
      </c>
    </row>
    <row r="8" spans="1:14" ht="15.6" x14ac:dyDescent="0.25">
      <c r="A8" s="21" t="s">
        <v>25</v>
      </c>
      <c r="B8" s="286">
        <v>16053.1136198</v>
      </c>
      <c r="C8" s="287">
        <v>15876.5822577</v>
      </c>
      <c r="D8" s="166">
        <f t="shared" ref="D8:D10" si="1">IF(B8=0, "    ---- ", IF(ABS(ROUND(100/B8*C8-100,1))&lt;999,ROUND(100/B8*C8-100,1),IF(ROUND(100/B8*C8-100,1)&gt;999,999,-999)))</f>
        <v>-1.1000000000000001</v>
      </c>
      <c r="E8" s="27">
        <f>IFERROR(100/'Skjema total MA'!C8*C8,0)</f>
        <v>0.64006034627336283</v>
      </c>
      <c r="F8" s="290"/>
      <c r="G8" s="291"/>
      <c r="H8" s="166"/>
      <c r="I8" s="176"/>
      <c r="J8" s="234">
        <f t="shared" si="0"/>
        <v>16053.1136198</v>
      </c>
      <c r="K8" s="292">
        <f t="shared" si="0"/>
        <v>15876.5822577</v>
      </c>
      <c r="L8" s="166">
        <f t="shared" ref="L8:L9" si="2">IF(J8=0, "    ---- ", IF(ABS(ROUND(100/J8*K8-100,1))&lt;999,ROUND(100/J8*K8-100,1),IF(ROUND(100/J8*K8-100,1)&gt;999,999,-999)))</f>
        <v>-1.1000000000000001</v>
      </c>
      <c r="M8" s="27">
        <f>IFERROR(100/'Skjema total MA'!I8*K8,0)</f>
        <v>0.64006034627336283</v>
      </c>
    </row>
    <row r="9" spans="1:14" ht="15.6" x14ac:dyDescent="0.25">
      <c r="A9" s="21" t="s">
        <v>24</v>
      </c>
      <c r="B9" s="286">
        <v>9615.7472765999992</v>
      </c>
      <c r="C9" s="287">
        <v>9509.0367408999991</v>
      </c>
      <c r="D9" s="166">
        <f t="shared" si="1"/>
        <v>-1.1000000000000001</v>
      </c>
      <c r="E9" s="27">
        <f>IFERROR(100/'Skjema total MA'!C9*C9,0)</f>
        <v>1.1988527590523474</v>
      </c>
      <c r="F9" s="290"/>
      <c r="G9" s="291"/>
      <c r="H9" s="166"/>
      <c r="I9" s="176"/>
      <c r="J9" s="234">
        <f t="shared" si="0"/>
        <v>9615.7472765999992</v>
      </c>
      <c r="K9" s="292">
        <f t="shared" si="0"/>
        <v>9509.0367408999991</v>
      </c>
      <c r="L9" s="166">
        <f t="shared" si="2"/>
        <v>-1.1000000000000001</v>
      </c>
      <c r="M9" s="27">
        <f>IFERROR(100/'Skjema total MA'!I9*K9,0)</f>
        <v>1.1988527590523474</v>
      </c>
    </row>
    <row r="10" spans="1:14" ht="15.6" x14ac:dyDescent="0.25">
      <c r="A10" s="13" t="s">
        <v>363</v>
      </c>
      <c r="B10" s="312">
        <v>19839.109037751499</v>
      </c>
      <c r="C10" s="313">
        <v>19591.939218636198</v>
      </c>
      <c r="D10" s="171">
        <f t="shared" si="1"/>
        <v>-1.2</v>
      </c>
      <c r="E10" s="11">
        <f>IFERROR(100/'Skjema total MA'!C10*C10,0)</f>
        <v>0.11527181539683207</v>
      </c>
      <c r="F10" s="312"/>
      <c r="G10" s="313"/>
      <c r="H10" s="171"/>
      <c r="I10" s="160"/>
      <c r="J10" s="310">
        <f t="shared" si="0"/>
        <v>19839.109037751499</v>
      </c>
      <c r="K10" s="311">
        <f t="shared" si="0"/>
        <v>19591.939218636198</v>
      </c>
      <c r="L10" s="426">
        <f t="shared" ref="L10" si="3">IF(J10=0, "    ---- ", IF(ABS(ROUND(100/J10*K10-100,1))&lt;999,ROUND(100/J10*K10-100,1),IF(ROUND(100/J10*K10-100,1)&gt;999,999,-999)))</f>
        <v>-1.2</v>
      </c>
      <c r="M10" s="11">
        <f>IFERROR(100/'Skjema total MA'!I10*K10,0)</f>
        <v>2.1721069452039707E-2</v>
      </c>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v>151.32792000000001</v>
      </c>
      <c r="C22" s="312">
        <v>158.51983000000001</v>
      </c>
      <c r="D22" s="351">
        <f t="shared" ref="D22:D31" si="4">IF(B22=0, "    ---- ", IF(ABS(ROUND(100/B22*C22-100,1))&lt;999,ROUND(100/B22*C22-100,1),IF(ROUND(100/B22*C22-100,1)&gt;999,999,-999)))</f>
        <v>4.8</v>
      </c>
      <c r="E22" s="11">
        <f>IFERROR(100/'Skjema total MA'!C22*C22,0)</f>
        <v>1.031845364993187E-2</v>
      </c>
      <c r="F22" s="320"/>
      <c r="G22" s="320"/>
      <c r="H22" s="351"/>
      <c r="I22" s="11"/>
      <c r="J22" s="318">
        <f t="shared" ref="J22:K29" si="5">SUM(B22,F22)</f>
        <v>151.32792000000001</v>
      </c>
      <c r="K22" s="318">
        <f t="shared" si="5"/>
        <v>158.51983000000001</v>
      </c>
      <c r="L22" s="425">
        <f t="shared" ref="L22:L31" si="6">IF(J22=0, "    ---- ", IF(ABS(ROUND(100/J22*K22-100,1))&lt;999,ROUND(100/J22*K22-100,1),IF(ROUND(100/J22*K22-100,1)&gt;999,999,-999)))</f>
        <v>4.8</v>
      </c>
      <c r="M22" s="24">
        <f>IFERROR(100/'Skjema total MA'!I22*K22,0)</f>
        <v>5.9622590174012464E-3</v>
      </c>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v>151.32792000000001</v>
      </c>
      <c r="C24" s="286">
        <v>158.51983000000001</v>
      </c>
      <c r="D24" s="166">
        <f t="shared" si="4"/>
        <v>4.8</v>
      </c>
      <c r="E24" s="11">
        <f>IFERROR(100/'Skjema total MA'!C24*C24,0)</f>
        <v>0.80558292025151002</v>
      </c>
      <c r="F24" s="295"/>
      <c r="G24" s="295"/>
      <c r="H24" s="166"/>
      <c r="I24" s="415"/>
      <c r="J24" s="295">
        <f t="shared" ref="J24" si="7">SUM(B24,F24)</f>
        <v>151.32792000000001</v>
      </c>
      <c r="K24" s="295">
        <f t="shared" ref="K24" si="8">SUM(C24,G24)</f>
        <v>158.51983000000001</v>
      </c>
      <c r="L24" s="166">
        <f t="shared" si="6"/>
        <v>4.8</v>
      </c>
      <c r="M24" s="23">
        <f>IFERROR(100/'Skjema total MA'!I24*K24,0)</f>
        <v>0.83153781163480744</v>
      </c>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v>151.32792000000001</v>
      </c>
      <c r="C28" s="292">
        <v>158.51983000000001</v>
      </c>
      <c r="D28" s="166">
        <f t="shared" si="4"/>
        <v>4.8</v>
      </c>
      <c r="E28" s="11">
        <f>IFERROR(100/'Skjema total MA'!C28*C28,0)</f>
        <v>9.4024898214073328E-3</v>
      </c>
      <c r="F28" s="321"/>
      <c r="G28" s="321"/>
      <c r="H28" s="166"/>
      <c r="I28" s="27"/>
      <c r="J28" s="44">
        <f t="shared" si="5"/>
        <v>151.32792000000001</v>
      </c>
      <c r="K28" s="44">
        <f t="shared" si="5"/>
        <v>158.51983000000001</v>
      </c>
      <c r="L28" s="259">
        <f t="shared" si="6"/>
        <v>4.8</v>
      </c>
      <c r="M28" s="23">
        <f>IFERROR(100/'Skjema total MA'!I28*K28,0)</f>
        <v>9.4024898214073328E-3</v>
      </c>
    </row>
    <row r="29" spans="1:14" s="3" customFormat="1" ht="15.6" x14ac:dyDescent="0.25">
      <c r="A29" s="13" t="s">
        <v>363</v>
      </c>
      <c r="B29" s="236">
        <v>1742.4697330681799</v>
      </c>
      <c r="C29" s="236">
        <v>1637.5682968306401</v>
      </c>
      <c r="D29" s="171">
        <f t="shared" si="4"/>
        <v>-6</v>
      </c>
      <c r="E29" s="11">
        <f>IFERROR(100/'Skjema total MA'!C29*C29,0)</f>
        <v>3.6421334199807681E-3</v>
      </c>
      <c r="F29" s="310"/>
      <c r="G29" s="310"/>
      <c r="H29" s="171"/>
      <c r="I29" s="11"/>
      <c r="J29" s="236">
        <f t="shared" si="5"/>
        <v>1742.4697330681799</v>
      </c>
      <c r="K29" s="236">
        <f t="shared" si="5"/>
        <v>1637.5682968306401</v>
      </c>
      <c r="L29" s="426">
        <f t="shared" si="6"/>
        <v>-6</v>
      </c>
      <c r="M29" s="24">
        <f>IFERROR(100/'Skjema total MA'!I29*K29,0)</f>
        <v>2.316638779267328E-3</v>
      </c>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v>1742.4697330681799</v>
      </c>
      <c r="C31" s="286">
        <v>1637.5682968306401</v>
      </c>
      <c r="D31" s="166">
        <f t="shared" si="4"/>
        <v>-6</v>
      </c>
      <c r="E31" s="11">
        <f>IFERROR(100/'Skjema total MA'!C31*C31,0)</f>
        <v>7.281054355983258E-3</v>
      </c>
      <c r="F31" s="295"/>
      <c r="G31" s="295"/>
      <c r="H31" s="166"/>
      <c r="I31" s="415"/>
      <c r="J31" s="295">
        <f t="shared" ref="J31" si="9">SUM(B31,F31)</f>
        <v>1742.4697330681799</v>
      </c>
      <c r="K31" s="295">
        <f t="shared" ref="K31" si="10">SUM(C31,G31)</f>
        <v>1637.5682968306401</v>
      </c>
      <c r="L31" s="166">
        <f t="shared" si="6"/>
        <v>-6</v>
      </c>
      <c r="M31" s="23">
        <f>IFERROR(100/'Skjema total MA'!I31*K31,0)</f>
        <v>5.137849728453053E-3</v>
      </c>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c r="C47" s="313"/>
      <c r="D47" s="425"/>
      <c r="E47" s="11"/>
      <c r="F47" s="145"/>
      <c r="G47" s="33"/>
      <c r="H47" s="159"/>
      <c r="I47" s="159"/>
      <c r="J47" s="37"/>
      <c r="K47" s="37"/>
      <c r="L47" s="159"/>
      <c r="M47" s="159"/>
      <c r="N47" s="148"/>
    </row>
    <row r="48" spans="1:14" s="3" customFormat="1" ht="15.6" x14ac:dyDescent="0.25">
      <c r="A48" s="38" t="s">
        <v>374</v>
      </c>
      <c r="B48" s="286"/>
      <c r="C48" s="287"/>
      <c r="D48" s="259"/>
      <c r="E48" s="27"/>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477" priority="76">
      <formula>kvartal &lt; 4</formula>
    </cfRule>
  </conditionalFormatting>
  <conditionalFormatting sqref="C115">
    <cfRule type="expression" dxfId="476" priority="75">
      <formula>kvartal &lt; 4</formula>
    </cfRule>
  </conditionalFormatting>
  <conditionalFormatting sqref="B123">
    <cfRule type="expression" dxfId="475" priority="74">
      <formula>kvartal &lt; 4</formula>
    </cfRule>
  </conditionalFormatting>
  <conditionalFormatting sqref="C123">
    <cfRule type="expression" dxfId="474" priority="73">
      <formula>kvartal &lt; 4</formula>
    </cfRule>
  </conditionalFormatting>
  <conditionalFormatting sqref="F115">
    <cfRule type="expression" dxfId="473" priority="58">
      <formula>kvartal &lt; 4</formula>
    </cfRule>
  </conditionalFormatting>
  <conditionalFormatting sqref="G115">
    <cfRule type="expression" dxfId="472" priority="57">
      <formula>kvartal &lt; 4</formula>
    </cfRule>
  </conditionalFormatting>
  <conditionalFormatting sqref="F123:G123">
    <cfRule type="expression" dxfId="471" priority="56">
      <formula>kvartal &lt; 4</formula>
    </cfRule>
  </conditionalFormatting>
  <conditionalFormatting sqref="J115:K115">
    <cfRule type="expression" dxfId="470" priority="32">
      <formula>kvartal &lt; 4</formula>
    </cfRule>
  </conditionalFormatting>
  <conditionalFormatting sqref="J123:K123">
    <cfRule type="expression" dxfId="469" priority="31">
      <formula>kvartal &lt; 4</formula>
    </cfRule>
  </conditionalFormatting>
  <conditionalFormatting sqref="A50:A52">
    <cfRule type="expression" dxfId="468" priority="12">
      <formula>kvartal &lt; 4</formula>
    </cfRule>
  </conditionalFormatting>
  <conditionalFormatting sqref="A69:A74">
    <cfRule type="expression" dxfId="467" priority="10">
      <formula>kvartal &lt; 4</formula>
    </cfRule>
  </conditionalFormatting>
  <conditionalFormatting sqref="A80:A85">
    <cfRule type="expression" dxfId="466" priority="9">
      <formula>kvartal &lt; 4</formula>
    </cfRule>
  </conditionalFormatting>
  <conditionalFormatting sqref="A90:A95">
    <cfRule type="expression" dxfId="465" priority="6">
      <formula>kvartal &lt; 4</formula>
    </cfRule>
  </conditionalFormatting>
  <conditionalFormatting sqref="A101:A106">
    <cfRule type="expression" dxfId="464" priority="5">
      <formula>kvartal &lt; 4</formula>
    </cfRule>
  </conditionalFormatting>
  <conditionalFormatting sqref="A115">
    <cfRule type="expression" dxfId="463" priority="4">
      <formula>kvartal &lt; 4</formula>
    </cfRule>
  </conditionalFormatting>
  <conditionalFormatting sqref="A123">
    <cfRule type="expression" dxfId="462" priority="3">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C19" sqref="C19"/>
    </sheetView>
  </sheetViews>
  <sheetFormatPr baseColWidth="10" defaultColWidth="11.44140625" defaultRowHeight="24.6" x14ac:dyDescent="0.4"/>
  <cols>
    <col min="1" max="1" width="11.44140625" style="67"/>
    <col min="2" max="2" width="25" style="67" customWidth="1"/>
    <col min="3" max="3" width="141.6640625" style="67" customWidth="1"/>
    <col min="4" max="16384" width="11.44140625" style="67"/>
  </cols>
  <sheetData>
    <row r="1" spans="1:14" ht="20.100000000000001" customHeight="1" x14ac:dyDescent="0.4">
      <c r="C1" s="68"/>
      <c r="D1" s="69"/>
      <c r="E1" s="69"/>
      <c r="F1" s="69"/>
      <c r="G1" s="69"/>
      <c r="H1" s="69"/>
      <c r="I1" s="69"/>
      <c r="J1" s="69"/>
      <c r="K1" s="69"/>
      <c r="L1" s="69"/>
      <c r="M1" s="69"/>
      <c r="N1" s="69"/>
    </row>
    <row r="2" spans="1:14" ht="20.100000000000001" customHeight="1" x14ac:dyDescent="0.4">
      <c r="C2" s="280" t="s">
        <v>31</v>
      </c>
      <c r="D2" s="69"/>
      <c r="E2" s="69"/>
      <c r="F2" s="69"/>
      <c r="G2" s="69"/>
      <c r="H2" s="69"/>
      <c r="I2" s="69"/>
      <c r="J2" s="69"/>
      <c r="K2" s="69"/>
      <c r="L2" s="69"/>
      <c r="M2" s="69"/>
      <c r="N2" s="69"/>
    </row>
    <row r="3" spans="1:14" ht="20.100000000000001" customHeight="1" x14ac:dyDescent="0.4">
      <c r="C3" s="70"/>
      <c r="D3" s="69"/>
      <c r="E3" s="69"/>
      <c r="F3" s="69"/>
      <c r="G3" s="69"/>
      <c r="H3" s="69"/>
      <c r="I3" s="69"/>
      <c r="J3" s="69"/>
      <c r="K3" s="69"/>
      <c r="L3" s="69"/>
      <c r="M3" s="69"/>
      <c r="N3" s="69"/>
    </row>
    <row r="4" spans="1:14" ht="20.100000000000001" customHeight="1" x14ac:dyDescent="0.4">
      <c r="C4" s="70"/>
      <c r="D4" s="69"/>
      <c r="E4" s="69"/>
      <c r="F4" s="69"/>
      <c r="G4" s="69"/>
      <c r="H4" s="69"/>
      <c r="I4" s="69"/>
      <c r="J4" s="69"/>
      <c r="K4" s="69"/>
      <c r="L4" s="69"/>
      <c r="M4" s="69"/>
      <c r="N4" s="69"/>
    </row>
    <row r="5" spans="1:14" ht="20.100000000000001" customHeight="1" x14ac:dyDescent="0.4">
      <c r="A5" s="70"/>
      <c r="B5" s="70"/>
      <c r="C5" s="70"/>
      <c r="D5" s="69"/>
      <c r="E5" s="69"/>
      <c r="F5" s="69"/>
      <c r="G5" s="69"/>
      <c r="H5" s="69"/>
      <c r="I5" s="69"/>
      <c r="J5" s="69"/>
      <c r="K5" s="69"/>
      <c r="L5" s="69"/>
      <c r="M5" s="69"/>
      <c r="N5" s="69"/>
    </row>
    <row r="6" spans="1:14" ht="20.100000000000001" customHeight="1" x14ac:dyDescent="0.4">
      <c r="A6" s="71" t="s">
        <v>32</v>
      </c>
      <c r="B6" s="71"/>
      <c r="C6" s="70"/>
      <c r="D6" s="69"/>
      <c r="E6" s="69"/>
      <c r="F6" s="69"/>
      <c r="G6" s="69"/>
      <c r="H6" s="69"/>
      <c r="I6" s="69"/>
      <c r="J6" s="69"/>
      <c r="K6" s="69"/>
      <c r="L6" s="69"/>
      <c r="M6" s="69"/>
      <c r="N6" s="69"/>
    </row>
    <row r="7" spans="1:14" ht="20.100000000000001" customHeight="1" x14ac:dyDescent="0.4">
      <c r="A7" s="70"/>
      <c r="B7" s="70" t="s">
        <v>33</v>
      </c>
      <c r="C7" s="70" t="s">
        <v>34</v>
      </c>
      <c r="D7" s="69"/>
      <c r="E7" s="69"/>
      <c r="F7" s="69"/>
      <c r="G7" s="69"/>
      <c r="H7" s="69"/>
      <c r="I7" s="69"/>
      <c r="J7" s="69"/>
      <c r="K7" s="69"/>
      <c r="L7" s="69"/>
      <c r="M7" s="69"/>
      <c r="N7" s="69"/>
    </row>
    <row r="8" spans="1:14" ht="20.100000000000001" customHeight="1" x14ac:dyDescent="0.4">
      <c r="A8" s="70"/>
      <c r="B8" s="70" t="s">
        <v>35</v>
      </c>
      <c r="C8" s="70" t="s">
        <v>36</v>
      </c>
      <c r="D8" s="69"/>
      <c r="E8" s="69"/>
      <c r="F8" s="69"/>
      <c r="G8" s="69"/>
      <c r="H8" s="69"/>
      <c r="I8" s="69"/>
      <c r="J8" s="69"/>
      <c r="K8" s="69"/>
      <c r="L8" s="69"/>
      <c r="M8" s="69"/>
      <c r="N8" s="69"/>
    </row>
    <row r="9" spans="1:14" ht="20.100000000000001" customHeight="1" x14ac:dyDescent="0.4">
      <c r="A9" s="70"/>
      <c r="B9" s="70" t="s">
        <v>37</v>
      </c>
      <c r="C9" s="70" t="s">
        <v>40</v>
      </c>
      <c r="D9" s="69"/>
      <c r="E9" s="69"/>
      <c r="F9" s="69"/>
      <c r="G9" s="69"/>
      <c r="H9" s="69"/>
      <c r="I9" s="69"/>
      <c r="J9" s="69"/>
      <c r="K9" s="69"/>
      <c r="L9" s="69"/>
      <c r="M9" s="69"/>
      <c r="N9" s="69"/>
    </row>
    <row r="10" spans="1:14" ht="20.100000000000001" customHeight="1" x14ac:dyDescent="0.4">
      <c r="A10" s="70"/>
      <c r="B10" s="70" t="s">
        <v>38</v>
      </c>
      <c r="C10" s="70" t="s">
        <v>42</v>
      </c>
      <c r="D10" s="69"/>
      <c r="E10" s="69"/>
      <c r="F10" s="69"/>
      <c r="G10" s="69"/>
      <c r="H10" s="69"/>
      <c r="I10" s="69"/>
      <c r="J10" s="69"/>
      <c r="K10" s="69"/>
      <c r="L10" s="69"/>
      <c r="M10" s="69"/>
      <c r="N10" s="69"/>
    </row>
    <row r="11" spans="1:14" ht="20.100000000000001" customHeight="1" x14ac:dyDescent="0.4">
      <c r="A11" s="70"/>
      <c r="B11" s="70" t="s">
        <v>39</v>
      </c>
      <c r="C11" s="70" t="s">
        <v>43</v>
      </c>
      <c r="D11" s="69"/>
      <c r="E11" s="69"/>
      <c r="F11" s="69"/>
      <c r="G11" s="69"/>
      <c r="H11" s="69"/>
      <c r="I11" s="69"/>
      <c r="J11" s="69"/>
      <c r="K11" s="69"/>
      <c r="L11" s="69"/>
      <c r="M11" s="69"/>
      <c r="N11" s="69"/>
    </row>
    <row r="12" spans="1:14" ht="20.100000000000001" customHeight="1" x14ac:dyDescent="0.4">
      <c r="A12" s="70"/>
      <c r="B12" s="70" t="s">
        <v>41</v>
      </c>
      <c r="C12" s="70" t="s">
        <v>44</v>
      </c>
      <c r="D12" s="69"/>
      <c r="E12" s="69"/>
      <c r="F12" s="69"/>
      <c r="G12" s="69"/>
      <c r="H12" s="69"/>
      <c r="I12" s="69"/>
      <c r="J12" s="69"/>
      <c r="K12" s="69"/>
      <c r="L12" s="69"/>
      <c r="M12" s="69"/>
      <c r="N12" s="69"/>
    </row>
    <row r="13" spans="1:14" ht="18.75" customHeight="1" x14ac:dyDescent="0.4">
      <c r="A13" s="70"/>
      <c r="B13" s="70"/>
      <c r="C13" s="70"/>
      <c r="D13" s="69"/>
      <c r="E13" s="69"/>
      <c r="F13" s="69"/>
      <c r="G13" s="69"/>
      <c r="H13" s="69"/>
      <c r="I13" s="69"/>
      <c r="J13" s="69"/>
      <c r="K13" s="69"/>
      <c r="L13" s="69"/>
      <c r="M13" s="69"/>
      <c r="N13" s="69"/>
    </row>
    <row r="14" spans="1:14" ht="20.100000000000001" customHeight="1" x14ac:dyDescent="0.4">
      <c r="A14" s="279" t="s">
        <v>45</v>
      </c>
      <c r="B14" s="71"/>
      <c r="C14" s="70"/>
      <c r="D14" s="69"/>
      <c r="E14" s="69"/>
      <c r="F14" s="69"/>
      <c r="G14" s="69"/>
      <c r="H14" s="69"/>
      <c r="I14" s="69"/>
      <c r="J14" s="69"/>
      <c r="K14" s="69"/>
      <c r="L14" s="69"/>
      <c r="M14" s="69"/>
      <c r="N14" s="69"/>
    </row>
    <row r="15" spans="1:14" ht="20.100000000000001" customHeight="1" x14ac:dyDescent="0.4">
      <c r="A15" s="70"/>
      <c r="B15" s="70" t="s">
        <v>46</v>
      </c>
      <c r="C15" s="70"/>
      <c r="D15" s="69"/>
      <c r="E15" s="69"/>
      <c r="F15" s="69"/>
      <c r="G15" s="69"/>
      <c r="H15" s="69"/>
      <c r="I15" s="69"/>
      <c r="J15" s="69"/>
      <c r="K15" s="69"/>
      <c r="L15" s="69"/>
      <c r="M15" s="69"/>
      <c r="N15" s="69"/>
    </row>
    <row r="16" spans="1:14" ht="20.100000000000001" customHeight="1" x14ac:dyDescent="0.4">
      <c r="A16" s="70"/>
      <c r="B16" s="71" t="s">
        <v>47</v>
      </c>
      <c r="C16" s="70" t="s">
        <v>48</v>
      </c>
      <c r="D16" s="69"/>
      <c r="E16" s="69"/>
      <c r="F16" s="69"/>
      <c r="G16" s="69"/>
      <c r="H16" s="69"/>
      <c r="I16" s="69"/>
      <c r="J16" s="69"/>
      <c r="K16" s="69"/>
      <c r="L16" s="69"/>
      <c r="M16" s="69"/>
      <c r="N16" s="69"/>
    </row>
    <row r="17" spans="1:14" ht="20.100000000000001" customHeight="1" x14ac:dyDescent="0.4">
      <c r="A17" s="70"/>
      <c r="B17" s="71" t="s">
        <v>49</v>
      </c>
      <c r="C17" s="70" t="s">
        <v>50</v>
      </c>
      <c r="D17" s="69"/>
      <c r="E17" s="69"/>
      <c r="F17" s="69"/>
      <c r="G17" s="69"/>
      <c r="H17" s="69"/>
      <c r="I17" s="69"/>
      <c r="J17" s="69"/>
      <c r="K17" s="69"/>
      <c r="L17" s="69"/>
      <c r="M17" s="69"/>
      <c r="N17" s="69"/>
    </row>
    <row r="18" spans="1:14" ht="20.100000000000001" customHeight="1" x14ac:dyDescent="0.4">
      <c r="A18" s="70"/>
      <c r="B18" s="71" t="s">
        <v>339</v>
      </c>
      <c r="C18" s="70" t="s">
        <v>340</v>
      </c>
      <c r="D18" s="69"/>
      <c r="E18" s="69"/>
      <c r="F18" s="69"/>
      <c r="G18" s="69"/>
      <c r="H18" s="69"/>
      <c r="I18" s="69"/>
      <c r="J18" s="69"/>
      <c r="K18" s="69"/>
      <c r="L18" s="69"/>
      <c r="M18" s="69"/>
      <c r="N18" s="69"/>
    </row>
    <row r="19" spans="1:14" ht="20.100000000000001" customHeight="1" x14ac:dyDescent="0.4">
      <c r="A19" s="70"/>
      <c r="B19" s="70" t="s">
        <v>341</v>
      </c>
      <c r="C19" s="70" t="s">
        <v>269</v>
      </c>
      <c r="D19" s="69"/>
      <c r="E19" s="69"/>
      <c r="F19" s="69"/>
      <c r="G19" s="69"/>
      <c r="H19" s="69"/>
      <c r="I19" s="69"/>
      <c r="J19" s="69"/>
      <c r="K19" s="69"/>
      <c r="L19" s="69"/>
      <c r="M19" s="69"/>
      <c r="N19" s="69"/>
    </row>
    <row r="20" spans="1:14" s="349" customFormat="1" ht="20.100000000000001" customHeight="1" x14ac:dyDescent="0.4">
      <c r="A20" s="347"/>
      <c r="B20" s="347" t="s">
        <v>343</v>
      </c>
      <c r="C20" s="347" t="s">
        <v>342</v>
      </c>
      <c r="D20" s="348"/>
      <c r="E20" s="348"/>
      <c r="F20" s="348"/>
      <c r="G20" s="348"/>
      <c r="H20" s="348"/>
      <c r="I20" s="348"/>
      <c r="J20" s="348"/>
      <c r="K20" s="348"/>
      <c r="L20" s="348"/>
      <c r="M20" s="348"/>
      <c r="N20" s="348"/>
    </row>
    <row r="21" spans="1:14" ht="20.100000000000001" customHeight="1" x14ac:dyDescent="0.4">
      <c r="A21" s="70"/>
      <c r="B21" s="70"/>
      <c r="C21" s="70"/>
    </row>
    <row r="22" spans="1:14" ht="18.75" customHeight="1" x14ac:dyDescent="0.4">
      <c r="A22" s="70"/>
      <c r="B22" s="347" t="s">
        <v>253</v>
      </c>
      <c r="C22" s="347"/>
    </row>
    <row r="23" spans="1:14" ht="20.100000000000001" customHeight="1" x14ac:dyDescent="0.4">
      <c r="A23" s="70"/>
      <c r="B23" s="350" t="s">
        <v>254</v>
      </c>
      <c r="C23" s="347" t="s">
        <v>255</v>
      </c>
    </row>
    <row r="24" spans="1:14" ht="20.100000000000001" hidden="1" customHeight="1" x14ac:dyDescent="0.4">
      <c r="A24" s="70"/>
      <c r="B24" s="350" t="s">
        <v>256</v>
      </c>
      <c r="C24" s="347" t="s">
        <v>257</v>
      </c>
    </row>
    <row r="25" spans="1:14" ht="20.100000000000001" hidden="1" customHeight="1" x14ac:dyDescent="0.4">
      <c r="A25" s="70"/>
      <c r="B25" s="350" t="s">
        <v>258</v>
      </c>
      <c r="C25" s="347" t="s">
        <v>259</v>
      </c>
    </row>
    <row r="26" spans="1:14" ht="20.100000000000001" hidden="1" customHeight="1" x14ac:dyDescent="0.4">
      <c r="A26" s="70"/>
      <c r="B26" s="350" t="s">
        <v>260</v>
      </c>
      <c r="C26" s="347" t="s">
        <v>261</v>
      </c>
    </row>
    <row r="27" spans="1:14" ht="20.100000000000001" customHeight="1" x14ac:dyDescent="0.4">
      <c r="A27" s="70"/>
      <c r="B27" s="350" t="s">
        <v>172</v>
      </c>
      <c r="C27" s="347" t="s">
        <v>262</v>
      </c>
    </row>
    <row r="28" spans="1:14" ht="20.100000000000001" hidden="1" customHeight="1" x14ac:dyDescent="0.4">
      <c r="A28" s="70"/>
      <c r="B28" s="344" t="s">
        <v>263</v>
      </c>
      <c r="C28" s="278" t="s">
        <v>264</v>
      </c>
    </row>
    <row r="29" spans="1:14" ht="20.100000000000001" hidden="1" customHeight="1" x14ac:dyDescent="0.4">
      <c r="A29" s="70"/>
      <c r="B29" s="344" t="s">
        <v>265</v>
      </c>
      <c r="C29" s="278" t="s">
        <v>266</v>
      </c>
    </row>
    <row r="30" spans="1:14" ht="18.75" customHeight="1" x14ac:dyDescent="0.4">
      <c r="A30" s="70"/>
      <c r="B30" s="350" t="s">
        <v>267</v>
      </c>
      <c r="C30" s="347" t="s">
        <v>268</v>
      </c>
    </row>
    <row r="31" spans="1:14" ht="18.75" customHeight="1" x14ac:dyDescent="0.4">
      <c r="A31" s="70"/>
      <c r="B31" s="350"/>
      <c r="C31" s="347"/>
    </row>
    <row r="32" spans="1:14" ht="20.100000000000001" customHeight="1" x14ac:dyDescent="0.4">
      <c r="A32" s="70"/>
      <c r="B32" s="70"/>
      <c r="C32" s="70"/>
    </row>
    <row r="33" spans="1:14" x14ac:dyDescent="0.4">
      <c r="A33" s="71" t="s">
        <v>51</v>
      </c>
      <c r="B33" s="70"/>
      <c r="C33" s="70"/>
    </row>
    <row r="34" spans="1:14" ht="26.25" hidden="1" customHeight="1" x14ac:dyDescent="0.45">
      <c r="C34" s="72"/>
    </row>
    <row r="35" spans="1:14" ht="26.25" hidden="1" customHeight="1" x14ac:dyDescent="0.45">
      <c r="C35" s="72"/>
    </row>
    <row r="36" spans="1:14" ht="18.75" customHeight="1" x14ac:dyDescent="0.45">
      <c r="C36" s="345"/>
      <c r="D36" s="346"/>
    </row>
    <row r="37" spans="1:14" ht="25.2" x14ac:dyDescent="0.45">
      <c r="C37" s="72"/>
    </row>
    <row r="38" spans="1:14" ht="25.2" x14ac:dyDescent="0.45">
      <c r="C38" s="72"/>
    </row>
    <row r="39" spans="1:14" ht="25.2" x14ac:dyDescent="0.45">
      <c r="C39" s="345"/>
      <c r="D39" s="349"/>
      <c r="E39" s="349"/>
      <c r="F39" s="349"/>
      <c r="G39" s="349"/>
      <c r="H39" s="349"/>
      <c r="I39" s="349"/>
      <c r="J39" s="349"/>
      <c r="K39" s="349"/>
      <c r="L39" s="349"/>
      <c r="M39" s="349"/>
      <c r="N39" s="349"/>
    </row>
    <row r="40" spans="1:14" ht="25.2" x14ac:dyDescent="0.45">
      <c r="C40" s="72"/>
    </row>
    <row r="41" spans="1:14" ht="25.2" x14ac:dyDescent="0.45">
      <c r="C41" s="72"/>
    </row>
    <row r="42" spans="1:14" ht="25.2" x14ac:dyDescent="0.45">
      <c r="C42" s="72"/>
    </row>
    <row r="43" spans="1:14" ht="25.2" x14ac:dyDescent="0.45">
      <c r="C43" s="72"/>
    </row>
    <row r="44" spans="1:14" ht="25.2" x14ac:dyDescent="0.45">
      <c r="C44" s="72"/>
    </row>
    <row r="45" spans="1:14" ht="25.2" x14ac:dyDescent="0.45">
      <c r="C45" s="72"/>
    </row>
    <row r="46" spans="1:14" ht="25.2" x14ac:dyDescent="0.45">
      <c r="C46" s="72"/>
    </row>
    <row r="47" spans="1:14" ht="25.2" x14ac:dyDescent="0.45">
      <c r="C47" s="72"/>
    </row>
    <row r="48" spans="1:14" ht="25.2" x14ac:dyDescent="0.45">
      <c r="C48" s="72"/>
    </row>
    <row r="49" spans="3:3" ht="25.2" x14ac:dyDescent="0.45">
      <c r="C49" s="72"/>
    </row>
    <row r="50" spans="3:3" ht="25.2" x14ac:dyDescent="0.45">
      <c r="C50" s="72"/>
    </row>
    <row r="51" spans="3:3" ht="25.2" x14ac:dyDescent="0.45">
      <c r="C51" s="72"/>
    </row>
    <row r="52" spans="3:3" ht="25.2" x14ac:dyDescent="0.45">
      <c r="C52" s="72"/>
    </row>
    <row r="53" spans="3:3" ht="25.2" x14ac:dyDescent="0.45">
      <c r="C53" s="72"/>
    </row>
    <row r="54" spans="3:3" ht="25.2" x14ac:dyDescent="0.45">
      <c r="C54" s="72"/>
    </row>
    <row r="55" spans="3:3" ht="25.2" x14ac:dyDescent="0.45">
      <c r="C55" s="72"/>
    </row>
    <row r="56" spans="3:3" ht="25.2" x14ac:dyDescent="0.45">
      <c r="C56" s="72"/>
    </row>
    <row r="57" spans="3:3" ht="25.2" x14ac:dyDescent="0.45">
      <c r="C57" s="72"/>
    </row>
    <row r="58" spans="3:3" ht="25.2" x14ac:dyDescent="0.45">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129</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v>282885.61700000003</v>
      </c>
      <c r="C7" s="309">
        <v>303758.99453554401</v>
      </c>
      <c r="D7" s="351">
        <f>IF(B7=0, "    ---- ", IF(ABS(ROUND(100/B7*C7-100,1))&lt;999,ROUND(100/B7*C7-100,1),IF(ROUND(100/B7*C7-100,1)&gt;999,999,-999)))</f>
        <v>7.4</v>
      </c>
      <c r="E7" s="11">
        <f>IFERROR(100/'Skjema total MA'!C7*C7,0)</f>
        <v>7.9653938261071104</v>
      </c>
      <c r="F7" s="308"/>
      <c r="G7" s="309"/>
      <c r="H7" s="351"/>
      <c r="I7" s="160"/>
      <c r="J7" s="310">
        <f t="shared" ref="J7:K9" si="0">SUM(B7,F7)</f>
        <v>282885.61700000003</v>
      </c>
      <c r="K7" s="311">
        <f t="shared" si="0"/>
        <v>303758.99453554401</v>
      </c>
      <c r="L7" s="425">
        <f>IF(J7=0, "    ---- ", IF(ABS(ROUND(100/J7*K7-100,1))&lt;999,ROUND(100/J7*K7-100,1),IF(ROUND(100/J7*K7-100,1)&gt;999,999,-999)))</f>
        <v>7.4</v>
      </c>
      <c r="M7" s="11">
        <f>IFERROR(100/'Skjema total MA'!I7*K7,0)</f>
        <v>2.0664525252643031</v>
      </c>
    </row>
    <row r="8" spans="1:14" ht="15.6" x14ac:dyDescent="0.25">
      <c r="A8" s="21" t="s">
        <v>25</v>
      </c>
      <c r="B8" s="286">
        <v>193023.47399999999</v>
      </c>
      <c r="C8" s="287">
        <v>211608.313332919</v>
      </c>
      <c r="D8" s="166">
        <f t="shared" ref="D8:D9" si="1">IF(B8=0, "    ---- ", IF(ABS(ROUND(100/B8*C8-100,1))&lt;999,ROUND(100/B8*C8-100,1),IF(ROUND(100/B8*C8-100,1)&gt;999,999,-999)))</f>
        <v>9.6</v>
      </c>
      <c r="E8" s="27">
        <f>IFERROR(100/'Skjema total MA'!C8*C8,0)</f>
        <v>8.5309349397602361</v>
      </c>
      <c r="F8" s="290"/>
      <c r="G8" s="291"/>
      <c r="H8" s="166"/>
      <c r="I8" s="176"/>
      <c r="J8" s="234">
        <f t="shared" si="0"/>
        <v>193023.47399999999</v>
      </c>
      <c r="K8" s="292">
        <f t="shared" si="0"/>
        <v>211608.313332919</v>
      </c>
      <c r="L8" s="166">
        <f t="shared" ref="L8:L9" si="2">IF(J8=0, "    ---- ", IF(ABS(ROUND(100/J8*K8-100,1))&lt;999,ROUND(100/J8*K8-100,1),IF(ROUND(100/J8*K8-100,1)&gt;999,999,-999)))</f>
        <v>9.6</v>
      </c>
      <c r="M8" s="27">
        <f>IFERROR(100/'Skjema total MA'!I8*K8,0)</f>
        <v>8.5309349397602361</v>
      </c>
    </row>
    <row r="9" spans="1:14" ht="15.6" x14ac:dyDescent="0.25">
      <c r="A9" s="21" t="s">
        <v>24</v>
      </c>
      <c r="B9" s="286">
        <v>89862.142999999996</v>
      </c>
      <c r="C9" s="287">
        <v>92150.681202624502</v>
      </c>
      <c r="D9" s="166">
        <f t="shared" si="1"/>
        <v>2.5</v>
      </c>
      <c r="E9" s="27">
        <f>IFERROR(100/'Skjema total MA'!C9*C9,0)</f>
        <v>11.617906357764642</v>
      </c>
      <c r="F9" s="290"/>
      <c r="G9" s="291"/>
      <c r="H9" s="166"/>
      <c r="I9" s="176"/>
      <c r="J9" s="234">
        <f t="shared" si="0"/>
        <v>89862.142999999996</v>
      </c>
      <c r="K9" s="292">
        <f t="shared" si="0"/>
        <v>92150.681202624502</v>
      </c>
      <c r="L9" s="166">
        <f t="shared" si="2"/>
        <v>2.5</v>
      </c>
      <c r="M9" s="27">
        <f>IFERROR(100/'Skjema total MA'!I9*K9,0)</f>
        <v>11.617906357764642</v>
      </c>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1"/>
      <c r="J22" s="318"/>
      <c r="K22" s="318"/>
      <c r="L22" s="425"/>
      <c r="M22" s="24"/>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v>136331.60999999999</v>
      </c>
      <c r="C28" s="292">
        <v>156719.69868014401</v>
      </c>
      <c r="D28" s="166">
        <f t="shared" ref="D28" si="3">IF(B28=0, "    ---- ", IF(ABS(ROUND(100/B28*C28-100,1))&lt;999,ROUND(100/B28*C28-100,1),IF(ROUND(100/B28*C28-100,1)&gt;999,999,-999)))</f>
        <v>15</v>
      </c>
      <c r="E28" s="11">
        <f>IFERROR(100/'Skjema total MA'!C28*C28,0)</f>
        <v>9.2957163255479021</v>
      </c>
      <c r="F28" s="321"/>
      <c r="G28" s="321"/>
      <c r="H28" s="166"/>
      <c r="I28" s="27"/>
      <c r="J28" s="44">
        <f t="shared" ref="J28:K28" si="4">SUM(B28,F28)</f>
        <v>136331.60999999999</v>
      </c>
      <c r="K28" s="44">
        <f t="shared" si="4"/>
        <v>156719.69868014401</v>
      </c>
      <c r="L28" s="259">
        <f t="shared" ref="L28" si="5">IF(J28=0, "    ---- ", IF(ABS(ROUND(100/J28*K28-100,1))&lt;999,ROUND(100/J28*K28-100,1),IF(ROUND(100/J28*K28-100,1)&gt;999,999,-999)))</f>
        <v>15</v>
      </c>
      <c r="M28" s="23">
        <f>IFERROR(100/'Skjema total MA'!I28*K28,0)</f>
        <v>9.2957163255479021</v>
      </c>
    </row>
    <row r="29" spans="1:14" s="3" customFormat="1" ht="15.6" x14ac:dyDescent="0.25">
      <c r="A29" s="13" t="s">
        <v>363</v>
      </c>
      <c r="B29" s="236"/>
      <c r="C29" s="236"/>
      <c r="D29" s="171"/>
      <c r="E29" s="11"/>
      <c r="F29" s="310"/>
      <c r="G29" s="310"/>
      <c r="H29" s="171"/>
      <c r="I29" s="11"/>
      <c r="J29" s="236"/>
      <c r="K29" s="236"/>
      <c r="L29" s="426"/>
      <c r="M29" s="24"/>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113355.93</v>
      </c>
      <c r="C47" s="313">
        <v>112967.04764999999</v>
      </c>
      <c r="D47" s="425">
        <f t="shared" ref="D47:D57" si="6">IF(B47=0, "    ---- ", IF(ABS(ROUND(100/B47*C47-100,1))&lt;999,ROUND(100/B47*C47-100,1),IF(ROUND(100/B47*C47-100,1)&gt;999,999,-999)))</f>
        <v>-0.3</v>
      </c>
      <c r="E47" s="11">
        <f>IFERROR(100/'Skjema total MA'!C47*C47,0)</f>
        <v>2.5267234004513859</v>
      </c>
      <c r="F47" s="145"/>
      <c r="G47" s="33"/>
      <c r="H47" s="159"/>
      <c r="I47" s="159"/>
      <c r="J47" s="37"/>
      <c r="K47" s="37"/>
      <c r="L47" s="159"/>
      <c r="M47" s="159"/>
      <c r="N47" s="148"/>
    </row>
    <row r="48" spans="1:14" s="3" customFormat="1" ht="15.6" x14ac:dyDescent="0.25">
      <c r="A48" s="38" t="s">
        <v>374</v>
      </c>
      <c r="B48" s="286">
        <v>113355.93</v>
      </c>
      <c r="C48" s="287">
        <v>112967.04764999999</v>
      </c>
      <c r="D48" s="259">
        <f t="shared" si="6"/>
        <v>-0.3</v>
      </c>
      <c r="E48" s="27">
        <f>IFERROR(100/'Skjema total MA'!C48*C48,0)</f>
        <v>4.5055827257341639</v>
      </c>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v>2607.7379999999998</v>
      </c>
      <c r="C53" s="313">
        <v>4191.4989999999998</v>
      </c>
      <c r="D53" s="426">
        <f t="shared" si="6"/>
        <v>60.7</v>
      </c>
      <c r="E53" s="11">
        <f>IFERROR(100/'Skjema total MA'!C53*C53,0)</f>
        <v>1.6263266744096361</v>
      </c>
      <c r="F53" s="145"/>
      <c r="G53" s="33"/>
      <c r="H53" s="145"/>
      <c r="I53" s="145"/>
      <c r="J53" s="33"/>
      <c r="K53" s="33"/>
      <c r="L53" s="159"/>
      <c r="M53" s="159"/>
      <c r="N53" s="148"/>
    </row>
    <row r="54" spans="1:14" s="3" customFormat="1" ht="15.6" x14ac:dyDescent="0.25">
      <c r="A54" s="38" t="s">
        <v>374</v>
      </c>
      <c r="B54" s="286">
        <v>2607.7379999999998</v>
      </c>
      <c r="C54" s="287">
        <v>4191.4989999999998</v>
      </c>
      <c r="D54" s="259">
        <f t="shared" si="6"/>
        <v>60.7</v>
      </c>
      <c r="E54" s="27">
        <f>IFERROR(100/'Skjema total MA'!C54*C54,0)</f>
        <v>1.665917020389112</v>
      </c>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v>5866.8810000000003</v>
      </c>
      <c r="C56" s="313">
        <v>654.79300000000001</v>
      </c>
      <c r="D56" s="426">
        <f t="shared" si="6"/>
        <v>-88.8</v>
      </c>
      <c r="E56" s="11">
        <f>IFERROR(100/'Skjema total MA'!C56*C56,0)</f>
        <v>0.54076897410387614</v>
      </c>
      <c r="F56" s="145"/>
      <c r="G56" s="33"/>
      <c r="H56" s="145"/>
      <c r="I56" s="145"/>
      <c r="J56" s="33"/>
      <c r="K56" s="33"/>
      <c r="L56" s="159"/>
      <c r="M56" s="159"/>
      <c r="N56" s="148"/>
    </row>
    <row r="57" spans="1:14" s="3" customFormat="1" ht="15.6" x14ac:dyDescent="0.25">
      <c r="A57" s="38" t="s">
        <v>374</v>
      </c>
      <c r="B57" s="286">
        <v>5866.8810000000003</v>
      </c>
      <c r="C57" s="287">
        <v>654.79300000000001</v>
      </c>
      <c r="D57" s="259">
        <f t="shared" si="6"/>
        <v>-88.8</v>
      </c>
      <c r="E57" s="27">
        <f>IFERROR(100/'Skjema total MA'!C57*C57,0)</f>
        <v>0.54079052345159306</v>
      </c>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461" priority="76">
      <formula>kvartal &lt; 4</formula>
    </cfRule>
  </conditionalFormatting>
  <conditionalFormatting sqref="C115">
    <cfRule type="expression" dxfId="460" priority="75">
      <formula>kvartal &lt; 4</formula>
    </cfRule>
  </conditionalFormatting>
  <conditionalFormatting sqref="B123">
    <cfRule type="expression" dxfId="459" priority="74">
      <formula>kvartal &lt; 4</formula>
    </cfRule>
  </conditionalFormatting>
  <conditionalFormatting sqref="C123">
    <cfRule type="expression" dxfId="458" priority="73">
      <formula>kvartal &lt; 4</formula>
    </cfRule>
  </conditionalFormatting>
  <conditionalFormatting sqref="F115">
    <cfRule type="expression" dxfId="457" priority="58">
      <formula>kvartal &lt; 4</formula>
    </cfRule>
  </conditionalFormatting>
  <conditionalFormatting sqref="G115">
    <cfRule type="expression" dxfId="456" priority="57">
      <formula>kvartal &lt; 4</formula>
    </cfRule>
  </conditionalFormatting>
  <conditionalFormatting sqref="F123:G123">
    <cfRule type="expression" dxfId="455" priority="56">
      <formula>kvartal &lt; 4</formula>
    </cfRule>
  </conditionalFormatting>
  <conditionalFormatting sqref="J115:K115">
    <cfRule type="expression" dxfId="454" priority="32">
      <formula>kvartal &lt; 4</formula>
    </cfRule>
  </conditionalFormatting>
  <conditionalFormatting sqref="J123:K123">
    <cfRule type="expression" dxfId="453" priority="31">
      <formula>kvartal &lt; 4</formula>
    </cfRule>
  </conditionalFormatting>
  <conditionalFormatting sqref="A50:A52">
    <cfRule type="expression" dxfId="452" priority="12">
      <formula>kvartal &lt; 4</formula>
    </cfRule>
  </conditionalFormatting>
  <conditionalFormatting sqref="A69:A74">
    <cfRule type="expression" dxfId="451" priority="10">
      <formula>kvartal &lt; 4</formula>
    </cfRule>
  </conditionalFormatting>
  <conditionalFormatting sqref="A80:A85">
    <cfRule type="expression" dxfId="450" priority="9">
      <formula>kvartal &lt; 4</formula>
    </cfRule>
  </conditionalFormatting>
  <conditionalFormatting sqref="A90:A95">
    <cfRule type="expression" dxfId="449" priority="6">
      <formula>kvartal &lt; 4</formula>
    </cfRule>
  </conditionalFormatting>
  <conditionalFormatting sqref="A101:A106">
    <cfRule type="expression" dxfId="448" priority="5">
      <formula>kvartal &lt; 4</formula>
    </cfRule>
  </conditionalFormatting>
  <conditionalFormatting sqref="A115">
    <cfRule type="expression" dxfId="447" priority="4">
      <formula>kvartal &lt; 4</formula>
    </cfRule>
  </conditionalFormatting>
  <conditionalFormatting sqref="A123">
    <cfRule type="expression" dxfId="446" priority="3">
      <formula>kvartal &lt; 4</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N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580" t="s">
        <v>405</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610"/>
      <c r="B3" s="603"/>
      <c r="C3" s="611"/>
      <c r="D3" s="603"/>
      <c r="E3" s="603"/>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v>8144.5912699999999</v>
      </c>
      <c r="C7" s="309"/>
      <c r="D7" s="351">
        <f>IF(B7=0, "    ---- ", IF(ABS(ROUND(100/B7*C7-100,1))&lt;999,ROUND(100/B7*C7-100,1),IF(ROUND(100/B7*C7-100,1)&gt;999,999,-999)))</f>
        <v>-100</v>
      </c>
      <c r="E7" s="11">
        <f>IFERROR(100/'Skjema total MA'!C7*C7,0)</f>
        <v>0</v>
      </c>
      <c r="F7" s="308"/>
      <c r="G7" s="309"/>
      <c r="H7" s="351"/>
      <c r="I7" s="160"/>
      <c r="J7" s="310">
        <f t="shared" ref="J7:K9" si="0">SUM(B7,F7)</f>
        <v>8144.5912699999999</v>
      </c>
      <c r="K7" s="311">
        <f t="shared" si="0"/>
        <v>0</v>
      </c>
      <c r="L7" s="425">
        <f>IF(J7=0, "    ---- ", IF(ABS(ROUND(100/J7*K7-100,1))&lt;999,ROUND(100/J7*K7-100,1),IF(ROUND(100/J7*K7-100,1)&gt;999,999,-999)))</f>
        <v>-100</v>
      </c>
      <c r="M7" s="11">
        <f>IFERROR(100/'Skjema total MA'!I7*K7,0)</f>
        <v>0</v>
      </c>
    </row>
    <row r="8" spans="1:14" ht="15.6" x14ac:dyDescent="0.25">
      <c r="A8" s="21" t="s">
        <v>25</v>
      </c>
      <c r="B8" s="286">
        <v>5373.4324999999999</v>
      </c>
      <c r="C8" s="287"/>
      <c r="D8" s="166">
        <f t="shared" ref="D8:D9" si="1">IF(B8=0, "    ---- ", IF(ABS(ROUND(100/B8*C8-100,1))&lt;999,ROUND(100/B8*C8-100,1),IF(ROUND(100/B8*C8-100,1)&gt;999,999,-999)))</f>
        <v>-100</v>
      </c>
      <c r="E8" s="27">
        <f>IFERROR(100/'Skjema total MA'!C8*C8,0)</f>
        <v>0</v>
      </c>
      <c r="F8" s="290"/>
      <c r="G8" s="291"/>
      <c r="H8" s="166"/>
      <c r="I8" s="176"/>
      <c r="J8" s="234">
        <f t="shared" si="0"/>
        <v>5373.4324999999999</v>
      </c>
      <c r="K8" s="292">
        <f t="shared" si="0"/>
        <v>0</v>
      </c>
      <c r="L8" s="166">
        <f t="shared" ref="L8:L9" si="2">IF(J8=0, "    ---- ", IF(ABS(ROUND(100/J8*K8-100,1))&lt;999,ROUND(100/J8*K8-100,1),IF(ROUND(100/J8*K8-100,1)&gt;999,999,-999)))</f>
        <v>-100</v>
      </c>
      <c r="M8" s="27">
        <f>IFERROR(100/'Skjema total MA'!I8*K8,0)</f>
        <v>0</v>
      </c>
    </row>
    <row r="9" spans="1:14" ht="15.6" x14ac:dyDescent="0.25">
      <c r="A9" s="21" t="s">
        <v>24</v>
      </c>
      <c r="B9" s="286">
        <v>2771.15877</v>
      </c>
      <c r="C9" s="287"/>
      <c r="D9" s="166">
        <f t="shared" si="1"/>
        <v>-100</v>
      </c>
      <c r="E9" s="27">
        <f>IFERROR(100/'Skjema total MA'!C9*C9,0)</f>
        <v>0</v>
      </c>
      <c r="F9" s="290"/>
      <c r="G9" s="291"/>
      <c r="H9" s="166"/>
      <c r="I9" s="176"/>
      <c r="J9" s="234">
        <f t="shared" si="0"/>
        <v>2771.15877</v>
      </c>
      <c r="K9" s="292">
        <f t="shared" si="0"/>
        <v>0</v>
      </c>
      <c r="L9" s="166">
        <f t="shared" si="2"/>
        <v>-100</v>
      </c>
      <c r="M9" s="27">
        <f>IFERROR(100/'Skjema total MA'!I9*K9,0)</f>
        <v>0</v>
      </c>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1"/>
      <c r="J22" s="318"/>
      <c r="K22" s="318"/>
      <c r="L22" s="425"/>
      <c r="M22" s="24"/>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c r="C28" s="292"/>
      <c r="D28" s="166"/>
      <c r="E28" s="11"/>
      <c r="F28" s="321"/>
      <c r="G28" s="321"/>
      <c r="H28" s="166"/>
      <c r="I28" s="27"/>
      <c r="J28" s="44"/>
      <c r="K28" s="44"/>
      <c r="L28" s="259"/>
      <c r="M28" s="23"/>
    </row>
    <row r="29" spans="1:14" s="3" customFormat="1" ht="15.6" x14ac:dyDescent="0.25">
      <c r="A29" s="13" t="s">
        <v>363</v>
      </c>
      <c r="B29" s="236"/>
      <c r="C29" s="236"/>
      <c r="D29" s="171"/>
      <c r="E29" s="11"/>
      <c r="F29" s="310"/>
      <c r="G29" s="310"/>
      <c r="H29" s="171"/>
      <c r="I29" s="11"/>
      <c r="J29" s="236"/>
      <c r="K29" s="236"/>
      <c r="L29" s="426"/>
      <c r="M29" s="24"/>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3000.7625579488199</v>
      </c>
      <c r="C47" s="313"/>
      <c r="D47" s="425">
        <f t="shared" ref="D47:D57" si="3">IF(B47=0, "    ---- ", IF(ABS(ROUND(100/B47*C47-100,1))&lt;999,ROUND(100/B47*C47-100,1),IF(ROUND(100/B47*C47-100,1)&gt;999,999,-999)))</f>
        <v>-100</v>
      </c>
      <c r="E47" s="11">
        <f>IFERROR(100/'Skjema total MA'!C47*C47,0)</f>
        <v>0</v>
      </c>
      <c r="F47" s="145"/>
      <c r="G47" s="33"/>
      <c r="H47" s="159"/>
      <c r="I47" s="159"/>
      <c r="J47" s="37"/>
      <c r="K47" s="37"/>
      <c r="L47" s="159"/>
      <c r="M47" s="159"/>
      <c r="N47" s="148"/>
    </row>
    <row r="48" spans="1:14" s="3" customFormat="1" ht="15.6" x14ac:dyDescent="0.25">
      <c r="A48" s="38" t="s">
        <v>374</v>
      </c>
      <c r="B48" s="286">
        <v>3000.7625579488199</v>
      </c>
      <c r="C48" s="287"/>
      <c r="D48" s="259">
        <f t="shared" si="3"/>
        <v>-100</v>
      </c>
      <c r="E48" s="27">
        <f>IFERROR(100/'Skjema total MA'!C48*C48,0)</f>
        <v>0</v>
      </c>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v>24.018999999999998</v>
      </c>
      <c r="C53" s="313"/>
      <c r="D53" s="426">
        <f t="shared" si="3"/>
        <v>-100</v>
      </c>
      <c r="E53" s="11">
        <f>IFERROR(100/'Skjema total MA'!C53*C53,0)</f>
        <v>0</v>
      </c>
      <c r="F53" s="145"/>
      <c r="G53" s="33"/>
      <c r="H53" s="145"/>
      <c r="I53" s="145"/>
      <c r="J53" s="33"/>
      <c r="K53" s="33"/>
      <c r="L53" s="159"/>
      <c r="M53" s="159"/>
      <c r="N53" s="148"/>
    </row>
    <row r="54" spans="1:14" s="3" customFormat="1" ht="15.6" x14ac:dyDescent="0.25">
      <c r="A54" s="38" t="s">
        <v>374</v>
      </c>
      <c r="B54" s="286">
        <v>24.018999999999998</v>
      </c>
      <c r="C54" s="287"/>
      <c r="D54" s="259">
        <f t="shared" si="3"/>
        <v>-100</v>
      </c>
      <c r="E54" s="27">
        <f>IFERROR(100/'Skjema total MA'!C54*C54,0)</f>
        <v>0</v>
      </c>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v>220.928</v>
      </c>
      <c r="C56" s="313"/>
      <c r="D56" s="426">
        <f t="shared" si="3"/>
        <v>-100</v>
      </c>
      <c r="E56" s="11">
        <f>IFERROR(100/'Skjema total MA'!C56*C56,0)</f>
        <v>0</v>
      </c>
      <c r="F56" s="145"/>
      <c r="G56" s="33"/>
      <c r="H56" s="145"/>
      <c r="I56" s="145"/>
      <c r="J56" s="33"/>
      <c r="K56" s="33"/>
      <c r="L56" s="159"/>
      <c r="M56" s="159"/>
      <c r="N56" s="148"/>
    </row>
    <row r="57" spans="1:14" s="3" customFormat="1" ht="15.6" x14ac:dyDescent="0.25">
      <c r="A57" s="38" t="s">
        <v>374</v>
      </c>
      <c r="B57" s="286">
        <v>220.928</v>
      </c>
      <c r="C57" s="287"/>
      <c r="D57" s="259">
        <f t="shared" si="3"/>
        <v>-100</v>
      </c>
      <c r="E57" s="27">
        <f>IFERROR(100/'Skjema total MA'!C57*C57,0)</f>
        <v>0</v>
      </c>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445" priority="76">
      <formula>kvartal &lt; 4</formula>
    </cfRule>
  </conditionalFormatting>
  <conditionalFormatting sqref="C115">
    <cfRule type="expression" dxfId="444" priority="75">
      <formula>kvartal &lt; 4</formula>
    </cfRule>
  </conditionalFormatting>
  <conditionalFormatting sqref="B123">
    <cfRule type="expression" dxfId="443" priority="74">
      <formula>kvartal &lt; 4</formula>
    </cfRule>
  </conditionalFormatting>
  <conditionalFormatting sqref="C123">
    <cfRule type="expression" dxfId="442" priority="73">
      <formula>kvartal &lt; 4</formula>
    </cfRule>
  </conditionalFormatting>
  <conditionalFormatting sqref="F115">
    <cfRule type="expression" dxfId="441" priority="58">
      <formula>kvartal &lt; 4</formula>
    </cfRule>
  </conditionalFormatting>
  <conditionalFormatting sqref="G115">
    <cfRule type="expression" dxfId="440" priority="57">
      <formula>kvartal &lt; 4</formula>
    </cfRule>
  </conditionalFormatting>
  <conditionalFormatting sqref="F123:G123">
    <cfRule type="expression" dxfId="439" priority="56">
      <formula>kvartal &lt; 4</formula>
    </cfRule>
  </conditionalFormatting>
  <conditionalFormatting sqref="J115:K115">
    <cfRule type="expression" dxfId="438" priority="32">
      <formula>kvartal &lt; 4</formula>
    </cfRule>
  </conditionalFormatting>
  <conditionalFormatting sqref="J123:K123">
    <cfRule type="expression" dxfId="437" priority="31">
      <formula>kvartal &lt; 4</formula>
    </cfRule>
  </conditionalFormatting>
  <conditionalFormatting sqref="A50:A52">
    <cfRule type="expression" dxfId="436" priority="12">
      <formula>kvartal &lt; 4</formula>
    </cfRule>
  </conditionalFormatting>
  <conditionalFormatting sqref="A69:A74">
    <cfRule type="expression" dxfId="435" priority="10">
      <formula>kvartal &lt; 4</formula>
    </cfRule>
  </conditionalFormatting>
  <conditionalFormatting sqref="A80:A85">
    <cfRule type="expression" dxfId="434" priority="9">
      <formula>kvartal &lt; 4</formula>
    </cfRule>
  </conditionalFormatting>
  <conditionalFormatting sqref="A90:A95">
    <cfRule type="expression" dxfId="433" priority="6">
      <formula>kvartal &lt; 4</formula>
    </cfRule>
  </conditionalFormatting>
  <conditionalFormatting sqref="A101:A106">
    <cfRule type="expression" dxfId="432" priority="5">
      <formula>kvartal &lt; 4</formula>
    </cfRule>
  </conditionalFormatting>
  <conditionalFormatting sqref="A115">
    <cfRule type="expression" dxfId="431" priority="4">
      <formula>kvartal &lt; 4</formula>
    </cfRule>
  </conditionalFormatting>
  <conditionalFormatting sqref="A123">
    <cfRule type="expression" dxfId="430"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63</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c r="C7" s="309"/>
      <c r="D7" s="351"/>
      <c r="E7" s="11"/>
      <c r="F7" s="308"/>
      <c r="G7" s="309"/>
      <c r="H7" s="351"/>
      <c r="I7" s="160"/>
      <c r="J7" s="310"/>
      <c r="K7" s="311"/>
      <c r="L7" s="425"/>
      <c r="M7" s="11"/>
    </row>
    <row r="8" spans="1:14" ht="15.6" x14ac:dyDescent="0.25">
      <c r="A8" s="21" t="s">
        <v>25</v>
      </c>
      <c r="B8" s="286"/>
      <c r="C8" s="287"/>
      <c r="D8" s="166"/>
      <c r="E8" s="27"/>
      <c r="F8" s="290"/>
      <c r="G8" s="291"/>
      <c r="H8" s="166"/>
      <c r="I8" s="176"/>
      <c r="J8" s="234"/>
      <c r="K8" s="292"/>
      <c r="L8" s="166"/>
      <c r="M8" s="27"/>
    </row>
    <row r="9" spans="1:14" ht="15.6" x14ac:dyDescent="0.25">
      <c r="A9" s="21" t="s">
        <v>24</v>
      </c>
      <c r="B9" s="286"/>
      <c r="C9" s="287"/>
      <c r="D9" s="166"/>
      <c r="E9" s="27"/>
      <c r="F9" s="290"/>
      <c r="G9" s="291"/>
      <c r="H9" s="166"/>
      <c r="I9" s="176"/>
      <c r="J9" s="234"/>
      <c r="K9" s="292"/>
      <c r="L9" s="166"/>
      <c r="M9" s="27"/>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1"/>
      <c r="J22" s="318"/>
      <c r="K22" s="318"/>
      <c r="L22" s="425"/>
      <c r="M22" s="24"/>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c r="C28" s="292"/>
      <c r="D28" s="166"/>
      <c r="E28" s="11"/>
      <c r="F28" s="321"/>
      <c r="G28" s="321"/>
      <c r="H28" s="166"/>
      <c r="I28" s="27"/>
      <c r="J28" s="44"/>
      <c r="K28" s="44"/>
      <c r="L28" s="259"/>
      <c r="M28" s="23"/>
    </row>
    <row r="29" spans="1:14" s="3" customFormat="1" ht="15.6" x14ac:dyDescent="0.25">
      <c r="A29" s="13" t="s">
        <v>363</v>
      </c>
      <c r="B29" s="236"/>
      <c r="C29" s="236"/>
      <c r="D29" s="171"/>
      <c r="E29" s="11"/>
      <c r="F29" s="310"/>
      <c r="G29" s="310"/>
      <c r="H29" s="171"/>
      <c r="I29" s="11"/>
      <c r="J29" s="236"/>
      <c r="K29" s="236"/>
      <c r="L29" s="426"/>
      <c r="M29" s="24"/>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2476.0995199999998</v>
      </c>
      <c r="C47" s="313">
        <v>-0.2348100000000386</v>
      </c>
      <c r="D47" s="425">
        <f t="shared" ref="D47:D48" si="0">IF(B47=0, "    ---- ", IF(ABS(ROUND(100/B47*C47-100,1))&lt;999,ROUND(100/B47*C47-100,1),IF(ROUND(100/B47*C47-100,1)&gt;999,999,-999)))</f>
        <v>-100</v>
      </c>
      <c r="E47" s="11">
        <f>IFERROR(100/'Skjema total MA'!C47*C47,0)</f>
        <v>-5.2519733320665176E-6</v>
      </c>
      <c r="F47" s="145"/>
      <c r="G47" s="33"/>
      <c r="H47" s="159"/>
      <c r="I47" s="159"/>
      <c r="J47" s="37"/>
      <c r="K47" s="37"/>
      <c r="L47" s="159"/>
      <c r="M47" s="159"/>
      <c r="N47" s="148"/>
    </row>
    <row r="48" spans="1:14" s="3" customFormat="1" ht="15.6" x14ac:dyDescent="0.25">
      <c r="A48" s="38" t="s">
        <v>374</v>
      </c>
      <c r="B48" s="286">
        <v>943.50028999999995</v>
      </c>
      <c r="C48" s="287">
        <v>1001.35307</v>
      </c>
      <c r="D48" s="259">
        <f t="shared" si="0"/>
        <v>6.1</v>
      </c>
      <c r="E48" s="27">
        <f>IFERROR(100/'Skjema total MA'!C48*C48,0)</f>
        <v>3.9938010140188641E-2</v>
      </c>
      <c r="F48" s="145"/>
      <c r="G48" s="33"/>
      <c r="H48" s="145"/>
      <c r="I48" s="145"/>
      <c r="J48" s="33"/>
      <c r="K48" s="33"/>
      <c r="L48" s="159"/>
      <c r="M48" s="159"/>
      <c r="N48" s="148"/>
    </row>
    <row r="49" spans="1:14" s="3" customFormat="1" ht="15.6" x14ac:dyDescent="0.25">
      <c r="A49" s="38" t="s">
        <v>375</v>
      </c>
      <c r="B49" s="44">
        <v>1532.59923</v>
      </c>
      <c r="C49" s="292">
        <v>-1001.58788</v>
      </c>
      <c r="D49" s="259">
        <f>IF(B49=0, "    ---- ", IF(ABS(ROUND(100/B49*C49-100,1))&lt;999,ROUND(100/B49*C49-100,1),IF(ROUND(100/B49*C49-100,1)&gt;999,999,-999)))</f>
        <v>-165.4</v>
      </c>
      <c r="E49" s="27">
        <f>IFERROR(100/'Skjema total MA'!C49*C49,0)</f>
        <v>-5.1007146743276797E-2</v>
      </c>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v>26168025.243250001</v>
      </c>
      <c r="C134" s="311">
        <v>41046577.34234</v>
      </c>
      <c r="D134" s="351">
        <f t="shared" ref="D134:D137" si="1">IF(B134=0, "    ---- ", IF(ABS(ROUND(100/B134*C134-100,1))&lt;999,ROUND(100/B134*C134-100,1),IF(ROUND(100/B134*C134-100,1)&gt;999,999,-999)))</f>
        <v>56.9</v>
      </c>
      <c r="E134" s="11">
        <f>IFERROR(100/'Skjema total MA'!C134*C134,0)</f>
        <v>85.977190250581401</v>
      </c>
      <c r="F134" s="318">
        <v>63880.035000000003</v>
      </c>
      <c r="G134" s="319">
        <v>116273.039</v>
      </c>
      <c r="H134" s="429">
        <f t="shared" ref="H134:H136" si="2">IF(F134=0, "    ---- ", IF(ABS(ROUND(100/F134*G134-100,1))&lt;999,ROUND(100/F134*G134-100,1),IF(ROUND(100/F134*G134-100,1)&gt;999,999,-999)))</f>
        <v>82</v>
      </c>
      <c r="I134" s="24">
        <f>IFERROR(100/'Skjema total MA'!F134*G134,0)</f>
        <v>100</v>
      </c>
      <c r="J134" s="320">
        <f t="shared" ref="J134:K137" si="3">SUM(B134,F134)</f>
        <v>26231905.278250001</v>
      </c>
      <c r="K134" s="320">
        <f t="shared" si="3"/>
        <v>41162850.381339997</v>
      </c>
      <c r="L134" s="425">
        <f t="shared" ref="L134:L137" si="4">IF(J134=0, "    ---- ", IF(ABS(ROUND(100/J134*K134-100,1))&lt;999,ROUND(100/J134*K134-100,1),IF(ROUND(100/J134*K134-100,1)&gt;999,999,-999)))</f>
        <v>56.9</v>
      </c>
      <c r="M134" s="11">
        <f>IFERROR(100/'Skjema total MA'!I134*K134,0)</f>
        <v>86.011259607252669</v>
      </c>
      <c r="N134" s="148"/>
    </row>
    <row r="135" spans="1:14" s="3" customFormat="1" ht="15.6" x14ac:dyDescent="0.25">
      <c r="A135" s="13" t="s">
        <v>392</v>
      </c>
      <c r="B135" s="236">
        <v>526463021.72196001</v>
      </c>
      <c r="C135" s="311">
        <v>563319210.35183001</v>
      </c>
      <c r="D135" s="171">
        <f t="shared" si="1"/>
        <v>7</v>
      </c>
      <c r="E135" s="11">
        <f>IFERROR(100/'Skjema total MA'!C135*C135,0)</f>
        <v>84.700563498319468</v>
      </c>
      <c r="F135" s="236">
        <v>1974716.5681499999</v>
      </c>
      <c r="G135" s="311">
        <v>2172918.8607600001</v>
      </c>
      <c r="H135" s="430">
        <f t="shared" si="2"/>
        <v>10</v>
      </c>
      <c r="I135" s="24">
        <f>IFERROR(100/'Skjema total MA'!F135*G135,0)</f>
        <v>100</v>
      </c>
      <c r="J135" s="310">
        <f t="shared" si="3"/>
        <v>528437738.29010999</v>
      </c>
      <c r="K135" s="310">
        <f t="shared" si="3"/>
        <v>565492129.21258998</v>
      </c>
      <c r="L135" s="426">
        <f t="shared" si="4"/>
        <v>7</v>
      </c>
      <c r="M135" s="11">
        <f>IFERROR(100/'Skjema total MA'!I135*K135,0)</f>
        <v>84.750386979711848</v>
      </c>
      <c r="N135" s="148"/>
    </row>
    <row r="136" spans="1:14" s="3" customFormat="1" ht="15.6" x14ac:dyDescent="0.25">
      <c r="A136" s="13" t="s">
        <v>389</v>
      </c>
      <c r="B136" s="236">
        <v>3309007.423</v>
      </c>
      <c r="C136" s="311">
        <v>0</v>
      </c>
      <c r="D136" s="171">
        <f t="shared" si="1"/>
        <v>-100</v>
      </c>
      <c r="E136" s="11">
        <f>IFERROR(100/'Skjema total MA'!C136*C136,0)</f>
        <v>0</v>
      </c>
      <c r="F136" s="236">
        <v>-462823.85</v>
      </c>
      <c r="G136" s="311">
        <v>0</v>
      </c>
      <c r="H136" s="430">
        <f t="shared" si="2"/>
        <v>-100</v>
      </c>
      <c r="I136" s="24">
        <f>IFERROR(100/'Skjema total MA'!F136*G136,0)</f>
        <v>0</v>
      </c>
      <c r="J136" s="310">
        <f t="shared" si="3"/>
        <v>2846183.5729999999</v>
      </c>
      <c r="K136" s="310">
        <f t="shared" si="3"/>
        <v>0</v>
      </c>
      <c r="L136" s="426">
        <f t="shared" si="4"/>
        <v>-100</v>
      </c>
      <c r="M136" s="11">
        <f>IFERROR(100/'Skjema total MA'!I136*K136,0)</f>
        <v>0</v>
      </c>
      <c r="N136" s="148"/>
    </row>
    <row r="137" spans="1:14" s="3" customFormat="1" ht="15.6" x14ac:dyDescent="0.25">
      <c r="A137" s="41" t="s">
        <v>390</v>
      </c>
      <c r="B137" s="281">
        <v>7667306.0199999996</v>
      </c>
      <c r="C137" s="317">
        <v>8346122.3590000002</v>
      </c>
      <c r="D137" s="169">
        <f t="shared" si="1"/>
        <v>8.9</v>
      </c>
      <c r="E137" s="9">
        <f>IFERROR(100/'Skjema total MA'!C137*C137,0)</f>
        <v>100</v>
      </c>
      <c r="F137" s="281"/>
      <c r="G137" s="317"/>
      <c r="H137" s="431"/>
      <c r="I137" s="36"/>
      <c r="J137" s="316">
        <f t="shared" si="3"/>
        <v>7667306.0199999996</v>
      </c>
      <c r="K137" s="316">
        <f t="shared" si="3"/>
        <v>8346122.3590000002</v>
      </c>
      <c r="L137" s="427">
        <f t="shared" si="4"/>
        <v>8.9</v>
      </c>
      <c r="M137" s="36">
        <f>IFERROR(100/'Skjema total MA'!I137*K137,0)</f>
        <v>100</v>
      </c>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429" priority="76">
      <formula>kvartal &lt; 4</formula>
    </cfRule>
  </conditionalFormatting>
  <conditionalFormatting sqref="C115">
    <cfRule type="expression" dxfId="428" priority="75">
      <formula>kvartal &lt; 4</formula>
    </cfRule>
  </conditionalFormatting>
  <conditionalFormatting sqref="B123">
    <cfRule type="expression" dxfId="427" priority="74">
      <formula>kvartal &lt; 4</formula>
    </cfRule>
  </conditionalFormatting>
  <conditionalFormatting sqref="C123">
    <cfRule type="expression" dxfId="426" priority="73">
      <formula>kvartal &lt; 4</formula>
    </cfRule>
  </conditionalFormatting>
  <conditionalFormatting sqref="F115">
    <cfRule type="expression" dxfId="425" priority="58">
      <formula>kvartal &lt; 4</formula>
    </cfRule>
  </conditionalFormatting>
  <conditionalFormatting sqref="G115">
    <cfRule type="expression" dxfId="424" priority="57">
      <formula>kvartal &lt; 4</formula>
    </cfRule>
  </conditionalFormatting>
  <conditionalFormatting sqref="F123:G123">
    <cfRule type="expression" dxfId="423" priority="56">
      <formula>kvartal &lt; 4</formula>
    </cfRule>
  </conditionalFormatting>
  <conditionalFormatting sqref="J115:K115">
    <cfRule type="expression" dxfId="422" priority="32">
      <formula>kvartal &lt; 4</formula>
    </cfRule>
  </conditionalFormatting>
  <conditionalFormatting sqref="J123:K123">
    <cfRule type="expression" dxfId="421" priority="31">
      <formula>kvartal &lt; 4</formula>
    </cfRule>
  </conditionalFormatting>
  <conditionalFormatting sqref="A50:A52">
    <cfRule type="expression" dxfId="420" priority="12">
      <formula>kvartal &lt; 4</formula>
    </cfRule>
  </conditionalFormatting>
  <conditionalFormatting sqref="A69:A74">
    <cfRule type="expression" dxfId="419" priority="10">
      <formula>kvartal &lt; 4</formula>
    </cfRule>
  </conditionalFormatting>
  <conditionalFormatting sqref="A80:A85">
    <cfRule type="expression" dxfId="418" priority="9">
      <formula>kvartal &lt; 4</formula>
    </cfRule>
  </conditionalFormatting>
  <conditionalFormatting sqref="A90:A95">
    <cfRule type="expression" dxfId="417" priority="6">
      <formula>kvartal &lt; 4</formula>
    </cfRule>
  </conditionalFormatting>
  <conditionalFormatting sqref="A101:A106">
    <cfRule type="expression" dxfId="416" priority="5">
      <formula>kvartal &lt; 4</formula>
    </cfRule>
  </conditionalFormatting>
  <conditionalFormatting sqref="A115">
    <cfRule type="expression" dxfId="415" priority="4">
      <formula>kvartal &lt; 4</formula>
    </cfRule>
  </conditionalFormatting>
  <conditionalFormatting sqref="A123">
    <cfRule type="expression" dxfId="414" priority="3">
      <formula>kvartal &lt; 4</formula>
    </cfRule>
  </conditionalFormatting>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133</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v>10973.156000000001</v>
      </c>
      <c r="C7" s="309">
        <v>16632.562699999999</v>
      </c>
      <c r="D7" s="351">
        <f>IF(B7=0, "    ---- ", IF(ABS(ROUND(100/B7*C7-100,1))&lt;999,ROUND(100/B7*C7-100,1),IF(ROUND(100/B7*C7-100,1)&gt;999,999,-999)))</f>
        <v>51.6</v>
      </c>
      <c r="E7" s="11">
        <f>IFERROR(100/'Skjema total MA'!C7*C7,0)</f>
        <v>0.43615140498306076</v>
      </c>
      <c r="F7" s="308"/>
      <c r="G7" s="309"/>
      <c r="H7" s="351"/>
      <c r="I7" s="160"/>
      <c r="J7" s="310">
        <f t="shared" ref="J7:K10" si="0">SUM(B7,F7)</f>
        <v>10973.156000000001</v>
      </c>
      <c r="K7" s="311">
        <f t="shared" si="0"/>
        <v>16632.562699999999</v>
      </c>
      <c r="L7" s="425">
        <f>IF(J7=0, "    ---- ", IF(ABS(ROUND(100/J7*K7-100,1))&lt;999,ROUND(100/J7*K7-100,1),IF(ROUND(100/J7*K7-100,1)&gt;999,999,-999)))</f>
        <v>51.6</v>
      </c>
      <c r="M7" s="11">
        <f>IFERROR(100/'Skjema total MA'!I7*K7,0)</f>
        <v>0.11315023361064636</v>
      </c>
    </row>
    <row r="8" spans="1:14" ht="15.6" x14ac:dyDescent="0.25">
      <c r="A8" s="21" t="s">
        <v>25</v>
      </c>
      <c r="B8" s="286">
        <v>10423.585999999999</v>
      </c>
      <c r="C8" s="287">
        <v>15824.98864</v>
      </c>
      <c r="D8" s="166">
        <f t="shared" ref="D8:D10" si="1">IF(B8=0, "    ---- ", IF(ABS(ROUND(100/B8*C8-100,1))&lt;999,ROUND(100/B8*C8-100,1),IF(ROUND(100/B8*C8-100,1)&gt;999,999,-999)))</f>
        <v>51.8</v>
      </c>
      <c r="E8" s="27">
        <f>IFERROR(100/'Skjema total MA'!C8*C8,0)</f>
        <v>0.6379803627936349</v>
      </c>
      <c r="F8" s="290"/>
      <c r="G8" s="291"/>
      <c r="H8" s="166"/>
      <c r="I8" s="176"/>
      <c r="J8" s="234">
        <f t="shared" si="0"/>
        <v>10423.585999999999</v>
      </c>
      <c r="K8" s="292">
        <f t="shared" si="0"/>
        <v>15824.98864</v>
      </c>
      <c r="L8" s="166">
        <f t="shared" ref="L8:L9" si="2">IF(J8=0, "    ---- ", IF(ABS(ROUND(100/J8*K8-100,1))&lt;999,ROUND(100/J8*K8-100,1),IF(ROUND(100/J8*K8-100,1)&gt;999,999,-999)))</f>
        <v>51.8</v>
      </c>
      <c r="M8" s="27">
        <f>IFERROR(100/'Skjema total MA'!I8*K8,0)</f>
        <v>0.6379803627936349</v>
      </c>
    </row>
    <row r="9" spans="1:14" ht="15.6" x14ac:dyDescent="0.25">
      <c r="A9" s="21" t="s">
        <v>24</v>
      </c>
      <c r="B9" s="286">
        <v>549.57000000000005</v>
      </c>
      <c r="C9" s="287">
        <v>807.57406000000003</v>
      </c>
      <c r="D9" s="166">
        <f t="shared" si="1"/>
        <v>46.9</v>
      </c>
      <c r="E9" s="27">
        <f>IFERROR(100/'Skjema total MA'!C9*C9,0)</f>
        <v>0.10181498046020512</v>
      </c>
      <c r="F9" s="290"/>
      <c r="G9" s="291"/>
      <c r="H9" s="166"/>
      <c r="I9" s="176"/>
      <c r="J9" s="234">
        <f t="shared" si="0"/>
        <v>549.57000000000005</v>
      </c>
      <c r="K9" s="292">
        <f t="shared" si="0"/>
        <v>807.57406000000003</v>
      </c>
      <c r="L9" s="166">
        <f t="shared" si="2"/>
        <v>46.9</v>
      </c>
      <c r="M9" s="27">
        <f>IFERROR(100/'Skjema total MA'!I9*K9,0)</f>
        <v>0.10181498046020512</v>
      </c>
    </row>
    <row r="10" spans="1:14" ht="15.6" x14ac:dyDescent="0.25">
      <c r="A10" s="13" t="s">
        <v>363</v>
      </c>
      <c r="B10" s="312">
        <v>16554.476999999999</v>
      </c>
      <c r="C10" s="313">
        <v>18140.894639999999</v>
      </c>
      <c r="D10" s="171">
        <f t="shared" si="1"/>
        <v>9.6</v>
      </c>
      <c r="E10" s="11">
        <f>IFERROR(100/'Skjema total MA'!C10*C10,0)</f>
        <v>0.10673439901683325</v>
      </c>
      <c r="F10" s="312"/>
      <c r="G10" s="313"/>
      <c r="H10" s="171"/>
      <c r="I10" s="160"/>
      <c r="J10" s="310">
        <f t="shared" si="0"/>
        <v>16554.476999999999</v>
      </c>
      <c r="K10" s="311">
        <f t="shared" si="0"/>
        <v>18140.894639999999</v>
      </c>
      <c r="L10" s="426">
        <f t="shared" ref="L10" si="3">IF(J10=0, "    ---- ", IF(ABS(ROUND(100/J10*K10-100,1))&lt;999,ROUND(100/J10*K10-100,1),IF(ROUND(100/J10*K10-100,1)&gt;999,999,-999)))</f>
        <v>9.6</v>
      </c>
      <c r="M10" s="11">
        <f>IFERROR(100/'Skjema total MA'!I10*K10,0)</f>
        <v>2.0112334363652853E-2</v>
      </c>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v>11509.380999999999</v>
      </c>
      <c r="C22" s="312">
        <v>14691.321260000001</v>
      </c>
      <c r="D22" s="351">
        <f t="shared" ref="D22:D29" si="4">IF(B22=0, "    ---- ", IF(ABS(ROUND(100/B22*C22-100,1))&lt;999,ROUND(100/B22*C22-100,1),IF(ROUND(100/B22*C22-100,1)&gt;999,999,-999)))</f>
        <v>27.6</v>
      </c>
      <c r="E22" s="11">
        <f>IFERROR(100/'Skjema total MA'!C22*C22,0)</f>
        <v>0.95629497885260595</v>
      </c>
      <c r="F22" s="320"/>
      <c r="G22" s="320"/>
      <c r="H22" s="351"/>
      <c r="I22" s="11"/>
      <c r="J22" s="318">
        <f t="shared" ref="J22:K29" si="5">SUM(B22,F22)</f>
        <v>11509.380999999999</v>
      </c>
      <c r="K22" s="318">
        <f t="shared" si="5"/>
        <v>14691.321260000001</v>
      </c>
      <c r="L22" s="425">
        <f t="shared" ref="L22:L29" si="6">IF(J22=0, "    ---- ", IF(ABS(ROUND(100/J22*K22-100,1))&lt;999,ROUND(100/J22*K22-100,1),IF(ROUND(100/J22*K22-100,1)&gt;999,999,-999)))</f>
        <v>27.6</v>
      </c>
      <c r="M22" s="24">
        <f>IFERROR(100/'Skjema total MA'!I22*K22,0)</f>
        <v>0.55257101057939328</v>
      </c>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v>11509.380999999999</v>
      </c>
      <c r="C28" s="292">
        <v>14691.321260000001</v>
      </c>
      <c r="D28" s="166">
        <f t="shared" si="4"/>
        <v>27.6</v>
      </c>
      <c r="E28" s="11">
        <f>IFERROR(100/'Skjema total MA'!C28*C28,0)</f>
        <v>0.8714051649574388</v>
      </c>
      <c r="F28" s="321"/>
      <c r="G28" s="321"/>
      <c r="H28" s="166"/>
      <c r="I28" s="27"/>
      <c r="J28" s="44">
        <f t="shared" si="5"/>
        <v>11509.380999999999</v>
      </c>
      <c r="K28" s="44">
        <f t="shared" si="5"/>
        <v>14691.321260000001</v>
      </c>
      <c r="L28" s="259">
        <f t="shared" si="6"/>
        <v>27.6</v>
      </c>
      <c r="M28" s="23">
        <f>IFERROR(100/'Skjema total MA'!I28*K28,0)</f>
        <v>0.8714051649574388</v>
      </c>
    </row>
    <row r="29" spans="1:14" s="3" customFormat="1" ht="15.6" x14ac:dyDescent="0.25">
      <c r="A29" s="13" t="s">
        <v>363</v>
      </c>
      <c r="B29" s="236">
        <v>35382.891000000003</v>
      </c>
      <c r="C29" s="236">
        <v>51693.397936000001</v>
      </c>
      <c r="D29" s="171">
        <f t="shared" si="4"/>
        <v>46.1</v>
      </c>
      <c r="E29" s="11">
        <f>IFERROR(100/'Skjema total MA'!C29*C29,0)</f>
        <v>0.11497184732963971</v>
      </c>
      <c r="F29" s="310"/>
      <c r="G29" s="310"/>
      <c r="H29" s="171"/>
      <c r="I29" s="11"/>
      <c r="J29" s="236">
        <f t="shared" si="5"/>
        <v>35382.891000000003</v>
      </c>
      <c r="K29" s="236">
        <f t="shared" si="5"/>
        <v>51693.397936000001</v>
      </c>
      <c r="L29" s="426">
        <f t="shared" si="6"/>
        <v>46.1</v>
      </c>
      <c r="M29" s="24">
        <f>IFERROR(100/'Skjema total MA'!I29*K29,0)</f>
        <v>7.3129731762888728E-2</v>
      </c>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162906.01500000001</v>
      </c>
      <c r="C47" s="313">
        <v>202250.5723</v>
      </c>
      <c r="D47" s="425">
        <f t="shared" ref="D47:D48" si="7">IF(B47=0, "    ---- ", IF(ABS(ROUND(100/B47*C47-100,1))&lt;999,ROUND(100/B47*C47-100,1),IF(ROUND(100/B47*C47-100,1)&gt;999,999,-999)))</f>
        <v>24.2</v>
      </c>
      <c r="E47" s="11">
        <f>IFERROR(100/'Skjema total MA'!C47*C47,0)</f>
        <v>4.5237196546766167</v>
      </c>
      <c r="F47" s="145"/>
      <c r="G47" s="33"/>
      <c r="H47" s="159"/>
      <c r="I47" s="159"/>
      <c r="J47" s="37"/>
      <c r="K47" s="37"/>
      <c r="L47" s="159"/>
      <c r="M47" s="159"/>
      <c r="N47" s="148"/>
    </row>
    <row r="48" spans="1:14" s="3" customFormat="1" ht="15.6" x14ac:dyDescent="0.25">
      <c r="A48" s="38" t="s">
        <v>374</v>
      </c>
      <c r="B48" s="286">
        <v>162906.01500000001</v>
      </c>
      <c r="C48" s="287">
        <v>202250.5723</v>
      </c>
      <c r="D48" s="259">
        <f t="shared" si="7"/>
        <v>24.2</v>
      </c>
      <c r="E48" s="27">
        <f>IFERROR(100/'Skjema total MA'!C48*C48,0)</f>
        <v>8.0665707724612616</v>
      </c>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413" priority="76">
      <formula>kvartal &lt; 4</formula>
    </cfRule>
  </conditionalFormatting>
  <conditionalFormatting sqref="C115">
    <cfRule type="expression" dxfId="412" priority="75">
      <formula>kvartal &lt; 4</formula>
    </cfRule>
  </conditionalFormatting>
  <conditionalFormatting sqref="B123">
    <cfRule type="expression" dxfId="411" priority="74">
      <formula>kvartal &lt; 4</formula>
    </cfRule>
  </conditionalFormatting>
  <conditionalFormatting sqref="C123">
    <cfRule type="expression" dxfId="410" priority="73">
      <formula>kvartal &lt; 4</formula>
    </cfRule>
  </conditionalFormatting>
  <conditionalFormatting sqref="F115">
    <cfRule type="expression" dxfId="409" priority="58">
      <formula>kvartal &lt; 4</formula>
    </cfRule>
  </conditionalFormatting>
  <conditionalFormatting sqref="G115">
    <cfRule type="expression" dxfId="408" priority="57">
      <formula>kvartal &lt; 4</formula>
    </cfRule>
  </conditionalFormatting>
  <conditionalFormatting sqref="F123:G123">
    <cfRule type="expression" dxfId="407" priority="56">
      <formula>kvartal &lt; 4</formula>
    </cfRule>
  </conditionalFormatting>
  <conditionalFormatting sqref="J115:K115">
    <cfRule type="expression" dxfId="406" priority="32">
      <formula>kvartal &lt; 4</formula>
    </cfRule>
  </conditionalFormatting>
  <conditionalFormatting sqref="J123:K123">
    <cfRule type="expression" dxfId="405" priority="31">
      <formula>kvartal &lt; 4</formula>
    </cfRule>
  </conditionalFormatting>
  <conditionalFormatting sqref="A50:A52">
    <cfRule type="expression" dxfId="404" priority="12">
      <formula>kvartal &lt; 4</formula>
    </cfRule>
  </conditionalFormatting>
  <conditionalFormatting sqref="A69:A74">
    <cfRule type="expression" dxfId="403" priority="10">
      <formula>kvartal &lt; 4</formula>
    </cfRule>
  </conditionalFormatting>
  <conditionalFormatting sqref="A80:A85">
    <cfRule type="expression" dxfId="402" priority="9">
      <formula>kvartal &lt; 4</formula>
    </cfRule>
  </conditionalFormatting>
  <conditionalFormatting sqref="A90:A95">
    <cfRule type="expression" dxfId="401" priority="6">
      <formula>kvartal &lt; 4</formula>
    </cfRule>
  </conditionalFormatting>
  <conditionalFormatting sqref="A101:A106">
    <cfRule type="expression" dxfId="400" priority="5">
      <formula>kvartal &lt; 4</formula>
    </cfRule>
  </conditionalFormatting>
  <conditionalFormatting sqref="A115">
    <cfRule type="expression" dxfId="399" priority="4">
      <formula>kvartal &lt; 4</formula>
    </cfRule>
  </conditionalFormatting>
  <conditionalFormatting sqref="A123">
    <cfRule type="expression" dxfId="398" priority="3">
      <formula>kvartal &lt; 4</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412</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c r="C7" s="309"/>
      <c r="D7" s="351"/>
      <c r="E7" s="11"/>
      <c r="F7" s="308"/>
      <c r="G7" s="309"/>
      <c r="H7" s="351"/>
      <c r="I7" s="160"/>
      <c r="J7" s="310"/>
      <c r="K7" s="311"/>
      <c r="L7" s="425"/>
      <c r="M7" s="11"/>
    </row>
    <row r="8" spans="1:14" ht="15.6" x14ac:dyDescent="0.25">
      <c r="A8" s="21" t="s">
        <v>25</v>
      </c>
      <c r="B8" s="286"/>
      <c r="C8" s="287"/>
      <c r="D8" s="166"/>
      <c r="E8" s="27"/>
      <c r="F8" s="290"/>
      <c r="G8" s="291"/>
      <c r="H8" s="166"/>
      <c r="I8" s="176"/>
      <c r="J8" s="234"/>
      <c r="K8" s="292"/>
      <c r="L8" s="166"/>
      <c r="M8" s="27"/>
    </row>
    <row r="9" spans="1:14" ht="15.6" x14ac:dyDescent="0.25">
      <c r="A9" s="21" t="s">
        <v>24</v>
      </c>
      <c r="B9" s="286"/>
      <c r="C9" s="287"/>
      <c r="D9" s="166"/>
      <c r="E9" s="27"/>
      <c r="F9" s="290"/>
      <c r="G9" s="291"/>
      <c r="H9" s="166"/>
      <c r="I9" s="176"/>
      <c r="J9" s="234"/>
      <c r="K9" s="292"/>
      <c r="L9" s="166"/>
      <c r="M9" s="27"/>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1"/>
      <c r="J22" s="318"/>
      <c r="K22" s="318"/>
      <c r="L22" s="425"/>
      <c r="M22" s="24"/>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c r="C28" s="292"/>
      <c r="D28" s="166"/>
      <c r="E28" s="11"/>
      <c r="F28" s="321"/>
      <c r="G28" s="321"/>
      <c r="H28" s="166"/>
      <c r="I28" s="27"/>
      <c r="J28" s="44"/>
      <c r="K28" s="44"/>
      <c r="L28" s="259"/>
      <c r="M28" s="23"/>
    </row>
    <row r="29" spans="1:14" s="3" customFormat="1" ht="15.6" x14ac:dyDescent="0.25">
      <c r="A29" s="13" t="s">
        <v>363</v>
      </c>
      <c r="B29" s="236"/>
      <c r="C29" s="236"/>
      <c r="D29" s="171"/>
      <c r="E29" s="11"/>
      <c r="F29" s="310"/>
      <c r="G29" s="310"/>
      <c r="H29" s="171"/>
      <c r="I29" s="11"/>
      <c r="J29" s="236"/>
      <c r="K29" s="236"/>
      <c r="L29" s="426"/>
      <c r="M29" s="24"/>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38656</v>
      </c>
      <c r="C47" s="313">
        <v>41337</v>
      </c>
      <c r="D47" s="425">
        <f t="shared" ref="D47:D57" si="0">IF(B47=0, "    ---- ", IF(ABS(ROUND(100/B47*C47-100,1))&lt;999,ROUND(100/B47*C47-100,1),IF(ROUND(100/B47*C47-100,1)&gt;999,999,-999)))</f>
        <v>6.9</v>
      </c>
      <c r="E47" s="11">
        <f>IFERROR(100/'Skjema total MA'!C47*C47,0)</f>
        <v>0.92458081694816208</v>
      </c>
      <c r="F47" s="145"/>
      <c r="G47" s="33"/>
      <c r="H47" s="159"/>
      <c r="I47" s="159"/>
      <c r="J47" s="37"/>
      <c r="K47" s="37"/>
      <c r="L47" s="159"/>
      <c r="M47" s="159"/>
      <c r="N47" s="148"/>
    </row>
    <row r="48" spans="1:14" s="3" customFormat="1" ht="15.6" x14ac:dyDescent="0.25">
      <c r="A48" s="38" t="s">
        <v>374</v>
      </c>
      <c r="B48" s="286">
        <v>38656</v>
      </c>
      <c r="C48" s="287">
        <v>41337</v>
      </c>
      <c r="D48" s="259">
        <f t="shared" si="0"/>
        <v>6.9</v>
      </c>
      <c r="E48" s="27">
        <f>IFERROR(100/'Skjema total MA'!C48*C48,0)</f>
        <v>1.6486867366022835</v>
      </c>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v>8666</v>
      </c>
      <c r="C53" s="313">
        <v>3215</v>
      </c>
      <c r="D53" s="426">
        <f t="shared" si="0"/>
        <v>-62.9</v>
      </c>
      <c r="E53" s="11">
        <f>IFERROR(100/'Skjema total MA'!C53*C53,0)</f>
        <v>1.2474392235873086</v>
      </c>
      <c r="F53" s="145"/>
      <c r="G53" s="33"/>
      <c r="H53" s="145"/>
      <c r="I53" s="145"/>
      <c r="J53" s="33"/>
      <c r="K53" s="33"/>
      <c r="L53" s="159"/>
      <c r="M53" s="159"/>
      <c r="N53" s="148"/>
    </row>
    <row r="54" spans="1:14" s="3" customFormat="1" ht="15.6" x14ac:dyDescent="0.25">
      <c r="A54" s="38" t="s">
        <v>374</v>
      </c>
      <c r="B54" s="286">
        <v>8666</v>
      </c>
      <c r="C54" s="287">
        <v>3215</v>
      </c>
      <c r="D54" s="259">
        <f t="shared" si="0"/>
        <v>-62.9</v>
      </c>
      <c r="E54" s="27">
        <f>IFERROR(100/'Skjema total MA'!C54*C54,0)</f>
        <v>1.2778061549223787</v>
      </c>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v>265</v>
      </c>
      <c r="C56" s="313">
        <v>880</v>
      </c>
      <c r="D56" s="426">
        <f t="shared" si="0"/>
        <v>232.1</v>
      </c>
      <c r="E56" s="11">
        <f>IFERROR(100/'Skjema total MA'!C56*C56,0)</f>
        <v>0.72675898675063877</v>
      </c>
      <c r="F56" s="145"/>
      <c r="G56" s="33"/>
      <c r="H56" s="145"/>
      <c r="I56" s="145"/>
      <c r="J56" s="33"/>
      <c r="K56" s="33"/>
      <c r="L56" s="159"/>
      <c r="M56" s="159"/>
      <c r="N56" s="148"/>
    </row>
    <row r="57" spans="1:14" s="3" customFormat="1" ht="15.6" x14ac:dyDescent="0.25">
      <c r="A57" s="38" t="s">
        <v>374</v>
      </c>
      <c r="B57" s="286">
        <v>265</v>
      </c>
      <c r="C57" s="287">
        <v>880</v>
      </c>
      <c r="D57" s="259">
        <f t="shared" si="0"/>
        <v>232.1</v>
      </c>
      <c r="E57" s="27">
        <f>IFERROR(100/'Skjema total MA'!C57*C57,0)</f>
        <v>0.72678794769858845</v>
      </c>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397" priority="76">
      <formula>kvartal &lt; 4</formula>
    </cfRule>
  </conditionalFormatting>
  <conditionalFormatting sqref="C115">
    <cfRule type="expression" dxfId="396" priority="75">
      <formula>kvartal &lt; 4</formula>
    </cfRule>
  </conditionalFormatting>
  <conditionalFormatting sqref="B123">
    <cfRule type="expression" dxfId="395" priority="74">
      <formula>kvartal &lt; 4</formula>
    </cfRule>
  </conditionalFormatting>
  <conditionalFormatting sqref="C123">
    <cfRule type="expression" dxfId="394" priority="73">
      <formula>kvartal &lt; 4</formula>
    </cfRule>
  </conditionalFormatting>
  <conditionalFormatting sqref="F115">
    <cfRule type="expression" dxfId="393" priority="58">
      <formula>kvartal &lt; 4</formula>
    </cfRule>
  </conditionalFormatting>
  <conditionalFormatting sqref="G115">
    <cfRule type="expression" dxfId="392" priority="57">
      <formula>kvartal &lt; 4</formula>
    </cfRule>
  </conditionalFormatting>
  <conditionalFormatting sqref="F123:G123">
    <cfRule type="expression" dxfId="391" priority="56">
      <formula>kvartal &lt; 4</formula>
    </cfRule>
  </conditionalFormatting>
  <conditionalFormatting sqref="J115:K115">
    <cfRule type="expression" dxfId="390" priority="32">
      <formula>kvartal &lt; 4</formula>
    </cfRule>
  </conditionalFormatting>
  <conditionalFormatting sqref="J123:K123">
    <cfRule type="expression" dxfId="389" priority="31">
      <formula>kvartal &lt; 4</formula>
    </cfRule>
  </conditionalFormatting>
  <conditionalFormatting sqref="A50:A52">
    <cfRule type="expression" dxfId="388" priority="12">
      <formula>kvartal &lt; 4</formula>
    </cfRule>
  </conditionalFormatting>
  <conditionalFormatting sqref="A69:A74">
    <cfRule type="expression" dxfId="387" priority="10">
      <formula>kvartal &lt; 4</formula>
    </cfRule>
  </conditionalFormatting>
  <conditionalFormatting sqref="A80:A85">
    <cfRule type="expression" dxfId="386" priority="9">
      <formula>kvartal &lt; 4</formula>
    </cfRule>
  </conditionalFormatting>
  <conditionalFormatting sqref="A90:A95">
    <cfRule type="expression" dxfId="385" priority="6">
      <formula>kvartal &lt; 4</formula>
    </cfRule>
  </conditionalFormatting>
  <conditionalFormatting sqref="A101:A106">
    <cfRule type="expression" dxfId="384" priority="5">
      <formula>kvartal &lt; 4</formula>
    </cfRule>
  </conditionalFormatting>
  <conditionalFormatting sqref="A115">
    <cfRule type="expression" dxfId="383" priority="4">
      <formula>kvartal &lt; 4</formula>
    </cfRule>
  </conditionalFormatting>
  <conditionalFormatting sqref="A123">
    <cfRule type="expression" dxfId="382" priority="3">
      <formula>kvartal &lt; 4</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130</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v>368524.335705109</v>
      </c>
      <c r="C7" s="309">
        <v>384995.08605152997</v>
      </c>
      <c r="D7" s="351">
        <f>IF(B7=0, "    ---- ", IF(ABS(ROUND(100/B7*C7-100,1))&lt;999,ROUND(100/B7*C7-100,1),IF(ROUND(100/B7*C7-100,1)&gt;999,999,-999)))</f>
        <v>4.5</v>
      </c>
      <c r="E7" s="11">
        <f>IFERROR(100/'Skjema total MA'!C7*C7,0)</f>
        <v>10.095626917008357</v>
      </c>
      <c r="F7" s="308">
        <v>4774688.0200399999</v>
      </c>
      <c r="G7" s="309">
        <v>8289941.1238000002</v>
      </c>
      <c r="H7" s="351">
        <f>IF(F7=0, "    ---- ", IF(ABS(ROUND(100/F7*G7-100,1))&lt;999,ROUND(100/F7*G7-100,1),IF(ROUND(100/F7*G7-100,1)&gt;999,999,-999)))</f>
        <v>73.599999999999994</v>
      </c>
      <c r="I7" s="160">
        <f>IFERROR(100/'Skjema total MA'!F7*G7,0)</f>
        <v>76.151929245611683</v>
      </c>
      <c r="J7" s="310">
        <f t="shared" ref="J7:K12" si="0">SUM(B7,F7)</f>
        <v>5143212.3557451088</v>
      </c>
      <c r="K7" s="311">
        <f t="shared" si="0"/>
        <v>8674936.2098515294</v>
      </c>
      <c r="L7" s="425">
        <f>IF(J7=0, "    ---- ", IF(ABS(ROUND(100/J7*K7-100,1))&lt;999,ROUND(100/J7*K7-100,1),IF(ROUND(100/J7*K7-100,1)&gt;999,999,-999)))</f>
        <v>68.7</v>
      </c>
      <c r="M7" s="11">
        <f>IFERROR(100/'Skjema total MA'!I7*K7,0)</f>
        <v>59.015022303337275</v>
      </c>
    </row>
    <row r="8" spans="1:14" ht="15.6" x14ac:dyDescent="0.25">
      <c r="A8" s="21" t="s">
        <v>25</v>
      </c>
      <c r="B8" s="286">
        <v>307501.90522394201</v>
      </c>
      <c r="C8" s="287">
        <v>325724.93331890501</v>
      </c>
      <c r="D8" s="166">
        <f t="shared" ref="D8:D10" si="1">IF(B8=0, "    ---- ", IF(ABS(ROUND(100/B8*C8-100,1))&lt;999,ROUND(100/B8*C8-100,1),IF(ROUND(100/B8*C8-100,1)&gt;999,999,-999)))</f>
        <v>5.9</v>
      </c>
      <c r="E8" s="27">
        <f>IFERROR(100/'Skjema total MA'!C8*C8,0)</f>
        <v>13.131517238784417</v>
      </c>
      <c r="F8" s="290"/>
      <c r="G8" s="291"/>
      <c r="H8" s="166"/>
      <c r="I8" s="176"/>
      <c r="J8" s="234">
        <f t="shared" si="0"/>
        <v>307501.90522394201</v>
      </c>
      <c r="K8" s="292">
        <f t="shared" si="0"/>
        <v>325724.93331890501</v>
      </c>
      <c r="L8" s="166">
        <f t="shared" ref="L8:L9" si="2">IF(J8=0, "    ---- ", IF(ABS(ROUND(100/J8*K8-100,1))&lt;999,ROUND(100/J8*K8-100,1),IF(ROUND(100/J8*K8-100,1)&gt;999,999,-999)))</f>
        <v>5.9</v>
      </c>
      <c r="M8" s="27">
        <f>IFERROR(100/'Skjema total MA'!I8*K8,0)</f>
        <v>13.131517238784417</v>
      </c>
    </row>
    <row r="9" spans="1:14" ht="15.6" x14ac:dyDescent="0.25">
      <c r="A9" s="21" t="s">
        <v>24</v>
      </c>
      <c r="B9" s="286">
        <v>55720.896542465103</v>
      </c>
      <c r="C9" s="287">
        <v>54276.531361988498</v>
      </c>
      <c r="D9" s="166">
        <f t="shared" si="1"/>
        <v>-2.6</v>
      </c>
      <c r="E9" s="27">
        <f>IFERROR(100/'Skjema total MA'!C9*C9,0)</f>
        <v>6.8429191250503623</v>
      </c>
      <c r="F9" s="290"/>
      <c r="G9" s="291"/>
      <c r="H9" s="166"/>
      <c r="I9" s="176"/>
      <c r="J9" s="234">
        <f t="shared" si="0"/>
        <v>55720.896542465103</v>
      </c>
      <c r="K9" s="292">
        <f t="shared" si="0"/>
        <v>54276.531361988498</v>
      </c>
      <c r="L9" s="166">
        <f t="shared" si="2"/>
        <v>-2.6</v>
      </c>
      <c r="M9" s="27">
        <f>IFERROR(100/'Skjema total MA'!I9*K9,0)</f>
        <v>6.8429191250503623</v>
      </c>
    </row>
    <row r="10" spans="1:14" ht="15.6" x14ac:dyDescent="0.25">
      <c r="A10" s="13" t="s">
        <v>363</v>
      </c>
      <c r="B10" s="312">
        <v>758514.08707457001</v>
      </c>
      <c r="C10" s="313">
        <v>764381.96279112296</v>
      </c>
      <c r="D10" s="171">
        <f t="shared" si="1"/>
        <v>0.8</v>
      </c>
      <c r="E10" s="11">
        <f>IFERROR(100/'Skjema total MA'!C10*C10,0)</f>
        <v>4.4973443171829102</v>
      </c>
      <c r="F10" s="312">
        <v>33675266.762510002</v>
      </c>
      <c r="G10" s="313">
        <v>45851515.713720001</v>
      </c>
      <c r="H10" s="171">
        <f t="shared" ref="H10:H12" si="3">IF(F10=0, "    ---- ", IF(ABS(ROUND(100/F10*G10-100,1))&lt;999,ROUND(100/F10*G10-100,1),IF(ROUND(100/F10*G10-100,1)&gt;999,999,-999)))</f>
        <v>36.200000000000003</v>
      </c>
      <c r="I10" s="160">
        <f>IFERROR(100/'Skjema total MA'!F10*G10,0)</f>
        <v>62.637346900579253</v>
      </c>
      <c r="J10" s="310">
        <f t="shared" si="0"/>
        <v>34433780.849584572</v>
      </c>
      <c r="K10" s="311">
        <f t="shared" si="0"/>
        <v>46615897.676511124</v>
      </c>
      <c r="L10" s="426">
        <f t="shared" ref="L10:L12" si="4">IF(J10=0, "    ---- ", IF(ABS(ROUND(100/J10*K10-100,1))&lt;999,ROUND(100/J10*K10-100,1),IF(ROUND(100/J10*K10-100,1)&gt;999,999,-999)))</f>
        <v>35.4</v>
      </c>
      <c r="M10" s="11">
        <f>IFERROR(100/'Skjema total MA'!I10*K10,0)</f>
        <v>51.681823820559927</v>
      </c>
    </row>
    <row r="11" spans="1:14" s="43" customFormat="1" ht="15.6" x14ac:dyDescent="0.25">
      <c r="A11" s="13" t="s">
        <v>364</v>
      </c>
      <c r="B11" s="312"/>
      <c r="C11" s="313"/>
      <c r="D11" s="171"/>
      <c r="E11" s="11"/>
      <c r="F11" s="312">
        <v>146413.11579000001</v>
      </c>
      <c r="G11" s="313">
        <v>255205.34596999999</v>
      </c>
      <c r="H11" s="171">
        <f t="shared" si="3"/>
        <v>74.3</v>
      </c>
      <c r="I11" s="160">
        <f>IFERROR(100/'Skjema total MA'!F11*G11,0)</f>
        <v>73.909007059088481</v>
      </c>
      <c r="J11" s="310">
        <f t="shared" si="0"/>
        <v>146413.11579000001</v>
      </c>
      <c r="K11" s="311">
        <f t="shared" si="0"/>
        <v>255205.34596999999</v>
      </c>
      <c r="L11" s="426">
        <f t="shared" si="4"/>
        <v>74.3</v>
      </c>
      <c r="M11" s="11">
        <f>IFERROR(100/'Skjema total MA'!I11*K11,0)</f>
        <v>65.863086086498555</v>
      </c>
      <c r="N11" s="143"/>
    </row>
    <row r="12" spans="1:14" s="43" customFormat="1" ht="15.6" x14ac:dyDescent="0.25">
      <c r="A12" s="41" t="s">
        <v>365</v>
      </c>
      <c r="B12" s="314"/>
      <c r="C12" s="315"/>
      <c r="D12" s="169"/>
      <c r="E12" s="36"/>
      <c r="F12" s="314">
        <v>38059.159070000002</v>
      </c>
      <c r="G12" s="315">
        <v>34246.703840000002</v>
      </c>
      <c r="H12" s="169">
        <f t="shared" si="3"/>
        <v>-10</v>
      </c>
      <c r="I12" s="169">
        <f>IFERROR(100/'Skjema total MA'!F12*G12,0)</f>
        <v>23.380097533086818</v>
      </c>
      <c r="J12" s="316">
        <f t="shared" si="0"/>
        <v>38059.159070000002</v>
      </c>
      <c r="K12" s="317">
        <f t="shared" si="0"/>
        <v>34246.703840000002</v>
      </c>
      <c r="L12" s="427">
        <f t="shared" si="4"/>
        <v>-10</v>
      </c>
      <c r="M12" s="36">
        <f>IFERROR(100/'Skjema total MA'!I12*K12,0)</f>
        <v>22.3551826301488</v>
      </c>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v>125720.56010571599</v>
      </c>
      <c r="C22" s="312">
        <v>141059.11922485201</v>
      </c>
      <c r="D22" s="351">
        <f t="shared" ref="D22:D34" si="5">IF(B22=0, "    ---- ", IF(ABS(ROUND(100/B22*C22-100,1))&lt;999,ROUND(100/B22*C22-100,1),IF(ROUND(100/B22*C22-100,1)&gt;999,999,-999)))</f>
        <v>12.2</v>
      </c>
      <c r="E22" s="11">
        <f>IFERROR(100/'Skjema total MA'!C22*C22,0)</f>
        <v>9.1818921558384776</v>
      </c>
      <c r="F22" s="320">
        <v>213773.16907</v>
      </c>
      <c r="G22" s="320">
        <v>246107.03599</v>
      </c>
      <c r="H22" s="351">
        <f t="shared" ref="H22:H35" si="6">IF(F22=0, "    ---- ", IF(ABS(ROUND(100/F22*G22-100,1))&lt;999,ROUND(100/F22*G22-100,1),IF(ROUND(100/F22*G22-100,1)&gt;999,999,-999)))</f>
        <v>15.1</v>
      </c>
      <c r="I22" s="11">
        <f>IFERROR(100/'Skjema total MA'!F22*G22,0)</f>
        <v>21.925959787238934</v>
      </c>
      <c r="J22" s="318">
        <f t="shared" ref="J22:K35" si="7">SUM(B22,F22)</f>
        <v>339493.729175716</v>
      </c>
      <c r="K22" s="318">
        <f t="shared" si="7"/>
        <v>387166.15521485201</v>
      </c>
      <c r="L22" s="425">
        <f t="shared" ref="L22:L35" si="8">IF(J22=0, "    ---- ", IF(ABS(ROUND(100/J22*K22-100,1))&lt;999,ROUND(100/J22*K22-100,1),IF(ROUND(100/J22*K22-100,1)&gt;999,999,-999)))</f>
        <v>14</v>
      </c>
      <c r="M22" s="24">
        <f>IFERROR(100/'Skjema total MA'!I22*K22,0)</f>
        <v>14.562120714880415</v>
      </c>
    </row>
    <row r="23" spans="1:14" ht="15.6" x14ac:dyDescent="0.25">
      <c r="A23" s="581" t="s">
        <v>366</v>
      </c>
      <c r="B23" s="286">
        <v>125274.18510571599</v>
      </c>
      <c r="C23" s="286">
        <v>140506.92022485199</v>
      </c>
      <c r="D23" s="166">
        <f t="shared" si="5"/>
        <v>12.2</v>
      </c>
      <c r="E23" s="11">
        <f>IFERROR(100/'Skjema total MA'!C23*C23,0)</f>
        <v>25.09725165102655</v>
      </c>
      <c r="F23" s="295">
        <v>2714.68</v>
      </c>
      <c r="G23" s="295">
        <v>2460.3706099999999</v>
      </c>
      <c r="H23" s="166">
        <f t="shared" si="6"/>
        <v>-9.4</v>
      </c>
      <c r="I23" s="415">
        <f>IFERROR(100/'Skjema total MA'!F23*G23,0)</f>
        <v>1.3969299198252287</v>
      </c>
      <c r="J23" s="295">
        <f t="shared" ref="J23:J26" si="9">SUM(B23,F23)</f>
        <v>127988.86510571599</v>
      </c>
      <c r="K23" s="295">
        <f t="shared" ref="K23:K26" si="10">SUM(C23,G23)</f>
        <v>142967.290834852</v>
      </c>
      <c r="L23" s="166">
        <f t="shared" si="8"/>
        <v>11.7</v>
      </c>
      <c r="M23" s="23">
        <f>IFERROR(100/'Skjema total MA'!I23*K23,0)</f>
        <v>19.425515513750334</v>
      </c>
    </row>
    <row r="24" spans="1:14" ht="15.6" x14ac:dyDescent="0.25">
      <c r="A24" s="581" t="s">
        <v>367</v>
      </c>
      <c r="B24" s="286">
        <v>446.375</v>
      </c>
      <c r="C24" s="286">
        <v>464.22899999999998</v>
      </c>
      <c r="D24" s="166">
        <f t="shared" si="5"/>
        <v>4</v>
      </c>
      <c r="E24" s="11">
        <f>IFERROR(100/'Skjema total MA'!C24*C24,0)</f>
        <v>2.3591682724201646</v>
      </c>
      <c r="F24" s="295"/>
      <c r="G24" s="295"/>
      <c r="H24" s="166"/>
      <c r="I24" s="415"/>
      <c r="J24" s="295">
        <f t="shared" si="9"/>
        <v>446.375</v>
      </c>
      <c r="K24" s="295">
        <f t="shared" si="10"/>
        <v>464.22899999999998</v>
      </c>
      <c r="L24" s="166">
        <f t="shared" si="8"/>
        <v>4</v>
      </c>
      <c r="M24" s="23">
        <f>IFERROR(100/'Skjema total MA'!I24*K24,0)</f>
        <v>2.4351777740199125</v>
      </c>
    </row>
    <row r="25" spans="1:14" ht="15.6" x14ac:dyDescent="0.25">
      <c r="A25" s="581" t="s">
        <v>368</v>
      </c>
      <c r="B25" s="286">
        <v>0</v>
      </c>
      <c r="C25" s="286">
        <v>87.97</v>
      </c>
      <c r="D25" s="166" t="str">
        <f t="shared" si="5"/>
        <v xml:space="preserve">    ---- </v>
      </c>
      <c r="E25" s="11">
        <f>IFERROR(100/'Skjema total MA'!C25*C25,0)</f>
        <v>0.34330230430844255</v>
      </c>
      <c r="F25" s="295">
        <v>698.49800000000005</v>
      </c>
      <c r="G25" s="295">
        <v>707.34799999999996</v>
      </c>
      <c r="H25" s="166">
        <f t="shared" si="6"/>
        <v>1.3</v>
      </c>
      <c r="I25" s="415">
        <f>IFERROR(100/'Skjema total MA'!F25*G25,0)</f>
        <v>5.6906618127668747</v>
      </c>
      <c r="J25" s="295">
        <f t="shared" si="9"/>
        <v>698.49800000000005</v>
      </c>
      <c r="K25" s="295">
        <f t="shared" si="10"/>
        <v>795.31799999999998</v>
      </c>
      <c r="L25" s="166">
        <f t="shared" si="8"/>
        <v>13.9</v>
      </c>
      <c r="M25" s="23">
        <f>IFERROR(100/'Skjema total MA'!I25*K25,0)</f>
        <v>2.0899378885723232</v>
      </c>
    </row>
    <row r="26" spans="1:14" ht="15.6" x14ac:dyDescent="0.25">
      <c r="A26" s="581" t="s">
        <v>369</v>
      </c>
      <c r="B26" s="286"/>
      <c r="C26" s="286"/>
      <c r="D26" s="166"/>
      <c r="E26" s="11"/>
      <c r="F26" s="295">
        <v>210359.99106999999</v>
      </c>
      <c r="G26" s="295">
        <v>242939.31737999999</v>
      </c>
      <c r="H26" s="166">
        <f t="shared" si="6"/>
        <v>15.5</v>
      </c>
      <c r="I26" s="415">
        <f>IFERROR(100/'Skjema total MA'!F26*G26,0)</f>
        <v>25.996629582827644</v>
      </c>
      <c r="J26" s="295">
        <f t="shared" si="9"/>
        <v>210359.99106999999</v>
      </c>
      <c r="K26" s="295">
        <f t="shared" si="10"/>
        <v>242939.31737999999</v>
      </c>
      <c r="L26" s="166">
        <f t="shared" si="8"/>
        <v>15.5</v>
      </c>
      <c r="M26" s="23">
        <f>IFERROR(100/'Skjema total MA'!I26*K26,0)</f>
        <v>25.996629582827644</v>
      </c>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v>129526.25374721699</v>
      </c>
      <c r="C28" s="292">
        <v>145511.687747444</v>
      </c>
      <c r="D28" s="166">
        <f t="shared" si="5"/>
        <v>12.3</v>
      </c>
      <c r="E28" s="11">
        <f>IFERROR(100/'Skjema total MA'!C28*C28,0)</f>
        <v>8.6309212099277683</v>
      </c>
      <c r="F28" s="321"/>
      <c r="G28" s="321"/>
      <c r="H28" s="166"/>
      <c r="I28" s="27"/>
      <c r="J28" s="44">
        <f t="shared" si="7"/>
        <v>129526.25374721699</v>
      </c>
      <c r="K28" s="44">
        <f t="shared" si="7"/>
        <v>145511.687747444</v>
      </c>
      <c r="L28" s="259">
        <f t="shared" si="8"/>
        <v>12.3</v>
      </c>
      <c r="M28" s="23">
        <f>IFERROR(100/'Skjema total MA'!I28*K28,0)</f>
        <v>8.6309212099277683</v>
      </c>
    </row>
    <row r="29" spans="1:14" s="3" customFormat="1" ht="15.6" x14ac:dyDescent="0.25">
      <c r="A29" s="13" t="s">
        <v>363</v>
      </c>
      <c r="B29" s="236">
        <v>3829032.9671787401</v>
      </c>
      <c r="C29" s="236">
        <v>4006076.4528466202</v>
      </c>
      <c r="D29" s="171">
        <f t="shared" si="5"/>
        <v>4.5999999999999996</v>
      </c>
      <c r="E29" s="11">
        <f>IFERROR(100/'Skjema total MA'!C29*C29,0)</f>
        <v>8.9099581129834711</v>
      </c>
      <c r="F29" s="310">
        <v>4496883.8899999997</v>
      </c>
      <c r="G29" s="310">
        <v>5483402.4500000002</v>
      </c>
      <c r="H29" s="171">
        <f t="shared" si="6"/>
        <v>21.9</v>
      </c>
      <c r="I29" s="11">
        <f>IFERROR(100/'Skjema total MA'!F29*G29,0)</f>
        <v>21.31507655084819</v>
      </c>
      <c r="J29" s="236">
        <f t="shared" si="7"/>
        <v>8325916.8571787402</v>
      </c>
      <c r="K29" s="236">
        <f t="shared" si="7"/>
        <v>9489478.9028466195</v>
      </c>
      <c r="L29" s="426">
        <f t="shared" si="8"/>
        <v>14</v>
      </c>
      <c r="M29" s="24">
        <f>IFERROR(100/'Skjema total MA'!I29*K29,0)</f>
        <v>13.424597229881059</v>
      </c>
      <c r="N29" s="148"/>
    </row>
    <row r="30" spans="1:14" s="3" customFormat="1" ht="15.6" x14ac:dyDescent="0.25">
      <c r="A30" s="581" t="s">
        <v>366</v>
      </c>
      <c r="B30" s="286">
        <v>654356.45678017905</v>
      </c>
      <c r="C30" s="286">
        <v>614217.72281266295</v>
      </c>
      <c r="D30" s="166">
        <f t="shared" si="5"/>
        <v>-6.1</v>
      </c>
      <c r="E30" s="11">
        <f>IFERROR(100/'Skjema total MA'!C30*C30,0)</f>
        <v>4.640981865149385</v>
      </c>
      <c r="F30" s="295">
        <v>473189.46450601501</v>
      </c>
      <c r="G30" s="295">
        <v>475619.88960879802</v>
      </c>
      <c r="H30" s="166">
        <f t="shared" si="6"/>
        <v>0.5</v>
      </c>
      <c r="I30" s="415">
        <f>IFERROR(100/'Skjema total MA'!F30*G30,0)</f>
        <v>11.56955033424728</v>
      </c>
      <c r="J30" s="295">
        <f t="shared" ref="J30:J33" si="11">SUM(B30,F30)</f>
        <v>1127545.9212861941</v>
      </c>
      <c r="K30" s="295">
        <f t="shared" ref="K30:K33" si="12">SUM(C30,G30)</f>
        <v>1089837.6124214609</v>
      </c>
      <c r="L30" s="166">
        <f t="shared" si="8"/>
        <v>-3.3</v>
      </c>
      <c r="M30" s="23">
        <f>IFERROR(100/'Skjema total MA'!I30*K30,0)</f>
        <v>6.2830735014276762</v>
      </c>
      <c r="N30" s="148"/>
    </row>
    <row r="31" spans="1:14" s="3" customFormat="1" ht="15.6" x14ac:dyDescent="0.25">
      <c r="A31" s="581" t="s">
        <v>367</v>
      </c>
      <c r="B31" s="286">
        <v>2684630.4346455298</v>
      </c>
      <c r="C31" s="286">
        <v>2785813.3780970699</v>
      </c>
      <c r="D31" s="166">
        <f t="shared" si="5"/>
        <v>3.8</v>
      </c>
      <c r="E31" s="11">
        <f>IFERROR(100/'Skjema total MA'!C31*C31,0)</f>
        <v>12.38645048930614</v>
      </c>
      <c r="F31" s="295">
        <v>822340.11117614701</v>
      </c>
      <c r="G31" s="295">
        <v>834089.63087591203</v>
      </c>
      <c r="H31" s="166">
        <f t="shared" si="6"/>
        <v>1.4</v>
      </c>
      <c r="I31" s="415">
        <f>IFERROR(100/'Skjema total MA'!F31*G31,0)</f>
        <v>8.8904825365222262</v>
      </c>
      <c r="J31" s="295">
        <f t="shared" si="11"/>
        <v>3506970.545821677</v>
      </c>
      <c r="K31" s="295">
        <f t="shared" si="12"/>
        <v>3619903.0089729819</v>
      </c>
      <c r="L31" s="166">
        <f t="shared" si="8"/>
        <v>3.2</v>
      </c>
      <c r="M31" s="23">
        <f>IFERROR(100/'Skjema total MA'!I31*K31,0)</f>
        <v>11.357399705205523</v>
      </c>
      <c r="N31" s="148"/>
    </row>
    <row r="32" spans="1:14" ht="15.6" x14ac:dyDescent="0.25">
      <c r="A32" s="581" t="s">
        <v>368</v>
      </c>
      <c r="B32" s="286">
        <v>490046.07575303398</v>
      </c>
      <c r="C32" s="286">
        <v>606045.35193688795</v>
      </c>
      <c r="D32" s="166">
        <f t="shared" si="5"/>
        <v>23.7</v>
      </c>
      <c r="E32" s="11">
        <f>IFERROR(100/'Skjema total MA'!C32*C32,0)</f>
        <v>20.729594484064702</v>
      </c>
      <c r="F32" s="295">
        <v>2096742.1098952701</v>
      </c>
      <c r="G32" s="295">
        <v>2468105.7182242</v>
      </c>
      <c r="H32" s="166">
        <f t="shared" si="6"/>
        <v>17.7</v>
      </c>
      <c r="I32" s="415">
        <f>IFERROR(100/'Skjema total MA'!F32*G32,0)</f>
        <v>43.050587504545561</v>
      </c>
      <c r="J32" s="295">
        <f t="shared" si="11"/>
        <v>2586788.1856483039</v>
      </c>
      <c r="K32" s="295">
        <f t="shared" si="12"/>
        <v>3074151.0701610879</v>
      </c>
      <c r="L32" s="166">
        <f t="shared" si="8"/>
        <v>18.8</v>
      </c>
      <c r="M32" s="23">
        <f>IFERROR(100/'Skjema total MA'!I32*K32,0)</f>
        <v>35.512175030880513</v>
      </c>
    </row>
    <row r="33" spans="1:14" ht="15.6" x14ac:dyDescent="0.25">
      <c r="A33" s="581" t="s">
        <v>369</v>
      </c>
      <c r="B33" s="286"/>
      <c r="C33" s="286"/>
      <c r="D33" s="166"/>
      <c r="E33" s="11">
        <f>IFERROR(100/'Skjema total MA'!C33*C33,0)</f>
        <v>0</v>
      </c>
      <c r="F33" s="295">
        <v>1104612.2044225701</v>
      </c>
      <c r="G33" s="295">
        <v>1705587.2112910899</v>
      </c>
      <c r="H33" s="166">
        <f t="shared" si="6"/>
        <v>54.4</v>
      </c>
      <c r="I33" s="415">
        <f>IFERROR(100/'Skjema total MA'!F33*G33,0)</f>
        <v>26.241258787730299</v>
      </c>
      <c r="J33" s="295">
        <f t="shared" si="11"/>
        <v>1104612.2044225701</v>
      </c>
      <c r="K33" s="295">
        <f t="shared" si="12"/>
        <v>1705587.2112910899</v>
      </c>
      <c r="L33" s="166">
        <f t="shared" si="8"/>
        <v>54.4</v>
      </c>
      <c r="M33" s="23">
        <f>IFERROR(100/'Skjema total MA'!I33*K33,0)</f>
        <v>26.241258787730299</v>
      </c>
    </row>
    <row r="34" spans="1:14" ht="15.6" x14ac:dyDescent="0.25">
      <c r="A34" s="13" t="s">
        <v>364</v>
      </c>
      <c r="B34" s="236">
        <v>0</v>
      </c>
      <c r="C34" s="311">
        <v>1831.1187199999999</v>
      </c>
      <c r="D34" s="171" t="str">
        <f t="shared" si="5"/>
        <v xml:space="preserve">    ---- </v>
      </c>
      <c r="E34" s="11">
        <f>IFERROR(100/'Skjema total MA'!C34*C34,0)</f>
        <v>16.451199942308275</v>
      </c>
      <c r="F34" s="310">
        <v>7160.5278099999996</v>
      </c>
      <c r="G34" s="311">
        <v>10652.550579999999</v>
      </c>
      <c r="H34" s="171">
        <f t="shared" si="6"/>
        <v>48.8</v>
      </c>
      <c r="I34" s="11">
        <f>IFERROR(100/'Skjema total MA'!F34*G34,0)</f>
        <v>14.823803021659614</v>
      </c>
      <c r="J34" s="236">
        <f t="shared" si="7"/>
        <v>7160.5278099999996</v>
      </c>
      <c r="K34" s="236">
        <f t="shared" si="7"/>
        <v>12483.6693</v>
      </c>
      <c r="L34" s="426">
        <f t="shared" si="8"/>
        <v>74.3</v>
      </c>
      <c r="M34" s="24">
        <f>IFERROR(100/'Skjema total MA'!I34*K34,0)</f>
        <v>15.042064760333149</v>
      </c>
    </row>
    <row r="35" spans="1:14" ht="15.6" x14ac:dyDescent="0.25">
      <c r="A35" s="13" t="s">
        <v>365</v>
      </c>
      <c r="B35" s="236"/>
      <c r="C35" s="311"/>
      <c r="D35" s="171"/>
      <c r="E35" s="11"/>
      <c r="F35" s="310">
        <v>16605.7091</v>
      </c>
      <c r="G35" s="311">
        <v>28055.783469999998</v>
      </c>
      <c r="H35" s="171">
        <f t="shared" si="6"/>
        <v>69</v>
      </c>
      <c r="I35" s="11">
        <f>IFERROR(100/'Skjema total MA'!F35*G35,0)</f>
        <v>21.704527576774865</v>
      </c>
      <c r="J35" s="236">
        <f t="shared" si="7"/>
        <v>16605.7091</v>
      </c>
      <c r="K35" s="236">
        <f t="shared" si="7"/>
        <v>28055.783469999998</v>
      </c>
      <c r="L35" s="426">
        <f t="shared" si="8"/>
        <v>69</v>
      </c>
      <c r="M35" s="24">
        <f>IFERROR(100/'Skjema total MA'!I35*K35,0)</f>
        <v>50.687928767511721</v>
      </c>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c r="C47" s="313"/>
      <c r="D47" s="425"/>
      <c r="E47" s="11"/>
      <c r="F47" s="145"/>
      <c r="G47" s="33"/>
      <c r="H47" s="159"/>
      <c r="I47" s="159"/>
      <c r="J47" s="37"/>
      <c r="K47" s="37"/>
      <c r="L47" s="159"/>
      <c r="M47" s="159"/>
      <c r="N47" s="148"/>
    </row>
    <row r="48" spans="1:14" s="3" customFormat="1" ht="15.6" x14ac:dyDescent="0.25">
      <c r="A48" s="38" t="s">
        <v>374</v>
      </c>
      <c r="B48" s="286"/>
      <c r="C48" s="287"/>
      <c r="D48" s="259"/>
      <c r="E48" s="27"/>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v>696152</v>
      </c>
      <c r="C66" s="354">
        <v>792233</v>
      </c>
      <c r="D66" s="351">
        <f t="shared" ref="D66:D111" si="13">IF(B66=0, "    ---- ", IF(ABS(ROUND(100/B66*C66-100,1))&lt;999,ROUND(100/B66*C66-100,1),IF(ROUND(100/B66*C66-100,1)&gt;999,999,-999)))</f>
        <v>13.8</v>
      </c>
      <c r="E66" s="11">
        <f>IFERROR(100/'Skjema total MA'!C66*C66,0)</f>
        <v>12.628691933181807</v>
      </c>
      <c r="F66" s="353">
        <v>3698340.4240000001</v>
      </c>
      <c r="G66" s="353">
        <v>4544748.534</v>
      </c>
      <c r="H66" s="351">
        <f t="shared" ref="H66:H111" si="14">IF(F66=0, "    ---- ", IF(ABS(ROUND(100/F66*G66-100,1))&lt;999,ROUND(100/F66*G66-100,1),IF(ROUND(100/F66*G66-100,1)&gt;999,999,-999)))</f>
        <v>22.9</v>
      </c>
      <c r="I66" s="11">
        <f>IFERROR(100/'Skjema total MA'!F66*G66,0)</f>
        <v>16.19141173892746</v>
      </c>
      <c r="J66" s="311">
        <f t="shared" ref="J66:K86" si="15">SUM(B66,F66)</f>
        <v>4394492.4240000006</v>
      </c>
      <c r="K66" s="318">
        <f t="shared" si="15"/>
        <v>5336981.534</v>
      </c>
      <c r="L66" s="426">
        <f t="shared" ref="L66:L111" si="16">IF(J66=0, "    ---- ", IF(ABS(ROUND(100/J66*K66-100,1))&lt;999,ROUND(100/J66*K66-100,1),IF(ROUND(100/J66*K66-100,1)&gt;999,999,-999)))</f>
        <v>21.4</v>
      </c>
      <c r="M66" s="11">
        <f>IFERROR(100/'Skjema total MA'!I66*K66,0)</f>
        <v>15.540610165975488</v>
      </c>
    </row>
    <row r="67" spans="1:14" x14ac:dyDescent="0.25">
      <c r="A67" s="417" t="s">
        <v>9</v>
      </c>
      <c r="B67" s="44">
        <v>537991.59549624403</v>
      </c>
      <c r="C67" s="145">
        <v>627893.07978990802</v>
      </c>
      <c r="D67" s="166">
        <f t="shared" si="13"/>
        <v>16.7</v>
      </c>
      <c r="E67" s="27">
        <f>IFERROR(100/'Skjema total MA'!C67*C67,0)</f>
        <v>14.077602191730385</v>
      </c>
      <c r="F67" s="234"/>
      <c r="G67" s="145"/>
      <c r="H67" s="166"/>
      <c r="I67" s="27"/>
      <c r="J67" s="292">
        <f t="shared" si="15"/>
        <v>537991.59549624403</v>
      </c>
      <c r="K67" s="44">
        <f t="shared" si="15"/>
        <v>627893.07978990802</v>
      </c>
      <c r="L67" s="259">
        <f t="shared" si="16"/>
        <v>16.7</v>
      </c>
      <c r="M67" s="27">
        <f>IFERROR(100/'Skjema total MA'!I67*K67,0)</f>
        <v>14.077602191730385</v>
      </c>
    </row>
    <row r="68" spans="1:14" x14ac:dyDescent="0.25">
      <c r="A68" s="21" t="s">
        <v>10</v>
      </c>
      <c r="B68" s="296">
        <v>11901</v>
      </c>
      <c r="C68" s="297">
        <v>8933</v>
      </c>
      <c r="D68" s="166">
        <f t="shared" si="13"/>
        <v>-24.9</v>
      </c>
      <c r="E68" s="27">
        <f>IFERROR(100/'Skjema total MA'!C68*C68,0)</f>
        <v>25.545798298860255</v>
      </c>
      <c r="F68" s="296">
        <v>3698340.4240000001</v>
      </c>
      <c r="G68" s="297">
        <v>4544748.534</v>
      </c>
      <c r="H68" s="166">
        <f t="shared" si="14"/>
        <v>22.9</v>
      </c>
      <c r="I68" s="27">
        <f>IFERROR(100/'Skjema total MA'!F68*G68,0)</f>
        <v>16.862457616806761</v>
      </c>
      <c r="J68" s="292">
        <f t="shared" si="15"/>
        <v>3710241.4240000001</v>
      </c>
      <c r="K68" s="44">
        <f t="shared" si="15"/>
        <v>4553681.534</v>
      </c>
      <c r="L68" s="259">
        <f t="shared" si="16"/>
        <v>22.7</v>
      </c>
      <c r="M68" s="27">
        <f>IFERROR(100/'Skjema total MA'!I68*K68,0)</f>
        <v>16.873709173184999</v>
      </c>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v>146259.404503756</v>
      </c>
      <c r="C76" s="145">
        <v>155406.92021009201</v>
      </c>
      <c r="D76" s="166">
        <f t="shared" ref="D76" si="17">IF(B76=0, "    ---- ", IF(ABS(ROUND(100/B76*C76-100,1))&lt;999,ROUND(100/B76*C76-100,1),IF(ROUND(100/B76*C76-100,1)&gt;999,999,-999)))</f>
        <v>6.3</v>
      </c>
      <c r="E76" s="27">
        <f>IFERROR(100/'Skjema total MA'!C77*C76,0)</f>
        <v>3.5297212112278173</v>
      </c>
      <c r="F76" s="234"/>
      <c r="G76" s="145"/>
      <c r="H76" s="166"/>
      <c r="I76" s="27"/>
      <c r="J76" s="292">
        <f t="shared" ref="J76" si="18">SUM(B76,F76)</f>
        <v>146259.404503756</v>
      </c>
      <c r="K76" s="44">
        <f t="shared" ref="K76" si="19">SUM(C76,G76)</f>
        <v>155406.92021009201</v>
      </c>
      <c r="L76" s="259">
        <f t="shared" ref="L76" si="20">IF(J76=0, "    ---- ", IF(ABS(ROUND(100/J76*K76-100,1))&lt;999,ROUND(100/J76*K76-100,1),IF(ROUND(100/J76*K76-100,1)&gt;999,999,-999)))</f>
        <v>6.3</v>
      </c>
      <c r="M76" s="27">
        <f>IFERROR(100/'Skjema total MA'!I77*K76,0)</f>
        <v>0.49579310189834025</v>
      </c>
      <c r="N76" s="148"/>
    </row>
    <row r="77" spans="1:14" ht="15.6" x14ac:dyDescent="0.25">
      <c r="A77" s="21" t="s">
        <v>380</v>
      </c>
      <c r="B77" s="234">
        <v>542102.61849624396</v>
      </c>
      <c r="C77" s="234">
        <v>629050.733789908</v>
      </c>
      <c r="D77" s="166">
        <f t="shared" si="13"/>
        <v>16</v>
      </c>
      <c r="E77" s="27">
        <f>IFERROR(100/'Skjema total MA'!C77*C77,0)</f>
        <v>14.287482919003706</v>
      </c>
      <c r="F77" s="234">
        <v>3696450.4470000002</v>
      </c>
      <c r="G77" s="145">
        <v>4543046.2580000004</v>
      </c>
      <c r="H77" s="166">
        <f t="shared" si="14"/>
        <v>22.9</v>
      </c>
      <c r="I77" s="27">
        <f>IFERROR(100/'Skjema total MA'!F77*G77,0)</f>
        <v>16.862128869690437</v>
      </c>
      <c r="J77" s="292">
        <f t="shared" si="15"/>
        <v>4238553.0654962445</v>
      </c>
      <c r="K77" s="44">
        <f t="shared" si="15"/>
        <v>5172096.9917899081</v>
      </c>
      <c r="L77" s="259">
        <f t="shared" si="16"/>
        <v>22</v>
      </c>
      <c r="M77" s="27">
        <f>IFERROR(100/'Skjema total MA'!I77*K77,0)</f>
        <v>16.500487928156431</v>
      </c>
    </row>
    <row r="78" spans="1:14" x14ac:dyDescent="0.25">
      <c r="A78" s="21" t="s">
        <v>9</v>
      </c>
      <c r="B78" s="234">
        <v>532099.06449624395</v>
      </c>
      <c r="C78" s="145">
        <v>621827.15378990804</v>
      </c>
      <c r="D78" s="166">
        <f t="shared" si="13"/>
        <v>16.899999999999999</v>
      </c>
      <c r="E78" s="27">
        <f>IFERROR(100/'Skjema total MA'!C78*C78,0)</f>
        <v>14.230916812275492</v>
      </c>
      <c r="F78" s="234"/>
      <c r="G78" s="145"/>
      <c r="H78" s="166"/>
      <c r="I78" s="27"/>
      <c r="J78" s="292">
        <f t="shared" si="15"/>
        <v>532099.06449624395</v>
      </c>
      <c r="K78" s="44">
        <f t="shared" si="15"/>
        <v>621827.15378990804</v>
      </c>
      <c r="L78" s="259">
        <f t="shared" si="16"/>
        <v>16.899999999999999</v>
      </c>
      <c r="M78" s="27">
        <f>IFERROR(100/'Skjema total MA'!I78*K78,0)</f>
        <v>14.230916812275492</v>
      </c>
    </row>
    <row r="79" spans="1:14" x14ac:dyDescent="0.25">
      <c r="A79" s="38" t="s">
        <v>421</v>
      </c>
      <c r="B79" s="296">
        <v>10003.554</v>
      </c>
      <c r="C79" s="297">
        <v>7223.58</v>
      </c>
      <c r="D79" s="166">
        <f t="shared" si="13"/>
        <v>-27.8</v>
      </c>
      <c r="E79" s="27">
        <f>IFERROR(100/'Skjema total MA'!C79*C79,0)</f>
        <v>21.719076723966136</v>
      </c>
      <c r="F79" s="296">
        <v>3696450.4470000002</v>
      </c>
      <c r="G79" s="297">
        <v>4543046.2580000004</v>
      </c>
      <c r="H79" s="166">
        <f t="shared" si="14"/>
        <v>22.9</v>
      </c>
      <c r="I79" s="27">
        <f>IFERROR(100/'Skjema total MA'!F79*G79,0)</f>
        <v>16.862128869690437</v>
      </c>
      <c r="J79" s="292">
        <f t="shared" si="15"/>
        <v>3706454.0010000002</v>
      </c>
      <c r="K79" s="44">
        <f t="shared" si="15"/>
        <v>4550269.8380000005</v>
      </c>
      <c r="L79" s="259">
        <f t="shared" si="16"/>
        <v>22.8</v>
      </c>
      <c r="M79" s="27">
        <f>IFERROR(100/'Skjema total MA'!I79*K79,0)</f>
        <v>16.868117176257787</v>
      </c>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v>7790</v>
      </c>
      <c r="C86" s="145">
        <v>7775.3459999999995</v>
      </c>
      <c r="D86" s="166">
        <f t="shared" si="13"/>
        <v>-0.2</v>
      </c>
      <c r="E86" s="27">
        <f>IFERROR(100/'Skjema total MA'!C86*C86,0)</f>
        <v>8.4162047259860362</v>
      </c>
      <c r="F86" s="234">
        <v>1889.9770000000001</v>
      </c>
      <c r="G86" s="145">
        <v>1702.2760000000001</v>
      </c>
      <c r="H86" s="166">
        <f t="shared" si="14"/>
        <v>-9.9</v>
      </c>
      <c r="I86" s="27">
        <f>IFERROR(100/'Skjema total MA'!F86*G86,0)</f>
        <v>17.787994470322861</v>
      </c>
      <c r="J86" s="292">
        <f t="shared" si="15"/>
        <v>9679.9770000000008</v>
      </c>
      <c r="K86" s="44">
        <f t="shared" si="15"/>
        <v>9477.6219999999994</v>
      </c>
      <c r="L86" s="259">
        <f t="shared" si="16"/>
        <v>-2.1</v>
      </c>
      <c r="M86" s="27">
        <f>IFERROR(100/'Skjema total MA'!I86*K86,0)</f>
        <v>9.2958671747812858</v>
      </c>
    </row>
    <row r="87" spans="1:13" ht="15.6" x14ac:dyDescent="0.25">
      <c r="A87" s="13" t="s">
        <v>363</v>
      </c>
      <c r="B87" s="354">
        <v>47798352.945799485</v>
      </c>
      <c r="C87" s="354">
        <v>50289502.5843843</v>
      </c>
      <c r="D87" s="171">
        <f t="shared" si="13"/>
        <v>5.2</v>
      </c>
      <c r="E87" s="11">
        <f>IFERROR(100/'Skjema total MA'!C87*C87,0)</f>
        <v>12.528801219600439</v>
      </c>
      <c r="F87" s="353">
        <v>47699269.347489998</v>
      </c>
      <c r="G87" s="353">
        <v>66492901.836280003</v>
      </c>
      <c r="H87" s="171">
        <f t="shared" si="14"/>
        <v>39.4</v>
      </c>
      <c r="I87" s="11">
        <f>IFERROR(100/'Skjema total MA'!F87*G87,0)</f>
        <v>15.640363730509444</v>
      </c>
      <c r="J87" s="311">
        <f t="shared" ref="J87:K111" si="21">SUM(B87,F87)</f>
        <v>95497622.293289483</v>
      </c>
      <c r="K87" s="236">
        <f t="shared" si="21"/>
        <v>116782404.42066431</v>
      </c>
      <c r="L87" s="426">
        <f t="shared" si="16"/>
        <v>22.3</v>
      </c>
      <c r="M87" s="11">
        <f>IFERROR(100/'Skjema total MA'!I87*K87,0)</f>
        <v>14.129278614324582</v>
      </c>
    </row>
    <row r="88" spans="1:13" x14ac:dyDescent="0.25">
      <c r="A88" s="21" t="s">
        <v>9</v>
      </c>
      <c r="B88" s="234">
        <v>46352378.717892803</v>
      </c>
      <c r="C88" s="145">
        <v>48741775.843384303</v>
      </c>
      <c r="D88" s="166">
        <f t="shared" si="13"/>
        <v>5.2</v>
      </c>
      <c r="E88" s="27">
        <f>IFERROR(100/'Skjema total MA'!C88*C88,0)</f>
        <v>12.553494168846056</v>
      </c>
      <c r="F88" s="234"/>
      <c r="G88" s="145"/>
      <c r="H88" s="166"/>
      <c r="I88" s="27"/>
      <c r="J88" s="292">
        <f t="shared" si="21"/>
        <v>46352378.717892803</v>
      </c>
      <c r="K88" s="44">
        <f t="shared" si="21"/>
        <v>48741775.843384303</v>
      </c>
      <c r="L88" s="259">
        <f t="shared" si="16"/>
        <v>5.2</v>
      </c>
      <c r="M88" s="27">
        <f>IFERROR(100/'Skjema total MA'!I88*K88,0)</f>
        <v>12.553494168846056</v>
      </c>
    </row>
    <row r="89" spans="1:13" x14ac:dyDescent="0.25">
      <c r="A89" s="21" t="s">
        <v>10</v>
      </c>
      <c r="B89" s="234">
        <v>1205171.52090668</v>
      </c>
      <c r="C89" s="145">
        <v>1264433.1869999999</v>
      </c>
      <c r="D89" s="166">
        <f t="shared" si="13"/>
        <v>4.9000000000000004</v>
      </c>
      <c r="E89" s="27">
        <f>IFERROR(100/'Skjema total MA'!C89*C89,0)</f>
        <v>40.966480970101635</v>
      </c>
      <c r="F89" s="234">
        <v>47699269.347489998</v>
      </c>
      <c r="G89" s="145">
        <v>66492901.836280003</v>
      </c>
      <c r="H89" s="166">
        <f t="shared" si="14"/>
        <v>39.4</v>
      </c>
      <c r="I89" s="27">
        <f>IFERROR(100/'Skjema total MA'!F89*G89,0)</f>
        <v>15.803141758684495</v>
      </c>
      <c r="J89" s="292">
        <f t="shared" si="21"/>
        <v>48904440.868396677</v>
      </c>
      <c r="K89" s="44">
        <f t="shared" si="21"/>
        <v>67757335.02328001</v>
      </c>
      <c r="L89" s="259">
        <f t="shared" si="16"/>
        <v>38.6</v>
      </c>
      <c r="M89" s="27">
        <f>IFERROR(100/'Skjema total MA'!I89*K89,0)</f>
        <v>15.986385633788576</v>
      </c>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v>240802.70699999999</v>
      </c>
      <c r="C97" s="145">
        <v>283293.554</v>
      </c>
      <c r="D97" s="166">
        <f t="shared" ref="D97" si="22">IF(B97=0, "    ---- ", IF(ABS(ROUND(100/B97*C97-100,1))&lt;999,ROUND(100/B97*C97-100,1),IF(ROUND(100/B97*C97-100,1)&gt;999,999,-999)))</f>
        <v>17.600000000000001</v>
      </c>
      <c r="E97" s="27">
        <f>IFERROR(100/'Skjema total MA'!C98*C97,0)</f>
        <v>7.321941384037059E-2</v>
      </c>
      <c r="F97" s="234"/>
      <c r="G97" s="145"/>
      <c r="H97" s="166"/>
      <c r="I97" s="27"/>
      <c r="J97" s="292">
        <f t="shared" ref="J97" si="23">SUM(B97,F97)</f>
        <v>240802.70699999999</v>
      </c>
      <c r="K97" s="44">
        <f t="shared" ref="K97" si="24">SUM(C97,G97)</f>
        <v>283293.554</v>
      </c>
      <c r="L97" s="259">
        <f t="shared" ref="L97" si="25">IF(J97=0, "    ---- ", IF(ABS(ROUND(100/J97*K97-100,1))&lt;999,ROUND(100/J97*K97-100,1),IF(ROUND(100/J97*K97-100,1)&gt;999,999,-999)))</f>
        <v>17.600000000000001</v>
      </c>
      <c r="M97" s="27">
        <f>IFERROR(100/'Skjema total MA'!I98*K97,0)</f>
        <v>3.5121902226224772E-2</v>
      </c>
    </row>
    <row r="98" spans="1:13" ht="15.6" x14ac:dyDescent="0.25">
      <c r="A98" s="21" t="s">
        <v>380</v>
      </c>
      <c r="B98" s="234">
        <v>47534337.250799477</v>
      </c>
      <c r="C98" s="234">
        <v>49977247.634384297</v>
      </c>
      <c r="D98" s="166">
        <f t="shared" si="13"/>
        <v>5.0999999999999996</v>
      </c>
      <c r="E98" s="27">
        <f>IFERROR(100/'Skjema total MA'!C98*C98,0)</f>
        <v>12.917006848467388</v>
      </c>
      <c r="F98" s="296">
        <v>47685103.448490001</v>
      </c>
      <c r="G98" s="296">
        <v>66479695.394280002</v>
      </c>
      <c r="H98" s="166">
        <f t="shared" si="14"/>
        <v>39.4</v>
      </c>
      <c r="I98" s="27">
        <f>IFERROR(100/'Skjema total MA'!F98*G98,0)</f>
        <v>15.84017573004234</v>
      </c>
      <c r="J98" s="292">
        <f t="shared" si="21"/>
        <v>95219440.699289471</v>
      </c>
      <c r="K98" s="44">
        <f t="shared" si="21"/>
        <v>116456943.02866429</v>
      </c>
      <c r="L98" s="259">
        <f t="shared" si="16"/>
        <v>22.3</v>
      </c>
      <c r="M98" s="27">
        <f>IFERROR(100/'Skjema total MA'!I98*K98,0)</f>
        <v>14.437989530173976</v>
      </c>
    </row>
    <row r="99" spans="1:13" x14ac:dyDescent="0.25">
      <c r="A99" s="21" t="s">
        <v>9</v>
      </c>
      <c r="B99" s="296">
        <v>46329165.729892798</v>
      </c>
      <c r="C99" s="297">
        <v>48712814.447384298</v>
      </c>
      <c r="D99" s="166">
        <f t="shared" si="13"/>
        <v>5.0999999999999996</v>
      </c>
      <c r="E99" s="27">
        <f>IFERROR(100/'Skjema total MA'!C99*C99,0)</f>
        <v>12.691447982847469</v>
      </c>
      <c r="F99" s="234"/>
      <c r="G99" s="145"/>
      <c r="H99" s="166"/>
      <c r="I99" s="27"/>
      <c r="J99" s="292">
        <f t="shared" si="21"/>
        <v>46329165.729892798</v>
      </c>
      <c r="K99" s="44">
        <f t="shared" si="21"/>
        <v>48712814.447384298</v>
      </c>
      <c r="L99" s="259">
        <f t="shared" si="16"/>
        <v>5.0999999999999996</v>
      </c>
      <c r="M99" s="27">
        <f>IFERROR(100/'Skjema total MA'!I99*K99,0)</f>
        <v>12.691447982847469</v>
      </c>
    </row>
    <row r="100" spans="1:13" ht="15.6" x14ac:dyDescent="0.25">
      <c r="A100" s="38" t="s">
        <v>422</v>
      </c>
      <c r="B100" s="296">
        <v>1205171.52090668</v>
      </c>
      <c r="C100" s="297">
        <v>1264433.1869999999</v>
      </c>
      <c r="D100" s="166">
        <f t="shared" si="13"/>
        <v>4.9000000000000004</v>
      </c>
      <c r="E100" s="27">
        <f>IFERROR(100/'Skjema total MA'!C100*C100,0)</f>
        <v>40.966480970101635</v>
      </c>
      <c r="F100" s="234">
        <v>47685103.448490001</v>
      </c>
      <c r="G100" s="234">
        <v>66479695.394280002</v>
      </c>
      <c r="H100" s="166">
        <f t="shared" si="14"/>
        <v>39.4</v>
      </c>
      <c r="I100" s="27">
        <f>IFERROR(100/'Skjema total MA'!F100*G100,0)</f>
        <v>15.84017573004234</v>
      </c>
      <c r="J100" s="292">
        <f t="shared" si="21"/>
        <v>48890274.969396681</v>
      </c>
      <c r="K100" s="44">
        <f t="shared" si="21"/>
        <v>67744128.581280008</v>
      </c>
      <c r="L100" s="259">
        <f t="shared" si="16"/>
        <v>38.6</v>
      </c>
      <c r="M100" s="27">
        <f>IFERROR(100/'Skjema total MA'!I100*K100,0)</f>
        <v>16.023611746523269</v>
      </c>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v>23212.988000000001</v>
      </c>
      <c r="C107" s="145">
        <v>28961.396000000001</v>
      </c>
      <c r="D107" s="166">
        <f t="shared" si="13"/>
        <v>24.8</v>
      </c>
      <c r="E107" s="27">
        <f>IFERROR(100/'Skjema total MA'!C107*C107,0)</f>
        <v>0.65101525161856355</v>
      </c>
      <c r="F107" s="234">
        <v>14165.898999999999</v>
      </c>
      <c r="G107" s="145">
        <v>13206.441999999999</v>
      </c>
      <c r="H107" s="166">
        <f t="shared" si="14"/>
        <v>-6.8</v>
      </c>
      <c r="I107" s="27">
        <f>IFERROR(100/'Skjema total MA'!F107*G107,0)</f>
        <v>1.2376070403192312</v>
      </c>
      <c r="J107" s="292">
        <f t="shared" si="21"/>
        <v>37378.887000000002</v>
      </c>
      <c r="K107" s="44">
        <f t="shared" si="21"/>
        <v>42167.838000000003</v>
      </c>
      <c r="L107" s="259">
        <f t="shared" si="16"/>
        <v>12.8</v>
      </c>
      <c r="M107" s="27">
        <f>IFERROR(100/'Skjema total MA'!I107*K107,0)</f>
        <v>0.76449929187840271</v>
      </c>
    </row>
    <row r="108" spans="1:13" ht="15.6" x14ac:dyDescent="0.25">
      <c r="A108" s="21" t="s">
        <v>382</v>
      </c>
      <c r="B108" s="234">
        <v>37625817.349879898</v>
      </c>
      <c r="C108" s="234">
        <v>39452391.796768896</v>
      </c>
      <c r="D108" s="166">
        <f t="shared" si="13"/>
        <v>4.9000000000000004</v>
      </c>
      <c r="E108" s="27">
        <f>IFERROR(100/'Skjema total MA'!C108*C108,0)</f>
        <v>11.801155452226896</v>
      </c>
      <c r="F108" s="234"/>
      <c r="G108" s="234"/>
      <c r="H108" s="166"/>
      <c r="I108" s="27"/>
      <c r="J108" s="292">
        <f t="shared" si="21"/>
        <v>37625817.349879898</v>
      </c>
      <c r="K108" s="44">
        <f t="shared" si="21"/>
        <v>39452391.796768896</v>
      </c>
      <c r="L108" s="259">
        <f t="shared" si="16"/>
        <v>4.9000000000000004</v>
      </c>
      <c r="M108" s="27">
        <f>IFERROR(100/'Skjema total MA'!I108*K108,0)</f>
        <v>11.123271323096992</v>
      </c>
    </row>
    <row r="109" spans="1:13" ht="15.6" x14ac:dyDescent="0.25">
      <c r="A109" s="38" t="s">
        <v>437</v>
      </c>
      <c r="B109" s="234">
        <v>597101.79352191102</v>
      </c>
      <c r="C109" s="234">
        <v>768645.91899999999</v>
      </c>
      <c r="D109" s="166">
        <f t="shared" si="13"/>
        <v>28.7</v>
      </c>
      <c r="E109" s="27">
        <f>IFERROR(100/'Skjema total MA'!C109*C109,0)</f>
        <v>48.749713487053072</v>
      </c>
      <c r="F109" s="234">
        <v>18488075.353656001</v>
      </c>
      <c r="G109" s="234">
        <v>26173530.167825989</v>
      </c>
      <c r="H109" s="166">
        <f t="shared" si="14"/>
        <v>41.6</v>
      </c>
      <c r="I109" s="27">
        <f>IFERROR(100/'Skjema total MA'!F109*G109,0)</f>
        <v>17.27217246422196</v>
      </c>
      <c r="J109" s="292">
        <f t="shared" si="21"/>
        <v>19085177.147177912</v>
      </c>
      <c r="K109" s="44">
        <f t="shared" si="21"/>
        <v>26942176.086825989</v>
      </c>
      <c r="L109" s="259">
        <f t="shared" si="16"/>
        <v>41.2</v>
      </c>
      <c r="M109" s="27">
        <f>IFERROR(100/'Skjema total MA'!I109*K109,0)</f>
        <v>17.596321150753795</v>
      </c>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v>165</v>
      </c>
      <c r="C111" s="159">
        <v>240.19800000000001</v>
      </c>
      <c r="D111" s="171">
        <f t="shared" si="13"/>
        <v>45.6</v>
      </c>
      <c r="E111" s="11">
        <f>IFERROR(100/'Skjema total MA'!C111*C111,0)</f>
        <v>5.2275384350627292E-2</v>
      </c>
      <c r="F111" s="310">
        <v>4642975.1730000004</v>
      </c>
      <c r="G111" s="159">
        <v>8683170.1809999999</v>
      </c>
      <c r="H111" s="171">
        <f t="shared" si="14"/>
        <v>87</v>
      </c>
      <c r="I111" s="11">
        <f>IFERROR(100/'Skjema total MA'!F111*G111,0)</f>
        <v>16.380678526703484</v>
      </c>
      <c r="J111" s="311">
        <f t="shared" si="21"/>
        <v>4643140.1730000004</v>
      </c>
      <c r="K111" s="236">
        <f t="shared" si="21"/>
        <v>8683410.3790000007</v>
      </c>
      <c r="L111" s="426">
        <f t="shared" si="16"/>
        <v>87</v>
      </c>
      <c r="M111" s="11">
        <f>IFERROR(100/'Skjema total MA'!I111*K111,0)</f>
        <v>16.240358021534032</v>
      </c>
    </row>
    <row r="112" spans="1:13" x14ac:dyDescent="0.25">
      <c r="A112" s="21" t="s">
        <v>9</v>
      </c>
      <c r="B112" s="234">
        <v>165</v>
      </c>
      <c r="C112" s="145">
        <v>240.19800000000001</v>
      </c>
      <c r="D112" s="166">
        <f t="shared" ref="D112:D120" si="26">IF(B112=0, "    ---- ", IF(ABS(ROUND(100/B112*C112-100,1))&lt;999,ROUND(100/B112*C112-100,1),IF(ROUND(100/B112*C112-100,1)&gt;999,999,-999)))</f>
        <v>45.6</v>
      </c>
      <c r="E112" s="27">
        <f>IFERROR(100/'Skjema total MA'!C112*C112,0)</f>
        <v>6.9408840255208201E-2</v>
      </c>
      <c r="F112" s="234"/>
      <c r="G112" s="145"/>
      <c r="H112" s="166"/>
      <c r="I112" s="27"/>
      <c r="J112" s="292">
        <f t="shared" ref="J112:K125" si="27">SUM(B112,F112)</f>
        <v>165</v>
      </c>
      <c r="K112" s="44">
        <f t="shared" si="27"/>
        <v>240.19800000000001</v>
      </c>
      <c r="L112" s="259">
        <f t="shared" ref="L112:L125" si="28">IF(J112=0, "    ---- ", IF(ABS(ROUND(100/J112*K112-100,1))&lt;999,ROUND(100/J112*K112-100,1),IF(ROUND(100/J112*K112-100,1)&gt;999,999,-999)))</f>
        <v>45.6</v>
      </c>
      <c r="M112" s="27">
        <f>IFERROR(100/'Skjema total MA'!I112*K112,0)</f>
        <v>6.7222439411187301E-2</v>
      </c>
    </row>
    <row r="113" spans="1:14" x14ac:dyDescent="0.25">
      <c r="A113" s="21" t="s">
        <v>10</v>
      </c>
      <c r="B113" s="234"/>
      <c r="C113" s="145"/>
      <c r="D113" s="166"/>
      <c r="E113" s="27"/>
      <c r="F113" s="234">
        <v>4642975.1730000004</v>
      </c>
      <c r="G113" s="145">
        <v>8683170.1809999999</v>
      </c>
      <c r="H113" s="166">
        <f t="shared" ref="H113:H125" si="29">IF(F113=0, "    ---- ", IF(ABS(ROUND(100/F113*G113-100,1))&lt;999,ROUND(100/F113*G113-100,1),IF(ROUND(100/F113*G113-100,1)&gt;999,999,-999)))</f>
        <v>87</v>
      </c>
      <c r="I113" s="27">
        <f>IFERROR(100/'Skjema total MA'!F113*G113,0)</f>
        <v>16.384157473642865</v>
      </c>
      <c r="J113" s="292">
        <f t="shared" si="27"/>
        <v>4642975.1730000004</v>
      </c>
      <c r="K113" s="44">
        <f t="shared" si="27"/>
        <v>8683170.1809999999</v>
      </c>
      <c r="L113" s="259">
        <f t="shared" si="28"/>
        <v>87</v>
      </c>
      <c r="M113" s="27">
        <f>IFERROR(100/'Skjema total MA'!I113*K113,0)</f>
        <v>16.384086635373801</v>
      </c>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v>381477.53899999999</v>
      </c>
      <c r="G117" s="234">
        <v>6290829.4170000004</v>
      </c>
      <c r="H117" s="166">
        <f t="shared" si="29"/>
        <v>999</v>
      </c>
      <c r="I117" s="27">
        <f>IFERROR(100/'Skjema total MA'!F117*G117,0)</f>
        <v>83.462683674268717</v>
      </c>
      <c r="J117" s="292">
        <f t="shared" si="27"/>
        <v>381477.53899999999</v>
      </c>
      <c r="K117" s="44">
        <f t="shared" si="27"/>
        <v>6290829.4170000004</v>
      </c>
      <c r="L117" s="259">
        <f t="shared" si="28"/>
        <v>999</v>
      </c>
      <c r="M117" s="27">
        <f>IFERROR(100/'Skjema total MA'!I117*K117,0)</f>
        <v>83.462683674268717</v>
      </c>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v>47500</v>
      </c>
      <c r="C119" s="159">
        <v>1383.1166799999701</v>
      </c>
      <c r="D119" s="171">
        <f t="shared" si="26"/>
        <v>-97.1</v>
      </c>
      <c r="E119" s="11">
        <f>IFERROR(100/'Skjema total MA'!C119*C119,0)</f>
        <v>0.30463299696875834</v>
      </c>
      <c r="F119" s="310">
        <v>1662835.416</v>
      </c>
      <c r="G119" s="159">
        <v>9268314.3960100003</v>
      </c>
      <c r="H119" s="171">
        <f t="shared" si="29"/>
        <v>457.4</v>
      </c>
      <c r="I119" s="11">
        <f>IFERROR(100/'Skjema total MA'!F119*G119,0)</f>
        <v>15.238466526270679</v>
      </c>
      <c r="J119" s="311">
        <f t="shared" si="27"/>
        <v>1710335.416</v>
      </c>
      <c r="K119" s="236">
        <f t="shared" si="27"/>
        <v>9269697.5126900002</v>
      </c>
      <c r="L119" s="426">
        <f t="shared" si="28"/>
        <v>442</v>
      </c>
      <c r="M119" s="11">
        <f>IFERROR(100/'Skjema total MA'!I119*K119,0)</f>
        <v>15.127813377380219</v>
      </c>
    </row>
    <row r="120" spans="1:14" x14ac:dyDescent="0.25">
      <c r="A120" s="21" t="s">
        <v>9</v>
      </c>
      <c r="B120" s="234">
        <v>47500</v>
      </c>
      <c r="C120" s="145">
        <v>1383.1166799999701</v>
      </c>
      <c r="D120" s="166">
        <f t="shared" si="26"/>
        <v>-97.1</v>
      </c>
      <c r="E120" s="27">
        <f>IFERROR(100/'Skjema total MA'!C120*C120,0)</f>
        <v>0.43577461746440477</v>
      </c>
      <c r="F120" s="234"/>
      <c r="G120" s="145"/>
      <c r="H120" s="166"/>
      <c r="I120" s="27"/>
      <c r="J120" s="292">
        <f t="shared" si="27"/>
        <v>47500</v>
      </c>
      <c r="K120" s="44">
        <f t="shared" si="27"/>
        <v>1383.1166799999701</v>
      </c>
      <c r="L120" s="259">
        <f t="shared" si="28"/>
        <v>-97.1</v>
      </c>
      <c r="M120" s="27">
        <f>IFERROR(100/'Skjema total MA'!I120*K120,0)</f>
        <v>0.43577461746440477</v>
      </c>
    </row>
    <row r="121" spans="1:14" x14ac:dyDescent="0.25">
      <c r="A121" s="21" t="s">
        <v>10</v>
      </c>
      <c r="B121" s="234"/>
      <c r="C121" s="145"/>
      <c r="D121" s="166"/>
      <c r="E121" s="27"/>
      <c r="F121" s="234">
        <v>1662835.416</v>
      </c>
      <c r="G121" s="145">
        <v>9268314.3960100003</v>
      </c>
      <c r="H121" s="166">
        <f t="shared" si="29"/>
        <v>457.4</v>
      </c>
      <c r="I121" s="27">
        <f>IFERROR(100/'Skjema total MA'!F121*G121,0)</f>
        <v>15.238466526270679</v>
      </c>
      <c r="J121" s="292">
        <f t="shared" si="27"/>
        <v>1662835.416</v>
      </c>
      <c r="K121" s="44">
        <f t="shared" si="27"/>
        <v>9268314.3960100003</v>
      </c>
      <c r="L121" s="259">
        <f t="shared" si="28"/>
        <v>457.4</v>
      </c>
      <c r="M121" s="27">
        <f>IFERROR(100/'Skjema total MA'!I121*K121,0)</f>
        <v>15.235898919551946</v>
      </c>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v>477077.98</v>
      </c>
      <c r="G125" s="234">
        <v>7259219.2529999996</v>
      </c>
      <c r="H125" s="166">
        <f t="shared" si="29"/>
        <v>999</v>
      </c>
      <c r="I125" s="27">
        <f>IFERROR(100/'Skjema total MA'!F125*G125,0)</f>
        <v>30.7516100214193</v>
      </c>
      <c r="J125" s="292">
        <f t="shared" si="27"/>
        <v>477077.98</v>
      </c>
      <c r="K125" s="44">
        <f t="shared" si="27"/>
        <v>7259219.2529999996</v>
      </c>
      <c r="L125" s="259">
        <f t="shared" si="28"/>
        <v>999</v>
      </c>
      <c r="M125" s="27">
        <f>IFERROR(100/'Skjema total MA'!I125*K125,0)</f>
        <v>30.74872058974773</v>
      </c>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381" priority="76">
      <formula>kvartal &lt; 4</formula>
    </cfRule>
  </conditionalFormatting>
  <conditionalFormatting sqref="C115">
    <cfRule type="expression" dxfId="380" priority="75">
      <formula>kvartal &lt; 4</formula>
    </cfRule>
  </conditionalFormatting>
  <conditionalFormatting sqref="B123">
    <cfRule type="expression" dxfId="379" priority="74">
      <formula>kvartal &lt; 4</formula>
    </cfRule>
  </conditionalFormatting>
  <conditionalFormatting sqref="C123">
    <cfRule type="expression" dxfId="378" priority="73">
      <formula>kvartal &lt; 4</formula>
    </cfRule>
  </conditionalFormatting>
  <conditionalFormatting sqref="F115">
    <cfRule type="expression" dxfId="377" priority="58">
      <formula>kvartal &lt; 4</formula>
    </cfRule>
  </conditionalFormatting>
  <conditionalFormatting sqref="G115">
    <cfRule type="expression" dxfId="376" priority="57">
      <formula>kvartal &lt; 4</formula>
    </cfRule>
  </conditionalFormatting>
  <conditionalFormatting sqref="F123:G123">
    <cfRule type="expression" dxfId="375" priority="56">
      <formula>kvartal &lt; 4</formula>
    </cfRule>
  </conditionalFormatting>
  <conditionalFormatting sqref="J115:K115">
    <cfRule type="expression" dxfId="374" priority="32">
      <formula>kvartal &lt; 4</formula>
    </cfRule>
  </conditionalFormatting>
  <conditionalFormatting sqref="J123:K123">
    <cfRule type="expression" dxfId="373" priority="31">
      <formula>kvartal &lt; 4</formula>
    </cfRule>
  </conditionalFormatting>
  <conditionalFormatting sqref="A50:A52">
    <cfRule type="expression" dxfId="372" priority="12">
      <formula>kvartal &lt; 4</formula>
    </cfRule>
  </conditionalFormatting>
  <conditionalFormatting sqref="A69:A74">
    <cfRule type="expression" dxfId="371" priority="10">
      <formula>kvartal &lt; 4</formula>
    </cfRule>
  </conditionalFormatting>
  <conditionalFormatting sqref="A80:A85">
    <cfRule type="expression" dxfId="370" priority="9">
      <formula>kvartal &lt; 4</formula>
    </cfRule>
  </conditionalFormatting>
  <conditionalFormatting sqref="A90:A95">
    <cfRule type="expression" dxfId="369" priority="6">
      <formula>kvartal &lt; 4</formula>
    </cfRule>
  </conditionalFormatting>
  <conditionalFormatting sqref="A101:A106">
    <cfRule type="expression" dxfId="368" priority="5">
      <formula>kvartal &lt; 4</formula>
    </cfRule>
  </conditionalFormatting>
  <conditionalFormatting sqref="A115">
    <cfRule type="expression" dxfId="367" priority="4">
      <formula>kvartal &lt; 4</formula>
    </cfRule>
  </conditionalFormatting>
  <conditionalFormatting sqref="A123">
    <cfRule type="expression" dxfId="366" priority="3">
      <formula>kvartal &lt; 4</formula>
    </cfRule>
  </conditionalFormatting>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Normal="100" workbookViewId="0">
      <selection activeCell="B1" sqref="B1"/>
    </sheetView>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95</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c r="C7" s="309"/>
      <c r="D7" s="351"/>
      <c r="E7" s="11"/>
      <c r="F7" s="308"/>
      <c r="G7" s="309"/>
      <c r="H7" s="351"/>
      <c r="I7" s="160"/>
      <c r="J7" s="310"/>
      <c r="K7" s="311"/>
      <c r="L7" s="425"/>
      <c r="M7" s="11"/>
    </row>
    <row r="8" spans="1:14" ht="15.6" x14ac:dyDescent="0.25">
      <c r="A8" s="21" t="s">
        <v>25</v>
      </c>
      <c r="B8" s="286"/>
      <c r="C8" s="287"/>
      <c r="D8" s="166"/>
      <c r="E8" s="27"/>
      <c r="F8" s="290"/>
      <c r="G8" s="291"/>
      <c r="H8" s="166"/>
      <c r="I8" s="176"/>
      <c r="J8" s="234"/>
      <c r="K8" s="292"/>
      <c r="L8" s="166"/>
      <c r="M8" s="27"/>
    </row>
    <row r="9" spans="1:14" ht="15.6" x14ac:dyDescent="0.25">
      <c r="A9" s="21" t="s">
        <v>24</v>
      </c>
      <c r="B9" s="286"/>
      <c r="C9" s="287"/>
      <c r="D9" s="166"/>
      <c r="E9" s="27"/>
      <c r="F9" s="290"/>
      <c r="G9" s="291"/>
      <c r="H9" s="166"/>
      <c r="I9" s="176"/>
      <c r="J9" s="234"/>
      <c r="K9" s="292"/>
      <c r="L9" s="166"/>
      <c r="M9" s="27"/>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1"/>
      <c r="J22" s="318"/>
      <c r="K22" s="318"/>
      <c r="L22" s="425"/>
      <c r="M22" s="24"/>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c r="C28" s="292"/>
      <c r="D28" s="166"/>
      <c r="E28" s="11"/>
      <c r="F28" s="321"/>
      <c r="G28" s="321"/>
      <c r="H28" s="166"/>
      <c r="I28" s="27"/>
      <c r="J28" s="44"/>
      <c r="K28" s="44"/>
      <c r="L28" s="259"/>
      <c r="M28" s="23"/>
    </row>
    <row r="29" spans="1:14" s="3" customFormat="1" ht="15.6" x14ac:dyDescent="0.25">
      <c r="A29" s="13" t="s">
        <v>363</v>
      </c>
      <c r="B29" s="236"/>
      <c r="C29" s="236"/>
      <c r="D29" s="171"/>
      <c r="E29" s="11"/>
      <c r="F29" s="310"/>
      <c r="G29" s="310"/>
      <c r="H29" s="171"/>
      <c r="I29" s="11"/>
      <c r="J29" s="236"/>
      <c r="K29" s="236"/>
      <c r="L29" s="426"/>
      <c r="M29" s="24"/>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v>0</v>
      </c>
      <c r="C38" s="311">
        <v>14000</v>
      </c>
      <c r="D38" s="171" t="str">
        <f t="shared" ref="D38" si="0">IF(B38=0, "    ---- ", IF(ABS(ROUND(100/B38*C38-100,1))&lt;999,ROUND(100/B38*C38-100,1),IF(ROUND(100/B38*C38-100,1)&gt;999,999,-999)))</f>
        <v xml:space="preserve">    ---- </v>
      </c>
      <c r="E38" s="24">
        <f>IFERROR(100/'Skjema total MA'!C37*C38,0)</f>
        <v>0.41810827275745088</v>
      </c>
      <c r="F38" s="321"/>
      <c r="G38" s="322"/>
      <c r="H38" s="171"/>
      <c r="I38" s="432"/>
      <c r="J38" s="236">
        <f t="shared" ref="J38" si="1">SUM(B38,F38)</f>
        <v>0</v>
      </c>
      <c r="K38" s="236">
        <f t="shared" ref="K38" si="2">SUM(C38,G38)</f>
        <v>14000</v>
      </c>
      <c r="L38" s="426"/>
      <c r="M38" s="24">
        <f>IFERROR(100/'Skjema total MA'!I38*K38,0)</f>
        <v>100</v>
      </c>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23708</v>
      </c>
      <c r="C47" s="313">
        <v>23424</v>
      </c>
      <c r="D47" s="425">
        <f t="shared" ref="D47:D48" si="3">IF(B47=0, "    ---- ", IF(ABS(ROUND(100/B47*C47-100,1))&lt;999,ROUND(100/B47*C47-100,1),IF(ROUND(100/B47*C47-100,1)&gt;999,999,-999)))</f>
        <v>-1.2</v>
      </c>
      <c r="E47" s="11">
        <f>IFERROR(100/'Skjema total MA'!C47*C47,0)</f>
        <v>0.52392241953198704</v>
      </c>
      <c r="F47" s="145"/>
      <c r="G47" s="33"/>
      <c r="H47" s="159"/>
      <c r="I47" s="159"/>
      <c r="J47" s="37"/>
      <c r="K47" s="37"/>
      <c r="L47" s="159"/>
      <c r="M47" s="159"/>
      <c r="N47" s="148"/>
    </row>
    <row r="48" spans="1:14" s="3" customFormat="1" ht="15.6" x14ac:dyDescent="0.25">
      <c r="A48" s="38" t="s">
        <v>374</v>
      </c>
      <c r="B48" s="286">
        <v>23708</v>
      </c>
      <c r="C48" s="287">
        <v>23424</v>
      </c>
      <c r="D48" s="259">
        <f t="shared" si="3"/>
        <v>-1.2</v>
      </c>
      <c r="E48" s="27">
        <f>IFERROR(100/'Skjema total MA'!C48*C48,0)</f>
        <v>0.93424385219468975</v>
      </c>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v>2449752</v>
      </c>
      <c r="C134" s="311">
        <v>6027143</v>
      </c>
      <c r="D134" s="351">
        <v>146</v>
      </c>
      <c r="E134" s="11">
        <v>12.624604874032558</v>
      </c>
      <c r="F134" s="318"/>
      <c r="G134" s="319"/>
      <c r="H134" s="429"/>
      <c r="I134" s="24"/>
      <c r="J134" s="320">
        <f t="shared" ref="J134:K137" si="4">SUM(B134,F134)</f>
        <v>2449752</v>
      </c>
      <c r="K134" s="320">
        <f t="shared" si="4"/>
        <v>6027143</v>
      </c>
      <c r="L134" s="425">
        <f t="shared" ref="L134:L137" si="5">IF(J134=0, "    ---- ", IF(ABS(ROUND(100/J134*K134-100,1))&lt;999,ROUND(100/J134*K134-100,1),IF(ROUND(100/J134*K134-100,1)&gt;999,999,-999)))</f>
        <v>146</v>
      </c>
      <c r="M134" s="11">
        <f>IFERROR(100/'Skjema total MA'!I134*K134,0)</f>
        <v>12.593932549871193</v>
      </c>
      <c r="N134" s="148"/>
    </row>
    <row r="135" spans="1:14" s="3" customFormat="1" ht="15.6" x14ac:dyDescent="0.25">
      <c r="A135" s="13" t="s">
        <v>392</v>
      </c>
      <c r="B135" s="236">
        <v>80017880</v>
      </c>
      <c r="C135" s="311">
        <v>90681751</v>
      </c>
      <c r="D135" s="171">
        <v>13.3</v>
      </c>
      <c r="E135" s="11">
        <v>13.634889894695995</v>
      </c>
      <c r="F135" s="236"/>
      <c r="G135" s="311"/>
      <c r="H135" s="430"/>
      <c r="I135" s="24"/>
      <c r="J135" s="310">
        <f t="shared" si="4"/>
        <v>80017880</v>
      </c>
      <c r="K135" s="310">
        <f t="shared" si="4"/>
        <v>90681751</v>
      </c>
      <c r="L135" s="426">
        <f t="shared" si="5"/>
        <v>13.3</v>
      </c>
      <c r="M135" s="11">
        <f>IFERROR(100/'Skjema total MA'!I135*K135,0)</f>
        <v>13.590487103594452</v>
      </c>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v>41000</v>
      </c>
      <c r="C137" s="317">
        <v>0</v>
      </c>
      <c r="D137" s="169">
        <v>-100</v>
      </c>
      <c r="E137" s="9">
        <v>0</v>
      </c>
      <c r="F137" s="281"/>
      <c r="G137" s="317"/>
      <c r="H137" s="431"/>
      <c r="I137" s="36"/>
      <c r="J137" s="316">
        <f t="shared" si="4"/>
        <v>41000</v>
      </c>
      <c r="K137" s="316">
        <f t="shared" si="4"/>
        <v>0</v>
      </c>
      <c r="L137" s="427">
        <f t="shared" si="5"/>
        <v>-100</v>
      </c>
      <c r="M137" s="36">
        <f>IFERROR(100/'Skjema total MA'!I137*K137,0)</f>
        <v>0</v>
      </c>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365" priority="76">
      <formula>kvartal &lt; 4</formula>
    </cfRule>
  </conditionalFormatting>
  <conditionalFormatting sqref="C115">
    <cfRule type="expression" dxfId="364" priority="75">
      <formula>kvartal &lt; 4</formula>
    </cfRule>
  </conditionalFormatting>
  <conditionalFormatting sqref="B123">
    <cfRule type="expression" dxfId="363" priority="74">
      <formula>kvartal &lt; 4</formula>
    </cfRule>
  </conditionalFormatting>
  <conditionalFormatting sqref="C123">
    <cfRule type="expression" dxfId="362" priority="73">
      <formula>kvartal &lt; 4</formula>
    </cfRule>
  </conditionalFormatting>
  <conditionalFormatting sqref="F115">
    <cfRule type="expression" dxfId="361" priority="58">
      <formula>kvartal &lt; 4</formula>
    </cfRule>
  </conditionalFormatting>
  <conditionalFormatting sqref="G115">
    <cfRule type="expression" dxfId="360" priority="57">
      <formula>kvartal &lt; 4</formula>
    </cfRule>
  </conditionalFormatting>
  <conditionalFormatting sqref="F123:G123">
    <cfRule type="expression" dxfId="359" priority="56">
      <formula>kvartal &lt; 4</formula>
    </cfRule>
  </conditionalFormatting>
  <conditionalFormatting sqref="J115:K115">
    <cfRule type="expression" dxfId="358" priority="32">
      <formula>kvartal &lt; 4</formula>
    </cfRule>
  </conditionalFormatting>
  <conditionalFormatting sqref="J123:K123">
    <cfRule type="expression" dxfId="357" priority="31">
      <formula>kvartal &lt; 4</formula>
    </cfRule>
  </conditionalFormatting>
  <conditionalFormatting sqref="A50:A52">
    <cfRule type="expression" dxfId="356" priority="12">
      <formula>kvartal &lt; 4</formula>
    </cfRule>
  </conditionalFormatting>
  <conditionalFormatting sqref="A69:A74">
    <cfRule type="expression" dxfId="355" priority="10">
      <formula>kvartal &lt; 4</formula>
    </cfRule>
  </conditionalFormatting>
  <conditionalFormatting sqref="A80:A85">
    <cfRule type="expression" dxfId="354" priority="9">
      <formula>kvartal &lt; 4</formula>
    </cfRule>
  </conditionalFormatting>
  <conditionalFormatting sqref="A90:A95">
    <cfRule type="expression" dxfId="353" priority="6">
      <formula>kvartal &lt; 4</formula>
    </cfRule>
  </conditionalFormatting>
  <conditionalFormatting sqref="A101:A106">
    <cfRule type="expression" dxfId="352" priority="5">
      <formula>kvartal &lt; 4</formula>
    </cfRule>
  </conditionalFormatting>
  <conditionalFormatting sqref="A115">
    <cfRule type="expression" dxfId="351" priority="4">
      <formula>kvartal &lt; 4</formula>
    </cfRule>
  </conditionalFormatting>
  <conditionalFormatting sqref="A123">
    <cfRule type="expression" dxfId="350" priority="3">
      <formula>kvartal &lt; 4</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580" t="s">
        <v>362</v>
      </c>
      <c r="D1" s="26"/>
      <c r="E1" s="26"/>
      <c r="F1" s="26"/>
      <c r="G1" s="26"/>
      <c r="H1" s="26"/>
      <c r="I1" s="26"/>
      <c r="J1" s="26"/>
      <c r="K1" s="26"/>
      <c r="L1" s="26"/>
      <c r="M1" s="26"/>
    </row>
    <row r="2" spans="1:14" ht="15.6" x14ac:dyDescent="0.3">
      <c r="A2" s="165" t="s">
        <v>28</v>
      </c>
      <c r="B2" s="723"/>
      <c r="C2" s="723"/>
      <c r="D2" s="723"/>
      <c r="E2" s="577"/>
      <c r="F2" s="723"/>
      <c r="G2" s="723"/>
      <c r="H2" s="723"/>
      <c r="I2" s="577"/>
      <c r="J2" s="723"/>
      <c r="K2" s="723"/>
      <c r="L2" s="723"/>
      <c r="M2" s="577"/>
    </row>
    <row r="3" spans="1:14" ht="15.6" x14ac:dyDescent="0.3">
      <c r="A3" s="163"/>
      <c r="B3" s="577"/>
      <c r="C3" s="577"/>
      <c r="D3" s="577"/>
      <c r="E3" s="577"/>
      <c r="F3" s="577"/>
      <c r="G3" s="577"/>
      <c r="H3" s="577"/>
      <c r="I3" s="577"/>
      <c r="J3" s="577"/>
      <c r="K3" s="577"/>
      <c r="L3" s="577"/>
      <c r="M3" s="577"/>
    </row>
    <row r="4" spans="1:14" x14ac:dyDescent="0.25">
      <c r="A4" s="144"/>
      <c r="B4" s="724" t="s">
        <v>0</v>
      </c>
      <c r="C4" s="725"/>
      <c r="D4" s="725"/>
      <c r="E4" s="575"/>
      <c r="F4" s="724" t="s">
        <v>1</v>
      </c>
      <c r="G4" s="725"/>
      <c r="H4" s="725"/>
      <c r="I4" s="576"/>
      <c r="J4" s="724" t="s">
        <v>2</v>
      </c>
      <c r="K4" s="725"/>
      <c r="L4" s="725"/>
      <c r="M4" s="57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v>2087</v>
      </c>
      <c r="C7" s="309">
        <v>2061.7857186615802</v>
      </c>
      <c r="D7" s="351">
        <f>IF(B7=0, "    ---- ", IF(ABS(ROUND(100/B7*C7-100,1))&lt;999,ROUND(100/B7*C7-100,1),IF(ROUND(100/B7*C7-100,1)&gt;999,999,-999)))</f>
        <v>-1.2</v>
      </c>
      <c r="E7" s="11">
        <f>IFERROR(100/'Skjema total MA'!C7*C7,0)</f>
        <v>5.406567551783574E-2</v>
      </c>
      <c r="F7" s="308"/>
      <c r="G7" s="309"/>
      <c r="H7" s="351"/>
      <c r="I7" s="160"/>
      <c r="J7" s="310">
        <f t="shared" ref="J7:K9" si="0">SUM(B7,F7)</f>
        <v>2087</v>
      </c>
      <c r="K7" s="311">
        <f t="shared" si="0"/>
        <v>2061.7857186615802</v>
      </c>
      <c r="L7" s="425">
        <f>IF(J7=0, "    ---- ", IF(ABS(ROUND(100/J7*K7-100,1))&lt;999,ROUND(100/J7*K7-100,1),IF(ROUND(100/J7*K7-100,1)&gt;999,999,-999)))</f>
        <v>-1.2</v>
      </c>
      <c r="M7" s="11">
        <f>IFERROR(100/'Skjema total MA'!I7*K7,0)</f>
        <v>1.4026193072559539E-2</v>
      </c>
    </row>
    <row r="8" spans="1:14" ht="15.6" x14ac:dyDescent="0.25">
      <c r="A8" s="21" t="s">
        <v>25</v>
      </c>
      <c r="B8" s="286"/>
      <c r="C8" s="287"/>
      <c r="D8" s="166"/>
      <c r="E8" s="27"/>
      <c r="F8" s="290"/>
      <c r="G8" s="291"/>
      <c r="H8" s="166"/>
      <c r="I8" s="176"/>
      <c r="J8" s="234"/>
      <c r="K8" s="292"/>
      <c r="L8" s="166"/>
      <c r="M8" s="27"/>
    </row>
    <row r="9" spans="1:14" ht="15.6" x14ac:dyDescent="0.25">
      <c r="A9" s="21" t="s">
        <v>24</v>
      </c>
      <c r="B9" s="286">
        <v>2087</v>
      </c>
      <c r="C9" s="287">
        <v>2061.7857186615802</v>
      </c>
      <c r="D9" s="166">
        <f t="shared" ref="D9" si="1">IF(B9=0, "    ---- ", IF(ABS(ROUND(100/B9*C9-100,1))&lt;999,ROUND(100/B9*C9-100,1),IF(ROUND(100/B9*C9-100,1)&gt;999,999,-999)))</f>
        <v>-1.2</v>
      </c>
      <c r="E9" s="27">
        <f>IFERROR(100/'Skjema total MA'!C9*C9,0)</f>
        <v>0.25993984088426358</v>
      </c>
      <c r="F9" s="290"/>
      <c r="G9" s="291"/>
      <c r="H9" s="166"/>
      <c r="I9" s="176"/>
      <c r="J9" s="234">
        <f t="shared" si="0"/>
        <v>2087</v>
      </c>
      <c r="K9" s="292">
        <f t="shared" si="0"/>
        <v>2061.7857186615802</v>
      </c>
      <c r="L9" s="166">
        <f t="shared" ref="L9" si="2">IF(J9=0, "    ---- ", IF(ABS(ROUND(100/J9*K9-100,1))&lt;999,ROUND(100/J9*K9-100,1),IF(ROUND(100/J9*K9-100,1)&gt;999,999,-999)))</f>
        <v>-1.2</v>
      </c>
      <c r="M9" s="27">
        <f>IFERROR(100/'Skjema total MA'!I9*K9,0)</f>
        <v>0.25993984088426358</v>
      </c>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577"/>
      <c r="F18" s="726"/>
      <c r="G18" s="726"/>
      <c r="H18" s="726"/>
      <c r="I18" s="577"/>
      <c r="J18" s="726"/>
      <c r="K18" s="726"/>
      <c r="L18" s="726"/>
      <c r="M18" s="577"/>
    </row>
    <row r="19" spans="1:14" x14ac:dyDescent="0.25">
      <c r="A19" s="144"/>
      <c r="B19" s="724" t="s">
        <v>0</v>
      </c>
      <c r="C19" s="725"/>
      <c r="D19" s="725"/>
      <c r="E19" s="575"/>
      <c r="F19" s="724" t="s">
        <v>1</v>
      </c>
      <c r="G19" s="725"/>
      <c r="H19" s="725"/>
      <c r="I19" s="576"/>
      <c r="J19" s="724" t="s">
        <v>2</v>
      </c>
      <c r="K19" s="725"/>
      <c r="L19" s="725"/>
      <c r="M19" s="57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1"/>
      <c r="J22" s="318"/>
      <c r="K22" s="318"/>
      <c r="L22" s="425"/>
      <c r="M22" s="24"/>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c r="C28" s="292"/>
      <c r="D28" s="166"/>
      <c r="E28" s="11"/>
      <c r="F28" s="321"/>
      <c r="G28" s="321"/>
      <c r="H28" s="166"/>
      <c r="I28" s="27"/>
      <c r="J28" s="44"/>
      <c r="K28" s="44"/>
      <c r="L28" s="259"/>
      <c r="M28" s="23"/>
    </row>
    <row r="29" spans="1:14" s="3" customFormat="1" ht="15.6" x14ac:dyDescent="0.25">
      <c r="A29" s="13" t="s">
        <v>363</v>
      </c>
      <c r="B29" s="236"/>
      <c r="C29" s="236"/>
      <c r="D29" s="171"/>
      <c r="E29" s="11"/>
      <c r="F29" s="310"/>
      <c r="G29" s="310"/>
      <c r="H29" s="171"/>
      <c r="I29" s="11"/>
      <c r="J29" s="236"/>
      <c r="K29" s="236"/>
      <c r="L29" s="426"/>
      <c r="M29" s="24"/>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579"/>
    </row>
    <row r="41" spans="1:14" x14ac:dyDescent="0.25">
      <c r="A41" s="155"/>
    </row>
    <row r="42" spans="1:14" ht="15.6" x14ac:dyDescent="0.3">
      <c r="A42" s="147" t="s">
        <v>271</v>
      </c>
      <c r="B42" s="723"/>
      <c r="C42" s="723"/>
      <c r="D42" s="723"/>
      <c r="E42" s="577"/>
      <c r="F42" s="728"/>
      <c r="G42" s="728"/>
      <c r="H42" s="728"/>
      <c r="I42" s="579"/>
      <c r="J42" s="728"/>
      <c r="K42" s="728"/>
      <c r="L42" s="728"/>
      <c r="M42" s="579"/>
    </row>
    <row r="43" spans="1:14" ht="15.6" x14ac:dyDescent="0.3">
      <c r="A43" s="163"/>
      <c r="B43" s="578"/>
      <c r="C43" s="578"/>
      <c r="D43" s="578"/>
      <c r="E43" s="578"/>
      <c r="F43" s="579"/>
      <c r="G43" s="579"/>
      <c r="H43" s="579"/>
      <c r="I43" s="579"/>
      <c r="J43" s="579"/>
      <c r="K43" s="579"/>
      <c r="L43" s="579"/>
      <c r="M43" s="579"/>
    </row>
    <row r="44" spans="1:14" ht="15.6" x14ac:dyDescent="0.3">
      <c r="A44" s="249"/>
      <c r="B44" s="724" t="s">
        <v>0</v>
      </c>
      <c r="C44" s="725"/>
      <c r="D44" s="725"/>
      <c r="E44" s="244"/>
      <c r="F44" s="579"/>
      <c r="G44" s="579"/>
      <c r="H44" s="579"/>
      <c r="I44" s="579"/>
      <c r="J44" s="579"/>
      <c r="K44" s="579"/>
      <c r="L44" s="579"/>
      <c r="M44" s="579"/>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284962.49045636802</v>
      </c>
      <c r="C47" s="313">
        <v>311683.49974882702</v>
      </c>
      <c r="D47" s="425">
        <f t="shared" ref="D47:D48" si="3">IF(B47=0, "    ---- ", IF(ABS(ROUND(100/B47*C47-100,1))&lt;999,ROUND(100/B47*C47-100,1),IF(ROUND(100/B47*C47-100,1)&gt;999,999,-999)))</f>
        <v>9.4</v>
      </c>
      <c r="E47" s="11">
        <f>IFERROR(100/'Skjema total MA'!C47*C47,0)</f>
        <v>6.9713957187757396</v>
      </c>
      <c r="F47" s="145"/>
      <c r="G47" s="33"/>
      <c r="H47" s="159"/>
      <c r="I47" s="159"/>
      <c r="J47" s="37"/>
      <c r="K47" s="37"/>
      <c r="L47" s="159"/>
      <c r="M47" s="159"/>
      <c r="N47" s="148"/>
    </row>
    <row r="48" spans="1:14" s="3" customFormat="1" ht="15.6" x14ac:dyDescent="0.25">
      <c r="A48" s="38" t="s">
        <v>374</v>
      </c>
      <c r="B48" s="286">
        <v>284962.49045636802</v>
      </c>
      <c r="C48" s="287">
        <v>311683.49974882702</v>
      </c>
      <c r="D48" s="259">
        <f t="shared" si="3"/>
        <v>9.4</v>
      </c>
      <c r="E48" s="27">
        <f>IFERROR(100/'Skjema total MA'!C48*C48,0)</f>
        <v>12.431198491754898</v>
      </c>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577"/>
      <c r="F62" s="726"/>
      <c r="G62" s="726"/>
      <c r="H62" s="726"/>
      <c r="I62" s="577"/>
      <c r="J62" s="726"/>
      <c r="K62" s="726"/>
      <c r="L62" s="726"/>
      <c r="M62" s="577"/>
    </row>
    <row r="63" spans="1:14" x14ac:dyDescent="0.25">
      <c r="A63" s="144"/>
      <c r="B63" s="724" t="s">
        <v>0</v>
      </c>
      <c r="C63" s="725"/>
      <c r="D63" s="729"/>
      <c r="E63" s="574"/>
      <c r="F63" s="725" t="s">
        <v>1</v>
      </c>
      <c r="G63" s="725"/>
      <c r="H63" s="725"/>
      <c r="I63" s="576"/>
      <c r="J63" s="724" t="s">
        <v>2</v>
      </c>
      <c r="K63" s="725"/>
      <c r="L63" s="725"/>
      <c r="M63" s="57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577"/>
      <c r="F130" s="726"/>
      <c r="G130" s="726"/>
      <c r="H130" s="726"/>
      <c r="I130" s="577"/>
      <c r="J130" s="726"/>
      <c r="K130" s="726"/>
      <c r="L130" s="726"/>
      <c r="M130" s="577"/>
    </row>
    <row r="131" spans="1:14" s="3" customFormat="1" x14ac:dyDescent="0.25">
      <c r="A131" s="144"/>
      <c r="B131" s="724" t="s">
        <v>0</v>
      </c>
      <c r="C131" s="725"/>
      <c r="D131" s="725"/>
      <c r="E131" s="575"/>
      <c r="F131" s="724" t="s">
        <v>1</v>
      </c>
      <c r="G131" s="725"/>
      <c r="H131" s="725"/>
      <c r="I131" s="576"/>
      <c r="J131" s="724" t="s">
        <v>2</v>
      </c>
      <c r="K131" s="725"/>
      <c r="L131" s="725"/>
      <c r="M131" s="57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115">
    <cfRule type="expression" dxfId="349" priority="45">
      <formula>kvartal &lt; 4</formula>
    </cfRule>
  </conditionalFormatting>
  <conditionalFormatting sqref="C115">
    <cfRule type="expression" dxfId="348" priority="44">
      <formula>kvartal &lt; 4</formula>
    </cfRule>
  </conditionalFormatting>
  <conditionalFormatting sqref="B123">
    <cfRule type="expression" dxfId="347" priority="43">
      <formula>kvartal &lt; 4</formula>
    </cfRule>
  </conditionalFormatting>
  <conditionalFormatting sqref="C123">
    <cfRule type="expression" dxfId="346" priority="42">
      <formula>kvartal &lt; 4</formula>
    </cfRule>
  </conditionalFormatting>
  <conditionalFormatting sqref="F115">
    <cfRule type="expression" dxfId="345" priority="31">
      <formula>kvartal &lt; 4</formula>
    </cfRule>
  </conditionalFormatting>
  <conditionalFormatting sqref="G115">
    <cfRule type="expression" dxfId="344" priority="30">
      <formula>kvartal &lt; 4</formula>
    </cfRule>
  </conditionalFormatting>
  <conditionalFormatting sqref="F123:G123">
    <cfRule type="expression" dxfId="343" priority="29">
      <formula>kvartal &lt; 4</formula>
    </cfRule>
  </conditionalFormatting>
  <conditionalFormatting sqref="J115:K115">
    <cfRule type="expression" dxfId="342" priority="12">
      <formula>kvartal &lt; 4</formula>
    </cfRule>
  </conditionalFormatting>
  <conditionalFormatting sqref="J123:K123">
    <cfRule type="expression" dxfId="341" priority="11">
      <formula>kvartal &lt; 4</formula>
    </cfRule>
  </conditionalFormatting>
  <conditionalFormatting sqref="A50:A52">
    <cfRule type="expression" dxfId="340" priority="8">
      <formula>kvartal &lt; 4</formula>
    </cfRule>
  </conditionalFormatting>
  <conditionalFormatting sqref="A69:A74">
    <cfRule type="expression" dxfId="339" priority="7">
      <formula>kvartal &lt; 4</formula>
    </cfRule>
  </conditionalFormatting>
  <conditionalFormatting sqref="A80:A85">
    <cfRule type="expression" dxfId="338" priority="6">
      <formula>kvartal &lt; 4</formula>
    </cfRule>
  </conditionalFormatting>
  <conditionalFormatting sqref="A90:A95">
    <cfRule type="expression" dxfId="337" priority="5">
      <formula>kvartal &lt; 4</formula>
    </cfRule>
  </conditionalFormatting>
  <conditionalFormatting sqref="A101:A106">
    <cfRule type="expression" dxfId="336" priority="4">
      <formula>kvartal &lt; 4</formula>
    </cfRule>
  </conditionalFormatting>
  <conditionalFormatting sqref="A115">
    <cfRule type="expression" dxfId="335" priority="3">
      <formula>kvartal &lt; 4</formula>
    </cfRule>
  </conditionalFormatting>
  <conditionalFormatting sqref="A123">
    <cfRule type="expression" dxfId="334" priority="2">
      <formula>kvartal &lt; 4</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P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72</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c r="C7" s="309"/>
      <c r="D7" s="351"/>
      <c r="E7" s="11"/>
      <c r="F7" s="308">
        <v>62930.651330000001</v>
      </c>
      <c r="G7" s="309">
        <v>83179.620139999999</v>
      </c>
      <c r="H7" s="351">
        <v>32.200000000000003</v>
      </c>
      <c r="I7" s="160">
        <v>0.76409330934724196</v>
      </c>
      <c r="J7" s="310">
        <f t="shared" ref="J7:K12" si="0">SUM(B7,F7)</f>
        <v>62930.651330000001</v>
      </c>
      <c r="K7" s="311">
        <f t="shared" si="0"/>
        <v>83179.620139999999</v>
      </c>
      <c r="L7" s="425">
        <f>IF(J7=0, "    ---- ", IF(ABS(ROUND(100/J7*K7-100,1))&lt;999,ROUND(100/J7*K7-100,1),IF(ROUND(100/J7*K7-100,1)&gt;999,999,-999)))</f>
        <v>32.200000000000003</v>
      </c>
      <c r="M7" s="11">
        <f>IFERROR(100/'Skjema total MA'!I7*K7,0)</f>
        <v>0.56586550252330181</v>
      </c>
    </row>
    <row r="8" spans="1:14" ht="15.6" x14ac:dyDescent="0.25">
      <c r="A8" s="21" t="s">
        <v>25</v>
      </c>
      <c r="B8" s="286"/>
      <c r="C8" s="287"/>
      <c r="D8" s="166"/>
      <c r="E8" s="27"/>
      <c r="F8" s="290"/>
      <c r="G8" s="291"/>
      <c r="H8" s="166"/>
      <c r="I8" s="176"/>
      <c r="J8" s="234"/>
      <c r="K8" s="292"/>
      <c r="L8" s="166"/>
      <c r="M8" s="27"/>
    </row>
    <row r="9" spans="1:14" ht="15.6" x14ac:dyDescent="0.25">
      <c r="A9" s="21" t="s">
        <v>24</v>
      </c>
      <c r="B9" s="286"/>
      <c r="C9" s="287"/>
      <c r="D9" s="166"/>
      <c r="E9" s="27"/>
      <c r="F9" s="290"/>
      <c r="G9" s="291"/>
      <c r="H9" s="166"/>
      <c r="I9" s="176"/>
      <c r="J9" s="234"/>
      <c r="K9" s="292"/>
      <c r="L9" s="166"/>
      <c r="M9" s="27"/>
    </row>
    <row r="10" spans="1:14" ht="15.6" x14ac:dyDescent="0.25">
      <c r="A10" s="13" t="s">
        <v>363</v>
      </c>
      <c r="B10" s="312"/>
      <c r="C10" s="313"/>
      <c r="D10" s="171"/>
      <c r="E10" s="11"/>
      <c r="F10" s="312">
        <v>996344.74719000002</v>
      </c>
      <c r="G10" s="313">
        <v>1239557.0603499999</v>
      </c>
      <c r="H10" s="171">
        <v>24.4</v>
      </c>
      <c r="I10" s="160">
        <v>1.6933478508535424</v>
      </c>
      <c r="J10" s="310">
        <f t="shared" si="0"/>
        <v>996344.74719000002</v>
      </c>
      <c r="K10" s="311">
        <f t="shared" si="0"/>
        <v>1239557.0603499999</v>
      </c>
      <c r="L10" s="426">
        <f t="shared" ref="L10:L12" si="1">IF(J10=0, "    ---- ", IF(ABS(ROUND(100/J10*K10-100,1))&lt;999,ROUND(100/J10*K10-100,1),IF(ROUND(100/J10*K10-100,1)&gt;999,999,-999)))</f>
        <v>24.4</v>
      </c>
      <c r="M10" s="11">
        <f>IFERROR(100/'Skjema total MA'!I10*K10,0)</f>
        <v>1.374264420543805</v>
      </c>
    </row>
    <row r="11" spans="1:14" s="43" customFormat="1" ht="15.6" x14ac:dyDescent="0.25">
      <c r="A11" s="13" t="s">
        <v>364</v>
      </c>
      <c r="B11" s="312"/>
      <c r="C11" s="313"/>
      <c r="D11" s="171"/>
      <c r="E11" s="11"/>
      <c r="F11" s="312">
        <v>8087.3649999999998</v>
      </c>
      <c r="G11" s="313">
        <v>8674.8909999999996</v>
      </c>
      <c r="H11" s="171">
        <v>7.3</v>
      </c>
      <c r="I11" s="160">
        <v>2.5123007424428803</v>
      </c>
      <c r="J11" s="310">
        <f t="shared" si="0"/>
        <v>8087.3649999999998</v>
      </c>
      <c r="K11" s="311">
        <f t="shared" si="0"/>
        <v>8674.8909999999996</v>
      </c>
      <c r="L11" s="426">
        <f t="shared" si="1"/>
        <v>7.3</v>
      </c>
      <c r="M11" s="11">
        <f>IFERROR(100/'Skjema total MA'!I11*K11,0)</f>
        <v>2.2388053453674743</v>
      </c>
      <c r="N11" s="143"/>
    </row>
    <row r="12" spans="1:14" s="43" customFormat="1" ht="15.6" x14ac:dyDescent="0.25">
      <c r="A12" s="41" t="s">
        <v>365</v>
      </c>
      <c r="B12" s="314"/>
      <c r="C12" s="315"/>
      <c r="D12" s="169"/>
      <c r="E12" s="36"/>
      <c r="F12" s="314">
        <v>270.10388</v>
      </c>
      <c r="G12" s="315">
        <v>12024.84743</v>
      </c>
      <c r="H12" s="169">
        <v>999</v>
      </c>
      <c r="I12" s="169">
        <v>8.2093186850150417</v>
      </c>
      <c r="J12" s="316">
        <f t="shared" si="0"/>
        <v>270.10388</v>
      </c>
      <c r="K12" s="317">
        <f t="shared" si="0"/>
        <v>12024.84743</v>
      </c>
      <c r="L12" s="427">
        <f t="shared" si="1"/>
        <v>999</v>
      </c>
      <c r="M12" s="36">
        <f>IFERROR(100/'Skjema total MA'!I12*K12,0)</f>
        <v>7.8494462314749125</v>
      </c>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c r="C22" s="312"/>
      <c r="D22" s="351"/>
      <c r="E22" s="11"/>
      <c r="F22" s="320">
        <v>31933.415919999999</v>
      </c>
      <c r="G22" s="320">
        <v>35343.538589999996</v>
      </c>
      <c r="H22" s="351">
        <f t="shared" ref="H22:H35" si="2">IF(F22=0, "    ---- ", IF(ABS(ROUND(100/F22*G22-100,1))&lt;999,ROUND(100/F22*G22-100,1),IF(ROUND(100/F22*G22-100,1)&gt;999,999,-999)))</f>
        <v>10.7</v>
      </c>
      <c r="I22" s="11">
        <f>IFERROR(100/'Skjema total MA'!F22*G22,0)</f>
        <v>3.148796631294017</v>
      </c>
      <c r="J22" s="318">
        <f t="shared" ref="J22:K35" si="3">SUM(B22,F22)</f>
        <v>31933.415919999999</v>
      </c>
      <c r="K22" s="318">
        <f t="shared" si="3"/>
        <v>35343.538589999996</v>
      </c>
      <c r="L22" s="425">
        <f t="shared" ref="L22:L35" si="4">IF(J22=0, "    ---- ", IF(ABS(ROUND(100/J22*K22-100,1))&lt;999,ROUND(100/J22*K22-100,1),IF(ROUND(100/J22*K22-100,1)&gt;999,999,-999)))</f>
        <v>10.7</v>
      </c>
      <c r="M22" s="24">
        <f>IFERROR(100/'Skjema total MA'!I22*K22,0)</f>
        <v>1.3293436642286103</v>
      </c>
    </row>
    <row r="23" spans="1:14" ht="15.6" x14ac:dyDescent="0.25">
      <c r="A23" s="581" t="s">
        <v>366</v>
      </c>
      <c r="B23" s="286"/>
      <c r="C23" s="286"/>
      <c r="D23" s="166"/>
      <c r="E23" s="11"/>
      <c r="F23" s="295">
        <v>242.42591999999999</v>
      </c>
      <c r="G23" s="295">
        <v>291.40195999999997</v>
      </c>
      <c r="H23" s="166">
        <f t="shared" si="2"/>
        <v>20.2</v>
      </c>
      <c r="I23" s="415">
        <f>IFERROR(100/'Skjema total MA'!F23*G23,0)</f>
        <v>0.16544991838433418</v>
      </c>
      <c r="J23" s="295">
        <f t="shared" ref="J23:J26" si="5">SUM(B23,F23)</f>
        <v>242.42591999999999</v>
      </c>
      <c r="K23" s="295">
        <f t="shared" ref="K23:K26" si="6">SUM(C23,G23)</f>
        <v>291.40195999999997</v>
      </c>
      <c r="L23" s="166">
        <f t="shared" si="4"/>
        <v>20.2</v>
      </c>
      <c r="M23" s="23">
        <f>IFERROR(100/'Skjema total MA'!I23*K23,0)</f>
        <v>3.9593904743261223E-2</v>
      </c>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v>31690.99</v>
      </c>
      <c r="G26" s="295">
        <v>35052.136630000001</v>
      </c>
      <c r="H26" s="166">
        <f t="shared" si="2"/>
        <v>10.6</v>
      </c>
      <c r="I26" s="415">
        <f>IFERROR(100/'Skjema total MA'!F26*G26,0)</f>
        <v>3.7508848789240581</v>
      </c>
      <c r="J26" s="295">
        <f t="shared" si="5"/>
        <v>31690.99</v>
      </c>
      <c r="K26" s="295">
        <f t="shared" si="6"/>
        <v>35052.136630000001</v>
      </c>
      <c r="L26" s="166">
        <f t="shared" si="4"/>
        <v>10.6</v>
      </c>
      <c r="M26" s="23">
        <f>IFERROR(100/'Skjema total MA'!I26*K26,0)</f>
        <v>3.7508848789240581</v>
      </c>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c r="C28" s="292"/>
      <c r="D28" s="166"/>
      <c r="E28" s="11"/>
      <c r="F28" s="321"/>
      <c r="G28" s="321"/>
      <c r="H28" s="166"/>
      <c r="I28" s="27"/>
      <c r="J28" s="44"/>
      <c r="K28" s="44"/>
      <c r="L28" s="259"/>
      <c r="M28" s="23"/>
    </row>
    <row r="29" spans="1:14" s="3" customFormat="1" ht="15.6" x14ac:dyDescent="0.25">
      <c r="A29" s="13" t="s">
        <v>363</v>
      </c>
      <c r="B29" s="236"/>
      <c r="C29" s="236"/>
      <c r="D29" s="171"/>
      <c r="E29" s="11"/>
      <c r="F29" s="310">
        <v>951435.19487000001</v>
      </c>
      <c r="G29" s="310">
        <v>1083975.7617299999</v>
      </c>
      <c r="H29" s="171">
        <f t="shared" si="2"/>
        <v>13.9</v>
      </c>
      <c r="I29" s="11">
        <f>IFERROR(100/'Skjema total MA'!F29*G29,0)</f>
        <v>4.2136295030722986</v>
      </c>
      <c r="J29" s="236">
        <f t="shared" si="3"/>
        <v>951435.19487000001</v>
      </c>
      <c r="K29" s="236">
        <f t="shared" si="3"/>
        <v>1083975.7617299999</v>
      </c>
      <c r="L29" s="426">
        <f t="shared" si="4"/>
        <v>13.9</v>
      </c>
      <c r="M29" s="24">
        <f>IFERROR(100/'Skjema total MA'!I29*K29,0)</f>
        <v>1.5334812540458391</v>
      </c>
      <c r="N29" s="148"/>
    </row>
    <row r="30" spans="1:14" s="3" customFormat="1" ht="15.6" x14ac:dyDescent="0.25">
      <c r="A30" s="581" t="s">
        <v>366</v>
      </c>
      <c r="B30" s="286"/>
      <c r="C30" s="286"/>
      <c r="D30" s="166"/>
      <c r="E30" s="11"/>
      <c r="F30" s="295">
        <v>118094.42926</v>
      </c>
      <c r="G30" s="295">
        <v>121261.20474</v>
      </c>
      <c r="H30" s="166">
        <f t="shared" si="2"/>
        <v>2.7</v>
      </c>
      <c r="I30" s="415">
        <f>IFERROR(100/'Skjema total MA'!F30*G30,0)</f>
        <v>2.9497034133388</v>
      </c>
      <c r="J30" s="295">
        <f t="shared" ref="J30:J33" si="7">SUM(B30,F30)</f>
        <v>118094.42926</v>
      </c>
      <c r="K30" s="295">
        <f t="shared" ref="K30:K33" si="8">SUM(C30,G30)</f>
        <v>121261.20474</v>
      </c>
      <c r="L30" s="166">
        <f t="shared" si="4"/>
        <v>2.7</v>
      </c>
      <c r="M30" s="23">
        <f>IFERROR(100/'Skjema total MA'!I30*K30,0)</f>
        <v>0.69908861060527572</v>
      </c>
      <c r="N30" s="148"/>
    </row>
    <row r="31" spans="1:14" s="3" customFormat="1" ht="15.6" x14ac:dyDescent="0.25">
      <c r="A31" s="581" t="s">
        <v>367</v>
      </c>
      <c r="B31" s="286"/>
      <c r="C31" s="286"/>
      <c r="D31" s="166"/>
      <c r="E31" s="11"/>
      <c r="F31" s="295">
        <v>632508.88422000001</v>
      </c>
      <c r="G31" s="295">
        <v>657356.46048000001</v>
      </c>
      <c r="H31" s="166">
        <f t="shared" si="2"/>
        <v>3.9</v>
      </c>
      <c r="I31" s="415">
        <f>IFERROR(100/'Skjema total MA'!F31*G31,0)</f>
        <v>7.0067003782678006</v>
      </c>
      <c r="J31" s="295">
        <f t="shared" si="7"/>
        <v>632508.88422000001</v>
      </c>
      <c r="K31" s="295">
        <f t="shared" si="8"/>
        <v>657356.46048000001</v>
      </c>
      <c r="L31" s="166">
        <f t="shared" si="4"/>
        <v>3.9</v>
      </c>
      <c r="M31" s="23">
        <f>IFERROR(100/'Skjema total MA'!I31*K31,0)</f>
        <v>2.0624475440265098</v>
      </c>
      <c r="N31" s="148"/>
    </row>
    <row r="32" spans="1:14" ht="15.6" x14ac:dyDescent="0.25">
      <c r="A32" s="581" t="s">
        <v>368</v>
      </c>
      <c r="B32" s="286"/>
      <c r="C32" s="286"/>
      <c r="D32" s="166"/>
      <c r="E32" s="11"/>
      <c r="F32" s="295"/>
      <c r="G32" s="295"/>
      <c r="H32" s="166"/>
      <c r="I32" s="415"/>
      <c r="J32" s="295"/>
      <c r="K32" s="295"/>
      <c r="L32" s="166"/>
      <c r="M32" s="23"/>
    </row>
    <row r="33" spans="1:16" ht="15.6" x14ac:dyDescent="0.25">
      <c r="A33" s="581" t="s">
        <v>369</v>
      </c>
      <c r="B33" s="286"/>
      <c r="C33" s="286"/>
      <c r="D33" s="166"/>
      <c r="E33" s="11"/>
      <c r="F33" s="295">
        <v>200831.88139</v>
      </c>
      <c r="G33" s="295">
        <v>305358.09651</v>
      </c>
      <c r="H33" s="166">
        <f t="shared" si="2"/>
        <v>52</v>
      </c>
      <c r="I33" s="415">
        <f>IFERROR(100/'Skjema total MA'!F33*G33,0)</f>
        <v>4.6980774600097961</v>
      </c>
      <c r="J33" s="295">
        <f t="shared" si="7"/>
        <v>200831.88139</v>
      </c>
      <c r="K33" s="295">
        <f t="shared" si="8"/>
        <v>305358.09651</v>
      </c>
      <c r="L33" s="166">
        <f t="shared" si="4"/>
        <v>52</v>
      </c>
      <c r="M33" s="23">
        <f>IFERROR(100/'Skjema total MA'!I33*K33,0)</f>
        <v>4.6980774600097961</v>
      </c>
      <c r="O33" s="3"/>
      <c r="P33" s="3"/>
    </row>
    <row r="34" spans="1:16" ht="15.6" x14ac:dyDescent="0.25">
      <c r="A34" s="13" t="s">
        <v>364</v>
      </c>
      <c r="B34" s="236"/>
      <c r="C34" s="311"/>
      <c r="D34" s="171"/>
      <c r="E34" s="11"/>
      <c r="F34" s="310">
        <v>4501.4870000000001</v>
      </c>
      <c r="G34" s="311">
        <v>5914.1840000000002</v>
      </c>
      <c r="H34" s="171">
        <f t="shared" si="2"/>
        <v>31.4</v>
      </c>
      <c r="I34" s="11">
        <f>IFERROR(100/'Skjema total MA'!F34*G34,0)</f>
        <v>8.2300194673049791</v>
      </c>
      <c r="J34" s="236">
        <f t="shared" si="3"/>
        <v>4501.4870000000001</v>
      </c>
      <c r="K34" s="236">
        <f t="shared" si="3"/>
        <v>5914.1840000000002</v>
      </c>
      <c r="L34" s="426">
        <f t="shared" si="4"/>
        <v>31.4</v>
      </c>
      <c r="M34" s="24">
        <f>IFERROR(100/'Skjema total MA'!I34*K34,0)</f>
        <v>7.1262332087350426</v>
      </c>
    </row>
    <row r="35" spans="1:16" ht="15.6" x14ac:dyDescent="0.25">
      <c r="A35" s="13" t="s">
        <v>365</v>
      </c>
      <c r="B35" s="236"/>
      <c r="C35" s="311"/>
      <c r="D35" s="171"/>
      <c r="E35" s="11"/>
      <c r="F35" s="310">
        <v>6422.8374100000001</v>
      </c>
      <c r="G35" s="311">
        <v>1687.53162</v>
      </c>
      <c r="H35" s="171">
        <f t="shared" si="2"/>
        <v>-73.7</v>
      </c>
      <c r="I35" s="11">
        <f>IFERROR(100/'Skjema total MA'!F35*G35,0)</f>
        <v>1.3055089558320419</v>
      </c>
      <c r="J35" s="236">
        <f t="shared" si="3"/>
        <v>6422.8374100000001</v>
      </c>
      <c r="K35" s="236">
        <f t="shared" si="3"/>
        <v>1687.53162</v>
      </c>
      <c r="L35" s="426">
        <f t="shared" si="4"/>
        <v>-73.7</v>
      </c>
      <c r="M35" s="24">
        <f>IFERROR(100/'Skjema total MA'!I35*K35,0)</f>
        <v>3.0488359962910585</v>
      </c>
    </row>
    <row r="36" spans="1:16" ht="15.6" x14ac:dyDescent="0.25">
      <c r="A36" s="12" t="s">
        <v>282</v>
      </c>
      <c r="B36" s="236"/>
      <c r="C36" s="311"/>
      <c r="D36" s="171"/>
      <c r="E36" s="11"/>
      <c r="F36" s="321"/>
      <c r="G36" s="322"/>
      <c r="H36" s="171"/>
      <c r="I36" s="432"/>
      <c r="J36" s="236"/>
      <c r="K36" s="236"/>
      <c r="L36" s="426"/>
      <c r="M36" s="24"/>
    </row>
    <row r="37" spans="1:16" ht="15.6" x14ac:dyDescent="0.25">
      <c r="A37" s="12" t="s">
        <v>371</v>
      </c>
      <c r="B37" s="236"/>
      <c r="C37" s="311"/>
      <c r="D37" s="171"/>
      <c r="E37" s="11"/>
      <c r="F37" s="321"/>
      <c r="G37" s="323"/>
      <c r="H37" s="171"/>
      <c r="I37" s="432"/>
      <c r="J37" s="236"/>
      <c r="K37" s="236"/>
      <c r="L37" s="426"/>
      <c r="M37" s="24"/>
    </row>
    <row r="38" spans="1:16" ht="15.6" x14ac:dyDescent="0.25">
      <c r="A38" s="12" t="s">
        <v>372</v>
      </c>
      <c r="B38" s="236"/>
      <c r="C38" s="311"/>
      <c r="D38" s="171"/>
      <c r="E38" s="24"/>
      <c r="F38" s="321"/>
      <c r="G38" s="322"/>
      <c r="H38" s="171"/>
      <c r="I38" s="432"/>
      <c r="J38" s="236"/>
      <c r="K38" s="236"/>
      <c r="L38" s="426"/>
      <c r="M38" s="24"/>
    </row>
    <row r="39" spans="1:16" ht="15.6" x14ac:dyDescent="0.25">
      <c r="A39" s="18" t="s">
        <v>373</v>
      </c>
      <c r="B39" s="281"/>
      <c r="C39" s="317"/>
      <c r="D39" s="169"/>
      <c r="E39" s="36"/>
      <c r="F39" s="324"/>
      <c r="G39" s="325"/>
      <c r="H39" s="169"/>
      <c r="I39" s="36"/>
      <c r="J39" s="236"/>
      <c r="K39" s="236"/>
      <c r="L39" s="427"/>
      <c r="M39" s="36"/>
    </row>
    <row r="40" spans="1:16" ht="15.6" x14ac:dyDescent="0.3">
      <c r="A40" s="47"/>
      <c r="B40" s="258"/>
      <c r="C40" s="258"/>
      <c r="D40" s="727"/>
      <c r="E40" s="727"/>
      <c r="F40" s="727"/>
      <c r="G40" s="727"/>
      <c r="H40" s="727"/>
      <c r="I40" s="727"/>
      <c r="J40" s="727"/>
      <c r="K40" s="727"/>
      <c r="L40" s="727"/>
      <c r="M40" s="304"/>
    </row>
    <row r="41" spans="1:16" x14ac:dyDescent="0.25">
      <c r="A41" s="155"/>
    </row>
    <row r="42" spans="1:16" ht="15.6" x14ac:dyDescent="0.3">
      <c r="A42" s="147" t="s">
        <v>271</v>
      </c>
      <c r="B42" s="723"/>
      <c r="C42" s="723"/>
      <c r="D42" s="723"/>
      <c r="E42" s="301"/>
      <c r="F42" s="728"/>
      <c r="G42" s="728"/>
      <c r="H42" s="728"/>
      <c r="I42" s="304"/>
      <c r="J42" s="728"/>
      <c r="K42" s="728"/>
      <c r="L42" s="728"/>
      <c r="M42" s="304"/>
    </row>
    <row r="43" spans="1:16" ht="15.6" x14ac:dyDescent="0.3">
      <c r="A43" s="163"/>
      <c r="B43" s="305"/>
      <c r="C43" s="305"/>
      <c r="D43" s="305"/>
      <c r="E43" s="305"/>
      <c r="F43" s="304"/>
      <c r="G43" s="304"/>
      <c r="H43" s="304"/>
      <c r="I43" s="304"/>
      <c r="J43" s="304"/>
      <c r="K43" s="304"/>
      <c r="L43" s="304"/>
      <c r="M43" s="304"/>
    </row>
    <row r="44" spans="1:16" ht="15.6" x14ac:dyDescent="0.3">
      <c r="A44" s="249"/>
      <c r="B44" s="724" t="s">
        <v>0</v>
      </c>
      <c r="C44" s="725"/>
      <c r="D44" s="725"/>
      <c r="E44" s="244"/>
      <c r="F44" s="304"/>
      <c r="G44" s="304"/>
      <c r="H44" s="304"/>
      <c r="I44" s="304"/>
      <c r="J44" s="304"/>
      <c r="K44" s="304"/>
      <c r="L44" s="304"/>
      <c r="M44" s="304"/>
    </row>
    <row r="45" spans="1:16" s="3" customFormat="1" x14ac:dyDescent="0.25">
      <c r="A45" s="140"/>
      <c r="B45" s="173" t="s">
        <v>435</v>
      </c>
      <c r="C45" s="173" t="s">
        <v>436</v>
      </c>
      <c r="D45" s="162" t="s">
        <v>3</v>
      </c>
      <c r="E45" s="162" t="s">
        <v>29</v>
      </c>
      <c r="F45" s="175"/>
      <c r="G45" s="175"/>
      <c r="H45" s="174"/>
      <c r="I45" s="174"/>
      <c r="J45" s="175"/>
      <c r="K45" s="175"/>
      <c r="L45" s="174"/>
      <c r="M45" s="174"/>
      <c r="N45" s="148"/>
    </row>
    <row r="46" spans="1:16" s="3" customFormat="1" x14ac:dyDescent="0.25">
      <c r="A46" s="698"/>
      <c r="B46" s="245"/>
      <c r="C46" s="245"/>
      <c r="D46" s="246" t="s">
        <v>4</v>
      </c>
      <c r="E46" s="156" t="s">
        <v>30</v>
      </c>
      <c r="F46" s="174"/>
      <c r="G46" s="174"/>
      <c r="H46" s="174"/>
      <c r="I46" s="174"/>
      <c r="J46" s="174"/>
      <c r="K46" s="174"/>
      <c r="L46" s="174"/>
      <c r="M46" s="174"/>
      <c r="N46" s="148"/>
    </row>
    <row r="47" spans="1:16" s="3" customFormat="1" ht="15.6" x14ac:dyDescent="0.25">
      <c r="A47" s="14" t="s">
        <v>23</v>
      </c>
      <c r="B47" s="312"/>
      <c r="C47" s="313"/>
      <c r="D47" s="425"/>
      <c r="E47" s="11"/>
      <c r="F47" s="145"/>
      <c r="G47" s="33"/>
      <c r="H47" s="159"/>
      <c r="I47" s="159"/>
      <c r="J47" s="37"/>
      <c r="K47" s="37"/>
      <c r="L47" s="159"/>
      <c r="M47" s="159"/>
      <c r="N47" s="148"/>
    </row>
    <row r="48" spans="1:16" s="3" customFormat="1" ht="15.6" x14ac:dyDescent="0.25">
      <c r="A48" s="38" t="s">
        <v>374</v>
      </c>
      <c r="B48" s="286"/>
      <c r="C48" s="287"/>
      <c r="D48" s="259"/>
      <c r="E48" s="27"/>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v>57.569459999999999</v>
      </c>
      <c r="G66" s="353">
        <v>57.563490000000002</v>
      </c>
      <c r="H66" s="351">
        <f t="shared" ref="H66:H111" si="9">IF(F66=0, "    ---- ", IF(ABS(ROUND(100/F66*G66-100,1))&lt;999,ROUND(100/F66*G66-100,1),IF(ROUND(100/F66*G66-100,1)&gt;999,999,-999)))</f>
        <v>0</v>
      </c>
      <c r="I66" s="11">
        <f>IFERROR(100/'Skjema total MA'!F66*G66,0)</f>
        <v>2.0507937034292104E-4</v>
      </c>
      <c r="J66" s="311">
        <f t="shared" ref="J66:K86" si="10">SUM(B66,F66)</f>
        <v>57.569459999999999</v>
      </c>
      <c r="K66" s="318">
        <f t="shared" si="10"/>
        <v>57.563490000000002</v>
      </c>
      <c r="L66" s="426">
        <f t="shared" ref="L66:L111" si="11">IF(J66=0, "    ---- ", IF(ABS(ROUND(100/J66*K66-100,1))&lt;999,ROUND(100/J66*K66-100,1),IF(ROUND(100/J66*K66-100,1)&gt;999,999,-999)))</f>
        <v>0</v>
      </c>
      <c r="M66" s="11">
        <f>IFERROR(100/'Skjema total MA'!I66*K66,0)</f>
        <v>1.676175478936983E-4</v>
      </c>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v>57.569459999999999</v>
      </c>
      <c r="G68" s="297">
        <v>57.563490000000002</v>
      </c>
      <c r="H68" s="166">
        <f t="shared" si="9"/>
        <v>0</v>
      </c>
      <c r="I68" s="27">
        <f>IFERROR(100/'Skjema total MA'!F68*G68,0)</f>
        <v>2.135787938845903E-4</v>
      </c>
      <c r="J68" s="292">
        <f t="shared" si="10"/>
        <v>57.569459999999999</v>
      </c>
      <c r="K68" s="44">
        <f t="shared" si="10"/>
        <v>57.563490000000002</v>
      </c>
      <c r="L68" s="259">
        <f t="shared" si="11"/>
        <v>0</v>
      </c>
      <c r="M68" s="27">
        <f>IFERROR(100/'Skjema total MA'!I68*K68,0)</f>
        <v>2.1330204626767888E-4</v>
      </c>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v>57.569459999999999</v>
      </c>
      <c r="G86" s="145">
        <v>57.563490000000002</v>
      </c>
      <c r="H86" s="166">
        <f t="shared" si="9"/>
        <v>0</v>
      </c>
      <c r="I86" s="27">
        <f>IFERROR(100/'Skjema total MA'!F86*G86,0)</f>
        <v>0.60151176531448791</v>
      </c>
      <c r="J86" s="292">
        <f t="shared" si="10"/>
        <v>57.569459999999999</v>
      </c>
      <c r="K86" s="44">
        <f t="shared" si="10"/>
        <v>57.563490000000002</v>
      </c>
      <c r="L86" s="259">
        <f t="shared" si="11"/>
        <v>0</v>
      </c>
      <c r="M86" s="27">
        <f>IFERROR(100/'Skjema total MA'!I86*K86,0)</f>
        <v>5.6459579961814346E-2</v>
      </c>
    </row>
    <row r="87" spans="1:13" ht="15.6" x14ac:dyDescent="0.25">
      <c r="A87" s="13" t="s">
        <v>363</v>
      </c>
      <c r="B87" s="354"/>
      <c r="C87" s="354"/>
      <c r="D87" s="171"/>
      <c r="E87" s="11"/>
      <c r="F87" s="353">
        <v>754478.43851000001</v>
      </c>
      <c r="G87" s="353">
        <v>860565.88491999998</v>
      </c>
      <c r="H87" s="171">
        <f t="shared" si="9"/>
        <v>14.1</v>
      </c>
      <c r="I87" s="11">
        <f>IFERROR(100/'Skjema total MA'!F87*G87,0)</f>
        <v>0.20242105672206798</v>
      </c>
      <c r="J87" s="311">
        <f t="shared" ref="J87:K111" si="12">SUM(B87,F87)</f>
        <v>754478.43851000001</v>
      </c>
      <c r="K87" s="236">
        <f t="shared" si="12"/>
        <v>860565.88491999998</v>
      </c>
      <c r="L87" s="426">
        <f t="shared" si="11"/>
        <v>14.1</v>
      </c>
      <c r="M87" s="11">
        <f>IFERROR(100/'Skjema total MA'!I87*K87,0)</f>
        <v>0.10411821210855232</v>
      </c>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v>754478.43851000001</v>
      </c>
      <c r="G89" s="145">
        <v>860565.88491999998</v>
      </c>
      <c r="H89" s="166">
        <f t="shared" si="9"/>
        <v>14.1</v>
      </c>
      <c r="I89" s="27">
        <f>IFERROR(100/'Skjema total MA'!F89*G89,0)</f>
        <v>0.20452776606988535</v>
      </c>
      <c r="J89" s="292">
        <f t="shared" si="12"/>
        <v>754478.43851000001</v>
      </c>
      <c r="K89" s="44">
        <f t="shared" si="12"/>
        <v>860565.88491999998</v>
      </c>
      <c r="L89" s="259">
        <f t="shared" si="11"/>
        <v>14.1</v>
      </c>
      <c r="M89" s="27">
        <f>IFERROR(100/'Skjema total MA'!I89*K89,0)</f>
        <v>0.20303835879741883</v>
      </c>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v>754478.43851000001</v>
      </c>
      <c r="G107" s="145">
        <v>860565.88491999998</v>
      </c>
      <c r="H107" s="166">
        <f t="shared" si="9"/>
        <v>14.1</v>
      </c>
      <c r="I107" s="27">
        <f>IFERROR(100/'Skjema total MA'!F107*G107,0)</f>
        <v>80.645672607015683</v>
      </c>
      <c r="J107" s="292">
        <f t="shared" si="12"/>
        <v>754478.43851000001</v>
      </c>
      <c r="K107" s="44">
        <f t="shared" si="12"/>
        <v>860565.88491999998</v>
      </c>
      <c r="L107" s="259">
        <f t="shared" si="11"/>
        <v>14.1</v>
      </c>
      <c r="M107" s="27">
        <f>IFERROR(100/'Skjema total MA'!I107*K107,0)</f>
        <v>15.601985798656571</v>
      </c>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v>578831.15975999995</v>
      </c>
      <c r="G109" s="234">
        <v>665903.97585000005</v>
      </c>
      <c r="H109" s="166">
        <f t="shared" si="9"/>
        <v>15</v>
      </c>
      <c r="I109" s="27">
        <f>IFERROR(100/'Skjema total MA'!F109*G109,0)</f>
        <v>0.43943664617433742</v>
      </c>
      <c r="J109" s="292">
        <f t="shared" si="12"/>
        <v>578831.15975999995</v>
      </c>
      <c r="K109" s="44">
        <f t="shared" si="12"/>
        <v>665903.97585000005</v>
      </c>
      <c r="L109" s="259">
        <f t="shared" si="11"/>
        <v>15</v>
      </c>
      <c r="M109" s="27">
        <f>IFERROR(100/'Skjema total MA'!I109*K109,0)</f>
        <v>0.43491142574596747</v>
      </c>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v>60441.641000000003</v>
      </c>
      <c r="G111" s="159">
        <v>63475.338000000003</v>
      </c>
      <c r="H111" s="171">
        <f t="shared" si="9"/>
        <v>5</v>
      </c>
      <c r="I111" s="11">
        <f>IFERROR(100/'Skjema total MA'!F111*G111,0)</f>
        <v>0.11974533315343826</v>
      </c>
      <c r="J111" s="311">
        <f t="shared" si="12"/>
        <v>60441.641000000003</v>
      </c>
      <c r="K111" s="236">
        <f t="shared" si="12"/>
        <v>63475.338000000003</v>
      </c>
      <c r="L111" s="426">
        <f t="shared" si="11"/>
        <v>5</v>
      </c>
      <c r="M111" s="11">
        <f>IFERROR(100/'Skjema total MA'!I111*K111,0)</f>
        <v>0.11871628423216367</v>
      </c>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v>60441.641000000003</v>
      </c>
      <c r="G113" s="145">
        <v>63475.338000000003</v>
      </c>
      <c r="H113" s="166">
        <f t="shared" ref="H113:H125" si="13">IF(F113=0, "    ---- ", IF(ABS(ROUND(100/F113*G113-100,1))&lt;999,ROUND(100/F113*G113-100,1),IF(ROUND(100/F113*G113-100,1)&gt;999,999,-999)))</f>
        <v>5</v>
      </c>
      <c r="I113" s="27">
        <f>IFERROR(100/'Skjema total MA'!F113*G113,0)</f>
        <v>0.11977076480204793</v>
      </c>
      <c r="J113" s="292">
        <f t="shared" ref="J113:K125" si="14">SUM(B113,F113)</f>
        <v>60441.641000000003</v>
      </c>
      <c r="K113" s="44">
        <f t="shared" si="14"/>
        <v>63475.338000000003</v>
      </c>
      <c r="L113" s="259">
        <f t="shared" ref="L113:L125" si="15">IF(J113=0, "    ---- ", IF(ABS(ROUND(100/J113*K113-100,1))&lt;999,ROUND(100/J113*K113-100,1),IF(ROUND(100/J113*K113-100,1)&gt;999,999,-999)))</f>
        <v>5</v>
      </c>
      <c r="M113" s="27">
        <f>IFERROR(100/'Skjema total MA'!I113*K113,0)</f>
        <v>0.11977024696317361</v>
      </c>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v>60441.641000000003</v>
      </c>
      <c r="G117" s="234">
        <v>63475.338000000003</v>
      </c>
      <c r="H117" s="166">
        <f t="shared" si="13"/>
        <v>5</v>
      </c>
      <c r="I117" s="27">
        <f>IFERROR(100/'Skjema total MA'!F117*G117,0)</f>
        <v>0.8421500100280479</v>
      </c>
      <c r="J117" s="292">
        <f t="shared" si="14"/>
        <v>60441.641000000003</v>
      </c>
      <c r="K117" s="44">
        <f t="shared" si="14"/>
        <v>63475.338000000003</v>
      </c>
      <c r="L117" s="259">
        <f t="shared" si="15"/>
        <v>5</v>
      </c>
      <c r="M117" s="27">
        <f>IFERROR(100/'Skjema total MA'!I117*K117,0)</f>
        <v>0.8421500100280479</v>
      </c>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v>6985.1043099999997</v>
      </c>
      <c r="G119" s="159">
        <v>116546.16045</v>
      </c>
      <c r="H119" s="171">
        <f t="shared" si="13"/>
        <v>999</v>
      </c>
      <c r="I119" s="11">
        <f>IFERROR(100/'Skjema total MA'!F119*G119,0)</f>
        <v>0.1916189599208305</v>
      </c>
      <c r="J119" s="311">
        <f t="shared" si="14"/>
        <v>6985.1043099999997</v>
      </c>
      <c r="K119" s="236">
        <f t="shared" si="14"/>
        <v>116546.16045</v>
      </c>
      <c r="L119" s="426">
        <f t="shared" si="15"/>
        <v>999</v>
      </c>
      <c r="M119" s="11">
        <f>IFERROR(100/'Skjema total MA'!I119*K119,0)</f>
        <v>0.19019914756918271</v>
      </c>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v>6985.1043099999997</v>
      </c>
      <c r="G121" s="145">
        <v>116546.16045</v>
      </c>
      <c r="H121" s="166">
        <f t="shared" si="13"/>
        <v>999</v>
      </c>
      <c r="I121" s="27">
        <f>IFERROR(100/'Skjema total MA'!F121*G121,0)</f>
        <v>0.1916189599208305</v>
      </c>
      <c r="J121" s="292">
        <f t="shared" si="14"/>
        <v>6985.1043099999997</v>
      </c>
      <c r="K121" s="44">
        <f t="shared" si="14"/>
        <v>116546.16045</v>
      </c>
      <c r="L121" s="259">
        <f t="shared" si="15"/>
        <v>999</v>
      </c>
      <c r="M121" s="27">
        <f>IFERROR(100/'Skjema total MA'!I121*K121,0)</f>
        <v>0.19158667306781407</v>
      </c>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v>6985.1043099999997</v>
      </c>
      <c r="G125" s="234">
        <v>116546.16045</v>
      </c>
      <c r="H125" s="166">
        <f t="shared" si="13"/>
        <v>999</v>
      </c>
      <c r="I125" s="27">
        <f>IFERROR(100/'Skjema total MA'!F125*G125,0)</f>
        <v>0.49371453743748239</v>
      </c>
      <c r="J125" s="292">
        <f t="shared" si="14"/>
        <v>6985.1043099999997</v>
      </c>
      <c r="K125" s="44">
        <f t="shared" si="14"/>
        <v>116546.16045</v>
      </c>
      <c r="L125" s="259">
        <f t="shared" si="15"/>
        <v>999</v>
      </c>
      <c r="M125" s="27">
        <f>IFERROR(100/'Skjema total MA'!I125*K125,0)</f>
        <v>0.49366814785267071</v>
      </c>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333" priority="76">
      <formula>kvartal &lt; 4</formula>
    </cfRule>
  </conditionalFormatting>
  <conditionalFormatting sqref="C115">
    <cfRule type="expression" dxfId="332" priority="75">
      <formula>kvartal &lt; 4</formula>
    </cfRule>
  </conditionalFormatting>
  <conditionalFormatting sqref="B123">
    <cfRule type="expression" dxfId="331" priority="74">
      <formula>kvartal &lt; 4</formula>
    </cfRule>
  </conditionalFormatting>
  <conditionalFormatting sqref="C123">
    <cfRule type="expression" dxfId="330" priority="73">
      <formula>kvartal &lt; 4</formula>
    </cfRule>
  </conditionalFormatting>
  <conditionalFormatting sqref="F115">
    <cfRule type="expression" dxfId="329" priority="58">
      <formula>kvartal &lt; 4</formula>
    </cfRule>
  </conditionalFormatting>
  <conditionalFormatting sqref="G115">
    <cfRule type="expression" dxfId="328" priority="57">
      <formula>kvartal &lt; 4</formula>
    </cfRule>
  </conditionalFormatting>
  <conditionalFormatting sqref="F123:G123">
    <cfRule type="expression" dxfId="327" priority="56">
      <formula>kvartal &lt; 4</formula>
    </cfRule>
  </conditionalFormatting>
  <conditionalFormatting sqref="J115:K115">
    <cfRule type="expression" dxfId="326" priority="32">
      <formula>kvartal &lt; 4</formula>
    </cfRule>
  </conditionalFormatting>
  <conditionalFormatting sqref="J123:K123">
    <cfRule type="expression" dxfId="325" priority="31">
      <formula>kvartal &lt; 4</formula>
    </cfRule>
  </conditionalFormatting>
  <conditionalFormatting sqref="A50:A52">
    <cfRule type="expression" dxfId="324" priority="12">
      <formula>kvartal &lt; 4</formula>
    </cfRule>
  </conditionalFormatting>
  <conditionalFormatting sqref="A69:A74">
    <cfRule type="expression" dxfId="323" priority="10">
      <formula>kvartal &lt; 4</formula>
    </cfRule>
  </conditionalFormatting>
  <conditionalFormatting sqref="A80:A85">
    <cfRule type="expression" dxfId="322" priority="9">
      <formula>kvartal &lt; 4</formula>
    </cfRule>
  </conditionalFormatting>
  <conditionalFormatting sqref="A90:A95">
    <cfRule type="expression" dxfId="321" priority="6">
      <formula>kvartal &lt; 4</formula>
    </cfRule>
  </conditionalFormatting>
  <conditionalFormatting sqref="A101:A106">
    <cfRule type="expression" dxfId="320" priority="5">
      <formula>kvartal &lt; 4</formula>
    </cfRule>
  </conditionalFormatting>
  <conditionalFormatting sqref="A115">
    <cfRule type="expression" dxfId="319" priority="4">
      <formula>kvartal &lt; 4</formula>
    </cfRule>
  </conditionalFormatting>
  <conditionalFormatting sqref="A123">
    <cfRule type="expression" dxfId="318" priority="3">
      <formula>kvartal &lt; 4</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P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580" t="s">
        <v>425</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v>4370.1460100000004</v>
      </c>
      <c r="C7" s="309">
        <v>4061.6295300000002</v>
      </c>
      <c r="D7" s="351">
        <f>IF(B7=0, "    ---- ", IF(ABS(ROUND(100/B7*C7-100,1))&lt;999,ROUND(100/B7*C7-100,1),IF(ROUND(100/B7*C7-100,1)&gt;999,999,-999)))</f>
        <v>-7.1</v>
      </c>
      <c r="E7" s="11">
        <f>IFERROR(100/'Skjema total MA'!C7*C7,0)</f>
        <v>0.10650706436418178</v>
      </c>
      <c r="F7" s="308">
        <v>336595.14861999999</v>
      </c>
      <c r="G7" s="309">
        <v>471459.28931999998</v>
      </c>
      <c r="H7" s="351">
        <f>IF(F7=0, "    ---- ", IF(ABS(ROUND(100/F7*G7-100,1))&lt;999,ROUND(100/F7*G7-100,1),IF(ROUND(100/F7*G7-100,1)&gt;999,999,-999)))</f>
        <v>40.1</v>
      </c>
      <c r="I7" s="160">
        <f>IFERROR(100/'Skjema total MA'!F7*G7,0)</f>
        <v>4.330855178139764</v>
      </c>
      <c r="J7" s="310">
        <f t="shared" ref="J7:K12" si="0">SUM(B7,F7)</f>
        <v>340965.29463000002</v>
      </c>
      <c r="K7" s="311">
        <f t="shared" si="0"/>
        <v>475520.91884999996</v>
      </c>
      <c r="L7" s="425">
        <f>IF(J7=0, "    ---- ", IF(ABS(ROUND(100/J7*K7-100,1))&lt;999,ROUND(100/J7*K7-100,1),IF(ROUND(100/J7*K7-100,1)&gt;999,999,-999)))</f>
        <v>39.5</v>
      </c>
      <c r="M7" s="11">
        <f>IFERROR(100/'Skjema total MA'!I7*K7,0)</f>
        <v>3.2349376355951875</v>
      </c>
    </row>
    <row r="8" spans="1:14" ht="15.6" x14ac:dyDescent="0.25">
      <c r="A8" s="21" t="s">
        <v>25</v>
      </c>
      <c r="B8" s="286">
        <v>4552.44038</v>
      </c>
      <c r="C8" s="287">
        <v>4051.4527699999699</v>
      </c>
      <c r="D8" s="166">
        <f t="shared" ref="D8:D10" si="1">IF(B8=0, "    ---- ", IF(ABS(ROUND(100/B8*C8-100,1))&lt;999,ROUND(100/B8*C8-100,1),IF(ROUND(100/B8*C8-100,1)&gt;999,999,-999)))</f>
        <v>-11</v>
      </c>
      <c r="E8" s="27">
        <f>IFERROR(100/'Skjema total MA'!C8*C8,0)</f>
        <v>0.16333328047468715</v>
      </c>
      <c r="F8" s="290"/>
      <c r="G8" s="291"/>
      <c r="H8" s="166"/>
      <c r="I8" s="176"/>
      <c r="J8" s="234">
        <f t="shared" si="0"/>
        <v>4552.44038</v>
      </c>
      <c r="K8" s="292">
        <f t="shared" si="0"/>
        <v>4051.4527699999699</v>
      </c>
      <c r="L8" s="166">
        <f t="shared" ref="L8:L9" si="2">IF(J8=0, "    ---- ", IF(ABS(ROUND(100/J8*K8-100,1))&lt;999,ROUND(100/J8*K8-100,1),IF(ROUND(100/J8*K8-100,1)&gt;999,999,-999)))</f>
        <v>-11</v>
      </c>
      <c r="M8" s="27">
        <f>IFERROR(100/'Skjema total MA'!I8*K8,0)</f>
        <v>0.16333328047468715</v>
      </c>
    </row>
    <row r="9" spans="1:14" ht="15.6" x14ac:dyDescent="0.25">
      <c r="A9" s="21" t="s">
        <v>24</v>
      </c>
      <c r="B9" s="286">
        <v>1863.65787</v>
      </c>
      <c r="C9" s="287">
        <v>1648.1464699999999</v>
      </c>
      <c r="D9" s="166">
        <f t="shared" si="1"/>
        <v>-11.6</v>
      </c>
      <c r="E9" s="27">
        <f>IFERROR(100/'Skjema total MA'!C9*C9,0)</f>
        <v>0.2077902312001032</v>
      </c>
      <c r="F9" s="290"/>
      <c r="G9" s="291"/>
      <c r="H9" s="166"/>
      <c r="I9" s="176"/>
      <c r="J9" s="234">
        <f t="shared" si="0"/>
        <v>1863.65787</v>
      </c>
      <c r="K9" s="292">
        <f t="shared" si="0"/>
        <v>1648.1464699999999</v>
      </c>
      <c r="L9" s="166">
        <f t="shared" si="2"/>
        <v>-11.6</v>
      </c>
      <c r="M9" s="27">
        <f>IFERROR(100/'Skjema total MA'!I9*K9,0)</f>
        <v>0.2077902312001032</v>
      </c>
    </row>
    <row r="10" spans="1:14" ht="15.6" x14ac:dyDescent="0.25">
      <c r="A10" s="13" t="s">
        <v>363</v>
      </c>
      <c r="B10" s="312">
        <v>431128.21851999999</v>
      </c>
      <c r="C10" s="313">
        <v>382381.31141999998</v>
      </c>
      <c r="D10" s="171">
        <f t="shared" si="1"/>
        <v>-11.3</v>
      </c>
      <c r="E10" s="11">
        <f>IFERROR(100/'Skjema total MA'!C10*C10,0)</f>
        <v>2.2497919909468287</v>
      </c>
      <c r="F10" s="312">
        <v>2955787.28767</v>
      </c>
      <c r="G10" s="313">
        <v>4008299.7245</v>
      </c>
      <c r="H10" s="171">
        <f t="shared" ref="H10:H12" si="3">IF(F10=0, "    ---- ", IF(ABS(ROUND(100/F10*G10-100,1))&lt;999,ROUND(100/F10*G10-100,1),IF(ROUND(100/F10*G10-100,1)&gt;999,999,-999)))</f>
        <v>35.6</v>
      </c>
      <c r="I10" s="160">
        <f>IFERROR(100/'Skjema total MA'!F10*G10,0)</f>
        <v>5.4757025240471187</v>
      </c>
      <c r="J10" s="310">
        <f t="shared" si="0"/>
        <v>3386915.5061900001</v>
      </c>
      <c r="K10" s="311">
        <f t="shared" si="0"/>
        <v>4390681.0359199997</v>
      </c>
      <c r="L10" s="426">
        <f t="shared" ref="L10:L12" si="4">IF(J10=0, "    ---- ", IF(ABS(ROUND(100/J10*K10-100,1))&lt;999,ROUND(100/J10*K10-100,1),IF(ROUND(100/J10*K10-100,1)&gt;999,999,-999)))</f>
        <v>29.6</v>
      </c>
      <c r="M10" s="11">
        <f>IFERROR(100/'Skjema total MA'!I10*K10,0)</f>
        <v>4.8678329724631881</v>
      </c>
    </row>
    <row r="11" spans="1:14" s="43" customFormat="1" ht="15.6" x14ac:dyDescent="0.25">
      <c r="A11" s="13" t="s">
        <v>364</v>
      </c>
      <c r="B11" s="312"/>
      <c r="C11" s="313"/>
      <c r="D11" s="171"/>
      <c r="E11" s="11"/>
      <c r="F11" s="312">
        <v>31238.995579999999</v>
      </c>
      <c r="G11" s="313">
        <v>18670.771830000002</v>
      </c>
      <c r="H11" s="171">
        <f t="shared" si="3"/>
        <v>-40.200000000000003</v>
      </c>
      <c r="I11" s="160">
        <f>IFERROR(100/'Skjema total MA'!F11*G11,0)</f>
        <v>5.4071681051082505</v>
      </c>
      <c r="J11" s="310">
        <f t="shared" si="0"/>
        <v>31238.995579999999</v>
      </c>
      <c r="K11" s="311">
        <f t="shared" si="0"/>
        <v>18670.771830000002</v>
      </c>
      <c r="L11" s="426">
        <f t="shared" si="4"/>
        <v>-40.200000000000003</v>
      </c>
      <c r="M11" s="11">
        <f>IFERROR(100/'Skjema total MA'!I11*K11,0)</f>
        <v>4.8185301435073322</v>
      </c>
      <c r="N11" s="143"/>
    </row>
    <row r="12" spans="1:14" s="43" customFormat="1" ht="15.6" x14ac:dyDescent="0.25">
      <c r="A12" s="41" t="s">
        <v>365</v>
      </c>
      <c r="B12" s="314"/>
      <c r="C12" s="315"/>
      <c r="D12" s="169"/>
      <c r="E12" s="36"/>
      <c r="F12" s="314">
        <v>9440.4771400000009</v>
      </c>
      <c r="G12" s="315">
        <v>2868.4313000000002</v>
      </c>
      <c r="H12" s="169">
        <f t="shared" si="3"/>
        <v>-69.599999999999994</v>
      </c>
      <c r="I12" s="169">
        <f>IFERROR(100/'Skjema total MA'!F12*G12,0)</f>
        <v>1.9582673963100743</v>
      </c>
      <c r="J12" s="316">
        <f t="shared" si="0"/>
        <v>9440.4771400000009</v>
      </c>
      <c r="K12" s="317">
        <f t="shared" si="0"/>
        <v>2868.4313000000002</v>
      </c>
      <c r="L12" s="427">
        <f t="shared" si="4"/>
        <v>-69.599999999999994</v>
      </c>
      <c r="M12" s="36">
        <f>IFERROR(100/'Skjema total MA'!I12*K12,0)</f>
        <v>1.8724226971775961</v>
      </c>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6" ht="15.6" x14ac:dyDescent="0.3">
      <c r="A17" s="147" t="s">
        <v>270</v>
      </c>
      <c r="B17" s="157"/>
      <c r="C17" s="157"/>
      <c r="D17" s="151"/>
      <c r="E17" s="151"/>
      <c r="F17" s="157"/>
      <c r="G17" s="157"/>
      <c r="H17" s="157"/>
      <c r="I17" s="157"/>
      <c r="J17" s="157"/>
      <c r="K17" s="157"/>
      <c r="L17" s="157"/>
      <c r="M17" s="157"/>
    </row>
    <row r="18" spans="1:16" ht="15.6" x14ac:dyDescent="0.3">
      <c r="B18" s="726"/>
      <c r="C18" s="726"/>
      <c r="D18" s="726"/>
      <c r="E18" s="301"/>
      <c r="F18" s="726"/>
      <c r="G18" s="726"/>
      <c r="H18" s="726"/>
      <c r="I18" s="301"/>
      <c r="J18" s="726"/>
      <c r="K18" s="726"/>
      <c r="L18" s="726"/>
      <c r="M18" s="301"/>
    </row>
    <row r="19" spans="1:16" x14ac:dyDescent="0.25">
      <c r="A19" s="144"/>
      <c r="B19" s="724" t="s">
        <v>0</v>
      </c>
      <c r="C19" s="725"/>
      <c r="D19" s="725"/>
      <c r="E19" s="303"/>
      <c r="F19" s="724" t="s">
        <v>1</v>
      </c>
      <c r="G19" s="725"/>
      <c r="H19" s="725"/>
      <c r="I19" s="306"/>
      <c r="J19" s="724" t="s">
        <v>2</v>
      </c>
      <c r="K19" s="725"/>
      <c r="L19" s="725"/>
      <c r="M19" s="306"/>
    </row>
    <row r="20" spans="1:16"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6" x14ac:dyDescent="0.25">
      <c r="A21" s="698"/>
      <c r="B21" s="156"/>
      <c r="C21" s="156"/>
      <c r="D21" s="248" t="s">
        <v>4</v>
      </c>
      <c r="E21" s="156" t="s">
        <v>30</v>
      </c>
      <c r="F21" s="161"/>
      <c r="G21" s="161"/>
      <c r="H21" s="246" t="s">
        <v>4</v>
      </c>
      <c r="I21" s="156" t="s">
        <v>30</v>
      </c>
      <c r="J21" s="161"/>
      <c r="K21" s="161"/>
      <c r="L21" s="156" t="s">
        <v>4</v>
      </c>
      <c r="M21" s="156" t="s">
        <v>30</v>
      </c>
    </row>
    <row r="22" spans="1:16" ht="15.6" x14ac:dyDescent="0.25">
      <c r="A22" s="14" t="s">
        <v>23</v>
      </c>
      <c r="B22" s="312">
        <v>3206.4993300000001</v>
      </c>
      <c r="C22" s="312">
        <v>5773.2712600000004</v>
      </c>
      <c r="D22" s="351">
        <f t="shared" ref="D22:D35" si="5">IF(B22=0, "    ---- ", IF(ABS(ROUND(100/B22*C22-100,1))&lt;999,ROUND(100/B22*C22-100,1),IF(ROUND(100/B22*C22-100,1)&gt;999,999,-999)))</f>
        <v>80</v>
      </c>
      <c r="E22" s="11">
        <f>IFERROR(100/'Skjema total MA'!C22*C22,0)</f>
        <v>0.37579671833355976</v>
      </c>
      <c r="F22" s="320">
        <v>197790.25784999999</v>
      </c>
      <c r="G22" s="320">
        <v>265256.34532999998</v>
      </c>
      <c r="H22" s="351">
        <f t="shared" ref="H22:H35" si="6">IF(F22=0, "    ---- ", IF(ABS(ROUND(100/F22*G22-100,1))&lt;999,ROUND(100/F22*G22-100,1),IF(ROUND(100/F22*G22-100,1)&gt;999,999,-999)))</f>
        <v>34.1</v>
      </c>
      <c r="I22" s="11">
        <f>IFERROR(100/'Skjema total MA'!F22*G22,0)</f>
        <v>23.631993850236217</v>
      </c>
      <c r="J22" s="318">
        <f t="shared" ref="J22:K35" si="7">SUM(B22,F22)</f>
        <v>200996.75717999999</v>
      </c>
      <c r="K22" s="318">
        <f t="shared" si="7"/>
        <v>271029.61658999999</v>
      </c>
      <c r="L22" s="425">
        <f t="shared" ref="L22:L35" si="8">IF(J22=0, "    ---- ", IF(ABS(ROUND(100/J22*K22-100,1))&lt;999,ROUND(100/J22*K22-100,1),IF(ROUND(100/J22*K22-100,1)&gt;999,999,-999)))</f>
        <v>34.799999999999997</v>
      </c>
      <c r="M22" s="24">
        <f>IFERROR(100/'Skjema total MA'!I22*K22,0)</f>
        <v>10.193985039578516</v>
      </c>
    </row>
    <row r="23" spans="1:16" ht="15.6" x14ac:dyDescent="0.25">
      <c r="A23" s="581" t="s">
        <v>366</v>
      </c>
      <c r="B23" s="286">
        <v>3201.4153900000001</v>
      </c>
      <c r="C23" s="286">
        <v>5768.18732</v>
      </c>
      <c r="D23" s="166">
        <f t="shared" si="5"/>
        <v>80.2</v>
      </c>
      <c r="E23" s="11">
        <f>IFERROR(100/'Skjema total MA'!C23*C23,0)</f>
        <v>1.0303097421011949</v>
      </c>
      <c r="F23" s="295">
        <v>5198.8329299999996</v>
      </c>
      <c r="G23" s="295">
        <v>5542.0717000000004</v>
      </c>
      <c r="H23" s="166">
        <f t="shared" si="6"/>
        <v>6.6</v>
      </c>
      <c r="I23" s="415">
        <f>IFERROR(100/'Skjema total MA'!F23*G23,0)</f>
        <v>3.1466339843600513</v>
      </c>
      <c r="J23" s="295">
        <f t="shared" ref="J23:J26" si="9">SUM(B23,F23)</f>
        <v>8400.2483199999988</v>
      </c>
      <c r="K23" s="295">
        <f t="shared" ref="K23:K26" si="10">SUM(C23,G23)</f>
        <v>11310.259020000001</v>
      </c>
      <c r="L23" s="166">
        <f t="shared" si="8"/>
        <v>34.6</v>
      </c>
      <c r="M23" s="23">
        <f>IFERROR(100/'Skjema total MA'!I23*K23,0)</f>
        <v>1.5367683808972703</v>
      </c>
    </row>
    <row r="24" spans="1:16" ht="15.6" x14ac:dyDescent="0.25">
      <c r="A24" s="581" t="s">
        <v>367</v>
      </c>
      <c r="B24" s="286">
        <v>5.0839400000000001</v>
      </c>
      <c r="C24" s="286">
        <v>5.0839400000000001</v>
      </c>
      <c r="D24" s="166">
        <f t="shared" si="5"/>
        <v>0</v>
      </c>
      <c r="E24" s="11">
        <f>IFERROR(100/'Skjema total MA'!C24*C24,0)</f>
        <v>2.5836106634630266E-2</v>
      </c>
      <c r="F24" s="295">
        <v>430.88902000000002</v>
      </c>
      <c r="G24" s="295">
        <v>-783.98806000000002</v>
      </c>
      <c r="H24" s="166">
        <f t="shared" si="6"/>
        <v>-281.89999999999998</v>
      </c>
      <c r="I24" s="415">
        <f>IFERROR(100/'Skjema total MA'!F24*G24,0)</f>
        <v>127.64355372489914</v>
      </c>
      <c r="J24" s="295">
        <f t="shared" si="9"/>
        <v>435.97296</v>
      </c>
      <c r="K24" s="295">
        <f t="shared" si="10"/>
        <v>-778.90412000000003</v>
      </c>
      <c r="L24" s="166">
        <f t="shared" si="8"/>
        <v>-278.7</v>
      </c>
      <c r="M24" s="23">
        <f>IFERROR(100/'Skjema total MA'!I24*K24,0)</f>
        <v>-4.0858498739125286</v>
      </c>
      <c r="P24" s="3"/>
    </row>
    <row r="25" spans="1:16" ht="15.6" x14ac:dyDescent="0.25">
      <c r="A25" s="581" t="s">
        <v>368</v>
      </c>
      <c r="B25" s="286"/>
      <c r="C25" s="286"/>
      <c r="D25" s="166"/>
      <c r="E25" s="11"/>
      <c r="F25" s="295">
        <v>6323.3941299999997</v>
      </c>
      <c r="G25" s="295">
        <v>3734.6167999999998</v>
      </c>
      <c r="H25" s="166">
        <f t="shared" si="6"/>
        <v>-40.9</v>
      </c>
      <c r="I25" s="415">
        <f>IFERROR(100/'Skjema total MA'!F25*G25,0)</f>
        <v>30.045241110567392</v>
      </c>
      <c r="J25" s="295">
        <f t="shared" si="9"/>
        <v>6323.3941299999997</v>
      </c>
      <c r="K25" s="295">
        <f t="shared" si="10"/>
        <v>3734.6167999999998</v>
      </c>
      <c r="L25" s="166">
        <f t="shared" si="8"/>
        <v>-40.9</v>
      </c>
      <c r="M25" s="23">
        <f>IFERROR(100/'Skjema total MA'!I25*K25,0)</f>
        <v>9.8138318881487976</v>
      </c>
    </row>
    <row r="26" spans="1:16" ht="15.6" x14ac:dyDescent="0.25">
      <c r="A26" s="581" t="s">
        <v>369</v>
      </c>
      <c r="B26" s="286"/>
      <c r="C26" s="286"/>
      <c r="D26" s="166"/>
      <c r="E26" s="11"/>
      <c r="F26" s="295">
        <v>185837.14176999999</v>
      </c>
      <c r="G26" s="295">
        <v>256763.64489</v>
      </c>
      <c r="H26" s="166">
        <f t="shared" si="6"/>
        <v>38.200000000000003</v>
      </c>
      <c r="I26" s="415">
        <f>IFERROR(100/'Skjema total MA'!F26*G26,0)</f>
        <v>27.475953413095191</v>
      </c>
      <c r="J26" s="295">
        <f t="shared" si="9"/>
        <v>185837.14176999999</v>
      </c>
      <c r="K26" s="295">
        <f t="shared" si="10"/>
        <v>256763.64489</v>
      </c>
      <c r="L26" s="166">
        <f t="shared" si="8"/>
        <v>38.200000000000003</v>
      </c>
      <c r="M26" s="23">
        <f>IFERROR(100/'Skjema total MA'!I26*K26,0)</f>
        <v>27.475953413095191</v>
      </c>
    </row>
    <row r="27" spans="1:16" x14ac:dyDescent="0.25">
      <c r="A27" s="581" t="s">
        <v>11</v>
      </c>
      <c r="B27" s="286"/>
      <c r="C27" s="286"/>
      <c r="D27" s="166"/>
      <c r="E27" s="11"/>
      <c r="F27" s="295"/>
      <c r="G27" s="295"/>
      <c r="H27" s="166"/>
      <c r="I27" s="415"/>
      <c r="J27" s="295"/>
      <c r="K27" s="295"/>
      <c r="L27" s="166"/>
      <c r="M27" s="23"/>
    </row>
    <row r="28" spans="1:16" ht="15.6" x14ac:dyDescent="0.25">
      <c r="A28" s="49" t="s">
        <v>274</v>
      </c>
      <c r="B28" s="44"/>
      <c r="C28" s="292"/>
      <c r="D28" s="166"/>
      <c r="E28" s="11"/>
      <c r="F28" s="321"/>
      <c r="G28" s="321"/>
      <c r="H28" s="166"/>
      <c r="I28" s="27"/>
      <c r="J28" s="44"/>
      <c r="K28" s="44"/>
      <c r="L28" s="259"/>
      <c r="M28" s="23"/>
    </row>
    <row r="29" spans="1:16" s="3" customFormat="1" ht="15.6" x14ac:dyDescent="0.25">
      <c r="A29" s="13" t="s">
        <v>363</v>
      </c>
      <c r="B29" s="236">
        <v>2774535.3558100001</v>
      </c>
      <c r="C29" s="236">
        <v>2616069.6016299999</v>
      </c>
      <c r="D29" s="171">
        <f t="shared" si="5"/>
        <v>-5.7</v>
      </c>
      <c r="E29" s="11">
        <f>IFERROR(100/'Skjema total MA'!C29*C29,0)</f>
        <v>5.8184287907460668</v>
      </c>
      <c r="F29" s="310">
        <v>2889242.9551499998</v>
      </c>
      <c r="G29" s="310">
        <v>3704233.7944700001</v>
      </c>
      <c r="H29" s="171">
        <f t="shared" si="6"/>
        <v>28.2</v>
      </c>
      <c r="I29" s="11">
        <f>IFERROR(100/'Skjema total MA'!F29*G29,0)</f>
        <v>14.399093922308566</v>
      </c>
      <c r="J29" s="236">
        <f t="shared" si="7"/>
        <v>5663778.3109600004</v>
      </c>
      <c r="K29" s="236">
        <f t="shared" si="7"/>
        <v>6320303.3960999995</v>
      </c>
      <c r="L29" s="426">
        <f t="shared" si="8"/>
        <v>11.6</v>
      </c>
      <c r="M29" s="24">
        <f>IFERROR(100/'Skjema total MA'!I29*K29,0)</f>
        <v>8.9412209386797468</v>
      </c>
      <c r="N29" s="148"/>
    </row>
    <row r="30" spans="1:16" s="3" customFormat="1" ht="15.6" x14ac:dyDescent="0.25">
      <c r="A30" s="581" t="s">
        <v>366</v>
      </c>
      <c r="B30" s="286">
        <v>1591728.81601264</v>
      </c>
      <c r="C30" s="286">
        <v>1500818.2760725799</v>
      </c>
      <c r="D30" s="166">
        <f t="shared" si="5"/>
        <v>-5.7</v>
      </c>
      <c r="E30" s="11">
        <f>IFERROR(100/'Skjema total MA'!C30*C30,0)</f>
        <v>11.340067444231044</v>
      </c>
      <c r="F30" s="295">
        <v>627283.88528999896</v>
      </c>
      <c r="G30" s="295">
        <v>698469.86621999904</v>
      </c>
      <c r="H30" s="166">
        <f t="shared" si="6"/>
        <v>11.3</v>
      </c>
      <c r="I30" s="415">
        <f>IFERROR(100/'Skjema total MA'!F30*G30,0)</f>
        <v>16.9904212391831</v>
      </c>
      <c r="J30" s="295">
        <f t="shared" ref="J30:J33" si="11">SUM(B30,F30)</f>
        <v>2219012.7013026392</v>
      </c>
      <c r="K30" s="295">
        <f t="shared" ref="K30:K33" si="12">SUM(C30,G30)</f>
        <v>2199288.1422925787</v>
      </c>
      <c r="L30" s="166">
        <f t="shared" si="8"/>
        <v>-0.9</v>
      </c>
      <c r="M30" s="23">
        <f>IFERROR(100/'Skjema total MA'!I30*K30,0)</f>
        <v>12.679218345327952</v>
      </c>
      <c r="N30" s="148"/>
    </row>
    <row r="31" spans="1:16" s="3" customFormat="1" ht="15.6" x14ac:dyDescent="0.25">
      <c r="A31" s="581" t="s">
        <v>367</v>
      </c>
      <c r="B31" s="286">
        <v>1182806.5397973601</v>
      </c>
      <c r="C31" s="286">
        <v>1115251.32555742</v>
      </c>
      <c r="D31" s="166">
        <f t="shared" si="5"/>
        <v>-5.7</v>
      </c>
      <c r="E31" s="11">
        <f>IFERROR(100/'Skjema total MA'!C31*C31,0)</f>
        <v>4.9586973182626046</v>
      </c>
      <c r="F31" s="295">
        <v>898846.07403999905</v>
      </c>
      <c r="G31" s="295">
        <v>967404.58489999897</v>
      </c>
      <c r="H31" s="166">
        <f t="shared" si="6"/>
        <v>7.6</v>
      </c>
      <c r="I31" s="415">
        <f>IFERROR(100/'Skjema total MA'!F31*G31,0)</f>
        <v>10.311474030402501</v>
      </c>
      <c r="J31" s="295">
        <f t="shared" si="11"/>
        <v>2081652.613837359</v>
      </c>
      <c r="K31" s="295">
        <f t="shared" si="12"/>
        <v>2082655.910457419</v>
      </c>
      <c r="L31" s="166">
        <f t="shared" si="8"/>
        <v>0</v>
      </c>
      <c r="M31" s="23">
        <f>IFERROR(100/'Skjema total MA'!I31*K31,0)</f>
        <v>6.5343064620354241</v>
      </c>
      <c r="N31" s="148"/>
    </row>
    <row r="32" spans="1:16" ht="15.6" x14ac:dyDescent="0.25">
      <c r="A32" s="581" t="s">
        <v>368</v>
      </c>
      <c r="B32" s="286"/>
      <c r="C32" s="286"/>
      <c r="D32" s="166"/>
      <c r="E32" s="11"/>
      <c r="F32" s="295">
        <v>432850.00546999997</v>
      </c>
      <c r="G32" s="295">
        <v>546135.66491999896</v>
      </c>
      <c r="H32" s="166">
        <f t="shared" si="6"/>
        <v>26.2</v>
      </c>
      <c r="I32" s="415">
        <f>IFERROR(100/'Skjema total MA'!F32*G32,0)</f>
        <v>9.5261159432457649</v>
      </c>
      <c r="J32" s="295">
        <f t="shared" si="11"/>
        <v>432850.00546999997</v>
      </c>
      <c r="K32" s="295">
        <f t="shared" si="12"/>
        <v>546135.66491999896</v>
      </c>
      <c r="L32" s="166">
        <f t="shared" si="8"/>
        <v>26.2</v>
      </c>
      <c r="M32" s="23">
        <f>IFERROR(100/'Skjema total MA'!I32*K32,0)</f>
        <v>6.3088849183423603</v>
      </c>
    </row>
    <row r="33" spans="1:14" ht="15.6" x14ac:dyDescent="0.25">
      <c r="A33" s="581" t="s">
        <v>369</v>
      </c>
      <c r="B33" s="286"/>
      <c r="C33" s="286"/>
      <c r="D33" s="166"/>
      <c r="E33" s="11"/>
      <c r="F33" s="295">
        <v>930262.99034999998</v>
      </c>
      <c r="G33" s="295">
        <v>1492223.6784300001</v>
      </c>
      <c r="H33" s="166">
        <f t="shared" si="6"/>
        <v>60.4</v>
      </c>
      <c r="I33" s="415">
        <f>IFERROR(100/'Skjema total MA'!F33*G33,0)</f>
        <v>22.958560814500306</v>
      </c>
      <c r="J33" s="295">
        <f t="shared" si="11"/>
        <v>930262.99034999998</v>
      </c>
      <c r="K33" s="295">
        <f t="shared" si="12"/>
        <v>1492223.6784300001</v>
      </c>
      <c r="L33" s="166">
        <f t="shared" si="8"/>
        <v>60.4</v>
      </c>
      <c r="M33" s="23">
        <f>IFERROR(100/'Skjema total MA'!I33*K33,0)</f>
        <v>22.958560814500306</v>
      </c>
    </row>
    <row r="34" spans="1:14" ht="15.6" x14ac:dyDescent="0.25">
      <c r="A34" s="13" t="s">
        <v>364</v>
      </c>
      <c r="B34" s="236"/>
      <c r="C34" s="311"/>
      <c r="D34" s="171"/>
      <c r="E34" s="11"/>
      <c r="F34" s="310">
        <v>19192.41764</v>
      </c>
      <c r="G34" s="311">
        <v>20247.578409999998</v>
      </c>
      <c r="H34" s="171">
        <f t="shared" si="6"/>
        <v>5.5</v>
      </c>
      <c r="I34" s="11">
        <f>IFERROR(100/'Skjema total MA'!F34*G34,0)</f>
        <v>28.175985813103544</v>
      </c>
      <c r="J34" s="236">
        <f t="shared" si="7"/>
        <v>19192.41764</v>
      </c>
      <c r="K34" s="236">
        <f t="shared" si="7"/>
        <v>20247.578409999998</v>
      </c>
      <c r="L34" s="426">
        <f t="shared" si="8"/>
        <v>5.5</v>
      </c>
      <c r="M34" s="24">
        <f>IFERROR(100/'Skjema total MA'!I34*K34,0)</f>
        <v>24.397104598336586</v>
      </c>
    </row>
    <row r="35" spans="1:14" ht="15.6" x14ac:dyDescent="0.25">
      <c r="A35" s="13" t="s">
        <v>365</v>
      </c>
      <c r="B35" s="236">
        <v>524.21657000000005</v>
      </c>
      <c r="C35" s="311">
        <v>135.08957000000001</v>
      </c>
      <c r="D35" s="171">
        <f t="shared" si="5"/>
        <v>-74.2</v>
      </c>
      <c r="E35" s="11">
        <f>IFERROR(100/'Skjema total MA'!C35*C35,0)</f>
        <v>-0.18277001708621521</v>
      </c>
      <c r="F35" s="310">
        <v>6958.5588500000003</v>
      </c>
      <c r="G35" s="311">
        <v>14751.805829999999</v>
      </c>
      <c r="H35" s="171">
        <f t="shared" si="6"/>
        <v>112</v>
      </c>
      <c r="I35" s="11">
        <f>IFERROR(100/'Skjema total MA'!F35*G35,0)</f>
        <v>11.412298529707151</v>
      </c>
      <c r="J35" s="236">
        <f t="shared" si="7"/>
        <v>7482.7754199999999</v>
      </c>
      <c r="K35" s="236">
        <f t="shared" si="7"/>
        <v>14886.895399999999</v>
      </c>
      <c r="L35" s="426">
        <f t="shared" si="8"/>
        <v>98.9</v>
      </c>
      <c r="M35" s="24">
        <f>IFERROR(100/'Skjema total MA'!I35*K35,0)</f>
        <v>26.89591236728339</v>
      </c>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c r="C47" s="313"/>
      <c r="D47" s="425"/>
      <c r="E47" s="11"/>
      <c r="F47" s="145"/>
      <c r="G47" s="33"/>
      <c r="H47" s="159"/>
      <c r="I47" s="159"/>
      <c r="J47" s="37"/>
      <c r="K47" s="37"/>
      <c r="L47" s="159"/>
      <c r="M47" s="159"/>
      <c r="N47" s="148"/>
    </row>
    <row r="48" spans="1:14" s="3" customFormat="1" ht="15.6" x14ac:dyDescent="0.25">
      <c r="A48" s="38" t="s">
        <v>374</v>
      </c>
      <c r="B48" s="286"/>
      <c r="C48" s="287"/>
      <c r="D48" s="259"/>
      <c r="E48" s="27"/>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v>559395.50616999995</v>
      </c>
      <c r="C66" s="354">
        <v>621189.54829000006</v>
      </c>
      <c r="D66" s="351">
        <f t="shared" ref="D66:D111" si="13">IF(B66=0, "    ---- ", IF(ABS(ROUND(100/B66*C66-100,1))&lt;999,ROUND(100/B66*C66-100,1),IF(ROUND(100/B66*C66-100,1)&gt;999,999,-999)))</f>
        <v>11</v>
      </c>
      <c r="E66" s="11">
        <f>IFERROR(100/'Skjema total MA'!C66*C66,0)</f>
        <v>9.9021518132503612</v>
      </c>
      <c r="F66" s="353">
        <v>2949370.4852900002</v>
      </c>
      <c r="G66" s="353">
        <v>3316975.3538199998</v>
      </c>
      <c r="H66" s="351">
        <f t="shared" ref="H66:H111" si="14">IF(F66=0, "    ---- ", IF(ABS(ROUND(100/F66*G66-100,1))&lt;999,ROUND(100/F66*G66-100,1),IF(ROUND(100/F66*G66-100,1)&gt;999,999,-999)))</f>
        <v>12.5</v>
      </c>
      <c r="I66" s="11">
        <f>IFERROR(100/'Skjema total MA'!F66*G66,0)</f>
        <v>11.817268497868932</v>
      </c>
      <c r="J66" s="311">
        <f t="shared" ref="J66:K86" si="15">SUM(B66,F66)</f>
        <v>3508765.9914600002</v>
      </c>
      <c r="K66" s="318">
        <f t="shared" si="15"/>
        <v>3938164.9021100001</v>
      </c>
      <c r="L66" s="426">
        <f t="shared" ref="L66:L111" si="16">IF(J66=0, "    ---- ", IF(ABS(ROUND(100/J66*K66-100,1))&lt;999,ROUND(100/J66*K66-100,1),IF(ROUND(100/J66*K66-100,1)&gt;999,999,-999)))</f>
        <v>12.2</v>
      </c>
      <c r="M66" s="11">
        <f>IFERROR(100/'Skjema total MA'!I66*K66,0)</f>
        <v>11.46743437711481</v>
      </c>
    </row>
    <row r="67" spans="1:14" x14ac:dyDescent="0.25">
      <c r="A67" s="417" t="s">
        <v>9</v>
      </c>
      <c r="B67" s="44">
        <v>132742.09362</v>
      </c>
      <c r="C67" s="145">
        <v>162960.71119999999</v>
      </c>
      <c r="D67" s="166">
        <f t="shared" si="13"/>
        <v>22.8</v>
      </c>
      <c r="E67" s="27">
        <f>IFERROR(100/'Skjema total MA'!C67*C67,0)</f>
        <v>3.6536412631313966</v>
      </c>
      <c r="F67" s="234"/>
      <c r="G67" s="145"/>
      <c r="H67" s="166"/>
      <c r="I67" s="27"/>
      <c r="J67" s="292">
        <f t="shared" si="15"/>
        <v>132742.09362</v>
      </c>
      <c r="K67" s="44">
        <f t="shared" si="15"/>
        <v>162960.71119999999</v>
      </c>
      <c r="L67" s="259">
        <f t="shared" si="16"/>
        <v>22.8</v>
      </c>
      <c r="M67" s="27">
        <f>IFERROR(100/'Skjema total MA'!I67*K67,0)</f>
        <v>3.6536412631313966</v>
      </c>
    </row>
    <row r="68" spans="1:14" x14ac:dyDescent="0.25">
      <c r="A68" s="21" t="s">
        <v>10</v>
      </c>
      <c r="B68" s="296">
        <v>32589.786349999998</v>
      </c>
      <c r="C68" s="297">
        <v>26035.568589999999</v>
      </c>
      <c r="D68" s="166">
        <f t="shared" si="13"/>
        <v>-20.100000000000001</v>
      </c>
      <c r="E68" s="27">
        <f>IFERROR(100/'Skjema total MA'!C68*C68,0)</f>
        <v>74.454201701139752</v>
      </c>
      <c r="F68" s="296">
        <v>2738729.8295200001</v>
      </c>
      <c r="G68" s="297">
        <v>3079739.4501999998</v>
      </c>
      <c r="H68" s="166">
        <f t="shared" si="14"/>
        <v>12.5</v>
      </c>
      <c r="I68" s="27">
        <f>IFERROR(100/'Skjema total MA'!F68*G68,0)</f>
        <v>11.426809549811994</v>
      </c>
      <c r="J68" s="292">
        <f t="shared" si="15"/>
        <v>2771319.6158700003</v>
      </c>
      <c r="K68" s="44">
        <f t="shared" si="15"/>
        <v>3105775.0187899997</v>
      </c>
      <c r="L68" s="259">
        <f t="shared" si="16"/>
        <v>12.1</v>
      </c>
      <c r="M68" s="27">
        <f>IFERROR(100/'Skjema total MA'!I68*K68,0)</f>
        <v>11.50847814743244</v>
      </c>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v>244385.67420000001</v>
      </c>
      <c r="C75" s="145">
        <v>263934.93861000001</v>
      </c>
      <c r="D75" s="166">
        <f t="shared" si="13"/>
        <v>8</v>
      </c>
      <c r="E75" s="27">
        <f>IFERROR(100/'Skjema total MA'!C75*C75,0)</f>
        <v>64.465553524160484</v>
      </c>
      <c r="F75" s="234">
        <v>210640.65577000001</v>
      </c>
      <c r="G75" s="145">
        <v>237235.90362</v>
      </c>
      <c r="H75" s="166">
        <f t="shared" si="14"/>
        <v>12.6</v>
      </c>
      <c r="I75" s="27">
        <f>IFERROR(100/'Skjema total MA'!F75*G75,0)</f>
        <v>21.238504516958976</v>
      </c>
      <c r="J75" s="292">
        <f t="shared" si="15"/>
        <v>455026.32997000002</v>
      </c>
      <c r="K75" s="44">
        <f t="shared" si="15"/>
        <v>501170.84223000001</v>
      </c>
      <c r="L75" s="259">
        <f t="shared" si="16"/>
        <v>10.1</v>
      </c>
      <c r="M75" s="27">
        <f>IFERROR(100/'Skjema total MA'!I75*K75,0)</f>
        <v>32.832903894723579</v>
      </c>
      <c r="N75" s="148"/>
    </row>
    <row r="76" spans="1:14" s="3" customFormat="1" x14ac:dyDescent="0.25">
      <c r="A76" s="21" t="s">
        <v>347</v>
      </c>
      <c r="B76" s="234">
        <v>149677.95199999999</v>
      </c>
      <c r="C76" s="145">
        <v>168258.32988999999</v>
      </c>
      <c r="D76" s="166">
        <f t="shared" ref="D76" si="17">IF(B76=0, "    ---- ", IF(ABS(ROUND(100/B76*C76-100,1))&lt;999,ROUND(100/B76*C76-100,1),IF(ROUND(100/B76*C76-100,1)&gt;999,999,-999)))</f>
        <v>12.4</v>
      </c>
      <c r="E76" s="27">
        <f>IFERROR(100/'Skjema total MA'!C77*C76,0)</f>
        <v>3.821612288407815</v>
      </c>
      <c r="F76" s="234"/>
      <c r="G76" s="145"/>
      <c r="H76" s="166"/>
      <c r="I76" s="27"/>
      <c r="J76" s="292">
        <f t="shared" ref="J76" si="18">SUM(B76,F76)</f>
        <v>149677.95199999999</v>
      </c>
      <c r="K76" s="44">
        <f t="shared" ref="K76" si="19">SUM(C76,G76)</f>
        <v>168258.32988999999</v>
      </c>
      <c r="L76" s="259">
        <f t="shared" ref="L76" si="20">IF(J76=0, "    ---- ", IF(ABS(ROUND(100/J76*K76-100,1))&lt;999,ROUND(100/J76*K76-100,1),IF(ROUND(100/J76*K76-100,1)&gt;999,999,-999)))</f>
        <v>12.4</v>
      </c>
      <c r="M76" s="27">
        <f>IFERROR(100/'Skjema total MA'!I77*K76,0)</f>
        <v>0.53679282224769298</v>
      </c>
      <c r="N76" s="148"/>
    </row>
    <row r="77" spans="1:14" ht="15.6" x14ac:dyDescent="0.25">
      <c r="A77" s="21" t="s">
        <v>380</v>
      </c>
      <c r="B77" s="234">
        <v>165331.87997000001</v>
      </c>
      <c r="C77" s="234">
        <v>188996.27979</v>
      </c>
      <c r="D77" s="166">
        <f t="shared" si="13"/>
        <v>14.3</v>
      </c>
      <c r="E77" s="27">
        <f>IFERROR(100/'Skjema total MA'!C77*C77,0)</f>
        <v>4.2926285181899448</v>
      </c>
      <c r="F77" s="234">
        <v>2729283.3724600002</v>
      </c>
      <c r="G77" s="145">
        <v>3071929.48685</v>
      </c>
      <c r="H77" s="166">
        <f t="shared" si="14"/>
        <v>12.6</v>
      </c>
      <c r="I77" s="27">
        <f>IFERROR(100/'Skjema total MA'!F77*G77,0)</f>
        <v>11.401880576199652</v>
      </c>
      <c r="J77" s="292">
        <f t="shared" si="15"/>
        <v>2894615.2524300003</v>
      </c>
      <c r="K77" s="44">
        <f t="shared" si="15"/>
        <v>3260925.76664</v>
      </c>
      <c r="L77" s="259">
        <f t="shared" si="16"/>
        <v>12.7</v>
      </c>
      <c r="M77" s="27">
        <f>IFERROR(100/'Skjema total MA'!I77*K77,0)</f>
        <v>10.403297991601784</v>
      </c>
    </row>
    <row r="78" spans="1:14" x14ac:dyDescent="0.25">
      <c r="A78" s="21" t="s">
        <v>9</v>
      </c>
      <c r="B78" s="234">
        <v>132742.09362</v>
      </c>
      <c r="C78" s="145">
        <v>162960.71119999999</v>
      </c>
      <c r="D78" s="166">
        <f t="shared" si="13"/>
        <v>22.8</v>
      </c>
      <c r="E78" s="27">
        <f>IFERROR(100/'Skjema total MA'!C78*C78,0)</f>
        <v>3.729461331210989</v>
      </c>
      <c r="F78" s="234"/>
      <c r="G78" s="145"/>
      <c r="H78" s="166"/>
      <c r="I78" s="27"/>
      <c r="J78" s="292">
        <f t="shared" si="15"/>
        <v>132742.09362</v>
      </c>
      <c r="K78" s="44">
        <f t="shared" si="15"/>
        <v>162960.71119999999</v>
      </c>
      <c r="L78" s="259">
        <f t="shared" si="16"/>
        <v>22.8</v>
      </c>
      <c r="M78" s="27">
        <f>IFERROR(100/'Skjema total MA'!I78*K78,0)</f>
        <v>3.729461331210989</v>
      </c>
    </row>
    <row r="79" spans="1:14" x14ac:dyDescent="0.25">
      <c r="A79" s="38" t="s">
        <v>421</v>
      </c>
      <c r="B79" s="296">
        <v>32589.786349999998</v>
      </c>
      <c r="C79" s="297">
        <v>26035.568589999999</v>
      </c>
      <c r="D79" s="166">
        <f t="shared" si="13"/>
        <v>-20.100000000000001</v>
      </c>
      <c r="E79" s="27">
        <f>IFERROR(100/'Skjema total MA'!C79*C79,0)</f>
        <v>78.280923276033874</v>
      </c>
      <c r="F79" s="296">
        <v>2729283.3724600002</v>
      </c>
      <c r="G79" s="297">
        <v>3071929.48685</v>
      </c>
      <c r="H79" s="166">
        <f t="shared" si="14"/>
        <v>12.6</v>
      </c>
      <c r="I79" s="27">
        <f>IFERROR(100/'Skjema total MA'!F79*G79,0)</f>
        <v>11.401880576199652</v>
      </c>
      <c r="J79" s="292">
        <f t="shared" si="15"/>
        <v>2761873.1588100004</v>
      </c>
      <c r="K79" s="44">
        <f t="shared" si="15"/>
        <v>3097965.0554399998</v>
      </c>
      <c r="L79" s="259">
        <f t="shared" si="16"/>
        <v>12.2</v>
      </c>
      <c r="M79" s="27">
        <f>IFERROR(100/'Skjema total MA'!I79*K79,0)</f>
        <v>11.484338165334506</v>
      </c>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v>9446.4570600000006</v>
      </c>
      <c r="G86" s="145">
        <v>7809.96335</v>
      </c>
      <c r="H86" s="166">
        <f t="shared" si="14"/>
        <v>-17.3</v>
      </c>
      <c r="I86" s="27">
        <f>IFERROR(100/'Skjema total MA'!F86*G86,0)</f>
        <v>81.610493764362658</v>
      </c>
      <c r="J86" s="292">
        <f t="shared" si="15"/>
        <v>9446.4570600000006</v>
      </c>
      <c r="K86" s="44">
        <f t="shared" si="15"/>
        <v>7809.96335</v>
      </c>
      <c r="L86" s="259">
        <f t="shared" si="16"/>
        <v>-17.3</v>
      </c>
      <c r="M86" s="27">
        <f>IFERROR(100/'Skjema total MA'!I86*K86,0)</f>
        <v>7.6601896489973837</v>
      </c>
    </row>
    <row r="87" spans="1:13" ht="15.6" x14ac:dyDescent="0.25">
      <c r="A87" s="13" t="s">
        <v>363</v>
      </c>
      <c r="B87" s="354">
        <v>16144885.49265</v>
      </c>
      <c r="C87" s="354">
        <v>16916124.589680001</v>
      </c>
      <c r="D87" s="171">
        <f t="shared" si="13"/>
        <v>4.8</v>
      </c>
      <c r="E87" s="11">
        <f>IFERROR(100/'Skjema total MA'!C87*C87,0)</f>
        <v>4.2143738056360522</v>
      </c>
      <c r="F87" s="353">
        <v>33124782.757289998</v>
      </c>
      <c r="G87" s="353">
        <v>44781804.1963</v>
      </c>
      <c r="H87" s="171">
        <f t="shared" si="14"/>
        <v>35.200000000000003</v>
      </c>
      <c r="I87" s="11">
        <f>IFERROR(100/'Skjema total MA'!F87*G87,0)</f>
        <v>10.533510898097552</v>
      </c>
      <c r="J87" s="311">
        <f t="shared" ref="J87:K111" si="21">SUM(B87,F87)</f>
        <v>49269668.24994</v>
      </c>
      <c r="K87" s="236">
        <f t="shared" si="21"/>
        <v>61697928.785980001</v>
      </c>
      <c r="L87" s="426">
        <f t="shared" si="16"/>
        <v>25.2</v>
      </c>
      <c r="M87" s="11">
        <f>IFERROR(100/'Skjema total MA'!I87*K87,0)</f>
        <v>7.4647137988675896</v>
      </c>
    </row>
    <row r="88" spans="1:13" x14ac:dyDescent="0.25">
      <c r="A88" s="21" t="s">
        <v>9</v>
      </c>
      <c r="B88" s="234">
        <v>12188185.65897</v>
      </c>
      <c r="C88" s="145">
        <v>12214903.78222</v>
      </c>
      <c r="D88" s="166">
        <f t="shared" si="13"/>
        <v>0.2</v>
      </c>
      <c r="E88" s="27">
        <f>IFERROR(100/'Skjema total MA'!C88*C88,0)</f>
        <v>3.1459609493060179</v>
      </c>
      <c r="F88" s="234"/>
      <c r="G88" s="145"/>
      <c r="H88" s="166"/>
      <c r="I88" s="27"/>
      <c r="J88" s="292">
        <f t="shared" si="21"/>
        <v>12188185.65897</v>
      </c>
      <c r="K88" s="44">
        <f t="shared" si="21"/>
        <v>12214903.78222</v>
      </c>
      <c r="L88" s="259">
        <f t="shared" si="16"/>
        <v>0.2</v>
      </c>
      <c r="M88" s="27">
        <f>IFERROR(100/'Skjema total MA'!I88*K88,0)</f>
        <v>3.1459609493060179</v>
      </c>
    </row>
    <row r="89" spans="1:13" x14ac:dyDescent="0.25">
      <c r="A89" s="21" t="s">
        <v>10</v>
      </c>
      <c r="B89" s="234">
        <v>1633728.35253</v>
      </c>
      <c r="C89" s="145">
        <v>1679656.39634</v>
      </c>
      <c r="D89" s="166">
        <f t="shared" si="13"/>
        <v>2.8</v>
      </c>
      <c r="E89" s="27">
        <f>IFERROR(100/'Skjema total MA'!C89*C89,0)</f>
        <v>54.419333899508054</v>
      </c>
      <c r="F89" s="234">
        <v>32005573.420899998</v>
      </c>
      <c r="G89" s="145">
        <v>43197564.57756</v>
      </c>
      <c r="H89" s="166">
        <f t="shared" si="14"/>
        <v>35</v>
      </c>
      <c r="I89" s="27">
        <f>IFERROR(100/'Skjema total MA'!F89*G89,0)</f>
        <v>10.266618207308191</v>
      </c>
      <c r="J89" s="292">
        <f t="shared" si="21"/>
        <v>33639301.773429997</v>
      </c>
      <c r="K89" s="44">
        <f t="shared" si="21"/>
        <v>44877220.973899998</v>
      </c>
      <c r="L89" s="259">
        <f t="shared" si="16"/>
        <v>33.4</v>
      </c>
      <c r="M89" s="27">
        <f>IFERROR(100/'Skjema total MA'!I89*K89,0)</f>
        <v>10.588146071787182</v>
      </c>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v>1462557.9188699999</v>
      </c>
      <c r="C96" s="145">
        <v>1957764.0457200001</v>
      </c>
      <c r="D96" s="166">
        <f t="shared" si="13"/>
        <v>33.9</v>
      </c>
      <c r="E96" s="27">
        <f>IFERROR(100/'Skjema total MA'!C96*C96,0)</f>
        <v>77.748731898496416</v>
      </c>
      <c r="F96" s="234">
        <v>1119209.3363900001</v>
      </c>
      <c r="G96" s="145">
        <v>1584239.6187400001</v>
      </c>
      <c r="H96" s="166">
        <f t="shared" si="14"/>
        <v>41.5</v>
      </c>
      <c r="I96" s="27">
        <f>IFERROR(100/'Skjema total MA'!F96*G96,0)</f>
        <v>36.177627661023919</v>
      </c>
      <c r="J96" s="292">
        <f t="shared" si="21"/>
        <v>2581767.25526</v>
      </c>
      <c r="K96" s="44">
        <f t="shared" si="21"/>
        <v>3542003.6644600001</v>
      </c>
      <c r="L96" s="259">
        <f t="shared" si="16"/>
        <v>37.200000000000003</v>
      </c>
      <c r="M96" s="27">
        <f>IFERROR(100/'Skjema total MA'!I96*K96,0)</f>
        <v>51.354788352560753</v>
      </c>
    </row>
    <row r="97" spans="1:13" x14ac:dyDescent="0.25">
      <c r="A97" s="21" t="s">
        <v>345</v>
      </c>
      <c r="B97" s="234">
        <v>860413.56227999995</v>
      </c>
      <c r="C97" s="145">
        <v>1063800.3654</v>
      </c>
      <c r="D97" s="166">
        <f t="shared" ref="D97" si="22">IF(B97=0, "    ---- ", IF(ABS(ROUND(100/B97*C97-100,1))&lt;999,ROUND(100/B97*C97-100,1),IF(ROUND(100/B97*C97-100,1)&gt;999,999,-999)))</f>
        <v>23.6</v>
      </c>
      <c r="E97" s="27">
        <f>IFERROR(100/'Skjema total MA'!C98*C97,0)</f>
        <v>0.27494744620189998</v>
      </c>
      <c r="F97" s="234"/>
      <c r="G97" s="145"/>
      <c r="H97" s="166"/>
      <c r="I97" s="27">
        <f>IFERROR(100/'Skjema total MA'!F98*G97,0)</f>
        <v>0</v>
      </c>
      <c r="J97" s="292">
        <f t="shared" ref="J97" si="23">SUM(B97,F97)</f>
        <v>860413.56227999995</v>
      </c>
      <c r="K97" s="44">
        <f t="shared" ref="K97" si="24">SUM(C97,G97)</f>
        <v>1063800.3654</v>
      </c>
      <c r="L97" s="259">
        <f t="shared" ref="L97" si="25">IF(J97=0, "    ---- ", IF(ABS(ROUND(100/J97*K97-100,1))&lt;999,ROUND(100/J97*K97-100,1),IF(ROUND(100/J97*K97-100,1)&gt;999,999,-999)))</f>
        <v>23.6</v>
      </c>
      <c r="M97" s="27">
        <f>IFERROR(100/'Skjema total MA'!I98*K97,0)</f>
        <v>0.13188684279699842</v>
      </c>
    </row>
    <row r="98" spans="1:13" ht="15.6" x14ac:dyDescent="0.25">
      <c r="A98" s="21" t="s">
        <v>380</v>
      </c>
      <c r="B98" s="234">
        <v>13821914.011500001</v>
      </c>
      <c r="C98" s="234">
        <v>13894560.17856</v>
      </c>
      <c r="D98" s="166">
        <f t="shared" si="13"/>
        <v>0.5</v>
      </c>
      <c r="E98" s="27">
        <f>IFERROR(100/'Skjema total MA'!C98*C98,0)</f>
        <v>3.5911567258742432</v>
      </c>
      <c r="F98" s="296">
        <v>31931471.494720001</v>
      </c>
      <c r="G98" s="296">
        <v>43105183.375909999</v>
      </c>
      <c r="H98" s="166">
        <f t="shared" si="14"/>
        <v>35</v>
      </c>
      <c r="I98" s="27">
        <f>IFERROR(100/'Skjema total MA'!F98*G98,0)</f>
        <v>10.270710109313505</v>
      </c>
      <c r="J98" s="292">
        <f t="shared" si="21"/>
        <v>45753385.506219998</v>
      </c>
      <c r="K98" s="44">
        <f t="shared" si="21"/>
        <v>56999743.554470003</v>
      </c>
      <c r="L98" s="259">
        <f t="shared" si="16"/>
        <v>24.6</v>
      </c>
      <c r="M98" s="27">
        <f>IFERROR(100/'Skjema total MA'!I98*K98,0)</f>
        <v>7.0666606838501558</v>
      </c>
    </row>
    <row r="99" spans="1:13" x14ac:dyDescent="0.25">
      <c r="A99" s="21" t="s">
        <v>9</v>
      </c>
      <c r="B99" s="296">
        <v>12188185.65897</v>
      </c>
      <c r="C99" s="297">
        <v>12214903.78222</v>
      </c>
      <c r="D99" s="166">
        <f t="shared" si="13"/>
        <v>0.2</v>
      </c>
      <c r="E99" s="27">
        <f>IFERROR(100/'Skjema total MA'!C99*C99,0)</f>
        <v>3.1824237159398252</v>
      </c>
      <c r="F99" s="234"/>
      <c r="G99" s="145"/>
      <c r="H99" s="166"/>
      <c r="I99" s="27">
        <f>IFERROR(100/'Skjema total MA'!F99*G99,0)</f>
        <v>0</v>
      </c>
      <c r="J99" s="292">
        <f t="shared" si="21"/>
        <v>12188185.65897</v>
      </c>
      <c r="K99" s="44">
        <f t="shared" si="21"/>
        <v>12214903.78222</v>
      </c>
      <c r="L99" s="259">
        <f t="shared" si="16"/>
        <v>0.2</v>
      </c>
      <c r="M99" s="27">
        <f>IFERROR(100/'Skjema total MA'!I99*K99,0)</f>
        <v>3.1824237159398252</v>
      </c>
    </row>
    <row r="100" spans="1:13" ht="15.6" x14ac:dyDescent="0.25">
      <c r="A100" s="38" t="s">
        <v>422</v>
      </c>
      <c r="B100" s="296">
        <v>1633728.35253</v>
      </c>
      <c r="C100" s="297">
        <v>1679656.39634</v>
      </c>
      <c r="D100" s="166">
        <f t="shared" si="13"/>
        <v>2.8</v>
      </c>
      <c r="E100" s="27">
        <f>IFERROR(100/'Skjema total MA'!C100*C100,0)</f>
        <v>54.419333899508054</v>
      </c>
      <c r="F100" s="234">
        <v>31931471.494720001</v>
      </c>
      <c r="G100" s="234">
        <v>43105183.375909999</v>
      </c>
      <c r="H100" s="166">
        <f t="shared" si="14"/>
        <v>35</v>
      </c>
      <c r="I100" s="27">
        <f>IFERROR(100/'Skjema total MA'!F100*G100,0)</f>
        <v>10.270710109313505</v>
      </c>
      <c r="J100" s="292">
        <f t="shared" si="21"/>
        <v>33565199.84725</v>
      </c>
      <c r="K100" s="44">
        <f t="shared" si="21"/>
        <v>44784839.772249997</v>
      </c>
      <c r="L100" s="259">
        <f t="shared" si="16"/>
        <v>33.4</v>
      </c>
      <c r="M100" s="27">
        <f>IFERROR(100/'Skjema total MA'!I100*K100,0)</f>
        <v>10.593019641248862</v>
      </c>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v>74101.926179999995</v>
      </c>
      <c r="G107" s="145">
        <v>92381.201649999901</v>
      </c>
      <c r="H107" s="166">
        <f t="shared" si="14"/>
        <v>24.7</v>
      </c>
      <c r="I107" s="27">
        <f>IFERROR(100/'Skjema total MA'!F107*G107,0)</f>
        <v>8.6572617783950037</v>
      </c>
      <c r="J107" s="292">
        <f t="shared" si="21"/>
        <v>74101.926179999995</v>
      </c>
      <c r="K107" s="44">
        <f t="shared" si="21"/>
        <v>92381.201649999901</v>
      </c>
      <c r="L107" s="259">
        <f t="shared" si="16"/>
        <v>24.7</v>
      </c>
      <c r="M107" s="27">
        <f>IFERROR(100/'Skjema total MA'!I107*K107,0)</f>
        <v>1.6748632748091292</v>
      </c>
    </row>
    <row r="108" spans="1:13" ht="15.6" x14ac:dyDescent="0.25">
      <c r="A108" s="21" t="s">
        <v>382</v>
      </c>
      <c r="B108" s="234">
        <v>8901321.2001399994</v>
      </c>
      <c r="C108" s="234">
        <v>8823121.02269</v>
      </c>
      <c r="D108" s="166">
        <f t="shared" si="13"/>
        <v>-0.9</v>
      </c>
      <c r="E108" s="27">
        <f>IFERROR(100/'Skjema total MA'!C108*C108,0)</f>
        <v>2.6392068521205192</v>
      </c>
      <c r="F108" s="234"/>
      <c r="G108" s="234"/>
      <c r="H108" s="166"/>
      <c r="I108" s="27"/>
      <c r="J108" s="292">
        <f t="shared" si="21"/>
        <v>8901321.2001399994</v>
      </c>
      <c r="K108" s="44">
        <f t="shared" si="21"/>
        <v>8823121.02269</v>
      </c>
      <c r="L108" s="259">
        <f t="shared" si="16"/>
        <v>-0.9</v>
      </c>
      <c r="M108" s="27">
        <f>IFERROR(100/'Skjema total MA'!I108*K108,0)</f>
        <v>2.487605049586362</v>
      </c>
    </row>
    <row r="109" spans="1:13" ht="15.6" x14ac:dyDescent="0.25">
      <c r="A109" s="38" t="s">
        <v>437</v>
      </c>
      <c r="B109" s="234">
        <v>354243.37033000001</v>
      </c>
      <c r="C109" s="234">
        <v>370296.44011000003</v>
      </c>
      <c r="D109" s="166">
        <f t="shared" si="13"/>
        <v>4.5</v>
      </c>
      <c r="E109" s="27">
        <f>IFERROR(100/'Skjema total MA'!C109*C109,0)</f>
        <v>23.485254932626798</v>
      </c>
      <c r="F109" s="234">
        <v>10908701.948340001</v>
      </c>
      <c r="G109" s="234">
        <v>16096611.14436999</v>
      </c>
      <c r="H109" s="166">
        <f t="shared" si="14"/>
        <v>47.6</v>
      </c>
      <c r="I109" s="27">
        <f>IFERROR(100/'Skjema total MA'!F109*G109,0)</f>
        <v>10.622313535559606</v>
      </c>
      <c r="J109" s="292">
        <f t="shared" si="21"/>
        <v>11262945.318670001</v>
      </c>
      <c r="K109" s="44">
        <f t="shared" si="21"/>
        <v>16466907.584479989</v>
      </c>
      <c r="L109" s="259">
        <f t="shared" si="16"/>
        <v>46.2</v>
      </c>
      <c r="M109" s="27">
        <f>IFERROR(100/'Skjema total MA'!I109*K109,0)</f>
        <v>10.754773232960082</v>
      </c>
    </row>
    <row r="110" spans="1:13" ht="15.6" x14ac:dyDescent="0.25">
      <c r="A110" s="21" t="s">
        <v>384</v>
      </c>
      <c r="B110" s="234">
        <v>292208.04089</v>
      </c>
      <c r="C110" s="234">
        <v>470901.88043999998</v>
      </c>
      <c r="D110" s="166">
        <f t="shared" si="13"/>
        <v>61.2</v>
      </c>
      <c r="E110" s="27">
        <f>IFERROR(100/'Skjema total MA'!C110*C110,0)</f>
        <v>65.428130598100523</v>
      </c>
      <c r="F110" s="234"/>
      <c r="G110" s="234"/>
      <c r="H110" s="166"/>
      <c r="I110" s="27"/>
      <c r="J110" s="292">
        <f t="shared" si="21"/>
        <v>292208.04089</v>
      </c>
      <c r="K110" s="44">
        <f t="shared" si="21"/>
        <v>470901.88043999998</v>
      </c>
      <c r="L110" s="259">
        <f t="shared" si="16"/>
        <v>61.2</v>
      </c>
      <c r="M110" s="27">
        <f>IFERROR(100/'Skjema total MA'!I110*K110,0)</f>
        <v>65.428130598100523</v>
      </c>
    </row>
    <row r="111" spans="1:13" ht="15.6" x14ac:dyDescent="0.25">
      <c r="A111" s="13" t="s">
        <v>364</v>
      </c>
      <c r="B111" s="310">
        <v>15599.566859999999</v>
      </c>
      <c r="C111" s="159">
        <v>14798.247240000001</v>
      </c>
      <c r="D111" s="171">
        <f t="shared" si="13"/>
        <v>-5.0999999999999996</v>
      </c>
      <c r="E111" s="11">
        <f>IFERROR(100/'Skjema total MA'!C111*C111,0)</f>
        <v>3.220609922591402</v>
      </c>
      <c r="F111" s="310">
        <v>870734.84537999996</v>
      </c>
      <c r="G111" s="159">
        <v>7090461.7289800001</v>
      </c>
      <c r="H111" s="171">
        <f t="shared" si="14"/>
        <v>714.3</v>
      </c>
      <c r="I111" s="11">
        <f>IFERROR(100/'Skjema total MA'!F111*G111,0)</f>
        <v>13.376056413412307</v>
      </c>
      <c r="J111" s="311">
        <f t="shared" si="21"/>
        <v>886334.41223999998</v>
      </c>
      <c r="K111" s="236">
        <f t="shared" si="21"/>
        <v>7105259.9762200005</v>
      </c>
      <c r="L111" s="426">
        <f t="shared" si="16"/>
        <v>701.6</v>
      </c>
      <c r="M111" s="11">
        <f>IFERROR(100/'Skjema total MA'!I111*K111,0)</f>
        <v>13.288784108252406</v>
      </c>
    </row>
    <row r="112" spans="1:13" x14ac:dyDescent="0.25">
      <c r="A112" s="21" t="s">
        <v>9</v>
      </c>
      <c r="B112" s="234">
        <v>4257.0355300000001</v>
      </c>
      <c r="C112" s="145">
        <v>3391.71038</v>
      </c>
      <c r="D112" s="166">
        <f t="shared" ref="D112:D125" si="26">IF(B112=0, "    ---- ", IF(ABS(ROUND(100/B112*C112-100,1))&lt;999,ROUND(100/B112*C112-100,1),IF(ROUND(100/B112*C112-100,1)&gt;999,999,-999)))</f>
        <v>-20.3</v>
      </c>
      <c r="E112" s="27">
        <f>IFERROR(100/'Skjema total MA'!C112*C112,0)</f>
        <v>0.98008594558385798</v>
      </c>
      <c r="F112" s="234">
        <v>0</v>
      </c>
      <c r="G112" s="145">
        <v>0</v>
      </c>
      <c r="H112" s="166" t="str">
        <f t="shared" ref="H112:H125" si="27">IF(F112=0, "    ---- ", IF(ABS(ROUND(100/F112*G112-100,1))&lt;999,ROUND(100/F112*G112-100,1),IF(ROUND(100/F112*G112-100,1)&gt;999,999,-999)))</f>
        <v xml:space="preserve">    ---- </v>
      </c>
      <c r="I112" s="27">
        <f>IFERROR(100/'Skjema total MA'!F112*G112,0)</f>
        <v>0</v>
      </c>
      <c r="J112" s="292">
        <f t="shared" ref="J112:K125" si="28">SUM(B112,F112)</f>
        <v>4257.0355300000001</v>
      </c>
      <c r="K112" s="44">
        <f t="shared" si="28"/>
        <v>3391.71038</v>
      </c>
      <c r="L112" s="259">
        <f t="shared" ref="L112:L125" si="29">IF(J112=0, "    ---- ", IF(ABS(ROUND(100/J112*K112-100,1))&lt;999,ROUND(100/J112*K112-100,1),IF(ROUND(100/J112*K112-100,1)&gt;999,999,-999)))</f>
        <v>-20.3</v>
      </c>
      <c r="M112" s="27">
        <f>IFERROR(100/'Skjema total MA'!I112*K112,0)</f>
        <v>0.94921292233842514</v>
      </c>
    </row>
    <row r="113" spans="1:14" x14ac:dyDescent="0.25">
      <c r="A113" s="21" t="s">
        <v>10</v>
      </c>
      <c r="B113" s="234">
        <v>3724.60727</v>
      </c>
      <c r="C113" s="145">
        <v>229.13946999999999</v>
      </c>
      <c r="D113" s="166">
        <f t="shared" si="26"/>
        <v>-93.8</v>
      </c>
      <c r="E113" s="27">
        <f>IFERROR(100/'Skjema total MA'!C113*C113,0)</f>
        <v>100</v>
      </c>
      <c r="F113" s="234">
        <v>870556.74338</v>
      </c>
      <c r="G113" s="145">
        <v>7090461.7289800001</v>
      </c>
      <c r="H113" s="166">
        <f t="shared" si="27"/>
        <v>714.5</v>
      </c>
      <c r="I113" s="27">
        <f>IFERROR(100/'Skjema total MA'!F113*G113,0)</f>
        <v>13.378897235326036</v>
      </c>
      <c r="J113" s="292">
        <f t="shared" si="28"/>
        <v>874281.35065000004</v>
      </c>
      <c r="K113" s="44">
        <f t="shared" si="28"/>
        <v>7090690.86845</v>
      </c>
      <c r="L113" s="259">
        <f t="shared" si="29"/>
        <v>711</v>
      </c>
      <c r="M113" s="27">
        <f>IFERROR(100/'Skjema total MA'!I113*K113,0)</f>
        <v>13.379271748876333</v>
      </c>
    </row>
    <row r="114" spans="1:14" x14ac:dyDescent="0.25">
      <c r="A114" s="21" t="s">
        <v>26</v>
      </c>
      <c r="B114" s="234">
        <v>7617.9240600000003</v>
      </c>
      <c r="C114" s="145">
        <v>11177.39739</v>
      </c>
      <c r="D114" s="166">
        <f t="shared" si="26"/>
        <v>46.7</v>
      </c>
      <c r="E114" s="27">
        <f>IFERROR(100/'Skjema total MA'!C114*C114,0)</f>
        <v>9.874534048672837</v>
      </c>
      <c r="F114" s="234">
        <v>178.102</v>
      </c>
      <c r="G114" s="145">
        <v>0</v>
      </c>
      <c r="H114" s="166">
        <f t="shared" si="27"/>
        <v>-100</v>
      </c>
      <c r="I114" s="27">
        <f>IFERROR(100/'Skjema total MA'!F114*G114,0)</f>
        <v>0</v>
      </c>
      <c r="J114" s="292">
        <f t="shared" si="28"/>
        <v>7796.0260600000001</v>
      </c>
      <c r="K114" s="44">
        <f t="shared" si="28"/>
        <v>11177.39739</v>
      </c>
      <c r="L114" s="259">
        <f t="shared" si="29"/>
        <v>43.4</v>
      </c>
      <c r="M114" s="27">
        <f>IFERROR(100/'Skjema total MA'!I114*K114,0)</f>
        <v>9.874534048672837</v>
      </c>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v>3082.97228</v>
      </c>
      <c r="C116" s="234">
        <v>3391.6977900000002</v>
      </c>
      <c r="D116" s="166">
        <f t="shared" si="26"/>
        <v>10</v>
      </c>
      <c r="E116" s="27">
        <f>IFERROR(100/'Skjema total MA'!C116*C116,0)</f>
        <v>4.596375258543584</v>
      </c>
      <c r="F116" s="234"/>
      <c r="G116" s="234"/>
      <c r="H116" s="166"/>
      <c r="I116" s="27"/>
      <c r="J116" s="292">
        <f t="shared" si="28"/>
        <v>3082.97228</v>
      </c>
      <c r="K116" s="44">
        <f t="shared" si="28"/>
        <v>3391.6977900000002</v>
      </c>
      <c r="L116" s="259">
        <f t="shared" si="29"/>
        <v>10</v>
      </c>
      <c r="M116" s="27">
        <f>IFERROR(100/'Skjema total MA'!I116*K116,0)</f>
        <v>3.9880582738445987</v>
      </c>
    </row>
    <row r="117" spans="1:14" ht="15.6" x14ac:dyDescent="0.25">
      <c r="A117" s="21" t="s">
        <v>386</v>
      </c>
      <c r="B117" s="234"/>
      <c r="C117" s="234"/>
      <c r="D117" s="166"/>
      <c r="E117" s="27"/>
      <c r="F117" s="234">
        <v>301588.46357999998</v>
      </c>
      <c r="G117" s="234">
        <v>313690.71189999999</v>
      </c>
      <c r="H117" s="166">
        <f t="shared" si="27"/>
        <v>4</v>
      </c>
      <c r="I117" s="27">
        <f>IFERROR(100/'Skjema total MA'!F117*G117,0)</f>
        <v>4.1618468604655634</v>
      </c>
      <c r="J117" s="292">
        <f t="shared" si="28"/>
        <v>301588.46357999998</v>
      </c>
      <c r="K117" s="44">
        <f t="shared" si="28"/>
        <v>313690.71189999999</v>
      </c>
      <c r="L117" s="259">
        <f t="shared" si="29"/>
        <v>4</v>
      </c>
      <c r="M117" s="27">
        <f>IFERROR(100/'Skjema total MA'!I117*K117,0)</f>
        <v>4.1618468604655634</v>
      </c>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v>11887.309940000001</v>
      </c>
      <c r="C119" s="159">
        <v>23678.159059999998</v>
      </c>
      <c r="D119" s="171">
        <f t="shared" si="26"/>
        <v>99.2</v>
      </c>
      <c r="E119" s="11">
        <f>IFERROR(100/'Skjema total MA'!C119*C119,0)</f>
        <v>5.2151410372340479</v>
      </c>
      <c r="F119" s="310">
        <v>643226.31026000006</v>
      </c>
      <c r="G119" s="159">
        <v>5743726.6056000004</v>
      </c>
      <c r="H119" s="171">
        <f t="shared" si="27"/>
        <v>793</v>
      </c>
      <c r="I119" s="11">
        <f>IFERROR(100/'Skjema total MA'!F119*G119,0)</f>
        <v>9.4435279033224848</v>
      </c>
      <c r="J119" s="311">
        <f t="shared" si="28"/>
        <v>655113.6202</v>
      </c>
      <c r="K119" s="236">
        <f t="shared" si="28"/>
        <v>5767404.7646600008</v>
      </c>
      <c r="L119" s="426">
        <f t="shared" si="29"/>
        <v>780.4</v>
      </c>
      <c r="M119" s="11">
        <f>IFERROR(100/'Skjema total MA'!I119*K119,0)</f>
        <v>9.4121974133621062</v>
      </c>
    </row>
    <row r="120" spans="1:14" x14ac:dyDescent="0.25">
      <c r="A120" s="21" t="s">
        <v>9</v>
      </c>
      <c r="B120" s="234">
        <v>396.30399999999997</v>
      </c>
      <c r="C120" s="145">
        <v>49.346490000000003</v>
      </c>
      <c r="D120" s="166">
        <f t="shared" si="26"/>
        <v>-87.5</v>
      </c>
      <c r="E120" s="27">
        <f>IFERROR(100/'Skjema total MA'!C120*C120,0)</f>
        <v>1.5547457502256095E-2</v>
      </c>
      <c r="F120" s="234"/>
      <c r="G120" s="145"/>
      <c r="H120" s="166"/>
      <c r="I120" s="27"/>
      <c r="J120" s="292">
        <f t="shared" si="28"/>
        <v>396.30399999999997</v>
      </c>
      <c r="K120" s="44">
        <f t="shared" si="28"/>
        <v>49.346490000000003</v>
      </c>
      <c r="L120" s="259">
        <f t="shared" si="29"/>
        <v>-87.5</v>
      </c>
      <c r="M120" s="27">
        <f>IFERROR(100/'Skjema total MA'!I120*K120,0)</f>
        <v>1.5547457502256095E-2</v>
      </c>
    </row>
    <row r="121" spans="1:14" x14ac:dyDescent="0.25">
      <c r="A121" s="21" t="s">
        <v>10</v>
      </c>
      <c r="B121" s="234">
        <v>3265.1131</v>
      </c>
      <c r="C121" s="145">
        <v>10249.906709999999</v>
      </c>
      <c r="D121" s="166">
        <f t="shared" si="26"/>
        <v>213.9</v>
      </c>
      <c r="E121" s="27">
        <f>IFERROR(100/'Skjema total MA'!C121*C121,0)</f>
        <v>100</v>
      </c>
      <c r="F121" s="234">
        <v>643226.31026000006</v>
      </c>
      <c r="G121" s="145">
        <v>5743726.6056000004</v>
      </c>
      <c r="H121" s="166">
        <f t="shared" si="27"/>
        <v>793</v>
      </c>
      <c r="I121" s="27">
        <f>IFERROR(100/'Skjema total MA'!F121*G121,0)</f>
        <v>9.4435279033224848</v>
      </c>
      <c r="J121" s="292">
        <f t="shared" si="28"/>
        <v>646491.42336000002</v>
      </c>
      <c r="K121" s="44">
        <f t="shared" si="28"/>
        <v>5753976.5123100001</v>
      </c>
      <c r="L121" s="259">
        <f t="shared" si="29"/>
        <v>790</v>
      </c>
      <c r="M121" s="27">
        <f>IFERROR(100/'Skjema total MA'!I121*K121,0)</f>
        <v>9.4587862238220755</v>
      </c>
    </row>
    <row r="122" spans="1:14" x14ac:dyDescent="0.25">
      <c r="A122" s="21" t="s">
        <v>26</v>
      </c>
      <c r="B122" s="234">
        <v>8225.8928400000004</v>
      </c>
      <c r="C122" s="145">
        <v>13378.905860000001</v>
      </c>
      <c r="D122" s="166">
        <f t="shared" si="26"/>
        <v>62.6</v>
      </c>
      <c r="E122" s="27">
        <f>IFERROR(100/'Skjema total MA'!C122*C122,0)</f>
        <v>10.585864569893953</v>
      </c>
      <c r="F122" s="234"/>
      <c r="G122" s="145"/>
      <c r="H122" s="166"/>
      <c r="I122" s="27"/>
      <c r="J122" s="292">
        <f t="shared" si="28"/>
        <v>8225.8928400000004</v>
      </c>
      <c r="K122" s="44">
        <f t="shared" si="28"/>
        <v>13378.905860000001</v>
      </c>
      <c r="L122" s="259">
        <f t="shared" si="29"/>
        <v>62.6</v>
      </c>
      <c r="M122" s="27">
        <f>IFERROR(100/'Skjema total MA'!I122*K122,0)</f>
        <v>10.585864569893953</v>
      </c>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v>1211.61528</v>
      </c>
      <c r="C125" s="234">
        <v>1907.2593899999999</v>
      </c>
      <c r="D125" s="166">
        <f t="shared" si="26"/>
        <v>57.4</v>
      </c>
      <c r="E125" s="27">
        <f>IFERROR(100/'Skjema total MA'!C125*C125,0)</f>
        <v>85.98096750271732</v>
      </c>
      <c r="F125" s="234">
        <v>246114.58803000001</v>
      </c>
      <c r="G125" s="234">
        <v>3692781.7275999999</v>
      </c>
      <c r="H125" s="166">
        <f t="shared" si="27"/>
        <v>999</v>
      </c>
      <c r="I125" s="27">
        <f>IFERROR(100/'Skjema total MA'!F125*G125,0)</f>
        <v>15.643415582804995</v>
      </c>
      <c r="J125" s="292">
        <f t="shared" si="28"/>
        <v>247326.20331000001</v>
      </c>
      <c r="K125" s="44">
        <f t="shared" si="28"/>
        <v>3694688.9869899997</v>
      </c>
      <c r="L125" s="259">
        <f t="shared" si="29"/>
        <v>999</v>
      </c>
      <c r="M125" s="27">
        <f>IFERROR(100/'Skjema total MA'!I125*K125,0)</f>
        <v>15.650024522957276</v>
      </c>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317" priority="76">
      <formula>kvartal &lt; 4</formula>
    </cfRule>
  </conditionalFormatting>
  <conditionalFormatting sqref="C115">
    <cfRule type="expression" dxfId="316" priority="75">
      <formula>kvartal &lt; 4</formula>
    </cfRule>
  </conditionalFormatting>
  <conditionalFormatting sqref="B123">
    <cfRule type="expression" dxfId="315" priority="74">
      <formula>kvartal &lt; 4</formula>
    </cfRule>
  </conditionalFormatting>
  <conditionalFormatting sqref="C123">
    <cfRule type="expression" dxfId="314" priority="73">
      <formula>kvartal &lt; 4</formula>
    </cfRule>
  </conditionalFormatting>
  <conditionalFormatting sqref="F115">
    <cfRule type="expression" dxfId="313" priority="58">
      <formula>kvartal &lt; 4</formula>
    </cfRule>
  </conditionalFormatting>
  <conditionalFormatting sqref="G115">
    <cfRule type="expression" dxfId="312" priority="57">
      <formula>kvartal &lt; 4</formula>
    </cfRule>
  </conditionalFormatting>
  <conditionalFormatting sqref="F123:G123">
    <cfRule type="expression" dxfId="311" priority="56">
      <formula>kvartal &lt; 4</formula>
    </cfRule>
  </conditionalFormatting>
  <conditionalFormatting sqref="J115:K115">
    <cfRule type="expression" dxfId="310" priority="32">
      <formula>kvartal &lt; 4</formula>
    </cfRule>
  </conditionalFormatting>
  <conditionalFormatting sqref="J123:K123">
    <cfRule type="expression" dxfId="309" priority="31">
      <formula>kvartal &lt; 4</formula>
    </cfRule>
  </conditionalFormatting>
  <conditionalFormatting sqref="A50:A52">
    <cfRule type="expression" dxfId="308" priority="12">
      <formula>kvartal &lt; 4</formula>
    </cfRule>
  </conditionalFormatting>
  <conditionalFormatting sqref="A69:A74">
    <cfRule type="expression" dxfId="307" priority="10">
      <formula>kvartal &lt; 4</formula>
    </cfRule>
  </conditionalFormatting>
  <conditionalFormatting sqref="A80:A85">
    <cfRule type="expression" dxfId="306" priority="9">
      <formula>kvartal &lt; 4</formula>
    </cfRule>
  </conditionalFormatting>
  <conditionalFormatting sqref="A90:A95">
    <cfRule type="expression" dxfId="305" priority="6">
      <formula>kvartal &lt; 4</formula>
    </cfRule>
  </conditionalFormatting>
  <conditionalFormatting sqref="A101:A106">
    <cfRule type="expression" dxfId="304" priority="5">
      <formula>kvartal &lt; 4</formula>
    </cfRule>
  </conditionalFormatting>
  <conditionalFormatting sqref="A115">
    <cfRule type="expression" dxfId="303" priority="4">
      <formula>kvartal &lt; 4</formula>
    </cfRule>
  </conditionalFormatting>
  <conditionalFormatting sqref="A123">
    <cfRule type="expression" dxfId="302" priority="3">
      <formula>kvartal &lt; 4</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election activeCell="B33" sqref="B33"/>
    </sheetView>
  </sheetViews>
  <sheetFormatPr baseColWidth="10" defaultColWidth="11.44140625" defaultRowHeight="18" x14ac:dyDescent="0.35"/>
  <cols>
    <col min="10" max="11" width="16.6640625" customWidth="1"/>
    <col min="12" max="12" width="20.6640625" style="74" customWidth="1"/>
    <col min="13" max="14" width="15.6640625" style="74" bestFit="1" customWidth="1"/>
    <col min="15" max="15" width="22.6640625" customWidth="1"/>
    <col min="16" max="16" width="13.44140625" customWidth="1"/>
    <col min="17" max="17" width="13.6640625" customWidth="1"/>
  </cols>
  <sheetData>
    <row r="1" spans="1:15" x14ac:dyDescent="0.35">
      <c r="A1" s="73" t="s">
        <v>52</v>
      </c>
    </row>
    <row r="2" spans="1:15" x14ac:dyDescent="0.35">
      <c r="A2" s="75"/>
      <c r="B2" s="74"/>
      <c r="C2" s="74"/>
      <c r="D2" s="74"/>
      <c r="E2" s="74"/>
      <c r="F2" s="74"/>
      <c r="G2" s="74"/>
      <c r="H2" s="74"/>
      <c r="I2" s="74"/>
      <c r="J2" s="74"/>
      <c r="K2" s="74"/>
      <c r="O2" s="74"/>
    </row>
    <row r="3" spans="1:15" x14ac:dyDescent="0.35">
      <c r="A3" s="75" t="s">
        <v>32</v>
      </c>
      <c r="B3" s="74"/>
      <c r="C3" s="74"/>
      <c r="D3" s="74"/>
      <c r="E3" s="74"/>
      <c r="F3" s="74"/>
      <c r="G3" s="74"/>
      <c r="H3" s="74"/>
      <c r="I3" s="74"/>
      <c r="J3" s="74"/>
      <c r="K3" s="74"/>
      <c r="O3" s="74"/>
    </row>
    <row r="4" spans="1:15" x14ac:dyDescent="0.35">
      <c r="A4" s="74"/>
      <c r="B4" s="74"/>
      <c r="C4" s="74"/>
      <c r="D4" s="74"/>
      <c r="E4" s="74"/>
      <c r="F4" s="74"/>
      <c r="G4" s="74"/>
      <c r="H4" s="74"/>
      <c r="I4" s="74"/>
      <c r="J4" s="74"/>
      <c r="K4" s="74"/>
      <c r="L4" s="76"/>
      <c r="O4" s="74"/>
    </row>
    <row r="5" spans="1:15" x14ac:dyDescent="0.35">
      <c r="A5" s="75" t="s">
        <v>428</v>
      </c>
      <c r="B5" s="74"/>
      <c r="C5" s="74"/>
      <c r="D5" s="74"/>
      <c r="E5" s="74"/>
      <c r="F5" s="74"/>
      <c r="G5" s="74"/>
      <c r="H5" s="74"/>
      <c r="I5" s="79"/>
      <c r="J5" s="74"/>
      <c r="K5" s="74"/>
      <c r="L5" s="74" t="s">
        <v>53</v>
      </c>
      <c r="O5" s="74"/>
    </row>
    <row r="6" spans="1:15" x14ac:dyDescent="0.35">
      <c r="A6" s="74"/>
      <c r="B6" s="74"/>
      <c r="C6" s="74"/>
      <c r="D6" s="74"/>
      <c r="E6" s="74"/>
      <c r="F6" s="74"/>
      <c r="G6" s="74"/>
      <c r="H6" s="74"/>
      <c r="I6" s="74"/>
      <c r="J6" s="74"/>
      <c r="K6" s="74"/>
      <c r="L6" s="74" t="s">
        <v>0</v>
      </c>
      <c r="O6" s="74"/>
    </row>
    <row r="7" spans="1:15" x14ac:dyDescent="0.35">
      <c r="A7" s="74"/>
      <c r="B7" s="74"/>
      <c r="C7" s="74"/>
      <c r="D7" s="74"/>
      <c r="E7" s="74"/>
      <c r="F7" s="74"/>
      <c r="G7" s="74"/>
      <c r="H7" s="74"/>
      <c r="I7" s="74"/>
      <c r="J7" s="74"/>
      <c r="K7" s="74"/>
      <c r="M7" s="74">
        <v>2020</v>
      </c>
      <c r="N7" s="74">
        <v>2021</v>
      </c>
      <c r="O7" s="74"/>
    </row>
    <row r="8" spans="1:15" x14ac:dyDescent="0.35">
      <c r="A8" s="74"/>
      <c r="B8" s="74"/>
      <c r="C8" s="74"/>
      <c r="D8" s="74"/>
      <c r="E8" s="74"/>
      <c r="F8" s="74"/>
      <c r="G8" s="74"/>
      <c r="H8" s="74"/>
      <c r="I8" s="74"/>
      <c r="J8" s="74"/>
      <c r="K8" s="74"/>
      <c r="L8" s="74" t="s">
        <v>419</v>
      </c>
      <c r="O8" s="74"/>
    </row>
    <row r="9" spans="1:15" x14ac:dyDescent="0.35">
      <c r="A9" s="74"/>
      <c r="B9" s="74"/>
      <c r="C9" s="74"/>
      <c r="D9" s="74"/>
      <c r="E9" s="74"/>
      <c r="F9" s="74"/>
      <c r="G9" s="74"/>
      <c r="H9" s="74"/>
      <c r="I9" s="74"/>
      <c r="J9" s="74"/>
      <c r="K9" s="74"/>
      <c r="L9" s="74" t="s">
        <v>54</v>
      </c>
      <c r="M9" s="77">
        <f>'Tabel 1.1'!B10</f>
        <v>322886.59299999999</v>
      </c>
      <c r="N9" s="77">
        <f>'Tabel 1.1'!C10</f>
        <v>325384.08600000001</v>
      </c>
      <c r="O9" s="74"/>
    </row>
    <row r="10" spans="1:15" x14ac:dyDescent="0.35">
      <c r="A10" s="74"/>
      <c r="B10" s="74"/>
      <c r="C10" s="74"/>
      <c r="D10" s="74"/>
      <c r="E10" s="74"/>
      <c r="F10" s="74"/>
      <c r="G10" s="74"/>
      <c r="H10" s="74"/>
      <c r="I10" s="74"/>
      <c r="J10" s="74"/>
      <c r="K10" s="74"/>
      <c r="L10" s="74" t="s">
        <v>417</v>
      </c>
      <c r="M10" s="77">
        <f>'Tabel 1.1'!B11</f>
        <v>74436</v>
      </c>
      <c r="N10" s="77">
        <f>'Tabel 1.1'!C11</f>
        <v>0</v>
      </c>
      <c r="O10" s="74"/>
    </row>
    <row r="11" spans="1:15" x14ac:dyDescent="0.35">
      <c r="A11" s="74"/>
      <c r="B11" s="74"/>
      <c r="C11" s="74"/>
      <c r="D11" s="74"/>
      <c r="E11" s="74"/>
      <c r="F11" s="74"/>
      <c r="G11" s="74"/>
      <c r="H11" s="74"/>
      <c r="I11" s="74"/>
      <c r="J11" s="74"/>
      <c r="K11" s="74"/>
      <c r="L11" s="74" t="s">
        <v>55</v>
      </c>
      <c r="M11" s="77">
        <f>'Tabel 1.1'!B12</f>
        <v>2544846.8470000001</v>
      </c>
      <c r="N11" s="77">
        <f>'Tabel 1.1'!C12</f>
        <v>2650494.3509999998</v>
      </c>
      <c r="O11" s="74"/>
    </row>
    <row r="12" spans="1:15" x14ac:dyDescent="0.35">
      <c r="A12" s="74"/>
      <c r="B12" s="74"/>
      <c r="C12" s="74"/>
      <c r="D12" s="74"/>
      <c r="E12" s="74"/>
      <c r="F12" s="74"/>
      <c r="G12" s="74"/>
      <c r="H12" s="74"/>
      <c r="I12" s="74"/>
      <c r="J12" s="74"/>
      <c r="K12" s="74"/>
      <c r="L12" s="74" t="s">
        <v>56</v>
      </c>
      <c r="M12" s="77">
        <f>'Tabel 1.1'!B13</f>
        <v>269700</v>
      </c>
      <c r="N12" s="77">
        <f>'Tabel 1.1'!C13</f>
        <v>291419</v>
      </c>
      <c r="O12" s="74"/>
    </row>
    <row r="13" spans="1:15" x14ac:dyDescent="0.35">
      <c r="A13" s="74"/>
      <c r="B13" s="74"/>
      <c r="C13" s="74"/>
      <c r="D13" s="74"/>
      <c r="E13" s="74"/>
      <c r="F13" s="74"/>
      <c r="G13" s="74"/>
      <c r="H13" s="74"/>
      <c r="I13" s="74"/>
      <c r="J13" s="74"/>
      <c r="K13" s="74"/>
      <c r="L13" s="74" t="s">
        <v>420</v>
      </c>
      <c r="O13" s="74"/>
    </row>
    <row r="14" spans="1:15" x14ac:dyDescent="0.35">
      <c r="A14" s="74"/>
      <c r="B14" s="74"/>
      <c r="C14" s="74"/>
      <c r="D14" s="74"/>
      <c r="E14" s="74"/>
      <c r="F14" s="74"/>
      <c r="G14" s="74"/>
      <c r="H14" s="74"/>
      <c r="I14" s="74"/>
      <c r="J14" s="74"/>
      <c r="K14" s="74"/>
      <c r="L14" s="74" t="s">
        <v>403</v>
      </c>
      <c r="M14" s="77">
        <f>'Tabel 1.1'!B15</f>
        <v>2205150</v>
      </c>
      <c r="N14" s="77">
        <f>'Tabel 1.1'!C15</f>
        <v>2307250.8282099999</v>
      </c>
      <c r="O14" s="74"/>
    </row>
    <row r="15" spans="1:15" x14ac:dyDescent="0.35">
      <c r="A15" s="74"/>
      <c r="B15" s="74"/>
      <c r="C15" s="74"/>
      <c r="D15" s="74"/>
      <c r="E15" s="74"/>
      <c r="F15" s="74"/>
      <c r="G15" s="74"/>
      <c r="H15" s="74"/>
      <c r="I15" s="74"/>
      <c r="J15" s="74"/>
      <c r="K15" s="74"/>
      <c r="L15" s="74" t="s">
        <v>57</v>
      </c>
      <c r="M15" s="77">
        <f>'Tabel 1.1'!B16</f>
        <v>504078</v>
      </c>
      <c r="N15" s="77">
        <f>'Tabel 1.1'!C16</f>
        <v>459364</v>
      </c>
      <c r="O15" s="74"/>
    </row>
    <row r="16" spans="1:15" x14ac:dyDescent="0.35">
      <c r="A16" s="74"/>
      <c r="B16" s="74"/>
      <c r="C16" s="74"/>
      <c r="D16" s="74"/>
      <c r="E16" s="74"/>
      <c r="F16" s="74"/>
      <c r="G16" s="74"/>
      <c r="H16" s="74"/>
      <c r="I16" s="74"/>
      <c r="J16" s="74"/>
      <c r="K16" s="74"/>
      <c r="L16" s="74" t="s">
        <v>58</v>
      </c>
      <c r="M16" s="77">
        <f>'Tabel 1.1'!B17</f>
        <v>3713.2633999999998</v>
      </c>
      <c r="N16" s="77">
        <f>'Tabel 1.1'!C17</f>
        <v>5330.2790000000005</v>
      </c>
      <c r="O16" s="74"/>
    </row>
    <row r="17" spans="1:15" x14ac:dyDescent="0.35">
      <c r="A17" s="74"/>
      <c r="B17" s="74"/>
      <c r="C17" s="74"/>
      <c r="D17" s="74"/>
      <c r="E17" s="74"/>
      <c r="F17" s="74"/>
      <c r="G17" s="74"/>
      <c r="H17" s="74"/>
      <c r="I17" s="74"/>
      <c r="J17" s="74"/>
      <c r="K17" s="74"/>
      <c r="L17" s="74" t="s">
        <v>59</v>
      </c>
      <c r="M17" s="77">
        <f>'Tabel 1.1'!B18</f>
        <v>1445145</v>
      </c>
      <c r="N17" s="77">
        <f>'Tabel 1.1'!C18</f>
        <v>1671885.9509999999</v>
      </c>
      <c r="O17" s="74"/>
    </row>
    <row r="18" spans="1:15" x14ac:dyDescent="0.35">
      <c r="A18" s="74"/>
      <c r="B18" s="74"/>
      <c r="C18" s="74"/>
      <c r="D18" s="74"/>
      <c r="E18" s="74"/>
      <c r="F18" s="74"/>
      <c r="G18" s="74"/>
      <c r="H18" s="74"/>
      <c r="I18" s="74"/>
      <c r="J18" s="74"/>
      <c r="K18" s="74"/>
      <c r="L18" s="74" t="s">
        <v>60</v>
      </c>
      <c r="M18" s="77">
        <f>'Tabel 1.1'!B19</f>
        <v>509282</v>
      </c>
      <c r="N18" s="77">
        <f>'Tabel 1.1'!C19</f>
        <v>556509.5</v>
      </c>
      <c r="O18" s="74"/>
    </row>
    <row r="19" spans="1:15" x14ac:dyDescent="0.35">
      <c r="A19" s="74"/>
      <c r="B19" s="74"/>
      <c r="C19" s="74"/>
      <c r="D19" s="74"/>
      <c r="E19" s="74"/>
      <c r="F19" s="74"/>
      <c r="G19" s="74"/>
      <c r="H19" s="74"/>
      <c r="I19" s="74"/>
      <c r="J19" s="74"/>
      <c r="K19" s="74"/>
      <c r="L19" s="74" t="s">
        <v>61</v>
      </c>
      <c r="M19" s="77">
        <f>'Tabel 1.1'!B20</f>
        <v>26171.04192</v>
      </c>
      <c r="N19" s="77">
        <f>'Tabel 1.1'!C20</f>
        <v>26025.308660000002</v>
      </c>
      <c r="O19" s="74"/>
    </row>
    <row r="20" spans="1:15" x14ac:dyDescent="0.35">
      <c r="A20" s="74"/>
      <c r="B20" s="74"/>
      <c r="C20" s="74"/>
      <c r="D20" s="74"/>
      <c r="E20" s="74"/>
      <c r="F20" s="74"/>
      <c r="G20" s="74"/>
      <c r="H20" s="74"/>
      <c r="I20" s="74"/>
      <c r="J20" s="74"/>
      <c r="K20" s="74"/>
      <c r="L20" s="74" t="s">
        <v>62</v>
      </c>
      <c r="M20" s="77">
        <f>'Tabel 1.1'!B21</f>
        <v>396241.54700000002</v>
      </c>
      <c r="N20" s="77">
        <f>'Tabel 1.1'!C21</f>
        <v>416726.04218554404</v>
      </c>
      <c r="O20" s="74"/>
    </row>
    <row r="21" spans="1:15" x14ac:dyDescent="0.35">
      <c r="A21" s="74"/>
      <c r="B21" s="74"/>
      <c r="C21" s="74"/>
      <c r="D21" s="74"/>
      <c r="E21" s="74"/>
      <c r="F21" s="74"/>
      <c r="G21" s="74"/>
      <c r="H21" s="74"/>
      <c r="I21" s="74"/>
      <c r="J21" s="74"/>
      <c r="K21" s="74"/>
      <c r="L21" s="74" t="s">
        <v>63</v>
      </c>
      <c r="M21" s="77">
        <f>'Tabel 1.1'!B23</f>
        <v>26170501.342770003</v>
      </c>
      <c r="N21" s="77">
        <f>'Tabel 1.1'!C23</f>
        <v>41046577.107529998</v>
      </c>
      <c r="O21" s="74"/>
    </row>
    <row r="22" spans="1:15" x14ac:dyDescent="0.35">
      <c r="A22" s="74"/>
      <c r="B22" s="74"/>
      <c r="C22" s="74"/>
      <c r="D22" s="74"/>
      <c r="E22" s="74"/>
      <c r="F22" s="74"/>
      <c r="G22" s="74"/>
      <c r="H22" s="74"/>
      <c r="I22" s="74"/>
      <c r="J22" s="74"/>
      <c r="K22" s="74"/>
      <c r="L22" s="74" t="s">
        <v>65</v>
      </c>
      <c r="M22" s="77">
        <f>'Tabel 1.1'!B24</f>
        <v>185388.55200000003</v>
      </c>
      <c r="N22" s="77">
        <f>'Tabel 1.1'!C24</f>
        <v>233574.45626000001</v>
      </c>
      <c r="O22" s="74"/>
    </row>
    <row r="23" spans="1:15" x14ac:dyDescent="0.35">
      <c r="A23" s="74"/>
      <c r="B23" s="74"/>
      <c r="C23" s="74"/>
      <c r="D23" s="74"/>
      <c r="E23" s="74"/>
      <c r="F23" s="74"/>
      <c r="G23" s="74"/>
      <c r="H23" s="74"/>
      <c r="I23" s="74"/>
      <c r="J23" s="74"/>
      <c r="K23" s="74"/>
      <c r="L23" s="74" t="s">
        <v>404</v>
      </c>
      <c r="M23" s="77">
        <f>'Tabel 1.1'!B25</f>
        <v>38656</v>
      </c>
      <c r="N23" s="77">
        <f>'Tabel 1.1'!C25</f>
        <v>41337</v>
      </c>
      <c r="O23" s="74"/>
    </row>
    <row r="24" spans="1:15" x14ac:dyDescent="0.35">
      <c r="A24" s="74"/>
      <c r="B24" s="74"/>
      <c r="C24" s="74"/>
      <c r="D24" s="74"/>
      <c r="E24" s="74"/>
      <c r="F24" s="74"/>
      <c r="G24" s="74"/>
      <c r="H24" s="74"/>
      <c r="I24" s="74"/>
      <c r="J24" s="74"/>
      <c r="K24" s="74"/>
      <c r="L24" s="74" t="s">
        <v>405</v>
      </c>
      <c r="M24" s="77">
        <f>'Tabel 1.1'!B22</f>
        <v>11145.35382794882</v>
      </c>
      <c r="N24" s="77">
        <f>'Tabel 1.1'!C22</f>
        <v>0</v>
      </c>
      <c r="O24" s="74"/>
    </row>
    <row r="25" spans="1:15" x14ac:dyDescent="0.35">
      <c r="A25" s="74"/>
      <c r="B25" s="74"/>
      <c r="C25" s="74"/>
      <c r="D25" s="74"/>
      <c r="E25" s="74"/>
      <c r="F25" s="74"/>
      <c r="G25" s="74"/>
      <c r="H25" s="74"/>
      <c r="I25" s="74"/>
      <c r="J25" s="74"/>
      <c r="K25" s="74"/>
      <c r="L25" s="74" t="s">
        <v>66</v>
      </c>
      <c r="M25" s="77">
        <f>'Tabel 1.1'!B26</f>
        <v>1190396.8958108251</v>
      </c>
      <c r="N25" s="77">
        <f>'Tabel 1.1'!C26</f>
        <v>1318287.2052763819</v>
      </c>
      <c r="O25" s="74"/>
    </row>
    <row r="26" spans="1:15" s="141" customFormat="1" x14ac:dyDescent="0.35">
      <c r="A26" s="74"/>
      <c r="B26" s="74"/>
      <c r="C26" s="74"/>
      <c r="D26" s="74"/>
      <c r="E26" s="74"/>
      <c r="F26" s="74"/>
      <c r="G26" s="74"/>
      <c r="H26" s="74"/>
      <c r="I26" s="74"/>
      <c r="J26" s="74"/>
      <c r="K26" s="74"/>
      <c r="L26" s="74" t="s">
        <v>67</v>
      </c>
      <c r="M26" s="77">
        <f>'Tabel 1.1'!B27</f>
        <v>2473460</v>
      </c>
      <c r="N26" s="77">
        <f>'Tabel 1.1'!C27</f>
        <v>6050567</v>
      </c>
      <c r="O26" s="74"/>
    </row>
    <row r="27" spans="1:15" x14ac:dyDescent="0.35">
      <c r="A27" s="74"/>
      <c r="B27" s="74"/>
      <c r="C27" s="74"/>
      <c r="D27" s="74"/>
      <c r="E27" s="74"/>
      <c r="F27" s="74"/>
      <c r="G27" s="74"/>
      <c r="H27" s="74"/>
      <c r="I27" s="74"/>
      <c r="J27" s="74"/>
      <c r="K27" s="74"/>
      <c r="L27" s="74" t="s">
        <v>394</v>
      </c>
      <c r="M27" s="77">
        <f>'Tabel 1.1'!B28</f>
        <v>287049.49045636802</v>
      </c>
      <c r="N27" s="77">
        <f>'Tabel 1.1'!C28</f>
        <v>313745.28546748857</v>
      </c>
      <c r="O27" s="74"/>
    </row>
    <row r="28" spans="1:15" x14ac:dyDescent="0.35">
      <c r="A28" s="74"/>
      <c r="B28" s="74"/>
      <c r="C28" s="74"/>
      <c r="D28" s="74"/>
      <c r="E28" s="74"/>
      <c r="F28" s="74"/>
      <c r="G28" s="74"/>
      <c r="H28" s="74"/>
      <c r="I28" s="74"/>
      <c r="J28" s="74"/>
      <c r="K28" s="74"/>
      <c r="L28" s="74" t="s">
        <v>434</v>
      </c>
      <c r="M28" s="77">
        <f>'Tabel 1.1'!B29</f>
        <v>566972.15151</v>
      </c>
      <c r="N28" s="77">
        <f>'Tabel 1.1'!C29</f>
        <v>631024.44908000005</v>
      </c>
    </row>
    <row r="29" spans="1:15" x14ac:dyDescent="0.35">
      <c r="A29" s="74"/>
      <c r="B29" s="74"/>
      <c r="C29" s="74"/>
      <c r="D29" s="74"/>
      <c r="E29" s="74"/>
      <c r="F29" s="74"/>
      <c r="G29" s="74"/>
      <c r="H29" s="74"/>
      <c r="I29" s="74"/>
      <c r="J29" s="74"/>
      <c r="K29" s="74"/>
      <c r="L29" s="74" t="s">
        <v>69</v>
      </c>
      <c r="M29" s="77">
        <f>'Tabel 1.1'!B30</f>
        <v>4218437.4960000003</v>
      </c>
      <c r="N29" s="77">
        <f>'Tabel 1.1'!C30</f>
        <v>4839592.9589999998</v>
      </c>
    </row>
    <row r="30" spans="1:15" x14ac:dyDescent="0.35">
      <c r="A30" s="74"/>
      <c r="B30" s="74"/>
      <c r="C30" s="74"/>
      <c r="D30" s="74"/>
      <c r="E30" s="74"/>
      <c r="F30" s="74"/>
      <c r="G30" s="74"/>
      <c r="H30" s="74"/>
      <c r="I30" s="74"/>
      <c r="J30" s="74"/>
      <c r="K30" s="74"/>
      <c r="L30" s="74" t="s">
        <v>70</v>
      </c>
      <c r="M30" s="77">
        <f>'Tabel 1.1'!B31</f>
        <v>0</v>
      </c>
      <c r="N30" s="77">
        <f>'Tabel 1.1'!C31</f>
        <v>1014</v>
      </c>
    </row>
    <row r="31" spans="1:15" x14ac:dyDescent="0.35">
      <c r="A31" s="75" t="s">
        <v>429</v>
      </c>
      <c r="B31" s="74"/>
      <c r="C31" s="74"/>
      <c r="D31" s="74"/>
      <c r="E31" s="74"/>
      <c r="F31" s="74"/>
      <c r="G31" s="74"/>
      <c r="H31" s="74"/>
      <c r="I31" s="79"/>
      <c r="J31" s="74"/>
      <c r="K31" s="74"/>
      <c r="L31" s="74" t="s">
        <v>71</v>
      </c>
      <c r="M31" s="77">
        <f>'Tabel 1.1'!B32</f>
        <v>574050.93926000001</v>
      </c>
      <c r="N31" s="77">
        <f>'Tabel 1.1'!C32</f>
        <v>566035.48</v>
      </c>
    </row>
    <row r="32" spans="1:15" x14ac:dyDescent="0.35">
      <c r="B32" s="74"/>
      <c r="C32" s="74"/>
      <c r="D32" s="74"/>
      <c r="E32" s="74"/>
      <c r="F32" s="74"/>
      <c r="G32" s="74"/>
      <c r="H32" s="74"/>
      <c r="I32" s="74"/>
      <c r="J32" s="74"/>
      <c r="K32" s="74"/>
      <c r="L32" s="74" t="s">
        <v>413</v>
      </c>
      <c r="M32" s="77">
        <f>'Tabel 1.1'!B33</f>
        <v>1151</v>
      </c>
      <c r="N32" s="77">
        <f>'Tabel 1.1'!C33</f>
        <v>1806</v>
      </c>
    </row>
    <row r="33" spans="1:15" x14ac:dyDescent="0.35">
      <c r="B33" s="74"/>
      <c r="C33" s="74"/>
      <c r="D33" s="74"/>
      <c r="E33" s="74"/>
      <c r="F33" s="74"/>
      <c r="G33" s="74"/>
      <c r="H33" s="74"/>
      <c r="I33" s="74"/>
      <c r="J33" s="74"/>
      <c r="K33" s="74"/>
    </row>
    <row r="34" spans="1:15" x14ac:dyDescent="0.35">
      <c r="A34" s="74"/>
      <c r="B34" s="74"/>
      <c r="C34" s="74"/>
      <c r="D34" s="74"/>
      <c r="E34" s="74"/>
      <c r="F34" s="74"/>
      <c r="G34" s="74"/>
      <c r="H34" s="74"/>
      <c r="I34" s="74"/>
      <c r="J34" s="74"/>
      <c r="K34" s="74"/>
    </row>
    <row r="35" spans="1:15" x14ac:dyDescent="0.35">
      <c r="A35" s="74"/>
      <c r="B35" s="74"/>
      <c r="C35" s="74"/>
      <c r="D35" s="74"/>
      <c r="E35" s="74"/>
      <c r="F35" s="74"/>
      <c r="G35" s="74"/>
      <c r="H35" s="74"/>
      <c r="I35" s="74"/>
      <c r="J35" s="74"/>
      <c r="K35" s="74"/>
      <c r="L35" s="74" t="s">
        <v>53</v>
      </c>
    </row>
    <row r="36" spans="1:15" x14ac:dyDescent="0.35">
      <c r="A36" s="74"/>
      <c r="B36" s="74"/>
      <c r="C36" s="74"/>
      <c r="D36" s="74"/>
      <c r="E36" s="74"/>
      <c r="F36" s="74"/>
      <c r="G36" s="74"/>
      <c r="H36" s="74"/>
      <c r="I36" s="74"/>
      <c r="J36" s="74"/>
      <c r="K36" s="74"/>
      <c r="L36" s="74" t="s">
        <v>1</v>
      </c>
    </row>
    <row r="37" spans="1:15" x14ac:dyDescent="0.35">
      <c r="A37" s="74"/>
      <c r="B37" s="74"/>
      <c r="C37" s="74"/>
      <c r="D37" s="74"/>
      <c r="E37" s="74"/>
      <c r="F37" s="74"/>
      <c r="G37" s="74"/>
      <c r="H37" s="74"/>
      <c r="I37" s="74"/>
      <c r="J37" s="74"/>
      <c r="K37" s="74"/>
      <c r="M37" s="74">
        <f>M7</f>
        <v>2020</v>
      </c>
      <c r="N37" s="74">
        <f>N7</f>
        <v>2021</v>
      </c>
    </row>
    <row r="38" spans="1:15" x14ac:dyDescent="0.35">
      <c r="A38" s="74"/>
      <c r="B38" s="74"/>
      <c r="C38" s="74"/>
      <c r="D38" s="74"/>
      <c r="E38" s="74"/>
      <c r="F38" s="74"/>
      <c r="G38" s="74"/>
      <c r="H38" s="74"/>
      <c r="I38" s="74"/>
      <c r="J38" s="74"/>
      <c r="K38" s="74"/>
      <c r="L38" s="79" t="s">
        <v>54</v>
      </c>
      <c r="M38" s="78">
        <f>'Tabel 1.1'!B37</f>
        <v>1560697.9480000001</v>
      </c>
      <c r="N38" s="78">
        <f>'Tabel 1.1'!C37</f>
        <v>1727762.4669999999</v>
      </c>
    </row>
    <row r="39" spans="1:15" x14ac:dyDescent="0.35">
      <c r="A39" s="74"/>
      <c r="B39" s="74"/>
      <c r="C39" s="74"/>
      <c r="D39" s="74"/>
      <c r="E39" s="74"/>
      <c r="F39" s="74"/>
      <c r="G39" s="74"/>
      <c r="H39" s="74"/>
      <c r="I39" s="74"/>
      <c r="J39" s="74"/>
      <c r="K39" s="74"/>
      <c r="L39" s="79" t="s">
        <v>64</v>
      </c>
      <c r="M39" s="78">
        <f>'Tabel 1.1'!B38</f>
        <v>471105</v>
      </c>
      <c r="N39" s="78">
        <f>'Tabel 1.1'!C38</f>
        <v>0</v>
      </c>
    </row>
    <row r="40" spans="1:15" x14ac:dyDescent="0.35">
      <c r="A40" s="74"/>
      <c r="B40" s="74"/>
      <c r="C40" s="74"/>
      <c r="D40" s="74"/>
      <c r="E40" s="74"/>
      <c r="F40" s="74"/>
      <c r="G40" s="74"/>
      <c r="H40" s="74"/>
      <c r="I40" s="74"/>
      <c r="J40" s="74"/>
      <c r="K40" s="74"/>
      <c r="L40" s="74" t="s">
        <v>55</v>
      </c>
      <c r="M40" s="78">
        <f>'Tabel 1.1'!B39</f>
        <v>7401471.0010000002</v>
      </c>
      <c r="N40" s="78">
        <f>'Tabel 1.1'!C39</f>
        <v>8603889.4309999999</v>
      </c>
    </row>
    <row r="41" spans="1:15" x14ac:dyDescent="0.35">
      <c r="A41" s="74"/>
      <c r="B41" s="74"/>
      <c r="C41" s="74"/>
      <c r="D41" s="74"/>
      <c r="E41" s="74"/>
      <c r="F41" s="74"/>
      <c r="G41" s="74"/>
      <c r="H41" s="74"/>
      <c r="I41" s="74"/>
      <c r="J41" s="74"/>
      <c r="K41" s="74"/>
      <c r="L41" s="74" t="s">
        <v>57</v>
      </c>
      <c r="M41" s="78">
        <f>'Tabel 1.1'!B40</f>
        <v>322819</v>
      </c>
      <c r="N41" s="78">
        <f>'Tabel 1.1'!C40</f>
        <v>0</v>
      </c>
      <c r="O41" s="74"/>
    </row>
    <row r="42" spans="1:15" x14ac:dyDescent="0.35">
      <c r="A42" s="74"/>
      <c r="B42" s="74"/>
      <c r="C42" s="74"/>
      <c r="D42" s="74"/>
      <c r="E42" s="74"/>
      <c r="F42" s="74"/>
      <c r="G42" s="74"/>
      <c r="H42" s="74"/>
      <c r="I42" s="74"/>
      <c r="J42" s="74"/>
      <c r="K42" s="74"/>
      <c r="L42" s="79" t="s">
        <v>60</v>
      </c>
      <c r="M42" s="78">
        <f>'Tabel 1.1'!B41</f>
        <v>2361569</v>
      </c>
      <c r="N42" s="78">
        <f>'Tabel 1.1'!C41</f>
        <v>2707157.7600000002</v>
      </c>
      <c r="O42" s="74"/>
    </row>
    <row r="43" spans="1:15" x14ac:dyDescent="0.35">
      <c r="A43" s="74"/>
      <c r="B43" s="74"/>
      <c r="C43" s="74"/>
      <c r="D43" s="74"/>
      <c r="E43" s="74"/>
      <c r="F43" s="74"/>
      <c r="G43" s="74"/>
      <c r="H43" s="74"/>
      <c r="I43" s="74"/>
      <c r="J43" s="74"/>
      <c r="K43" s="74"/>
      <c r="L43" s="74" t="s">
        <v>63</v>
      </c>
      <c r="M43" s="78">
        <f>'Tabel 1.1'!B42</f>
        <v>63880.035000000003</v>
      </c>
      <c r="N43" s="78">
        <f>'Tabel 1.1'!C42</f>
        <v>116273.039</v>
      </c>
      <c r="O43" s="74"/>
    </row>
    <row r="44" spans="1:15" x14ac:dyDescent="0.35">
      <c r="A44" s="74"/>
      <c r="B44" s="74"/>
      <c r="C44" s="74"/>
      <c r="D44" s="74"/>
      <c r="E44" s="74"/>
      <c r="F44" s="74"/>
      <c r="G44" s="74"/>
      <c r="H44" s="74"/>
      <c r="I44" s="74"/>
      <c r="J44" s="74"/>
      <c r="K44" s="74"/>
      <c r="L44" s="79" t="s">
        <v>66</v>
      </c>
      <c r="M44" s="78">
        <f>'Tabel 1.1'!B43</f>
        <v>8686801.6131100003</v>
      </c>
      <c r="N44" s="78">
        <f>'Tabel 1.1'!C43</f>
        <v>13080796.69379</v>
      </c>
      <c r="O44" s="74"/>
    </row>
    <row r="45" spans="1:15" x14ac:dyDescent="0.35">
      <c r="A45" s="74"/>
      <c r="B45" s="74"/>
      <c r="C45" s="74"/>
      <c r="D45" s="74"/>
      <c r="E45" s="74"/>
      <c r="F45" s="74"/>
      <c r="G45" s="74"/>
      <c r="H45" s="74"/>
      <c r="I45" s="74"/>
      <c r="J45" s="74"/>
      <c r="K45" s="74"/>
      <c r="L45" s="79" t="s">
        <v>72</v>
      </c>
      <c r="M45" s="78">
        <f>'Tabel 1.1'!B44</f>
        <v>94921.636709999992</v>
      </c>
      <c r="N45" s="78">
        <f>'Tabel 1.1'!C44</f>
        <v>118580.72222</v>
      </c>
      <c r="O45" s="74"/>
    </row>
    <row r="46" spans="1:15" x14ac:dyDescent="0.35">
      <c r="A46" s="74"/>
      <c r="B46" s="74"/>
      <c r="C46" s="74"/>
      <c r="D46" s="74"/>
      <c r="E46" s="74"/>
      <c r="F46" s="74"/>
      <c r="G46" s="74"/>
      <c r="H46" s="74"/>
      <c r="I46" s="74"/>
      <c r="J46" s="74"/>
      <c r="K46" s="74"/>
      <c r="L46" s="79" t="s">
        <v>434</v>
      </c>
      <c r="M46" s="78">
        <f>'Tabel 1.1'!B45</f>
        <v>3483755.89176</v>
      </c>
      <c r="N46" s="78">
        <f>'Tabel 1.1'!C45</f>
        <v>4053690.9884699997</v>
      </c>
      <c r="O46" s="74"/>
    </row>
    <row r="47" spans="1:15" x14ac:dyDescent="0.35">
      <c r="A47" s="74"/>
      <c r="B47" s="74"/>
      <c r="C47" s="74"/>
      <c r="D47" s="74"/>
      <c r="E47" s="74"/>
      <c r="F47" s="74"/>
      <c r="G47" s="74"/>
      <c r="H47" s="74"/>
      <c r="I47" s="74"/>
      <c r="J47" s="74"/>
      <c r="K47" s="74"/>
      <c r="L47" s="79" t="s">
        <v>73</v>
      </c>
      <c r="M47" s="78">
        <f>'Tabel 1.1'!B46</f>
        <v>9460443.0969999991</v>
      </c>
      <c r="N47" s="78">
        <f>'Tabel 1.1'!C46</f>
        <v>9785506.8489999995</v>
      </c>
      <c r="O47" s="74"/>
    </row>
    <row r="48" spans="1:15" x14ac:dyDescent="0.35">
      <c r="A48" s="74"/>
      <c r="B48" s="74"/>
      <c r="C48" s="74"/>
      <c r="D48" s="74"/>
      <c r="E48" s="74"/>
      <c r="F48" s="74"/>
      <c r="G48" s="74"/>
      <c r="H48" s="74"/>
      <c r="I48" s="74"/>
      <c r="J48" s="74"/>
      <c r="K48" s="74"/>
      <c r="L48" s="79"/>
      <c r="M48" s="78"/>
      <c r="N48" s="78"/>
      <c r="O48" s="74"/>
    </row>
    <row r="49" spans="1:15" x14ac:dyDescent="0.35">
      <c r="A49" s="74"/>
      <c r="B49" s="74"/>
      <c r="C49" s="74"/>
      <c r="D49" s="74"/>
      <c r="E49" s="74"/>
      <c r="F49" s="74"/>
      <c r="G49" s="74"/>
      <c r="H49" s="74"/>
      <c r="I49" s="74"/>
      <c r="J49" s="74"/>
      <c r="K49" s="74"/>
      <c r="M49" s="77"/>
      <c r="N49" s="77"/>
      <c r="O49" s="74"/>
    </row>
    <row r="50" spans="1:15" x14ac:dyDescent="0.35">
      <c r="A50" s="74"/>
      <c r="B50" s="74"/>
      <c r="C50" s="74"/>
      <c r="D50" s="74"/>
      <c r="E50" s="74"/>
      <c r="F50" s="74"/>
      <c r="G50" s="74"/>
      <c r="H50" s="74"/>
      <c r="I50" s="74"/>
      <c r="J50" s="74"/>
      <c r="K50" s="74"/>
      <c r="M50" s="77"/>
      <c r="N50" s="77"/>
      <c r="O50" s="74"/>
    </row>
    <row r="51" spans="1:15" x14ac:dyDescent="0.35">
      <c r="A51" s="74"/>
      <c r="B51" s="74"/>
      <c r="C51" s="74"/>
      <c r="D51" s="74"/>
      <c r="E51" s="74"/>
      <c r="F51" s="74"/>
      <c r="G51" s="74"/>
      <c r="H51" s="74"/>
      <c r="I51" s="74"/>
      <c r="J51" s="74"/>
      <c r="K51" s="74"/>
      <c r="M51" s="77"/>
      <c r="N51" s="77"/>
      <c r="O51" s="74"/>
    </row>
    <row r="52" spans="1:15" x14ac:dyDescent="0.35">
      <c r="A52" s="74"/>
      <c r="B52" s="74"/>
      <c r="C52" s="74"/>
      <c r="D52" s="74"/>
      <c r="E52" s="74"/>
      <c r="F52" s="74"/>
      <c r="G52" s="74"/>
      <c r="H52" s="74"/>
      <c r="I52" s="74"/>
      <c r="J52" s="74"/>
      <c r="K52" s="74"/>
      <c r="M52" s="77"/>
      <c r="N52" s="77"/>
      <c r="O52" s="74"/>
    </row>
    <row r="53" spans="1:15" x14ac:dyDescent="0.35">
      <c r="A53" s="74"/>
      <c r="B53" s="74"/>
      <c r="C53" s="74"/>
      <c r="D53" s="74"/>
      <c r="E53" s="74"/>
      <c r="F53" s="74"/>
      <c r="G53" s="74"/>
      <c r="H53" s="74"/>
      <c r="I53" s="74"/>
      <c r="J53" s="74"/>
      <c r="K53" s="74"/>
      <c r="O53" s="74"/>
    </row>
    <row r="54" spans="1:15" x14ac:dyDescent="0.35">
      <c r="A54" s="74"/>
      <c r="B54" s="74"/>
      <c r="C54" s="74"/>
      <c r="D54" s="74"/>
      <c r="E54" s="74"/>
      <c r="F54" s="74"/>
      <c r="G54" s="74"/>
      <c r="H54" s="74"/>
      <c r="I54" s="74"/>
      <c r="J54" s="74"/>
      <c r="K54" s="74"/>
      <c r="O54" s="74"/>
    </row>
    <row r="55" spans="1:15" x14ac:dyDescent="0.35">
      <c r="A55" s="74"/>
      <c r="B55" s="74"/>
      <c r="C55" s="74"/>
      <c r="D55" s="74"/>
      <c r="E55" s="74"/>
      <c r="F55" s="74"/>
      <c r="G55" s="74"/>
      <c r="H55" s="74"/>
      <c r="I55" s="74"/>
      <c r="J55" s="74"/>
      <c r="K55" s="74"/>
      <c r="O55" s="74"/>
    </row>
    <row r="56" spans="1:15" x14ac:dyDescent="0.35">
      <c r="A56" s="75" t="s">
        <v>430</v>
      </c>
      <c r="B56" s="74"/>
      <c r="C56" s="74"/>
      <c r="D56" s="74"/>
      <c r="E56" s="74"/>
      <c r="F56" s="74"/>
      <c r="G56" s="74"/>
      <c r="H56" s="74"/>
      <c r="I56" s="79"/>
      <c r="J56" s="74"/>
      <c r="K56" s="74"/>
      <c r="L56" s="74" t="s">
        <v>74</v>
      </c>
      <c r="O56" s="74"/>
    </row>
    <row r="57" spans="1:15" x14ac:dyDescent="0.35">
      <c r="A57" s="74"/>
      <c r="B57" s="74"/>
      <c r="C57" s="74"/>
      <c r="D57" s="74"/>
      <c r="E57" s="74"/>
      <c r="F57" s="74"/>
      <c r="G57" s="74"/>
      <c r="H57" s="74"/>
      <c r="I57" s="74"/>
      <c r="J57" s="74"/>
      <c r="K57" s="74"/>
      <c r="L57" s="74" t="s">
        <v>0</v>
      </c>
      <c r="O57" s="74"/>
    </row>
    <row r="58" spans="1:15" x14ac:dyDescent="0.35">
      <c r="A58" s="74"/>
      <c r="B58" s="74"/>
      <c r="C58" s="74"/>
      <c r="D58" s="74"/>
      <c r="E58" s="74"/>
      <c r="F58" s="74"/>
      <c r="G58" s="74"/>
      <c r="H58" s="74"/>
      <c r="I58" s="74"/>
      <c r="J58" s="74"/>
      <c r="K58" s="74"/>
      <c r="M58" s="74">
        <f>M7</f>
        <v>2020</v>
      </c>
      <c r="N58" s="74">
        <f>N7</f>
        <v>2021</v>
      </c>
      <c r="O58" s="74"/>
    </row>
    <row r="59" spans="1:15" x14ac:dyDescent="0.35">
      <c r="A59" s="74"/>
      <c r="B59" s="74"/>
      <c r="C59" s="74"/>
      <c r="D59" s="74"/>
      <c r="E59" s="74"/>
      <c r="F59" s="74"/>
      <c r="G59" s="74"/>
      <c r="H59" s="74"/>
      <c r="I59" s="74"/>
      <c r="J59" s="74"/>
      <c r="K59" s="74"/>
      <c r="L59" s="74" t="s">
        <v>419</v>
      </c>
      <c r="M59" s="77">
        <f>'Tabel 1.1'!G9</f>
        <v>0</v>
      </c>
      <c r="N59" s="77">
        <f>'Tabel 1.1'!H9</f>
        <v>0</v>
      </c>
      <c r="O59" s="74"/>
    </row>
    <row r="60" spans="1:15" x14ac:dyDescent="0.35">
      <c r="A60" s="74"/>
      <c r="B60" s="74"/>
      <c r="C60" s="74"/>
      <c r="D60" s="74"/>
      <c r="E60" s="74"/>
      <c r="F60" s="74"/>
      <c r="G60" s="74"/>
      <c r="H60" s="74"/>
      <c r="I60" s="74"/>
      <c r="J60" s="74"/>
      <c r="K60" s="74"/>
      <c r="L60" s="74" t="s">
        <v>54</v>
      </c>
      <c r="M60" s="77">
        <f>'Tabel 1.1'!G10</f>
        <v>1286357.608</v>
      </c>
      <c r="N60" s="77">
        <f>'Tabel 1.1'!H10</f>
        <v>1370247.2149999999</v>
      </c>
      <c r="O60" s="74"/>
    </row>
    <row r="61" spans="1:15" x14ac:dyDescent="0.35">
      <c r="A61" s="74"/>
      <c r="B61" s="74"/>
      <c r="C61" s="74"/>
      <c r="D61" s="74"/>
      <c r="E61" s="74"/>
      <c r="F61" s="74"/>
      <c r="G61" s="74"/>
      <c r="H61" s="74"/>
      <c r="I61" s="74"/>
      <c r="J61" s="74"/>
      <c r="K61" s="74"/>
      <c r="L61" s="74" t="s">
        <v>417</v>
      </c>
      <c r="M61" s="77">
        <f>'Tabel 1.1'!G11</f>
        <v>1789003</v>
      </c>
      <c r="N61" s="77">
        <f>'Tabel 1.1'!H11</f>
        <v>0</v>
      </c>
      <c r="O61" s="74"/>
    </row>
    <row r="62" spans="1:15" x14ac:dyDescent="0.35">
      <c r="A62" s="74"/>
      <c r="B62" s="74"/>
      <c r="C62" s="74"/>
      <c r="D62" s="74"/>
      <c r="E62" s="74"/>
      <c r="F62" s="74"/>
      <c r="G62" s="74"/>
      <c r="H62" s="74"/>
      <c r="I62" s="74"/>
      <c r="J62" s="74"/>
      <c r="K62" s="74"/>
      <c r="L62" s="74" t="s">
        <v>55</v>
      </c>
      <c r="M62" s="77">
        <f>'Tabel 1.1'!G12</f>
        <v>194797622</v>
      </c>
      <c r="N62" s="77">
        <f>'Tabel 1.1'!H12</f>
        <v>194803582.38699999</v>
      </c>
      <c r="O62" s="74"/>
    </row>
    <row r="63" spans="1:15" x14ac:dyDescent="0.35">
      <c r="A63" s="74"/>
      <c r="B63" s="74"/>
      <c r="C63" s="74"/>
      <c r="D63" s="74"/>
      <c r="E63" s="74"/>
      <c r="F63" s="74"/>
      <c r="G63" s="74"/>
      <c r="H63" s="74"/>
      <c r="I63" s="74"/>
      <c r="J63" s="74"/>
      <c r="K63" s="74"/>
      <c r="L63" s="74" t="s">
        <v>56</v>
      </c>
      <c r="M63" s="77">
        <f>'Tabel 1.1'!G13</f>
        <v>0</v>
      </c>
      <c r="N63" s="77">
        <f>'Tabel 1.1'!H13</f>
        <v>0</v>
      </c>
      <c r="O63" s="74"/>
    </row>
    <row r="64" spans="1:15" x14ac:dyDescent="0.35">
      <c r="A64" s="74"/>
      <c r="B64" s="74"/>
      <c r="C64" s="74"/>
      <c r="D64" s="74"/>
      <c r="E64" s="74"/>
      <c r="F64" s="74"/>
      <c r="G64" s="74"/>
      <c r="H64" s="74"/>
      <c r="I64" s="74"/>
      <c r="J64" s="74"/>
      <c r="K64" s="74"/>
      <c r="L64" s="74" t="s">
        <v>420</v>
      </c>
      <c r="M64" s="77">
        <f>'Tabel 1.1'!G14</f>
        <v>0</v>
      </c>
      <c r="N64" s="77">
        <f>'Tabel 1.1'!H14</f>
        <v>0</v>
      </c>
      <c r="O64" s="74"/>
    </row>
    <row r="65" spans="1:15" x14ac:dyDescent="0.35">
      <c r="A65" s="74"/>
      <c r="B65" s="74"/>
      <c r="C65" s="74"/>
      <c r="D65" s="74"/>
      <c r="E65" s="74"/>
      <c r="F65" s="74"/>
      <c r="G65" s="74"/>
      <c r="H65" s="74"/>
      <c r="I65" s="74"/>
      <c r="J65" s="74"/>
      <c r="K65" s="74"/>
      <c r="L65" s="74" t="s">
        <v>403</v>
      </c>
      <c r="M65" s="77">
        <f>'Tabel 1.1'!G15</f>
        <v>3675280</v>
      </c>
      <c r="N65" s="77">
        <f>'Tabel 1.1'!H15</f>
        <v>4152805.49841</v>
      </c>
      <c r="O65" s="74"/>
    </row>
    <row r="66" spans="1:15" x14ac:dyDescent="0.35">
      <c r="A66" s="74"/>
      <c r="B66" s="74"/>
      <c r="C66" s="74"/>
      <c r="D66" s="74"/>
      <c r="E66" s="74"/>
      <c r="F66" s="74"/>
      <c r="G66" s="74"/>
      <c r="H66" s="74"/>
      <c r="I66" s="74"/>
      <c r="J66" s="74"/>
      <c r="K66" s="74"/>
      <c r="L66" s="74" t="s">
        <v>57</v>
      </c>
      <c r="M66" s="77">
        <f>'Tabel 1.1'!G16</f>
        <v>1031868</v>
      </c>
      <c r="N66" s="77">
        <f>'Tabel 1.1'!H16</f>
        <v>1050664</v>
      </c>
      <c r="O66" s="74"/>
    </row>
    <row r="67" spans="1:15" x14ac:dyDescent="0.35">
      <c r="A67" s="74"/>
      <c r="B67" s="74"/>
      <c r="C67" s="74"/>
      <c r="D67" s="74"/>
      <c r="E67" s="74"/>
      <c r="F67" s="74"/>
      <c r="G67" s="74"/>
      <c r="H67" s="74"/>
      <c r="I67" s="74"/>
      <c r="J67" s="74"/>
      <c r="K67" s="74"/>
      <c r="L67" s="74" t="s">
        <v>59</v>
      </c>
      <c r="M67" s="77">
        <f>'Tabel 1.1'!G17</f>
        <v>0</v>
      </c>
      <c r="N67" s="77">
        <f>'Tabel 1.1'!H17</f>
        <v>0</v>
      </c>
      <c r="O67" s="74"/>
    </row>
    <row r="68" spans="1:15" x14ac:dyDescent="0.35">
      <c r="A68" s="74"/>
      <c r="B68" s="74"/>
      <c r="C68" s="74"/>
      <c r="D68" s="74"/>
      <c r="E68" s="74"/>
      <c r="F68" s="74"/>
      <c r="G68" s="74"/>
      <c r="H68" s="74"/>
      <c r="I68" s="74"/>
      <c r="J68" s="74"/>
      <c r="K68" s="74"/>
      <c r="L68" s="74" t="s">
        <v>60</v>
      </c>
      <c r="M68" s="77">
        <f>'Tabel 1.1'!G19</f>
        <v>7488988</v>
      </c>
      <c r="N68" s="77">
        <f>'Tabel 1.1'!H19</f>
        <v>8107520.2000000002</v>
      </c>
      <c r="O68" s="74"/>
    </row>
    <row r="69" spans="1:15" x14ac:dyDescent="0.35">
      <c r="A69" s="74"/>
      <c r="B69" s="74"/>
      <c r="C69" s="74"/>
      <c r="D69" s="74"/>
      <c r="E69" s="74"/>
      <c r="F69" s="74"/>
      <c r="G69" s="74"/>
      <c r="H69" s="74"/>
      <c r="I69" s="74"/>
      <c r="J69" s="74"/>
      <c r="K69" s="74"/>
      <c r="L69" s="74" t="s">
        <v>61</v>
      </c>
      <c r="M69" s="77">
        <f>'Tabel 1.1'!G20</f>
        <v>21581.57877081968</v>
      </c>
      <c r="N69" s="77">
        <f>'Tabel 1.1'!H20</f>
        <v>21229.507515466838</v>
      </c>
      <c r="O69" s="74"/>
    </row>
    <row r="70" spans="1:15" x14ac:dyDescent="0.35">
      <c r="A70" s="74"/>
      <c r="B70" s="74"/>
      <c r="C70" s="74"/>
      <c r="D70" s="74"/>
      <c r="E70" s="74"/>
      <c r="F70" s="74"/>
      <c r="G70" s="74"/>
      <c r="H70" s="74"/>
      <c r="I70" s="74"/>
      <c r="J70" s="74"/>
      <c r="K70" s="74"/>
      <c r="L70" s="74" t="s">
        <v>62</v>
      </c>
      <c r="M70" s="77">
        <f>'Tabel 1.1'!G21</f>
        <v>0</v>
      </c>
      <c r="N70" s="77">
        <f>'Tabel 1.1'!H21</f>
        <v>0</v>
      </c>
      <c r="O70" s="74"/>
    </row>
    <row r="71" spans="1:15" x14ac:dyDescent="0.35">
      <c r="A71" s="74"/>
      <c r="B71" s="74"/>
      <c r="C71" s="74"/>
      <c r="D71" s="74"/>
      <c r="E71" s="74"/>
      <c r="F71" s="74"/>
      <c r="G71" s="74"/>
      <c r="H71" s="74"/>
      <c r="I71" s="74"/>
      <c r="J71" s="74"/>
      <c r="K71" s="74"/>
      <c r="L71" s="74" t="s">
        <v>405</v>
      </c>
      <c r="M71" s="77">
        <f>'Tabel 1.1'!G22</f>
        <v>0</v>
      </c>
      <c r="N71" s="77">
        <f>'Tabel 1.1'!H22</f>
        <v>0</v>
      </c>
      <c r="O71" s="74"/>
    </row>
    <row r="72" spans="1:15" x14ac:dyDescent="0.35">
      <c r="A72" s="74"/>
      <c r="B72" s="74"/>
      <c r="C72" s="74"/>
      <c r="D72" s="74"/>
      <c r="E72" s="74"/>
      <c r="F72" s="74"/>
      <c r="G72" s="74"/>
      <c r="H72" s="74"/>
      <c r="I72" s="74"/>
      <c r="J72" s="74"/>
      <c r="K72" s="74"/>
      <c r="L72" s="74" t="s">
        <v>63</v>
      </c>
      <c r="M72" s="77">
        <f>'Tabel 1.1'!G23</f>
        <v>526463021.72196001</v>
      </c>
      <c r="N72" s="77">
        <f>'Tabel 1.1'!H23</f>
        <v>563319210.35183001</v>
      </c>
      <c r="O72" s="74"/>
    </row>
    <row r="73" spans="1:15" x14ac:dyDescent="0.35">
      <c r="A73" s="74"/>
      <c r="B73" s="74"/>
      <c r="C73" s="74"/>
      <c r="D73" s="74"/>
      <c r="E73" s="74"/>
      <c r="F73" s="74"/>
      <c r="G73" s="74"/>
      <c r="H73" s="74"/>
      <c r="I73" s="74"/>
      <c r="J73" s="74"/>
      <c r="K73" s="74"/>
      <c r="L73" s="74" t="s">
        <v>65</v>
      </c>
      <c r="M73" s="77">
        <f>'Tabel 1.1'!G24</f>
        <v>51937.368000000002</v>
      </c>
      <c r="N73" s="77">
        <f>'Tabel 1.1'!H24</f>
        <v>69834.292576000007</v>
      </c>
      <c r="O73" s="74"/>
    </row>
    <row r="74" spans="1:15" x14ac:dyDescent="0.35">
      <c r="A74" s="74"/>
      <c r="B74" s="74"/>
      <c r="C74" s="74"/>
      <c r="D74" s="74"/>
      <c r="E74" s="74"/>
      <c r="F74" s="74"/>
      <c r="G74" s="74"/>
      <c r="H74" s="74"/>
      <c r="I74" s="74"/>
      <c r="J74" s="74"/>
      <c r="K74" s="74"/>
      <c r="L74" s="74" t="s">
        <v>418</v>
      </c>
      <c r="M74" s="77">
        <f>'Tabel 1.1'!G25</f>
        <v>0</v>
      </c>
      <c r="N74" s="77">
        <f>'Tabel 1.1'!H25</f>
        <v>0</v>
      </c>
      <c r="O74" s="74"/>
    </row>
    <row r="75" spans="1:15" x14ac:dyDescent="0.35">
      <c r="A75" s="74"/>
      <c r="B75" s="74"/>
      <c r="C75" s="74"/>
      <c r="D75" s="74"/>
      <c r="E75" s="74"/>
      <c r="F75" s="74"/>
      <c r="G75" s="74"/>
      <c r="H75" s="74"/>
      <c r="I75" s="74"/>
      <c r="J75" s="74"/>
      <c r="K75" s="74"/>
      <c r="L75" s="74" t="s">
        <v>66</v>
      </c>
      <c r="M75" s="77">
        <f>'Tabel 1.1'!G26</f>
        <v>52385900.000052795</v>
      </c>
      <c r="N75" s="77">
        <f>'Tabel 1.1'!H26</f>
        <v>55059961.000022039</v>
      </c>
      <c r="O75" s="74"/>
    </row>
    <row r="76" spans="1:15" x14ac:dyDescent="0.35">
      <c r="A76" s="74"/>
      <c r="B76" s="74"/>
      <c r="C76" s="74"/>
      <c r="D76" s="74"/>
      <c r="E76" s="74"/>
      <c r="F76" s="74"/>
      <c r="G76" s="74"/>
      <c r="H76" s="74"/>
      <c r="I76" s="74"/>
      <c r="J76" s="74"/>
      <c r="K76" s="74"/>
      <c r="L76" s="74" t="s">
        <v>67</v>
      </c>
      <c r="M76" s="77">
        <f>'Tabel 1.1'!G27</f>
        <v>80017880</v>
      </c>
      <c r="N76" s="77">
        <f>'Tabel 1.1'!H27</f>
        <v>90681751</v>
      </c>
      <c r="O76" s="74"/>
    </row>
    <row r="77" spans="1:15" x14ac:dyDescent="0.35">
      <c r="A77" s="74"/>
      <c r="B77" s="74"/>
      <c r="C77" s="74"/>
      <c r="D77" s="74"/>
      <c r="E77" s="74"/>
      <c r="F77" s="74"/>
      <c r="G77" s="74"/>
      <c r="H77" s="74"/>
      <c r="I77" s="74"/>
      <c r="J77" s="74"/>
      <c r="K77" s="74"/>
      <c r="L77" s="74" t="s">
        <v>434</v>
      </c>
      <c r="M77" s="77">
        <f>'Tabel 1.1'!G29</f>
        <v>19350549.066980001</v>
      </c>
      <c r="N77" s="77">
        <f>'Tabel 1.1'!H29</f>
        <v>19914575.502730001</v>
      </c>
      <c r="O77" s="74"/>
    </row>
    <row r="78" spans="1:15" x14ac:dyDescent="0.35">
      <c r="A78" s="74"/>
      <c r="B78" s="74"/>
      <c r="C78" s="74"/>
      <c r="D78" s="74"/>
      <c r="E78" s="74"/>
      <c r="F78" s="74"/>
      <c r="G78" s="74"/>
      <c r="H78" s="74"/>
      <c r="I78" s="74"/>
      <c r="J78" s="74"/>
      <c r="K78" s="74"/>
      <c r="L78" s="74" t="s">
        <v>69</v>
      </c>
      <c r="M78" s="77">
        <f>'Tabel 1.1'!G30</f>
        <v>182050617.75099999</v>
      </c>
      <c r="N78" s="77">
        <f>'Tabel 1.1'!H30</f>
        <v>193217678.72999999</v>
      </c>
      <c r="O78" s="74"/>
    </row>
    <row r="79" spans="1:15" x14ac:dyDescent="0.35">
      <c r="A79" s="74"/>
      <c r="B79" s="74"/>
      <c r="C79" s="74"/>
      <c r="D79" s="74"/>
      <c r="E79" s="74"/>
      <c r="F79" s="74"/>
      <c r="G79" s="74"/>
      <c r="H79" s="74"/>
      <c r="I79" s="74"/>
      <c r="J79" s="74"/>
      <c r="K79" s="74"/>
      <c r="L79" s="74" t="s">
        <v>97</v>
      </c>
      <c r="M79" s="77">
        <f>'Tabel 1.1'!G31</f>
        <v>0</v>
      </c>
      <c r="N79" s="77">
        <f>'Tabel 1.1'!H31</f>
        <v>0</v>
      </c>
      <c r="O79" s="74"/>
    </row>
    <row r="80" spans="1:15" x14ac:dyDescent="0.35">
      <c r="A80" s="75" t="s">
        <v>431</v>
      </c>
      <c r="B80" s="74"/>
      <c r="C80" s="74"/>
      <c r="D80" s="74"/>
      <c r="E80" s="74"/>
      <c r="F80" s="74"/>
      <c r="G80" s="74"/>
      <c r="H80" s="74"/>
      <c r="I80" s="79"/>
      <c r="J80" s="74"/>
      <c r="K80" s="74"/>
      <c r="L80" s="74" t="s">
        <v>98</v>
      </c>
      <c r="M80" s="77">
        <f>'Tabel 1.1'!G32</f>
        <v>0</v>
      </c>
      <c r="N80" s="77">
        <f>'Tabel 1.1'!H32</f>
        <v>0</v>
      </c>
      <c r="O80" s="74"/>
    </row>
    <row r="81" spans="1:15" x14ac:dyDescent="0.35">
      <c r="B81" s="74"/>
      <c r="C81" s="74"/>
      <c r="D81" s="74"/>
      <c r="E81" s="74"/>
      <c r="F81" s="74"/>
      <c r="G81" s="74"/>
      <c r="H81" s="74"/>
      <c r="I81" s="74"/>
      <c r="J81" s="74"/>
      <c r="K81" s="74"/>
      <c r="L81" s="74" t="s">
        <v>414</v>
      </c>
      <c r="M81" s="77">
        <f>'Tabel 1.1'!G33</f>
        <v>0</v>
      </c>
      <c r="N81" s="77">
        <f>'Tabel 1.1'!H33</f>
        <v>0</v>
      </c>
      <c r="O81" s="74"/>
    </row>
    <row r="82" spans="1:15" x14ac:dyDescent="0.35">
      <c r="A82" s="74"/>
      <c r="B82" s="74"/>
      <c r="C82" s="74"/>
      <c r="D82" s="74"/>
      <c r="E82" s="74"/>
      <c r="F82" s="74"/>
      <c r="G82" s="74"/>
      <c r="H82" s="74"/>
      <c r="I82" s="74"/>
      <c r="J82" s="74"/>
      <c r="K82" s="74"/>
      <c r="O82" s="74"/>
    </row>
    <row r="83" spans="1:15" x14ac:dyDescent="0.35">
      <c r="A83" s="74"/>
      <c r="B83" s="74"/>
      <c r="C83" s="74"/>
      <c r="D83" s="74"/>
      <c r="E83" s="74"/>
      <c r="F83" s="74"/>
      <c r="G83" s="74"/>
      <c r="H83" s="74"/>
      <c r="I83" s="74"/>
      <c r="J83" s="74"/>
      <c r="K83" s="74"/>
      <c r="O83" s="74"/>
    </row>
    <row r="84" spans="1:15" x14ac:dyDescent="0.35">
      <c r="A84" s="74"/>
      <c r="B84" s="74"/>
      <c r="C84" s="74"/>
      <c r="D84" s="74"/>
      <c r="E84" s="74"/>
      <c r="F84" s="74"/>
      <c r="G84" s="74"/>
      <c r="H84" s="74"/>
      <c r="I84" s="74"/>
      <c r="J84" s="74"/>
      <c r="K84" s="74"/>
      <c r="L84" s="74" t="s">
        <v>74</v>
      </c>
      <c r="O84" s="74"/>
    </row>
    <row r="85" spans="1:15" x14ac:dyDescent="0.35">
      <c r="B85" s="74"/>
      <c r="C85" s="74"/>
      <c r="D85" s="74"/>
      <c r="E85" s="74"/>
      <c r="F85" s="74"/>
      <c r="G85" s="74"/>
      <c r="H85" s="74"/>
      <c r="I85" s="74"/>
      <c r="J85" s="74"/>
      <c r="K85" s="74"/>
      <c r="L85" s="74" t="s">
        <v>1</v>
      </c>
      <c r="O85" s="74"/>
    </row>
    <row r="86" spans="1:15" x14ac:dyDescent="0.35">
      <c r="B86" s="74"/>
      <c r="C86" s="74"/>
      <c r="D86" s="74"/>
      <c r="E86" s="74"/>
      <c r="F86" s="74"/>
      <c r="G86" s="74"/>
      <c r="H86" s="74"/>
      <c r="I86" s="74"/>
      <c r="J86" s="74"/>
      <c r="K86" s="74"/>
      <c r="M86" s="74">
        <f>M7</f>
        <v>2020</v>
      </c>
      <c r="N86" s="74">
        <f>N7</f>
        <v>2021</v>
      </c>
      <c r="O86" s="74"/>
    </row>
    <row r="87" spans="1:15" x14ac:dyDescent="0.35">
      <c r="B87" s="74"/>
      <c r="C87" s="74"/>
      <c r="D87" s="74"/>
      <c r="E87" s="74"/>
      <c r="F87" s="74"/>
      <c r="G87" s="74"/>
      <c r="H87" s="74"/>
      <c r="I87" s="74"/>
      <c r="J87" s="74"/>
      <c r="K87" s="74"/>
      <c r="L87" s="74" t="s">
        <v>54</v>
      </c>
      <c r="M87" s="77">
        <f>'Tabel 1.1'!G37</f>
        <v>22186843.857000001</v>
      </c>
      <c r="N87" s="77">
        <f>'Tabel 1.1'!H37</f>
        <v>27529054.677000001</v>
      </c>
      <c r="O87" s="74"/>
    </row>
    <row r="88" spans="1:15" x14ac:dyDescent="0.35">
      <c r="B88" s="74"/>
      <c r="C88" s="74"/>
      <c r="D88" s="74"/>
      <c r="E88" s="74"/>
      <c r="F88" s="74"/>
      <c r="G88" s="74"/>
      <c r="H88" s="74"/>
      <c r="I88" s="74"/>
      <c r="J88" s="74"/>
      <c r="K88" s="74"/>
      <c r="L88" s="74" t="s">
        <v>417</v>
      </c>
      <c r="M88" s="77">
        <f>'Tabel 1.1'!G38</f>
        <v>5573307</v>
      </c>
      <c r="N88" s="77">
        <f>'Tabel 1.1'!H38</f>
        <v>0</v>
      </c>
      <c r="O88" s="74"/>
    </row>
    <row r="89" spans="1:15" x14ac:dyDescent="0.35">
      <c r="B89" s="74"/>
      <c r="C89" s="74"/>
      <c r="D89" s="74"/>
      <c r="E89" s="74"/>
      <c r="F89" s="74"/>
      <c r="G89" s="74"/>
      <c r="H89" s="74"/>
      <c r="I89" s="74"/>
      <c r="J89" s="74"/>
      <c r="K89" s="74"/>
      <c r="L89" s="74" t="s">
        <v>55</v>
      </c>
      <c r="M89" s="77">
        <f>'Tabel 1.1'!G39</f>
        <v>100331927.579</v>
      </c>
      <c r="N89" s="77">
        <f>'Tabel 1.1'!H39</f>
        <v>131616569.77000001</v>
      </c>
      <c r="O89" s="74"/>
    </row>
    <row r="90" spans="1:15" x14ac:dyDescent="0.35">
      <c r="B90" s="74"/>
      <c r="C90" s="74"/>
      <c r="D90" s="74"/>
      <c r="E90" s="74"/>
      <c r="F90" s="74"/>
      <c r="G90" s="74"/>
      <c r="H90" s="74"/>
      <c r="I90" s="74"/>
      <c r="J90" s="74"/>
      <c r="K90" s="74"/>
      <c r="L90" s="74" t="s">
        <v>57</v>
      </c>
      <c r="M90" s="77">
        <f>'Tabel 1.1'!G40</f>
        <v>4512931</v>
      </c>
      <c r="N90" s="77">
        <f>'Tabel 1.1'!H40</f>
        <v>0</v>
      </c>
      <c r="O90" s="74"/>
    </row>
    <row r="91" spans="1:15" x14ac:dyDescent="0.35">
      <c r="A91" s="74"/>
      <c r="B91" s="74"/>
      <c r="C91" s="74"/>
      <c r="D91" s="74"/>
      <c r="E91" s="74"/>
      <c r="F91" s="74"/>
      <c r="G91" s="74"/>
      <c r="H91" s="74"/>
      <c r="I91" s="74"/>
      <c r="J91" s="74"/>
      <c r="K91" s="74"/>
      <c r="L91" s="79" t="s">
        <v>60</v>
      </c>
      <c r="M91" s="77">
        <f>'Tabel 1.1'!G41</f>
        <v>31527597</v>
      </c>
      <c r="N91" s="77">
        <f>'Tabel 1.1'!H41</f>
        <v>40002105.299999997</v>
      </c>
      <c r="O91" s="74"/>
    </row>
    <row r="92" spans="1:15" ht="18.75" customHeight="1" x14ac:dyDescent="0.35">
      <c r="A92" s="74"/>
      <c r="B92" s="74"/>
      <c r="C92" s="74"/>
      <c r="D92" s="74"/>
      <c r="E92" s="74"/>
      <c r="F92" s="74"/>
      <c r="G92" s="74"/>
      <c r="H92" s="74"/>
      <c r="I92" s="74"/>
      <c r="J92" s="74"/>
      <c r="K92" s="74"/>
      <c r="L92" s="74" t="s">
        <v>63</v>
      </c>
      <c r="M92" s="77">
        <f>'Tabel 1.1'!G42</f>
        <v>1974716.5681499999</v>
      </c>
      <c r="N92" s="77">
        <f>'Tabel 1.1'!H42</f>
        <v>2172918.8607600001</v>
      </c>
      <c r="O92" s="74"/>
    </row>
    <row r="93" spans="1:15" ht="18.75" customHeight="1" x14ac:dyDescent="0.35">
      <c r="A93" s="74"/>
      <c r="B93" s="74"/>
      <c r="C93" s="74"/>
      <c r="D93" s="74"/>
      <c r="E93" s="74"/>
      <c r="F93" s="74"/>
      <c r="G93" s="74"/>
      <c r="H93" s="74"/>
      <c r="I93" s="74"/>
      <c r="J93" s="74"/>
      <c r="K93" s="74"/>
      <c r="L93" s="74" t="s">
        <v>66</v>
      </c>
      <c r="M93" s="77">
        <f>'Tabel 1.1'!G43</f>
        <v>85871420</v>
      </c>
      <c r="N93" s="77">
        <f>'Tabel 1.1'!H43</f>
        <v>117827820</v>
      </c>
      <c r="O93" s="74"/>
    </row>
    <row r="94" spans="1:15" ht="18.75" customHeight="1" x14ac:dyDescent="0.35">
      <c r="A94" s="74"/>
      <c r="B94" s="74"/>
      <c r="C94" s="74"/>
      <c r="D94" s="74"/>
      <c r="E94" s="74"/>
      <c r="F94" s="74"/>
      <c r="G94" s="74"/>
      <c r="H94" s="74"/>
      <c r="I94" s="74"/>
      <c r="J94" s="74"/>
      <c r="K94" s="74"/>
      <c r="L94" s="74" t="s">
        <v>72</v>
      </c>
      <c r="M94" s="77">
        <f>'Tabel 1.1'!G44</f>
        <v>2702258.38057</v>
      </c>
      <c r="N94" s="77">
        <f>'Tabel 1.1'!H44</f>
        <v>3184098.7069999999</v>
      </c>
      <c r="O94" s="74"/>
    </row>
    <row r="95" spans="1:15" ht="18.75" customHeight="1" x14ac:dyDescent="0.35">
      <c r="A95" s="74"/>
      <c r="B95" s="74"/>
      <c r="C95" s="74"/>
      <c r="D95" s="74"/>
      <c r="E95" s="74"/>
      <c r="F95" s="74"/>
      <c r="G95" s="74"/>
      <c r="H95" s="74"/>
      <c r="I95" s="74"/>
      <c r="J95" s="74"/>
      <c r="K95" s="74"/>
      <c r="L95" s="74" t="s">
        <v>434</v>
      </c>
      <c r="M95" s="77">
        <f>'Tabel 1.1'!G45</f>
        <v>38969813.00011</v>
      </c>
      <c r="N95" s="77">
        <f>'Tabel 1.1'!H45</f>
        <v>52494337.715269998</v>
      </c>
      <c r="O95" s="74"/>
    </row>
    <row r="96" spans="1:15" ht="18.75" customHeight="1" x14ac:dyDescent="0.35">
      <c r="A96" s="74"/>
      <c r="B96" s="74"/>
      <c r="C96" s="74"/>
      <c r="D96" s="74"/>
      <c r="E96" s="74"/>
      <c r="F96" s="74"/>
      <c r="G96" s="74"/>
      <c r="H96" s="74"/>
      <c r="I96" s="74"/>
      <c r="J96" s="74"/>
      <c r="K96" s="74"/>
      <c r="L96" s="74" t="s">
        <v>73</v>
      </c>
      <c r="M96" s="77">
        <f>'Tabel 1.1'!G46</f>
        <v>124862260.38600001</v>
      </c>
      <c r="N96" s="77">
        <f>'Tabel 1.1'!H46</f>
        <v>151409583.368</v>
      </c>
      <c r="O96" s="74"/>
    </row>
    <row r="97" spans="1:17" ht="18.75" customHeight="1" x14ac:dyDescent="0.35">
      <c r="A97" s="74"/>
      <c r="B97" s="74"/>
      <c r="C97" s="74"/>
      <c r="D97" s="74"/>
      <c r="E97" s="74"/>
      <c r="F97" s="74"/>
      <c r="G97" s="74"/>
      <c r="H97" s="74"/>
      <c r="I97" s="74"/>
      <c r="J97" s="74"/>
      <c r="K97" s="74"/>
      <c r="M97" s="77"/>
      <c r="O97" s="74"/>
      <c r="Q97" s="74"/>
    </row>
    <row r="98" spans="1:17" ht="18.75" customHeight="1" x14ac:dyDescent="0.35">
      <c r="A98" s="74"/>
      <c r="B98" s="74"/>
      <c r="C98" s="74"/>
      <c r="D98" s="74"/>
      <c r="E98" s="74"/>
      <c r="F98" s="74"/>
      <c r="G98" s="74"/>
      <c r="H98" s="74"/>
      <c r="I98" s="74"/>
      <c r="J98" s="74"/>
      <c r="K98" s="74"/>
      <c r="O98" s="74"/>
      <c r="Q98" s="74"/>
    </row>
    <row r="99" spans="1:17" ht="18.75" customHeight="1" x14ac:dyDescent="0.35">
      <c r="A99" s="74"/>
      <c r="B99" s="74"/>
      <c r="C99" s="74"/>
      <c r="D99" s="74"/>
      <c r="E99" s="74"/>
      <c r="F99" s="74"/>
      <c r="G99" s="74"/>
      <c r="H99" s="74"/>
      <c r="I99" s="74"/>
      <c r="J99" s="74"/>
      <c r="K99" s="74"/>
      <c r="O99" s="74"/>
      <c r="Q99" s="74"/>
    </row>
    <row r="100" spans="1:17" ht="18.75" customHeight="1" x14ac:dyDescent="0.35">
      <c r="A100" s="74"/>
      <c r="B100" s="74"/>
      <c r="C100" s="74"/>
      <c r="D100" s="74"/>
      <c r="E100" s="74"/>
      <c r="F100" s="74"/>
      <c r="G100" s="74"/>
      <c r="H100" s="74"/>
      <c r="I100" s="74"/>
      <c r="J100" s="74"/>
      <c r="K100" s="74"/>
      <c r="O100" s="74"/>
      <c r="Q100" s="74"/>
    </row>
    <row r="101" spans="1:17" ht="18.75" customHeight="1" x14ac:dyDescent="0.35">
      <c r="A101" s="74"/>
      <c r="B101" s="74"/>
      <c r="C101" s="74"/>
      <c r="D101" s="74"/>
      <c r="E101" s="74"/>
      <c r="F101" s="74"/>
      <c r="G101" s="74"/>
      <c r="H101" s="74"/>
      <c r="I101" s="74"/>
      <c r="J101" s="74"/>
      <c r="K101" s="74"/>
      <c r="O101" s="74"/>
      <c r="Q101" s="74"/>
    </row>
    <row r="102" spans="1:17" ht="18.75" customHeight="1" x14ac:dyDescent="0.35">
      <c r="A102" s="74"/>
      <c r="B102" s="74"/>
      <c r="C102" s="74"/>
      <c r="D102" s="74"/>
      <c r="E102" s="74"/>
      <c r="F102" s="74"/>
      <c r="G102" s="74"/>
      <c r="H102" s="74"/>
      <c r="I102" s="74"/>
      <c r="J102" s="74"/>
      <c r="K102" s="74"/>
      <c r="O102" s="74"/>
      <c r="Q102" s="74"/>
    </row>
    <row r="103" spans="1:17" ht="18.75" customHeight="1" x14ac:dyDescent="0.35">
      <c r="A103" s="74"/>
      <c r="B103" s="74"/>
      <c r="C103" s="74"/>
      <c r="D103" s="74"/>
      <c r="E103" s="74"/>
      <c r="F103" s="74"/>
      <c r="G103" s="74"/>
      <c r="H103" s="74"/>
      <c r="I103" s="74"/>
      <c r="J103" s="74"/>
      <c r="K103" s="74"/>
      <c r="O103" s="74"/>
      <c r="Q103" s="74"/>
    </row>
    <row r="104" spans="1:17" ht="18.75" customHeight="1" x14ac:dyDescent="0.35">
      <c r="A104" s="74"/>
      <c r="B104" s="74"/>
      <c r="C104" s="74"/>
      <c r="D104" s="74"/>
      <c r="E104" s="74"/>
      <c r="F104" s="74"/>
      <c r="G104" s="74"/>
      <c r="H104" s="74"/>
      <c r="I104" s="74"/>
      <c r="J104" s="74"/>
      <c r="K104" s="74"/>
      <c r="O104" s="74"/>
      <c r="Q104" s="74"/>
    </row>
    <row r="105" spans="1:17" ht="18.75" customHeight="1" x14ac:dyDescent="0.35">
      <c r="A105" s="74"/>
      <c r="B105" s="74"/>
      <c r="C105" s="74"/>
      <c r="D105" s="74"/>
      <c r="E105" s="74"/>
      <c r="F105" s="74"/>
      <c r="G105" s="74"/>
      <c r="H105" s="74"/>
      <c r="I105" s="74"/>
      <c r="J105" s="74"/>
      <c r="K105" s="74"/>
      <c r="O105" s="74"/>
      <c r="Q105" s="74"/>
    </row>
    <row r="106" spans="1:17" ht="18.75" customHeight="1" x14ac:dyDescent="0.35">
      <c r="A106" s="75" t="s">
        <v>432</v>
      </c>
      <c r="B106" s="74"/>
      <c r="C106" s="74"/>
      <c r="D106" s="74"/>
      <c r="E106" s="74"/>
      <c r="F106" s="74"/>
      <c r="G106" s="74"/>
      <c r="H106" s="79"/>
      <c r="I106" s="74"/>
      <c r="J106" s="74"/>
      <c r="K106" s="74"/>
      <c r="O106" s="74"/>
      <c r="Q106" s="74"/>
    </row>
    <row r="107" spans="1:17" ht="18.75" customHeight="1" x14ac:dyDescent="0.35">
      <c r="A107" s="74"/>
      <c r="B107" s="74"/>
      <c r="C107" s="74"/>
      <c r="D107" s="74"/>
      <c r="E107" s="74"/>
      <c r="F107" s="74"/>
      <c r="G107" s="74"/>
      <c r="H107" s="74"/>
      <c r="I107" s="74"/>
      <c r="J107" s="74"/>
      <c r="K107" s="74"/>
      <c r="O107" s="74"/>
      <c r="Q107" s="74"/>
    </row>
    <row r="108" spans="1:17" ht="18.75" customHeight="1" x14ac:dyDescent="0.35">
      <c r="A108" s="74"/>
      <c r="B108" s="74"/>
      <c r="C108" s="74"/>
      <c r="D108" s="74"/>
      <c r="E108" s="74"/>
      <c r="F108" s="74"/>
      <c r="G108" s="74"/>
      <c r="H108" s="74"/>
      <c r="I108" s="74"/>
      <c r="J108" s="74"/>
      <c r="K108" s="74"/>
      <c r="O108" s="74"/>
      <c r="Q108" s="74"/>
    </row>
    <row r="109" spans="1:17" ht="18.75" customHeight="1" x14ac:dyDescent="0.35">
      <c r="A109" s="74"/>
      <c r="B109" s="74"/>
      <c r="C109" s="74"/>
      <c r="D109" s="74"/>
      <c r="E109" s="74"/>
      <c r="F109" s="74"/>
      <c r="G109" s="74"/>
      <c r="H109" s="74"/>
      <c r="I109" s="74"/>
      <c r="J109" s="74"/>
      <c r="K109" s="74"/>
      <c r="O109" s="74"/>
      <c r="Q109" s="74"/>
    </row>
    <row r="110" spans="1:17" ht="18.75" customHeight="1" x14ac:dyDescent="0.35">
      <c r="A110" s="74"/>
      <c r="B110" s="74"/>
      <c r="C110" s="74"/>
      <c r="D110" s="74"/>
      <c r="E110" s="74"/>
      <c r="F110" s="74"/>
      <c r="G110" s="74"/>
      <c r="H110" s="74"/>
      <c r="I110" s="74"/>
      <c r="J110" s="74"/>
      <c r="K110" s="74"/>
      <c r="L110" s="79" t="s">
        <v>75</v>
      </c>
      <c r="O110" s="74"/>
      <c r="Q110" s="74"/>
    </row>
    <row r="111" spans="1:17" ht="18.75" customHeight="1" x14ac:dyDescent="0.35">
      <c r="A111" s="74"/>
      <c r="B111" s="74"/>
      <c r="C111" s="74"/>
      <c r="D111" s="74"/>
      <c r="E111" s="74"/>
      <c r="F111" s="74"/>
      <c r="G111" s="74"/>
      <c r="H111" s="74"/>
      <c r="I111" s="74"/>
      <c r="J111" s="74"/>
      <c r="K111" s="74"/>
      <c r="L111" s="74" t="s">
        <v>0</v>
      </c>
      <c r="O111" s="74"/>
      <c r="Q111" s="74"/>
    </row>
    <row r="112" spans="1:17" ht="18.75" customHeight="1" x14ac:dyDescent="0.35">
      <c r="A112" s="74"/>
      <c r="B112" s="74"/>
      <c r="C112" s="74"/>
      <c r="D112" s="74"/>
      <c r="E112" s="74"/>
      <c r="F112" s="74"/>
      <c r="G112" s="74"/>
      <c r="H112" s="74"/>
      <c r="I112" s="74"/>
      <c r="J112" s="74"/>
      <c r="K112" s="74"/>
      <c r="M112" s="74">
        <f>M7</f>
        <v>2020</v>
      </c>
      <c r="N112" s="74">
        <f>N7</f>
        <v>2021</v>
      </c>
      <c r="O112" s="74"/>
      <c r="Q112" s="74"/>
    </row>
    <row r="113" spans="1:17" ht="18.75" customHeight="1" x14ac:dyDescent="0.35">
      <c r="A113" s="74"/>
      <c r="B113" s="74"/>
      <c r="C113" s="74"/>
      <c r="D113" s="74"/>
      <c r="E113" s="74"/>
      <c r="F113" s="74"/>
      <c r="G113" s="74"/>
      <c r="H113" s="74"/>
      <c r="I113" s="74"/>
      <c r="J113" s="74"/>
      <c r="K113" s="74"/>
      <c r="L113" s="74" t="s">
        <v>54</v>
      </c>
      <c r="M113"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35079.997999999905</v>
      </c>
      <c r="N113"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829.95200000000114</v>
      </c>
      <c r="O113" s="74"/>
      <c r="Q113" s="74"/>
    </row>
    <row r="114" spans="1:17" ht="18.75" customHeight="1" x14ac:dyDescent="0.35">
      <c r="A114" s="74"/>
      <c r="B114" s="74"/>
      <c r="C114" s="74"/>
      <c r="D114" s="74"/>
      <c r="E114" s="74"/>
      <c r="F114" s="74"/>
      <c r="G114" s="74"/>
      <c r="H114" s="74"/>
      <c r="I114" s="74"/>
      <c r="J114" s="74"/>
      <c r="K114" s="74"/>
      <c r="L114" s="79" t="s">
        <v>417</v>
      </c>
      <c r="M114" s="77">
        <f>'DNB Bedriftspensjon'!B11-'DNB Bedriftspensjon'!B12+'DNB Bedriftspensjon'!B34-'DNB Bedriftspensjon'!B35+'DNB Bedriftspensjon'!B38-'DNB Bedriftspensjon'!B39+'DNB Bedriftspensjon'!B111-'DNB Bedriftspensjon'!B119+'DNB Bedriftspensjon'!B136-'DNB Bedriftspensjon'!B137</f>
        <v>7508</v>
      </c>
      <c r="N114" s="77">
        <f>'DNB Bedriftspensjon'!C11-'DNB Bedriftspensjon'!C12+'DNB Bedriftspensjon'!C34-'DNB Bedriftspensjon'!C35+'DNB Bedriftspensjon'!C38-'DNB Bedriftspensjon'!C39+'DNB Bedriftspensjon'!C111-'DNB Bedriftspensjon'!C119+'DNB Bedriftspensjon'!C136-'DNB Bedriftspensjon'!C137</f>
        <v>0</v>
      </c>
      <c r="O114" s="74"/>
      <c r="Q114" s="74"/>
    </row>
    <row r="115" spans="1:17" ht="18.75" customHeight="1" x14ac:dyDescent="0.35">
      <c r="A115" s="74"/>
      <c r="B115" s="74"/>
      <c r="C115" s="74"/>
      <c r="D115" s="74"/>
      <c r="E115" s="74"/>
      <c r="F115" s="74"/>
      <c r="G115" s="74"/>
      <c r="H115" s="74"/>
      <c r="I115" s="74"/>
      <c r="J115" s="74"/>
      <c r="K115" s="74"/>
      <c r="L115" s="74" t="s">
        <v>55</v>
      </c>
      <c r="M115" s="77">
        <f>'DNB Livsforsikring'!B11-'DNB Livsforsikring'!B12+'DNB Livsforsikring'!B34-'DNB Livsforsikring'!B35+'DNB Livsforsikring'!B38-'DNB Livsforsikring'!B39+'DNB Livsforsikring'!B111-'DNB Livsforsikring'!B119+'DNB Livsforsikring'!B136-'DNB Livsforsikring'!B137</f>
        <v>-98797</v>
      </c>
      <c r="N115" s="77">
        <f>'DNB Livsforsikring'!C11-'DNB Livsforsikring'!C12+'DNB Livsforsikring'!C34-'DNB Livsforsikring'!C35+'DNB Livsforsikring'!C38-'DNB Livsforsikring'!C39+'DNB Livsforsikring'!C111-'DNB Livsforsikring'!C119+'DNB Livsforsikring'!C136-'DNB Livsforsikring'!C137</f>
        <v>288795.45643999998</v>
      </c>
      <c r="O115" s="74"/>
      <c r="Q115" s="74"/>
    </row>
    <row r="116" spans="1:17" ht="18.75" customHeight="1" x14ac:dyDescent="0.35">
      <c r="A116" s="74"/>
      <c r="B116" s="74"/>
      <c r="C116" s="74"/>
      <c r="D116" s="74"/>
      <c r="E116" s="74"/>
      <c r="F116" s="74"/>
      <c r="G116" s="74"/>
      <c r="H116" s="74"/>
      <c r="I116" s="74"/>
      <c r="J116" s="74"/>
      <c r="K116" s="74"/>
      <c r="L116" s="79" t="s">
        <v>60</v>
      </c>
      <c r="M116" s="77">
        <f>'Gjensidige Pensjon'!B11-'Gjensidige Pensjon'!B12+'Gjensidige Pensjon'!B34-'Gjensidige Pensjon'!B35+'Gjensidige Pensjon'!B38-'Gjensidige Pensjon'!B39+'Gjensidige Pensjon'!B111-'Gjensidige Pensjon'!B119+'Gjensidige Pensjon'!B136-'Gjensidige Pensjon'!B137</f>
        <v>-54821</v>
      </c>
      <c r="N116" s="77">
        <f>'Gjensidige Pensjon'!C11-'Gjensidige Pensjon'!C12+'Gjensidige Pensjon'!C34-'Gjensidige Pensjon'!C35+'Gjensidige Pensjon'!C38-'Gjensidige Pensjon'!C39+'Gjensidige Pensjon'!C111-'Gjensidige Pensjon'!C119+'Gjensidige Pensjon'!C136-'Gjensidige Pensjon'!C137</f>
        <v>-2938.4000000000015</v>
      </c>
      <c r="O116" s="74"/>
      <c r="Q116" s="74"/>
    </row>
    <row r="117" spans="1:17" ht="18.75" customHeight="1" x14ac:dyDescent="0.35">
      <c r="A117" s="74"/>
      <c r="B117" s="74"/>
      <c r="C117" s="74"/>
      <c r="D117" s="74"/>
      <c r="E117" s="74"/>
      <c r="F117" s="74"/>
      <c r="G117" s="74"/>
      <c r="H117" s="74"/>
      <c r="I117" s="74"/>
      <c r="J117" s="74"/>
      <c r="K117" s="74"/>
      <c r="L117" s="79" t="s">
        <v>63</v>
      </c>
      <c r="M117" s="77">
        <f>KLP!B11-KLP!B12+KLP!B34-KLP!B35+KLP!B38-KLP!B39+KLP!B111-KLP!B119+KLP!B136-KLP!B137</f>
        <v>-4358298.5969999991</v>
      </c>
      <c r="N117" s="77">
        <f>KLP!C11-KLP!C12+KLP!C34-KLP!C35+KLP!C38-KLP!C39+KLP!C111-KLP!C119+KLP!C136-KLP!C137</f>
        <v>-8346122.3590000002</v>
      </c>
      <c r="O117" s="74"/>
    </row>
    <row r="118" spans="1:17" ht="18.75" customHeight="1" x14ac:dyDescent="0.35">
      <c r="A118" s="74"/>
      <c r="B118" s="74"/>
      <c r="C118" s="74"/>
      <c r="D118" s="74"/>
      <c r="E118" s="74"/>
      <c r="F118" s="74"/>
      <c r="G118" s="74"/>
      <c r="H118" s="74"/>
      <c r="I118" s="74"/>
      <c r="J118" s="74"/>
      <c r="K118" s="74"/>
      <c r="L118" s="74" t="s">
        <v>66</v>
      </c>
      <c r="M118" s="77">
        <f>'Nordea Liv '!B11-'Nordea Liv '!B12+'Nordea Liv '!B34-'Nordea Liv '!B35+'Nordea Liv '!B38-'Nordea Liv '!B39+'Nordea Liv '!B111-'Nordea Liv '!B119+'Nordea Liv '!B136-'Nordea Liv '!B137</f>
        <v>-47335</v>
      </c>
      <c r="N118" s="77">
        <f>'Nordea Liv '!C11-'Nordea Liv '!C12+'Nordea Liv '!C34-'Nordea Liv '!C35+'Nordea Liv '!C38-'Nordea Liv '!C39+'Nordea Liv '!C111-'Nordea Liv '!C119+'Nordea Liv '!C136-'Nordea Liv '!C137</f>
        <v>688.20004000002973</v>
      </c>
      <c r="O118" s="74"/>
    </row>
    <row r="119" spans="1:17" ht="18.75" customHeight="1" x14ac:dyDescent="0.35">
      <c r="A119" s="74"/>
      <c r="B119" s="74"/>
      <c r="C119" s="74"/>
      <c r="D119" s="74"/>
      <c r="E119" s="74"/>
      <c r="F119" s="74"/>
      <c r="G119" s="74"/>
      <c r="H119" s="74"/>
      <c r="I119" s="74"/>
      <c r="J119" s="74"/>
      <c r="K119" s="74"/>
      <c r="L119" s="74" t="s">
        <v>434</v>
      </c>
      <c r="M119" s="77">
        <f>'Sparebank 1'!B11-'Sparebank 1'!B12+'Sparebank 1'!B34-'Sparebank 1'!B35+'Sparebank 1'!B38-'Sparebank 1'!B39+'Sparebank 1'!B111-'Sparebank 1'!B119+'Sparebank 1'!B136-'Sparebank 1'!B137</f>
        <v>3188.0403499999975</v>
      </c>
      <c r="N119" s="77">
        <f>'Sparebank 1'!C11-'Sparebank 1'!C12+'Sparebank 1'!C34-'Sparebank 1'!C35+'Sparebank 1'!C38-'Sparebank 1'!C39+'Sparebank 1'!C111-'Sparebank 1'!C119+'Sparebank 1'!C136-'Sparebank 1'!C137</f>
        <v>-9015.0013899999976</v>
      </c>
      <c r="O119" s="74"/>
    </row>
    <row r="120" spans="1:17" ht="18.75" customHeight="1" x14ac:dyDescent="0.35">
      <c r="A120" s="74"/>
      <c r="B120" s="74"/>
      <c r="C120" s="74"/>
      <c r="D120" s="74"/>
      <c r="E120" s="74"/>
      <c r="F120" s="74"/>
      <c r="G120" s="74"/>
      <c r="H120" s="74"/>
      <c r="I120" s="74"/>
      <c r="J120" s="74"/>
      <c r="K120" s="74"/>
      <c r="L120" s="74" t="s">
        <v>69</v>
      </c>
      <c r="M120"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204279.26300000001</v>
      </c>
      <c r="N120"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6247965.1359999999</v>
      </c>
      <c r="O120" s="74"/>
    </row>
    <row r="121" spans="1:17" ht="18.75" customHeight="1" x14ac:dyDescent="0.35">
      <c r="A121" s="74"/>
      <c r="B121" s="74"/>
      <c r="C121" s="74"/>
      <c r="D121" s="74"/>
      <c r="E121" s="74"/>
      <c r="F121" s="74"/>
      <c r="G121" s="74"/>
      <c r="H121" s="74"/>
      <c r="I121" s="74"/>
      <c r="J121" s="74"/>
      <c r="K121" s="74"/>
      <c r="M121" s="77"/>
      <c r="N121" s="77"/>
      <c r="O121" s="74"/>
    </row>
    <row r="122" spans="1:17" ht="18.75" customHeight="1" x14ac:dyDescent="0.35">
      <c r="A122" s="74"/>
      <c r="B122" s="74"/>
      <c r="C122" s="74"/>
      <c r="D122" s="74"/>
      <c r="E122" s="74"/>
      <c r="F122" s="74"/>
      <c r="G122" s="74"/>
      <c r="H122" s="74"/>
      <c r="I122" s="74"/>
      <c r="J122" s="74"/>
      <c r="K122" s="74"/>
      <c r="M122" s="77"/>
      <c r="N122" s="77"/>
      <c r="O122" s="74"/>
    </row>
    <row r="123" spans="1:17" x14ac:dyDescent="0.35">
      <c r="A123" s="74"/>
      <c r="B123" s="74"/>
      <c r="C123" s="74"/>
      <c r="D123" s="74"/>
      <c r="E123" s="74"/>
      <c r="F123" s="74"/>
      <c r="G123" s="74"/>
      <c r="H123" s="74"/>
      <c r="I123" s="74"/>
      <c r="J123" s="74"/>
      <c r="K123" s="74"/>
      <c r="M123" s="77"/>
      <c r="N123" s="77"/>
      <c r="O123" s="74"/>
    </row>
    <row r="124" spans="1:17" x14ac:dyDescent="0.35">
      <c r="A124" s="74"/>
      <c r="B124" s="74"/>
      <c r="C124" s="74"/>
      <c r="D124" s="74"/>
      <c r="E124" s="74"/>
      <c r="F124" s="74"/>
      <c r="G124" s="74"/>
      <c r="H124" s="74"/>
      <c r="I124" s="74"/>
      <c r="J124" s="74"/>
      <c r="K124" s="74"/>
      <c r="M124" s="77"/>
      <c r="N124" s="77"/>
      <c r="O124" s="74"/>
    </row>
    <row r="125" spans="1:17" x14ac:dyDescent="0.35">
      <c r="A125" s="74"/>
      <c r="B125" s="74"/>
      <c r="C125" s="74"/>
      <c r="D125" s="74"/>
      <c r="E125" s="74"/>
      <c r="F125" s="74"/>
      <c r="G125" s="74"/>
      <c r="H125" s="74"/>
      <c r="I125" s="74"/>
      <c r="J125" s="74"/>
      <c r="K125" s="74"/>
      <c r="M125" s="77"/>
      <c r="N125" s="77"/>
      <c r="O125" s="74"/>
    </row>
    <row r="126" spans="1:17" x14ac:dyDescent="0.35">
      <c r="A126" s="74"/>
      <c r="B126" s="74"/>
      <c r="C126" s="74"/>
      <c r="D126" s="74"/>
      <c r="E126" s="74"/>
      <c r="F126" s="74"/>
      <c r="G126" s="74"/>
      <c r="H126" s="74"/>
      <c r="I126" s="74"/>
      <c r="J126" s="74"/>
      <c r="K126" s="74"/>
      <c r="M126" s="77"/>
      <c r="N126" s="77"/>
      <c r="O126" s="74"/>
    </row>
    <row r="127" spans="1:17" x14ac:dyDescent="0.35">
      <c r="A127" s="74"/>
      <c r="B127" s="74"/>
      <c r="C127" s="74"/>
      <c r="D127" s="74"/>
      <c r="E127" s="74"/>
      <c r="F127" s="74"/>
      <c r="G127" s="74"/>
      <c r="H127" s="74"/>
      <c r="I127" s="74"/>
      <c r="J127" s="74"/>
      <c r="K127" s="74"/>
      <c r="M127" s="77"/>
      <c r="N127" s="77"/>
      <c r="O127" s="74"/>
    </row>
    <row r="128" spans="1:17" x14ac:dyDescent="0.35">
      <c r="A128" s="74"/>
      <c r="B128" s="74"/>
      <c r="C128" s="74"/>
      <c r="D128" s="74"/>
      <c r="E128" s="74"/>
      <c r="F128" s="74"/>
      <c r="G128" s="74"/>
      <c r="H128" s="74"/>
      <c r="I128" s="74"/>
      <c r="J128" s="74"/>
      <c r="K128" s="74"/>
      <c r="O128" s="74"/>
    </row>
    <row r="129" spans="1:15" x14ac:dyDescent="0.35">
      <c r="A129" s="74"/>
      <c r="B129" s="74"/>
      <c r="C129" s="74"/>
      <c r="D129" s="74"/>
      <c r="E129" s="74"/>
      <c r="F129" s="74"/>
      <c r="G129" s="74"/>
      <c r="H129" s="74"/>
      <c r="I129" s="74"/>
      <c r="J129" s="74"/>
      <c r="K129" s="74"/>
      <c r="O129" s="74"/>
    </row>
    <row r="130" spans="1:15" x14ac:dyDescent="0.35">
      <c r="A130" s="75" t="s">
        <v>433</v>
      </c>
      <c r="B130" s="74"/>
      <c r="C130" s="74"/>
      <c r="D130" s="74"/>
      <c r="E130" s="74"/>
      <c r="F130" s="74"/>
      <c r="G130" s="74"/>
      <c r="H130" s="79"/>
      <c r="I130" s="74"/>
      <c r="J130" s="74"/>
      <c r="K130" s="74"/>
      <c r="O130" s="74"/>
    </row>
    <row r="131" spans="1:15" x14ac:dyDescent="0.35">
      <c r="B131" s="74"/>
      <c r="C131" s="74"/>
      <c r="D131" s="74"/>
      <c r="E131" s="74"/>
      <c r="F131" s="74"/>
      <c r="G131" s="74"/>
      <c r="H131" s="74"/>
      <c r="I131" s="74"/>
      <c r="J131" s="74"/>
      <c r="K131" s="74"/>
      <c r="O131" s="74"/>
    </row>
    <row r="132" spans="1:15" x14ac:dyDescent="0.35">
      <c r="A132" s="74"/>
      <c r="B132" s="74"/>
      <c r="C132" s="74"/>
      <c r="D132" s="74"/>
      <c r="E132" s="74"/>
      <c r="F132" s="74"/>
      <c r="G132" s="74"/>
      <c r="H132" s="74"/>
      <c r="I132" s="74"/>
      <c r="J132" s="74"/>
      <c r="K132" s="74"/>
      <c r="O132" s="74"/>
    </row>
    <row r="133" spans="1:15" x14ac:dyDescent="0.35">
      <c r="A133" s="74"/>
      <c r="B133" s="74"/>
      <c r="C133" s="74"/>
      <c r="D133" s="74"/>
      <c r="E133" s="74"/>
      <c r="F133" s="74"/>
      <c r="G133" s="74"/>
      <c r="H133" s="74"/>
      <c r="I133" s="74"/>
      <c r="J133" s="74"/>
      <c r="K133" s="74"/>
      <c r="O133" s="74"/>
    </row>
    <row r="134" spans="1:15" x14ac:dyDescent="0.35">
      <c r="A134" s="74"/>
      <c r="B134" s="74"/>
      <c r="C134" s="74"/>
      <c r="D134" s="74"/>
      <c r="E134" s="74"/>
      <c r="F134" s="74"/>
      <c r="G134" s="74"/>
      <c r="H134" s="74"/>
      <c r="I134" s="74"/>
      <c r="J134" s="74"/>
      <c r="K134" s="74"/>
      <c r="L134" s="79" t="s">
        <v>76</v>
      </c>
      <c r="O134" s="74"/>
    </row>
    <row r="135" spans="1:15" x14ac:dyDescent="0.35">
      <c r="A135" s="74"/>
      <c r="B135" s="74"/>
      <c r="C135" s="74"/>
      <c r="D135" s="74"/>
      <c r="E135" s="74"/>
      <c r="F135" s="74"/>
      <c r="G135" s="74"/>
      <c r="H135" s="74"/>
      <c r="I135" s="74"/>
      <c r="J135" s="74"/>
      <c r="K135" s="74"/>
      <c r="L135" s="74" t="s">
        <v>1</v>
      </c>
      <c r="O135" s="74"/>
    </row>
    <row r="136" spans="1:15" x14ac:dyDescent="0.35">
      <c r="A136" s="74"/>
      <c r="B136" s="74"/>
      <c r="C136" s="74"/>
      <c r="D136" s="74"/>
      <c r="E136" s="74"/>
      <c r="F136" s="74"/>
      <c r="G136" s="74"/>
      <c r="H136" s="74"/>
      <c r="I136" s="74"/>
      <c r="J136" s="74"/>
      <c r="K136" s="74"/>
      <c r="M136" s="74">
        <f>M7</f>
        <v>2020</v>
      </c>
      <c r="N136" s="74">
        <f>N7</f>
        <v>2021</v>
      </c>
      <c r="O136" s="74"/>
    </row>
    <row r="137" spans="1:15" x14ac:dyDescent="0.35">
      <c r="A137" s="74"/>
      <c r="B137" s="74"/>
      <c r="C137" s="74"/>
      <c r="D137" s="74"/>
      <c r="E137" s="74"/>
      <c r="F137" s="74"/>
      <c r="G137" s="74"/>
      <c r="H137" s="74"/>
      <c r="I137" s="74"/>
      <c r="J137" s="74"/>
      <c r="K137" s="74"/>
      <c r="L137" s="74" t="s">
        <v>54</v>
      </c>
      <c r="M137" s="77">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174979.34500000003</v>
      </c>
      <c r="N137"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255950.18200000003</v>
      </c>
      <c r="O137" s="74"/>
    </row>
    <row r="138" spans="1:15" x14ac:dyDescent="0.35">
      <c r="A138" s="74"/>
      <c r="B138" s="74"/>
      <c r="C138" s="74"/>
      <c r="D138" s="74"/>
      <c r="E138" s="74"/>
      <c r="F138" s="74"/>
      <c r="G138" s="74"/>
      <c r="H138" s="74"/>
      <c r="I138" s="74"/>
      <c r="J138" s="74"/>
      <c r="K138" s="74"/>
      <c r="L138" s="74" t="s">
        <v>417</v>
      </c>
      <c r="M138" s="77">
        <f>'DNB Bedriftspensjon'!F11-'DNB Bedriftspensjon'!F12+'DNB Bedriftspensjon'!F34-'DNB Bedriftspensjon'!F35+'DNB Bedriftspensjon'!F38-'DNB Bedriftspensjon'!F39+'DNB Bedriftspensjon'!F111-'DNB Bedriftspensjon'!F119+'DNB Bedriftspensjon'!F136-'DNB Bedriftspensjon'!F137</f>
        <v>214639</v>
      </c>
      <c r="N138" s="77">
        <f>'DNB Bedriftspensjon'!G11-'DNB Bedriftspensjon'!G12+'DNB Bedriftspensjon'!G34-'DNB Bedriftspensjon'!G35+'DNB Bedriftspensjon'!G38-'DNB Bedriftspensjon'!G39+'DNB Bedriftspensjon'!G111-'DNB Bedriftspensjon'!G119+'DNB Bedriftspensjon'!G136-'DNB Bedriftspensjon'!G137</f>
        <v>0</v>
      </c>
      <c r="O138" s="74"/>
    </row>
    <row r="139" spans="1:15" x14ac:dyDescent="0.35">
      <c r="A139" s="74"/>
      <c r="B139" s="74"/>
      <c r="C139" s="74"/>
      <c r="D139" s="74"/>
      <c r="E139" s="74"/>
      <c r="F139" s="74"/>
      <c r="G139" s="74"/>
      <c r="H139" s="74"/>
      <c r="I139" s="74"/>
      <c r="J139" s="74"/>
      <c r="K139" s="74"/>
      <c r="L139" s="74" t="s">
        <v>55</v>
      </c>
      <c r="M139" s="77">
        <f>'DNB Livsforsikring'!F11-'DNB Livsforsikring'!F12+'DNB Livsforsikring'!F34-'DNB Livsforsikring'!F35+'DNB Livsforsikring'!F38-'DNB Livsforsikring'!F39+'DNB Livsforsikring'!F111-'DNB Livsforsikring'!F119+'DNB Livsforsikring'!F136-'DNB Livsforsikring'!F137</f>
        <v>-3689736</v>
      </c>
      <c r="N139" s="77">
        <f>'DNB Livsforsikring'!G11-'DNB Livsforsikring'!G12+'DNB Livsforsikring'!G34-'DNB Livsforsikring'!G35+'DNB Livsforsikring'!G38-'DNB Livsforsikring'!G39+'DNB Livsforsikring'!G111-'DNB Livsforsikring'!G119+'DNB Livsforsikring'!G136-'DNB Livsforsikring'!G137</f>
        <v>-2100392</v>
      </c>
      <c r="O139" s="74"/>
    </row>
    <row r="140" spans="1:15" x14ac:dyDescent="0.35">
      <c r="A140" s="74"/>
      <c r="B140" s="74"/>
      <c r="C140" s="74"/>
      <c r="D140" s="74"/>
      <c r="E140" s="74"/>
      <c r="F140" s="74"/>
      <c r="G140" s="74"/>
      <c r="H140" s="74"/>
      <c r="I140" s="74"/>
      <c r="J140" s="74"/>
      <c r="K140" s="74"/>
      <c r="L140" s="74" t="s">
        <v>57</v>
      </c>
      <c r="M140" s="77">
        <f>'Frende Livsforsikring'!F11-'Frende Livsforsikring'!F12+'Frende Livsforsikring'!F34-'Frende Livsforsikring'!F35+'Frende Livsforsikring'!F38-'Frende Livsforsikring'!F39+'Frende Livsforsikring'!F111-'Frende Livsforsikring'!F119+'Frende Livsforsikring'!F136-'Frende Livsforsikring'!F137</f>
        <v>-595</v>
      </c>
      <c r="N140" s="77">
        <f>'Frende Livsforsikring'!G11-'Frende Livsforsikring'!G12+'Frende Livsforsikring'!G34-'Frende Livsforsikring'!G35+'Frende Livsforsikring'!G38-'Frende Livsforsikring'!G39+'Frende Livsforsikring'!G111-'Frende Livsforsikring'!G119+'Frende Livsforsikring'!G136-'Frende Livsforsikring'!G137</f>
        <v>0</v>
      </c>
      <c r="O140" s="74"/>
    </row>
    <row r="141" spans="1:15" x14ac:dyDescent="0.35">
      <c r="A141" s="74"/>
      <c r="B141" s="74"/>
      <c r="C141" s="74"/>
      <c r="D141" s="74"/>
      <c r="E141" s="74"/>
      <c r="F141" s="74"/>
      <c r="G141" s="74"/>
      <c r="H141" s="74"/>
      <c r="I141" s="74"/>
      <c r="J141" s="74"/>
      <c r="K141" s="74"/>
      <c r="L141" s="79" t="s">
        <v>60</v>
      </c>
      <c r="M141" s="77">
        <f>'Gjensidige Pensjon'!F11-'Gjensidige Pensjon'!F12+'Gjensidige Pensjon'!F34-'Gjensidige Pensjon'!F35+'Gjensidige Pensjon'!F38-'Gjensidige Pensjon'!F39+'Gjensidige Pensjon'!F111-'Gjensidige Pensjon'!F119+'Gjensidige Pensjon'!F136-'Gjensidige Pensjon'!F137</f>
        <v>-966555</v>
      </c>
      <c r="N141" s="77">
        <f>'Gjensidige Pensjon'!G11-'Gjensidige Pensjon'!G12+'Gjensidige Pensjon'!G34-'Gjensidige Pensjon'!G35+'Gjensidige Pensjon'!G38-'Gjensidige Pensjon'!G39+'Gjensidige Pensjon'!G111-'Gjensidige Pensjon'!G119+'Gjensidige Pensjon'!G136-'Gjensidige Pensjon'!G137</f>
        <v>58268.599999999627</v>
      </c>
      <c r="O141" s="74"/>
    </row>
    <row r="142" spans="1:15" x14ac:dyDescent="0.35">
      <c r="A142" s="74"/>
      <c r="B142" s="74"/>
      <c r="C142" s="74"/>
      <c r="D142" s="74"/>
      <c r="E142" s="74"/>
      <c r="F142" s="74"/>
      <c r="G142" s="74"/>
      <c r="H142" s="74"/>
      <c r="I142" s="74"/>
      <c r="J142" s="74"/>
      <c r="K142" s="74"/>
      <c r="L142" s="74" t="s">
        <v>63</v>
      </c>
      <c r="M142" s="77">
        <f>KLP!F11-KLP!F12+KLP!F34-KLP!F35+KLP!F38-KLP!F39+KLP!F111-KLP!F119+KLP!F136-KLP!F137</f>
        <v>-462823.85</v>
      </c>
      <c r="N142" s="77">
        <f>KLP!G11-KLP!G12+KLP!G34-KLP!G35+KLP!G38-KLP!G39+KLP!G111-KLP!G119+KLP!G136-KLP!G137</f>
        <v>0</v>
      </c>
      <c r="O142" s="74"/>
    </row>
    <row r="143" spans="1:15" x14ac:dyDescent="0.35">
      <c r="A143" s="74"/>
      <c r="B143" s="74"/>
      <c r="C143" s="74"/>
      <c r="D143" s="74"/>
      <c r="E143" s="74"/>
      <c r="F143" s="74"/>
      <c r="G143" s="74"/>
      <c r="H143" s="74"/>
      <c r="I143" s="74"/>
      <c r="J143" s="74"/>
      <c r="K143" s="74"/>
      <c r="L143" s="74" t="s">
        <v>66</v>
      </c>
      <c r="M143" s="77">
        <f>'Nordea Liv '!F11-'Nordea Liv '!F12+'Nordea Liv '!F34-'Nordea Liv '!F35+'Nordea Liv '!F38-'Nordea Liv '!F39+'Nordea Liv '!F111-'Nordea Liv '!F119+'Nordea Liv '!F136-'Nordea Liv '!F137</f>
        <v>3079048.5324300006</v>
      </c>
      <c r="N143" s="77">
        <f>'Nordea Liv '!G11-'Nordea Liv '!G12+'Nordea Liv '!G34-'Nordea Liv '!G35+'Nordea Liv '!G38-'Nordea Liv '!G39+'Nordea Liv '!G111-'Nordea Liv '!G119+'Nordea Liv '!G136-'Nordea Liv '!G137</f>
        <v>-381588.80577000044</v>
      </c>
      <c r="O143" s="74"/>
    </row>
    <row r="144" spans="1:15" x14ac:dyDescent="0.35">
      <c r="A144" s="74"/>
      <c r="B144" s="74"/>
      <c r="C144" s="74"/>
      <c r="D144" s="74"/>
      <c r="E144" s="74"/>
      <c r="F144" s="74"/>
      <c r="G144" s="74"/>
      <c r="H144" s="74"/>
      <c r="I144" s="74"/>
      <c r="J144" s="74"/>
      <c r="K144" s="74"/>
      <c r="L144" s="74" t="s">
        <v>72</v>
      </c>
      <c r="M144" s="77">
        <f>'SHB Liv'!F11-'SHB Liv'!F12+'SHB Liv'!F34-'SHB Liv'!F35+'SHB Liv'!F38-'SHB Liv'!F39+'SHB Liv'!F111-'SHB Liv'!F119+'SHB Liv'!F136-'SHB Liv'!F137</f>
        <v>59352.447399999997</v>
      </c>
      <c r="N144" s="77">
        <f>'SHB Liv'!G11-'SHB Liv'!G12+'SHB Liv'!G34-'SHB Liv'!G35+'SHB Liv'!G38-'SHB Liv'!G39+'SHB Liv'!G111-'SHB Liv'!G119+'SHB Liv'!G136-'SHB Liv'!G137</f>
        <v>-52194.126499999991</v>
      </c>
      <c r="O144" s="74"/>
    </row>
    <row r="145" spans="1:15" x14ac:dyDescent="0.35">
      <c r="A145" s="74"/>
      <c r="B145" s="74"/>
      <c r="C145" s="74"/>
      <c r="D145" s="74"/>
      <c r="E145" s="74"/>
      <c r="F145" s="74"/>
      <c r="G145" s="74"/>
      <c r="H145" s="74"/>
      <c r="I145" s="74"/>
      <c r="J145" s="74"/>
      <c r="K145" s="74"/>
      <c r="L145" s="74" t="s">
        <v>434</v>
      </c>
      <c r="M145" s="77">
        <f>'Sparebank 1'!F11-'Sparebank 1'!F12+'Sparebank 1'!F34-'Sparebank 1'!F35+'Sparebank 1'!F38-'Sparebank 1'!F39+'Sparebank 1'!F111-'Sparebank 1'!F119+'Sparebank 1'!F136-'Sparebank 1'!F137</f>
        <v>261540.91234999988</v>
      </c>
      <c r="N145" s="77">
        <f>'Sparebank 1'!G11-'Sparebank 1'!G12+'Sparebank 1'!G34-'Sparebank 1'!G35+'Sparebank 1'!G38-'Sparebank 1'!G39+'Sparebank 1'!G111-'Sparebank 1'!G119+'Sparebank 1'!G136-'Sparebank 1'!G137</f>
        <v>1368033.23649</v>
      </c>
      <c r="O145" s="74"/>
    </row>
    <row r="146" spans="1:15" x14ac:dyDescent="0.35">
      <c r="A146" s="74"/>
      <c r="B146" s="74"/>
      <c r="C146" s="74"/>
      <c r="D146" s="74"/>
      <c r="E146" s="74"/>
      <c r="F146" s="74"/>
      <c r="G146" s="74"/>
      <c r="H146" s="74"/>
      <c r="I146" s="74"/>
      <c r="J146" s="74"/>
      <c r="K146" s="74"/>
      <c r="L146" s="74" t="s">
        <v>73</v>
      </c>
      <c r="M146"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904021.56999999937</v>
      </c>
      <c r="N146"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-6819879.7849999992</v>
      </c>
      <c r="O146" s="74"/>
    </row>
    <row r="147" spans="1:15" x14ac:dyDescent="0.35">
      <c r="A147" s="74"/>
      <c r="B147" s="74"/>
      <c r="C147" s="74"/>
      <c r="D147" s="74"/>
      <c r="E147" s="74"/>
      <c r="F147" s="74"/>
      <c r="G147" s="74"/>
      <c r="H147" s="74"/>
      <c r="I147" s="74"/>
      <c r="J147" s="74"/>
      <c r="K147" s="74"/>
      <c r="O147" s="74"/>
    </row>
    <row r="148" spans="1:15" x14ac:dyDescent="0.35">
      <c r="A148" s="74"/>
      <c r="B148" s="74"/>
      <c r="C148" s="74"/>
      <c r="D148" s="74"/>
      <c r="E148" s="74"/>
      <c r="F148" s="74"/>
      <c r="G148" s="74"/>
      <c r="H148" s="74"/>
      <c r="I148" s="74"/>
      <c r="J148" s="74"/>
      <c r="K148" s="74"/>
      <c r="O148" s="74"/>
    </row>
    <row r="149" spans="1:15" x14ac:dyDescent="0.35">
      <c r="A149" s="74"/>
      <c r="B149" s="74"/>
      <c r="C149" s="74"/>
      <c r="D149" s="74"/>
      <c r="E149" s="74"/>
      <c r="F149" s="74"/>
      <c r="G149" s="74"/>
      <c r="H149" s="74"/>
      <c r="I149" s="74"/>
      <c r="J149" s="74"/>
      <c r="K149" s="74"/>
      <c r="O149" s="74"/>
    </row>
    <row r="150" spans="1:15" x14ac:dyDescent="0.35">
      <c r="A150" s="74"/>
      <c r="B150" s="74"/>
      <c r="C150" s="74"/>
      <c r="D150" s="74"/>
      <c r="E150" s="74"/>
      <c r="F150" s="74"/>
      <c r="G150" s="74"/>
      <c r="H150" s="74"/>
      <c r="I150" s="74"/>
      <c r="J150" s="74"/>
      <c r="K150" s="74"/>
      <c r="O150" s="74"/>
    </row>
    <row r="151" spans="1:15" x14ac:dyDescent="0.35">
      <c r="A151" s="74"/>
      <c r="B151" s="74"/>
      <c r="C151" s="74"/>
      <c r="D151" s="74"/>
      <c r="E151" s="74"/>
      <c r="F151" s="74"/>
      <c r="G151" s="74"/>
      <c r="H151" s="74"/>
      <c r="I151" s="74"/>
      <c r="J151" s="74"/>
      <c r="K151" s="74"/>
      <c r="O151" s="74"/>
    </row>
    <row r="152" spans="1:15" x14ac:dyDescent="0.35">
      <c r="A152" s="74"/>
      <c r="B152" s="74"/>
      <c r="C152" s="74"/>
      <c r="D152" s="74"/>
      <c r="E152" s="74"/>
      <c r="F152" s="74"/>
      <c r="G152" s="74"/>
      <c r="H152" s="74"/>
      <c r="I152" s="74"/>
      <c r="J152" s="74"/>
      <c r="K152" s="74"/>
      <c r="O152" s="74"/>
    </row>
    <row r="153" spans="1:15" x14ac:dyDescent="0.35">
      <c r="A153" s="74"/>
      <c r="B153" s="74"/>
      <c r="C153" s="74"/>
      <c r="D153" s="74"/>
      <c r="E153" s="74"/>
      <c r="F153" s="74"/>
      <c r="G153" s="74"/>
      <c r="H153" s="74"/>
      <c r="I153" s="74"/>
      <c r="J153" s="74"/>
      <c r="K153" s="74"/>
      <c r="O153" s="74"/>
    </row>
    <row r="154" spans="1:15" x14ac:dyDescent="0.35">
      <c r="O154" s="74"/>
    </row>
    <row r="155" spans="1:15" x14ac:dyDescent="0.35">
      <c r="O155" s="74"/>
    </row>
    <row r="156" spans="1:15" x14ac:dyDescent="0.35">
      <c r="O156" s="74"/>
    </row>
    <row r="157" spans="1:15" x14ac:dyDescent="0.35">
      <c r="O157" s="74"/>
    </row>
    <row r="158" spans="1:15" x14ac:dyDescent="0.35">
      <c r="O158" s="74"/>
    </row>
    <row r="159" spans="1:15" x14ac:dyDescent="0.35">
      <c r="O159" s="74"/>
    </row>
    <row r="160" spans="1:15" x14ac:dyDescent="0.35">
      <c r="O160" s="74"/>
    </row>
    <row r="161" spans="1:15" x14ac:dyDescent="0.35">
      <c r="O161" s="74"/>
    </row>
    <row r="162" spans="1:15" x14ac:dyDescent="0.35">
      <c r="O162" s="74"/>
    </row>
    <row r="163" spans="1:15" x14ac:dyDescent="0.35">
      <c r="O163" s="74"/>
    </row>
    <row r="164" spans="1:15" x14ac:dyDescent="0.35">
      <c r="O164" s="74"/>
    </row>
    <row r="165" spans="1:15" x14ac:dyDescent="0.35">
      <c r="O165" s="74"/>
    </row>
    <row r="166" spans="1:15" x14ac:dyDescent="0.35">
      <c r="O166" s="74"/>
    </row>
    <row r="167" spans="1:15" x14ac:dyDescent="0.35">
      <c r="O167" s="74"/>
    </row>
    <row r="168" spans="1:15" x14ac:dyDescent="0.35">
      <c r="O168" s="74"/>
    </row>
    <row r="169" spans="1:15" x14ac:dyDescent="0.35">
      <c r="O169" s="74"/>
    </row>
    <row r="170" spans="1:15" x14ac:dyDescent="0.35">
      <c r="A170" s="74"/>
      <c r="B170" s="74"/>
      <c r="C170" s="74"/>
      <c r="D170" s="74"/>
      <c r="E170" s="74"/>
      <c r="F170" s="74"/>
      <c r="G170" s="74"/>
      <c r="H170" s="74"/>
      <c r="I170" s="74"/>
      <c r="J170" s="74"/>
      <c r="K170" s="74"/>
      <c r="O170" s="74"/>
    </row>
    <row r="171" spans="1:15" x14ac:dyDescent="0.35">
      <c r="A171" s="74"/>
      <c r="B171" s="74"/>
      <c r="C171" s="74"/>
      <c r="D171" s="74"/>
      <c r="E171" s="74"/>
      <c r="F171" s="74"/>
      <c r="G171" s="74"/>
      <c r="H171" s="74"/>
      <c r="I171" s="74"/>
      <c r="J171" s="74"/>
      <c r="K171" s="74"/>
      <c r="O171" s="74"/>
    </row>
    <row r="172" spans="1:15" x14ac:dyDescent="0.35">
      <c r="A172" s="74"/>
      <c r="B172" s="74"/>
      <c r="C172" s="74"/>
      <c r="D172" s="74"/>
      <c r="E172" s="74"/>
      <c r="F172" s="74"/>
      <c r="G172" s="74"/>
      <c r="H172" s="74"/>
      <c r="I172" s="74"/>
      <c r="J172" s="74"/>
      <c r="K172" s="74"/>
      <c r="O172" s="74"/>
    </row>
    <row r="173" spans="1:15" x14ac:dyDescent="0.35">
      <c r="A173" s="74"/>
      <c r="B173" s="74"/>
      <c r="C173" s="74"/>
      <c r="D173" s="74"/>
      <c r="E173" s="74"/>
      <c r="F173" s="74"/>
      <c r="G173" s="74"/>
      <c r="H173" s="74"/>
      <c r="I173" s="74"/>
      <c r="J173" s="74"/>
      <c r="K173" s="74"/>
      <c r="O173" s="74"/>
    </row>
    <row r="174" spans="1:15" x14ac:dyDescent="0.35">
      <c r="A174" s="74"/>
      <c r="B174" s="74"/>
      <c r="C174" s="74"/>
      <c r="D174" s="74"/>
      <c r="E174" s="74"/>
      <c r="F174" s="74"/>
      <c r="G174" s="74"/>
      <c r="H174" s="74"/>
      <c r="I174" s="74"/>
      <c r="J174" s="74"/>
      <c r="K174" s="74"/>
      <c r="O174" s="74"/>
    </row>
    <row r="175" spans="1:15" x14ac:dyDescent="0.35">
      <c r="A175" s="74"/>
      <c r="B175" s="74"/>
      <c r="C175" s="74"/>
      <c r="D175" s="74"/>
      <c r="E175" s="74"/>
      <c r="F175" s="74"/>
      <c r="G175" s="74"/>
      <c r="H175" s="74"/>
      <c r="I175" s="74"/>
      <c r="J175" s="74"/>
      <c r="K175" s="74"/>
      <c r="O175" s="74"/>
    </row>
    <row r="176" spans="1:15" x14ac:dyDescent="0.35">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topLeftCell="A82" zoomScaleNormal="100" workbookViewId="0">
      <selection activeCell="C111" sqref="C111"/>
    </sheetView>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132</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v>522674.79200000002</v>
      </c>
      <c r="C7" s="309">
        <v>569513.46</v>
      </c>
      <c r="D7" s="351">
        <f>IF(B7=0, "    ---- ", IF(ABS(ROUND(100/B7*C7-100,1))&lt;999,ROUND(100/B7*C7-100,1),IF(ROUND(100/B7*C7-100,1)&gt;999,999,-999)))</f>
        <v>9</v>
      </c>
      <c r="E7" s="11">
        <f>IFERROR(100/'Skjema total MA'!C7*C7,0)</f>
        <v>14.934204681264433</v>
      </c>
      <c r="F7" s="308">
        <v>1006866.93</v>
      </c>
      <c r="G7" s="309">
        <v>1278599.6810000001</v>
      </c>
      <c r="H7" s="351">
        <f>IF(F7=0, "    ---- ", IF(ABS(ROUND(100/F7*G7-100,1))&lt;999,ROUND(100/F7*G7-100,1),IF(ROUND(100/F7*G7-100,1)&gt;999,999,-999)))</f>
        <v>27</v>
      </c>
      <c r="I7" s="160">
        <f>IFERROR(100/'Skjema total MA'!F7*G7,0)</f>
        <v>11.745298426961751</v>
      </c>
      <c r="J7" s="310">
        <f t="shared" ref="J7:K12" si="0">SUM(B7,F7)</f>
        <v>1529541.7220000001</v>
      </c>
      <c r="K7" s="311">
        <f t="shared" si="0"/>
        <v>1848113.1410000001</v>
      </c>
      <c r="L7" s="425">
        <f>IF(J7=0, "    ---- ", IF(ABS(ROUND(100/J7*K7-100,1))&lt;999,ROUND(100/J7*K7-100,1),IF(ROUND(100/J7*K7-100,1)&gt;999,999,-999)))</f>
        <v>20.8</v>
      </c>
      <c r="M7" s="11">
        <f>IFERROR(100/'Skjema total MA'!I7*K7,0)</f>
        <v>12.572592535187342</v>
      </c>
    </row>
    <row r="8" spans="1:14" ht="15.6" x14ac:dyDescent="0.25">
      <c r="A8" s="21" t="s">
        <v>25</v>
      </c>
      <c r="B8" s="286">
        <v>205956.12299999999</v>
      </c>
      <c r="C8" s="287">
        <v>225175.57500000001</v>
      </c>
      <c r="D8" s="166">
        <f t="shared" ref="D8:D10" si="1">IF(B8=0, "    ---- ", IF(ABS(ROUND(100/B8*C8-100,1))&lt;999,ROUND(100/B8*C8-100,1),IF(ROUND(100/B8*C8-100,1)&gt;999,999,-999)))</f>
        <v>9.3000000000000007</v>
      </c>
      <c r="E8" s="27">
        <f>IFERROR(100/'Skjema total MA'!C8*C8,0)</f>
        <v>9.0778956180511585</v>
      </c>
      <c r="F8" s="290"/>
      <c r="G8" s="291"/>
      <c r="H8" s="166"/>
      <c r="I8" s="176"/>
      <c r="J8" s="234">
        <f t="shared" si="0"/>
        <v>205956.12299999999</v>
      </c>
      <c r="K8" s="292">
        <f t="shared" si="0"/>
        <v>225175.57500000001</v>
      </c>
      <c r="L8" s="166">
        <f t="shared" ref="L8:L9" si="2">IF(J8=0, "    ---- ", IF(ABS(ROUND(100/J8*K8-100,1))&lt;999,ROUND(100/J8*K8-100,1),IF(ROUND(100/J8*K8-100,1)&gt;999,999,-999)))</f>
        <v>9.3000000000000007</v>
      </c>
      <c r="M8" s="27">
        <f>IFERROR(100/'Skjema total MA'!I8*K8,0)</f>
        <v>9.0778956180511585</v>
      </c>
    </row>
    <row r="9" spans="1:14" ht="15.6" x14ac:dyDescent="0.25">
      <c r="A9" s="21" t="s">
        <v>24</v>
      </c>
      <c r="B9" s="286">
        <v>44576.839</v>
      </c>
      <c r="C9" s="287">
        <v>42124.925999999999</v>
      </c>
      <c r="D9" s="166">
        <f t="shared" si="1"/>
        <v>-5.5</v>
      </c>
      <c r="E9" s="27">
        <f>IFERROR(100/'Skjema total MA'!C9*C9,0)</f>
        <v>5.3109042625484859</v>
      </c>
      <c r="F9" s="290"/>
      <c r="G9" s="291"/>
      <c r="H9" s="166"/>
      <c r="I9" s="176"/>
      <c r="J9" s="234">
        <f t="shared" si="0"/>
        <v>44576.839</v>
      </c>
      <c r="K9" s="292">
        <f t="shared" si="0"/>
        <v>42124.925999999999</v>
      </c>
      <c r="L9" s="166">
        <f t="shared" si="2"/>
        <v>-5.5</v>
      </c>
      <c r="M9" s="27">
        <f>IFERROR(100/'Skjema total MA'!I9*K9,0)</f>
        <v>5.3109042625484859</v>
      </c>
    </row>
    <row r="10" spans="1:14" ht="15.6" x14ac:dyDescent="0.25">
      <c r="A10" s="13" t="s">
        <v>363</v>
      </c>
      <c r="B10" s="312">
        <v>4028593.2930000001</v>
      </c>
      <c r="C10" s="313">
        <v>4041340.5350000001</v>
      </c>
      <c r="D10" s="171">
        <f t="shared" si="1"/>
        <v>0.3</v>
      </c>
      <c r="E10" s="11">
        <f>IFERROR(100/'Skjema total MA'!C10*C10,0)</f>
        <v>23.777771812558875</v>
      </c>
      <c r="F10" s="312">
        <v>8141927.0049999999</v>
      </c>
      <c r="G10" s="313">
        <v>10467709.646</v>
      </c>
      <c r="H10" s="171">
        <f t="shared" ref="H10:H12" si="3">IF(F10=0, "    ---- ", IF(ABS(ROUND(100/F10*G10-100,1))&lt;999,ROUND(100/F10*G10-100,1),IF(ROUND(100/F10*G10-100,1)&gt;999,999,-999)))</f>
        <v>28.6</v>
      </c>
      <c r="I10" s="160">
        <f>IFERROR(100/'Skjema total MA'!F10*G10,0)</f>
        <v>14.299844839258993</v>
      </c>
      <c r="J10" s="310">
        <f t="shared" si="0"/>
        <v>12170520.298</v>
      </c>
      <c r="K10" s="311">
        <f t="shared" si="0"/>
        <v>14509050.181</v>
      </c>
      <c r="L10" s="426">
        <f t="shared" ref="L10:L12" si="4">IF(J10=0, "    ---- ", IF(ABS(ROUND(100/J10*K10-100,1))&lt;999,ROUND(100/J10*K10-100,1),IF(ROUND(100/J10*K10-100,1)&gt;999,999,-999)))</f>
        <v>19.2</v>
      </c>
      <c r="M10" s="11">
        <f>IFERROR(100/'Skjema total MA'!I10*K10,0)</f>
        <v>16.085803612786428</v>
      </c>
    </row>
    <row r="11" spans="1:14" s="43" customFormat="1" ht="15.6" x14ac:dyDescent="0.25">
      <c r="A11" s="13" t="s">
        <v>364</v>
      </c>
      <c r="B11" s="312"/>
      <c r="C11" s="313"/>
      <c r="D11" s="171"/>
      <c r="E11" s="11"/>
      <c r="F11" s="312">
        <v>16760.716</v>
      </c>
      <c r="G11" s="313">
        <v>7435.6890000000003</v>
      </c>
      <c r="H11" s="171">
        <f t="shared" si="3"/>
        <v>-55.6</v>
      </c>
      <c r="I11" s="160">
        <f>IFERROR(100/'Skjema total MA'!F11*G11,0)</f>
        <v>2.1534203709619359</v>
      </c>
      <c r="J11" s="310">
        <f t="shared" si="0"/>
        <v>16760.716</v>
      </c>
      <c r="K11" s="311">
        <f t="shared" si="0"/>
        <v>7435.6890000000003</v>
      </c>
      <c r="L11" s="426">
        <f t="shared" si="4"/>
        <v>-55.6</v>
      </c>
      <c r="M11" s="11">
        <f>IFERROR(100/'Skjema total MA'!I11*K11,0)</f>
        <v>1.9189935965408822</v>
      </c>
      <c r="N11" s="143"/>
    </row>
    <row r="12" spans="1:14" s="43" customFormat="1" ht="15.6" x14ac:dyDescent="0.25">
      <c r="A12" s="41" t="s">
        <v>365</v>
      </c>
      <c r="B12" s="314"/>
      <c r="C12" s="315"/>
      <c r="D12" s="169"/>
      <c r="E12" s="36"/>
      <c r="F12" s="314">
        <v>19117.538</v>
      </c>
      <c r="G12" s="315">
        <v>24785.491999999998</v>
      </c>
      <c r="H12" s="169">
        <f t="shared" si="3"/>
        <v>29.6</v>
      </c>
      <c r="I12" s="169">
        <f>IFERROR(100/'Skjema total MA'!F12*G12,0)</f>
        <v>16.920963345053504</v>
      </c>
      <c r="J12" s="316">
        <f t="shared" si="0"/>
        <v>19117.538</v>
      </c>
      <c r="K12" s="317">
        <f t="shared" si="0"/>
        <v>24785.491999999998</v>
      </c>
      <c r="L12" s="427">
        <f t="shared" si="4"/>
        <v>29.6</v>
      </c>
      <c r="M12" s="36">
        <f>IFERROR(100/'Skjema total MA'!I12*K12,0)</f>
        <v>16.179197940530674</v>
      </c>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v>5444.7569999999996</v>
      </c>
      <c r="C22" s="312">
        <v>5203.2190000000001</v>
      </c>
      <c r="D22" s="351">
        <f t="shared" ref="D22:D37" si="5">IF(B22=0, "    ---- ", IF(ABS(ROUND(100/B22*C22-100,1))&lt;999,ROUND(100/B22*C22-100,1),IF(ROUND(100/B22*C22-100,1)&gt;999,999,-999)))</f>
        <v>-4.4000000000000004</v>
      </c>
      <c r="E22" s="11">
        <f>IFERROR(100/'Skjema total MA'!C22*C22,0)</f>
        <v>0.33869058578945521</v>
      </c>
      <c r="F22" s="320">
        <v>277763.80800000002</v>
      </c>
      <c r="G22" s="320">
        <v>348652.99200000003</v>
      </c>
      <c r="H22" s="351">
        <f t="shared" ref="H22:H35" si="6">IF(F22=0, "    ---- ", IF(ABS(ROUND(100/F22*G22-100,1))&lt;999,ROUND(100/F22*G22-100,1),IF(ROUND(100/F22*G22-100,1)&gt;999,999,-999)))</f>
        <v>25.5</v>
      </c>
      <c r="I22" s="11">
        <f>IFERROR(100/'Skjema total MA'!F22*G22,0)</f>
        <v>31.061897322607052</v>
      </c>
      <c r="J22" s="318">
        <f t="shared" ref="J22:K35" si="7">SUM(B22,F22)</f>
        <v>283208.565</v>
      </c>
      <c r="K22" s="318">
        <f t="shared" si="7"/>
        <v>353856.21100000001</v>
      </c>
      <c r="L22" s="425">
        <f t="shared" ref="L22:L35" si="8">IF(J22=0, "    ---- ", IF(ABS(ROUND(100/J22*K22-100,1))&lt;999,ROUND(100/J22*K22-100,1),IF(ROUND(100/J22*K22-100,1)&gt;999,999,-999)))</f>
        <v>24.9</v>
      </c>
      <c r="M22" s="24">
        <f>IFERROR(100/'Skjema total MA'!I22*K22,0)</f>
        <v>13.309264745604306</v>
      </c>
    </row>
    <row r="23" spans="1:14" ht="15.6" x14ac:dyDescent="0.25">
      <c r="A23" s="581" t="s">
        <v>366</v>
      </c>
      <c r="B23" s="286">
        <v>716.58900000000006</v>
      </c>
      <c r="C23" s="286">
        <v>741.35500000000002</v>
      </c>
      <c r="D23" s="166">
        <f t="shared" si="5"/>
        <v>3.5</v>
      </c>
      <c r="E23" s="11">
        <f>IFERROR(100/'Skjema total MA'!C23*C23,0)</f>
        <v>0.1324203318097914</v>
      </c>
      <c r="F23" s="295">
        <v>17342.732</v>
      </c>
      <c r="G23" s="295">
        <v>53774.353999999999</v>
      </c>
      <c r="H23" s="166">
        <f t="shared" si="6"/>
        <v>210.1</v>
      </c>
      <c r="I23" s="415">
        <f>IFERROR(100/'Skjema total MA'!F23*G23,0)</f>
        <v>30.531580777529069</v>
      </c>
      <c r="J23" s="295">
        <f t="shared" ref="J23:J26" si="9">SUM(B23,F23)</f>
        <v>18059.321</v>
      </c>
      <c r="K23" s="295">
        <f t="shared" ref="K23:K26" si="10">SUM(C23,G23)</f>
        <v>54515.709000000003</v>
      </c>
      <c r="L23" s="166">
        <f t="shared" si="8"/>
        <v>201.9</v>
      </c>
      <c r="M23" s="23">
        <f>IFERROR(100/'Skjema total MA'!I23*K23,0)</f>
        <v>7.4072589942680853</v>
      </c>
    </row>
    <row r="24" spans="1:14" ht="15.6" x14ac:dyDescent="0.25">
      <c r="A24" s="581" t="s">
        <v>367</v>
      </c>
      <c r="B24" s="286">
        <v>4728.1679999999997</v>
      </c>
      <c r="C24" s="286">
        <v>4461.8639999999996</v>
      </c>
      <c r="D24" s="166">
        <f t="shared" si="5"/>
        <v>-5.6</v>
      </c>
      <c r="E24" s="11">
        <f>IFERROR(100/'Skjema total MA'!C24*C24,0)</f>
        <v>22.674774700963802</v>
      </c>
      <c r="F24" s="295">
        <v>22.085999999999999</v>
      </c>
      <c r="G24" s="295">
        <v>0</v>
      </c>
      <c r="H24" s="166">
        <f t="shared" si="6"/>
        <v>-100</v>
      </c>
      <c r="I24" s="415">
        <f>IFERROR(100/'Skjema total MA'!F24*G24,0)</f>
        <v>0</v>
      </c>
      <c r="J24" s="295">
        <f t="shared" si="9"/>
        <v>4750.2539999999999</v>
      </c>
      <c r="K24" s="295">
        <f t="shared" si="10"/>
        <v>4461.8639999999996</v>
      </c>
      <c r="L24" s="166">
        <f t="shared" si="8"/>
        <v>-6.1</v>
      </c>
      <c r="M24" s="23">
        <f>IFERROR(100/'Skjema total MA'!I24*K24,0)</f>
        <v>23.405328067612285</v>
      </c>
    </row>
    <row r="25" spans="1:14" ht="15.6" x14ac:dyDescent="0.25">
      <c r="A25" s="581" t="s">
        <v>368</v>
      </c>
      <c r="B25" s="286"/>
      <c r="C25" s="286"/>
      <c r="D25" s="166"/>
      <c r="E25" s="11"/>
      <c r="F25" s="295">
        <v>157.90799999999999</v>
      </c>
      <c r="G25" s="295">
        <v>185.99100000000001</v>
      </c>
      <c r="H25" s="166">
        <f t="shared" si="6"/>
        <v>17.8</v>
      </c>
      <c r="I25" s="415">
        <f>IFERROR(100/'Skjema total MA'!F25*G25,0)</f>
        <v>1.4963099934096427</v>
      </c>
      <c r="J25" s="295">
        <f t="shared" si="9"/>
        <v>157.90799999999999</v>
      </c>
      <c r="K25" s="295">
        <f t="shared" si="10"/>
        <v>185.99100000000001</v>
      </c>
      <c r="L25" s="166">
        <f t="shared" si="8"/>
        <v>17.8</v>
      </c>
      <c r="M25" s="23">
        <f>IFERROR(100/'Skjema total MA'!I25*K25,0)</f>
        <v>0.48874744169433482</v>
      </c>
    </row>
    <row r="26" spans="1:14" ht="15.6" x14ac:dyDescent="0.25">
      <c r="A26" s="581" t="s">
        <v>369</v>
      </c>
      <c r="B26" s="286"/>
      <c r="C26" s="286"/>
      <c r="D26" s="166"/>
      <c r="E26" s="11"/>
      <c r="F26" s="295">
        <v>260241.08199999999</v>
      </c>
      <c r="G26" s="295">
        <v>294692.647</v>
      </c>
      <c r="H26" s="166">
        <f t="shared" si="6"/>
        <v>13.2</v>
      </c>
      <c r="I26" s="415">
        <f>IFERROR(100/'Skjema total MA'!F26*G26,0)</f>
        <v>31.53468803429131</v>
      </c>
      <c r="J26" s="295">
        <f t="shared" si="9"/>
        <v>260241.08199999999</v>
      </c>
      <c r="K26" s="295">
        <f t="shared" si="10"/>
        <v>294692.647</v>
      </c>
      <c r="L26" s="166">
        <f t="shared" si="8"/>
        <v>13.2</v>
      </c>
      <c r="M26" s="23">
        <f>IFERROR(100/'Skjema total MA'!I26*K26,0)</f>
        <v>31.53468803429131</v>
      </c>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v>148435.51699999999</v>
      </c>
      <c r="C28" s="292">
        <v>164744.698</v>
      </c>
      <c r="D28" s="166">
        <f t="shared" si="5"/>
        <v>11</v>
      </c>
      <c r="E28" s="11">
        <f>IFERROR(100/'Skjema total MA'!C28*C28,0)</f>
        <v>9.7717133943168175</v>
      </c>
      <c r="F28" s="321"/>
      <c r="G28" s="321"/>
      <c r="H28" s="166"/>
      <c r="I28" s="27"/>
      <c r="J28" s="44">
        <f t="shared" si="7"/>
        <v>148435.51699999999</v>
      </c>
      <c r="K28" s="44">
        <f t="shared" si="7"/>
        <v>164744.698</v>
      </c>
      <c r="L28" s="259">
        <f t="shared" si="8"/>
        <v>11</v>
      </c>
      <c r="M28" s="23">
        <f>IFERROR(100/'Skjema total MA'!I28*K28,0)</f>
        <v>9.7717133943168175</v>
      </c>
    </row>
    <row r="29" spans="1:14" s="3" customFormat="1" ht="15.6" x14ac:dyDescent="0.25">
      <c r="A29" s="13" t="s">
        <v>363</v>
      </c>
      <c r="B29" s="236">
        <v>9177139.1209999993</v>
      </c>
      <c r="C29" s="236">
        <v>8512793.9480000008</v>
      </c>
      <c r="D29" s="171">
        <f t="shared" si="5"/>
        <v>-7.2</v>
      </c>
      <c r="E29" s="11">
        <f>IFERROR(100/'Skjema total MA'!C29*C29,0)</f>
        <v>18.933397401151193</v>
      </c>
      <c r="F29" s="310">
        <v>5214457.5719999997</v>
      </c>
      <c r="G29" s="310">
        <v>6389676.5640000002</v>
      </c>
      <c r="H29" s="171">
        <f t="shared" si="6"/>
        <v>22.5</v>
      </c>
      <c r="I29" s="11">
        <f>IFERROR(100/'Skjema total MA'!F29*G29,0)</f>
        <v>24.837944385574076</v>
      </c>
      <c r="J29" s="236">
        <f t="shared" si="7"/>
        <v>14391596.693</v>
      </c>
      <c r="K29" s="236">
        <f t="shared" si="7"/>
        <v>14902470.512000002</v>
      </c>
      <c r="L29" s="426">
        <f t="shared" si="8"/>
        <v>3.5</v>
      </c>
      <c r="M29" s="24">
        <f>IFERROR(100/'Skjema total MA'!I29*K29,0)</f>
        <v>21.082260301328688</v>
      </c>
      <c r="N29" s="148"/>
    </row>
    <row r="30" spans="1:14" s="3" customFormat="1" ht="15.6" x14ac:dyDescent="0.25">
      <c r="A30" s="581" t="s">
        <v>366</v>
      </c>
      <c r="B30" s="286">
        <v>1207811.548</v>
      </c>
      <c r="C30" s="286">
        <v>1212903.4169999999</v>
      </c>
      <c r="D30" s="166">
        <f t="shared" si="5"/>
        <v>0.4</v>
      </c>
      <c r="E30" s="11">
        <f>IFERROR(100/'Skjema total MA'!C30*C30,0)</f>
        <v>9.1646049168001493</v>
      </c>
      <c r="F30" s="295">
        <v>499761.016</v>
      </c>
      <c r="G30" s="295">
        <v>562143.88100000005</v>
      </c>
      <c r="H30" s="166">
        <f t="shared" si="6"/>
        <v>12.5</v>
      </c>
      <c r="I30" s="415">
        <f>IFERROR(100/'Skjema total MA'!F30*G30,0)</f>
        <v>13.674263983510052</v>
      </c>
      <c r="J30" s="295">
        <f t="shared" ref="J30:J33" si="11">SUM(B30,F30)</f>
        <v>1707572.564</v>
      </c>
      <c r="K30" s="295">
        <f t="shared" ref="K30:K33" si="12">SUM(C30,G30)</f>
        <v>1775047.298</v>
      </c>
      <c r="L30" s="166">
        <f t="shared" si="8"/>
        <v>4</v>
      </c>
      <c r="M30" s="23">
        <f>IFERROR(100/'Skjema total MA'!I30*K30,0)</f>
        <v>10.233407724903895</v>
      </c>
      <c r="N30" s="148"/>
    </row>
    <row r="31" spans="1:14" s="3" customFormat="1" ht="15.6" x14ac:dyDescent="0.25">
      <c r="A31" s="581" t="s">
        <v>367</v>
      </c>
      <c r="B31" s="286">
        <v>7969327.5729999999</v>
      </c>
      <c r="C31" s="286">
        <v>7299890.5310000004</v>
      </c>
      <c r="D31" s="166">
        <f t="shared" si="5"/>
        <v>-8.4</v>
      </c>
      <c r="E31" s="11">
        <f>IFERROR(100/'Skjema total MA'!C31*C31,0)</f>
        <v>32.457211007203227</v>
      </c>
      <c r="F31" s="295">
        <v>1705611.1259999999</v>
      </c>
      <c r="G31" s="295">
        <v>1723980.632</v>
      </c>
      <c r="H31" s="166">
        <f t="shared" si="6"/>
        <v>1.1000000000000001</v>
      </c>
      <c r="I31" s="415">
        <f>IFERROR(100/'Skjema total MA'!F31*G31,0)</f>
        <v>18.375746604118568</v>
      </c>
      <c r="J31" s="295">
        <f t="shared" si="11"/>
        <v>9674938.6989999991</v>
      </c>
      <c r="K31" s="295">
        <f t="shared" si="12"/>
        <v>9023871.1630000006</v>
      </c>
      <c r="L31" s="166">
        <f t="shared" si="8"/>
        <v>-6.7</v>
      </c>
      <c r="M31" s="23">
        <f>IFERROR(100/'Skjema total MA'!I31*K31,0)</f>
        <v>28.31228113914192</v>
      </c>
      <c r="N31" s="148"/>
    </row>
    <row r="32" spans="1:14" ht="15.6" x14ac:dyDescent="0.25">
      <c r="A32" s="581" t="s">
        <v>368</v>
      </c>
      <c r="B32" s="286"/>
      <c r="C32" s="286"/>
      <c r="D32" s="166"/>
      <c r="E32" s="11"/>
      <c r="F32" s="295">
        <v>1590066.662</v>
      </c>
      <c r="G32" s="295">
        <v>1964554.682</v>
      </c>
      <c r="H32" s="166">
        <f t="shared" si="6"/>
        <v>23.6</v>
      </c>
      <c r="I32" s="415">
        <f>IFERROR(100/'Skjema total MA'!F32*G32,0)</f>
        <v>34.267265223046238</v>
      </c>
      <c r="J32" s="295">
        <f t="shared" si="11"/>
        <v>1590066.662</v>
      </c>
      <c r="K32" s="295">
        <f t="shared" si="12"/>
        <v>1964554.682</v>
      </c>
      <c r="L32" s="166">
        <f t="shared" si="8"/>
        <v>23.6</v>
      </c>
      <c r="M32" s="23">
        <f>IFERROR(100/'Skjema total MA'!I32*K32,0)</f>
        <v>22.694268476943794</v>
      </c>
    </row>
    <row r="33" spans="1:14" ht="15.6" x14ac:dyDescent="0.25">
      <c r="A33" s="581" t="s">
        <v>369</v>
      </c>
      <c r="B33" s="286"/>
      <c r="C33" s="286"/>
      <c r="D33" s="166"/>
      <c r="E33" s="11"/>
      <c r="F33" s="295">
        <v>1419018.7679999999</v>
      </c>
      <c r="G33" s="295">
        <v>2138997.3689999999</v>
      </c>
      <c r="H33" s="166">
        <f t="shared" si="6"/>
        <v>50.7</v>
      </c>
      <c r="I33" s="415">
        <f>IFERROR(100/'Skjema total MA'!F33*G33,0)</f>
        <v>32.909477237293629</v>
      </c>
      <c r="J33" s="295">
        <f t="shared" si="11"/>
        <v>1419018.7679999999</v>
      </c>
      <c r="K33" s="295">
        <f t="shared" si="12"/>
        <v>2138997.3689999999</v>
      </c>
      <c r="L33" s="166">
        <f t="shared" si="8"/>
        <v>50.7</v>
      </c>
      <c r="M33" s="23">
        <f>IFERROR(100/'Skjema total MA'!I33*K33,0)</f>
        <v>32.909477237293629</v>
      </c>
    </row>
    <row r="34" spans="1:14" ht="15.6" x14ac:dyDescent="0.25">
      <c r="A34" s="13" t="s">
        <v>364</v>
      </c>
      <c r="B34" s="236">
        <v>7084.0780000000004</v>
      </c>
      <c r="C34" s="311">
        <v>8618.1450000000004</v>
      </c>
      <c r="D34" s="171">
        <f t="shared" si="5"/>
        <v>21.7</v>
      </c>
      <c r="E34" s="11">
        <f>IFERROR(100/'Skjema total MA'!C34*C34,0)</f>
        <v>77.427435467867625</v>
      </c>
      <c r="F34" s="310">
        <v>14272.023999999999</v>
      </c>
      <c r="G34" s="311">
        <v>15464.864</v>
      </c>
      <c r="H34" s="171">
        <f t="shared" si="6"/>
        <v>8.4</v>
      </c>
      <c r="I34" s="11">
        <f>IFERROR(100/'Skjema total MA'!F34*G34,0)</f>
        <v>21.520489010694281</v>
      </c>
      <c r="J34" s="236">
        <f t="shared" si="7"/>
        <v>21356.101999999999</v>
      </c>
      <c r="K34" s="236">
        <f t="shared" si="7"/>
        <v>24083.008999999998</v>
      </c>
      <c r="L34" s="426">
        <f t="shared" si="8"/>
        <v>12.8</v>
      </c>
      <c r="M34" s="24">
        <f>IFERROR(100/'Skjema total MA'!I34*K34,0)</f>
        <v>29.018565959744386</v>
      </c>
    </row>
    <row r="35" spans="1:14" ht="15.6" x14ac:dyDescent="0.25">
      <c r="A35" s="13" t="s">
        <v>365</v>
      </c>
      <c r="B35" s="236">
        <v>2443.2399999999998</v>
      </c>
      <c r="C35" s="311">
        <v>641.99599999999998</v>
      </c>
      <c r="D35" s="171">
        <f t="shared" si="5"/>
        <v>-73.7</v>
      </c>
      <c r="E35" s="11">
        <f>IFERROR(100/'Skjema total MA'!C35*C35,0)</f>
        <v>-0.86859126051908975</v>
      </c>
      <c r="F35" s="310">
        <v>23694.687000000002</v>
      </c>
      <c r="G35" s="311">
        <v>30903.554</v>
      </c>
      <c r="H35" s="171">
        <f t="shared" si="6"/>
        <v>30.4</v>
      </c>
      <c r="I35" s="11">
        <f>IFERROR(100/'Skjema total MA'!F35*G35,0)</f>
        <v>23.907621069665719</v>
      </c>
      <c r="J35" s="236">
        <f t="shared" si="7"/>
        <v>26137.927000000003</v>
      </c>
      <c r="K35" s="236">
        <f t="shared" si="7"/>
        <v>31545.55</v>
      </c>
      <c r="L35" s="426">
        <f t="shared" si="8"/>
        <v>20.7</v>
      </c>
      <c r="M35" s="24">
        <f>IFERROR(100/'Skjema total MA'!I35*K35,0)</f>
        <v>56.992833332983352</v>
      </c>
    </row>
    <row r="36" spans="1:14" ht="15.6" x14ac:dyDescent="0.25">
      <c r="A36" s="12" t="s">
        <v>282</v>
      </c>
      <c r="B36" s="236">
        <v>58.33</v>
      </c>
      <c r="C36" s="311">
        <v>64.135000000000005</v>
      </c>
      <c r="D36" s="171">
        <f t="shared" si="5"/>
        <v>10</v>
      </c>
      <c r="E36" s="11">
        <f>100/'Skjema total MA'!C36*C36</f>
        <v>2.9649097259301893</v>
      </c>
      <c r="F36" s="321"/>
      <c r="G36" s="322"/>
      <c r="H36" s="171"/>
      <c r="I36" s="432"/>
      <c r="J36" s="236">
        <f t="shared" ref="J36:J37" si="13">SUM(B36,F36)</f>
        <v>58.33</v>
      </c>
      <c r="K36" s="236">
        <f t="shared" ref="K36:K37" si="14">SUM(C36,G36)</f>
        <v>64.135000000000005</v>
      </c>
      <c r="L36" s="426"/>
      <c r="M36" s="24">
        <f>IFERROR(100/'Skjema total MA'!I36*K36,0)</f>
        <v>2.9649097259301893</v>
      </c>
    </row>
    <row r="37" spans="1:14" ht="15.6" x14ac:dyDescent="0.25">
      <c r="A37" s="12" t="s">
        <v>371</v>
      </c>
      <c r="B37" s="236">
        <v>455527.53700000001</v>
      </c>
      <c r="C37" s="311">
        <v>444384.97100000002</v>
      </c>
      <c r="D37" s="171">
        <f t="shared" si="5"/>
        <v>-2.4</v>
      </c>
      <c r="E37" s="11">
        <f>100/'Skjema total MA'!C37*C37</f>
        <v>13.271502333155707</v>
      </c>
      <c r="F37" s="321"/>
      <c r="G37" s="323"/>
      <c r="H37" s="171"/>
      <c r="I37" s="432"/>
      <c r="J37" s="236">
        <f t="shared" si="13"/>
        <v>455527.53700000001</v>
      </c>
      <c r="K37" s="236">
        <f t="shared" si="14"/>
        <v>444384.97100000002</v>
      </c>
      <c r="L37" s="426"/>
      <c r="M37" s="24">
        <f>IFERROR(100/'Skjema total MA'!I37*K37,0)</f>
        <v>13.271502333155707</v>
      </c>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819110.875</v>
      </c>
      <c r="C47" s="313">
        <v>674010.83100000001</v>
      </c>
      <c r="D47" s="425">
        <f t="shared" ref="D47:D57" si="15">IF(B47=0, "    ---- ", IF(ABS(ROUND(100/B47*C47-100,1))&lt;999,ROUND(100/B47*C47-100,1),IF(ROUND(100/B47*C47-100,1)&gt;999,999,-999)))</f>
        <v>-17.7</v>
      </c>
      <c r="E47" s="11">
        <f>IFERROR(100/'Skjema total MA'!C47*C47,0)</f>
        <v>15.075537285189773</v>
      </c>
      <c r="F47" s="145"/>
      <c r="G47" s="33"/>
      <c r="H47" s="159"/>
      <c r="I47" s="159"/>
      <c r="J47" s="37"/>
      <c r="K47" s="37"/>
      <c r="L47" s="159"/>
      <c r="M47" s="159"/>
      <c r="N47" s="148"/>
    </row>
    <row r="48" spans="1:14" s="3" customFormat="1" ht="15.6" x14ac:dyDescent="0.25">
      <c r="A48" s="38" t="s">
        <v>374</v>
      </c>
      <c r="B48" s="286">
        <v>454990.88</v>
      </c>
      <c r="C48" s="287">
        <v>232104.098</v>
      </c>
      <c r="D48" s="259">
        <f t="shared" si="15"/>
        <v>-49</v>
      </c>
      <c r="E48" s="27">
        <f>IFERROR(100/'Skjema total MA'!C48*C48,0)</f>
        <v>9.2572501120941677</v>
      </c>
      <c r="F48" s="145"/>
      <c r="G48" s="33"/>
      <c r="H48" s="145"/>
      <c r="I48" s="145"/>
      <c r="J48" s="33"/>
      <c r="K48" s="33"/>
      <c r="L48" s="159"/>
      <c r="M48" s="159"/>
      <c r="N48" s="148"/>
    </row>
    <row r="49" spans="1:14" s="3" customFormat="1" ht="15.6" x14ac:dyDescent="0.25">
      <c r="A49" s="38" t="s">
        <v>375</v>
      </c>
      <c r="B49" s="44">
        <v>364119.995</v>
      </c>
      <c r="C49" s="292">
        <v>441906.73300000001</v>
      </c>
      <c r="D49" s="259">
        <f>IF(B49=0, "    ---- ", IF(ABS(ROUND(100/B49*C49-100,1))&lt;999,ROUND(100/B49*C49-100,1),IF(ROUND(100/B49*C49-100,1)&gt;999,999,-999)))</f>
        <v>21.4</v>
      </c>
      <c r="E49" s="27">
        <f>IFERROR(100/'Skjema total MA'!C49*C49,0)</f>
        <v>22.504666866548984</v>
      </c>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v>8906.4699999999993</v>
      </c>
      <c r="C53" s="313">
        <v>19204.474999999999</v>
      </c>
      <c r="D53" s="426">
        <f t="shared" si="15"/>
        <v>115.6</v>
      </c>
      <c r="E53" s="11">
        <f>IFERROR(100/'Skjema total MA'!C53*C53,0)</f>
        <v>7.4514511301405522</v>
      </c>
      <c r="F53" s="145"/>
      <c r="G53" s="33"/>
      <c r="H53" s="145"/>
      <c r="I53" s="145"/>
      <c r="J53" s="33"/>
      <c r="K53" s="33"/>
      <c r="L53" s="159"/>
      <c r="M53" s="159"/>
      <c r="N53" s="148"/>
    </row>
    <row r="54" spans="1:14" s="3" customFormat="1" ht="15.6" x14ac:dyDescent="0.25">
      <c r="A54" s="38" t="s">
        <v>374</v>
      </c>
      <c r="B54" s="286">
        <v>8906.4699999999993</v>
      </c>
      <c r="C54" s="287">
        <v>14021.164000000001</v>
      </c>
      <c r="D54" s="259">
        <f t="shared" si="15"/>
        <v>57.4</v>
      </c>
      <c r="E54" s="27">
        <f>IFERROR(100/'Skjema total MA'!C54*C54,0)</f>
        <v>5.5727308424186877</v>
      </c>
      <c r="F54" s="145"/>
      <c r="G54" s="33"/>
      <c r="H54" s="145"/>
      <c r="I54" s="145"/>
      <c r="J54" s="33"/>
      <c r="K54" s="33"/>
      <c r="L54" s="159"/>
      <c r="M54" s="159"/>
      <c r="N54" s="148"/>
    </row>
    <row r="55" spans="1:14" s="3" customFormat="1" ht="15.6" x14ac:dyDescent="0.25">
      <c r="A55" s="38" t="s">
        <v>375</v>
      </c>
      <c r="B55" s="286">
        <v>0</v>
      </c>
      <c r="C55" s="287">
        <v>5183.3109999999997</v>
      </c>
      <c r="D55" s="259" t="str">
        <f t="shared" si="15"/>
        <v xml:space="preserve">    ---- </v>
      </c>
      <c r="E55" s="27">
        <f>IFERROR(100/'Skjema total MA'!C55*C55,0)</f>
        <v>100</v>
      </c>
      <c r="F55" s="145"/>
      <c r="G55" s="33"/>
      <c r="H55" s="145"/>
      <c r="I55" s="145"/>
      <c r="J55" s="33"/>
      <c r="K55" s="33"/>
      <c r="L55" s="159"/>
      <c r="M55" s="159"/>
      <c r="N55" s="148"/>
    </row>
    <row r="56" spans="1:14" s="3" customFormat="1" ht="15.6" x14ac:dyDescent="0.25">
      <c r="A56" s="39" t="s">
        <v>377</v>
      </c>
      <c r="B56" s="312">
        <v>1460.376</v>
      </c>
      <c r="C56" s="313">
        <v>23227.008999999998</v>
      </c>
      <c r="D56" s="426">
        <f t="shared" si="15"/>
        <v>999</v>
      </c>
      <c r="E56" s="11">
        <f>IFERROR(100/'Skjema total MA'!C56*C56,0)</f>
        <v>19.182315370554505</v>
      </c>
      <c r="F56" s="145"/>
      <c r="G56" s="33"/>
      <c r="H56" s="145"/>
      <c r="I56" s="145"/>
      <c r="J56" s="33"/>
      <c r="K56" s="33"/>
      <c r="L56" s="159"/>
      <c r="M56" s="159"/>
      <c r="N56" s="148"/>
    </row>
    <row r="57" spans="1:14" s="3" customFormat="1" ht="15.6" x14ac:dyDescent="0.25">
      <c r="A57" s="38" t="s">
        <v>374</v>
      </c>
      <c r="B57" s="286">
        <v>1460.376</v>
      </c>
      <c r="C57" s="287">
        <v>23227.008999999998</v>
      </c>
      <c r="D57" s="259">
        <f t="shared" si="15"/>
        <v>999</v>
      </c>
      <c r="E57" s="27">
        <f>IFERROR(100/'Skjema total MA'!C57*C57,0)</f>
        <v>19.18307977532573</v>
      </c>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v>2652564.5860000001</v>
      </c>
      <c r="C66" s="354">
        <v>2923280.9589999998</v>
      </c>
      <c r="D66" s="351">
        <f t="shared" ref="D66:D111" si="16">IF(B66=0, "    ---- ", IF(ABS(ROUND(100/B66*C66-100,1))&lt;999,ROUND(100/B66*C66-100,1),IF(ROUND(100/B66*C66-100,1)&gt;999,999,-999)))</f>
        <v>10.199999999999999</v>
      </c>
      <c r="E66" s="11">
        <f>IFERROR(100/'Skjema total MA'!C66*C66,0)</f>
        <v>46.598935749138541</v>
      </c>
      <c r="F66" s="353">
        <v>8175812.3589999992</v>
      </c>
      <c r="G66" s="353">
        <v>8158254.176</v>
      </c>
      <c r="H66" s="351">
        <f t="shared" ref="H66:H111" si="17">IF(F66=0, "    ---- ", IF(ABS(ROUND(100/F66*G66-100,1))&lt;999,ROUND(100/F66*G66-100,1),IF(ROUND(100/F66*G66-100,1)&gt;999,999,-999)))</f>
        <v>-0.2</v>
      </c>
      <c r="I66" s="11">
        <f>IFERROR(100/'Skjema total MA'!F66*G66,0)</f>
        <v>29.065118002949198</v>
      </c>
      <c r="J66" s="311">
        <f t="shared" ref="J66:K86" si="18">SUM(B66,F66)</f>
        <v>10828376.945</v>
      </c>
      <c r="K66" s="318">
        <f t="shared" si="18"/>
        <v>11081535.135</v>
      </c>
      <c r="L66" s="426">
        <f t="shared" ref="L66:L111" si="19">IF(J66=0, "    ---- ", IF(ABS(ROUND(100/J66*K66-100,1))&lt;999,ROUND(100/J66*K66-100,1),IF(ROUND(100/J66*K66-100,1)&gt;999,999,-999)))</f>
        <v>2.2999999999999998</v>
      </c>
      <c r="M66" s="11">
        <f>IFERROR(100/'Skjema total MA'!I66*K66,0)</f>
        <v>32.268018256477546</v>
      </c>
    </row>
    <row r="67" spans="1:14" x14ac:dyDescent="0.25">
      <c r="A67" s="417" t="s">
        <v>9</v>
      </c>
      <c r="B67" s="44">
        <v>1754334.0589999999</v>
      </c>
      <c r="C67" s="145">
        <v>1933920.81</v>
      </c>
      <c r="D67" s="166">
        <f t="shared" si="16"/>
        <v>10.199999999999999</v>
      </c>
      <c r="E67" s="27">
        <f>IFERROR(100/'Skjema total MA'!C67*C67,0)</f>
        <v>43.3592417400084</v>
      </c>
      <c r="F67" s="234"/>
      <c r="G67" s="145"/>
      <c r="H67" s="166"/>
      <c r="I67" s="27"/>
      <c r="J67" s="292">
        <f t="shared" si="18"/>
        <v>1754334.0589999999</v>
      </c>
      <c r="K67" s="44">
        <f t="shared" si="18"/>
        <v>1933920.81</v>
      </c>
      <c r="L67" s="259">
        <f t="shared" si="19"/>
        <v>10.199999999999999</v>
      </c>
      <c r="M67" s="27">
        <f>IFERROR(100/'Skjema total MA'!I67*K67,0)</f>
        <v>43.3592417400084</v>
      </c>
    </row>
    <row r="68" spans="1:14" x14ac:dyDescent="0.25">
      <c r="A68" s="21" t="s">
        <v>10</v>
      </c>
      <c r="B68" s="296"/>
      <c r="C68" s="297"/>
      <c r="D68" s="166"/>
      <c r="E68" s="27"/>
      <c r="F68" s="296">
        <v>7357437.0939999996</v>
      </c>
      <c r="G68" s="297">
        <v>7278481.5659999996</v>
      </c>
      <c r="H68" s="166">
        <f t="shared" si="17"/>
        <v>-1.1000000000000001</v>
      </c>
      <c r="I68" s="27">
        <f>IFERROR(100/'Skjema total MA'!F68*G68,0)</f>
        <v>27.005473680930461</v>
      </c>
      <c r="J68" s="292">
        <f t="shared" si="18"/>
        <v>7357437.0939999996</v>
      </c>
      <c r="K68" s="44">
        <f t="shared" si="18"/>
        <v>7278481.5659999996</v>
      </c>
      <c r="L68" s="259">
        <f t="shared" si="19"/>
        <v>-1.1000000000000001</v>
      </c>
      <c r="M68" s="27">
        <f>IFERROR(100/'Skjema total MA'!I68*K68,0)</f>
        <v>26.970480972390305</v>
      </c>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v>91479.131999999998</v>
      </c>
      <c r="C75" s="145">
        <v>145485.16899999999</v>
      </c>
      <c r="D75" s="166">
        <f t="shared" si="16"/>
        <v>59</v>
      </c>
      <c r="E75" s="27">
        <f>IFERROR(100/'Skjema total MA'!C75*C75,0)</f>
        <v>35.534446475839516</v>
      </c>
      <c r="F75" s="234">
        <v>818375.26500000001</v>
      </c>
      <c r="G75" s="145">
        <v>879772.61</v>
      </c>
      <c r="H75" s="166">
        <f t="shared" si="17"/>
        <v>7.5</v>
      </c>
      <c r="I75" s="27">
        <f>IFERROR(100/'Skjema total MA'!F75*G75,0)</f>
        <v>78.761495483041031</v>
      </c>
      <c r="J75" s="292">
        <f t="shared" si="18"/>
        <v>909854.397</v>
      </c>
      <c r="K75" s="44">
        <f t="shared" si="18"/>
        <v>1025257.779</v>
      </c>
      <c r="L75" s="259">
        <f t="shared" si="19"/>
        <v>12.7</v>
      </c>
      <c r="M75" s="27">
        <f>IFERROR(100/'Skjema total MA'!I75*K75,0)</f>
        <v>67.167096105276428</v>
      </c>
      <c r="N75" s="148"/>
    </row>
    <row r="76" spans="1:14" s="3" customFormat="1" x14ac:dyDescent="0.25">
      <c r="A76" s="21" t="s">
        <v>347</v>
      </c>
      <c r="B76" s="234">
        <v>806751.39500000002</v>
      </c>
      <c r="C76" s="145">
        <v>843874.98</v>
      </c>
      <c r="D76" s="166">
        <f t="shared" ref="D76" si="20">IF(B76=0, "    ---- ", IF(ABS(ROUND(100/B76*C76-100,1))&lt;999,ROUND(100/B76*C76-100,1),IF(ROUND(100/B76*C76-100,1)&gt;999,999,-999)))</f>
        <v>4.5999999999999996</v>
      </c>
      <c r="E76" s="27">
        <f>IFERROR(100/'Skjema total MA'!C77*C76,0)</f>
        <v>19.166736027608501</v>
      </c>
      <c r="F76" s="234"/>
      <c r="G76" s="145"/>
      <c r="H76" s="166"/>
      <c r="I76" s="27"/>
      <c r="J76" s="292">
        <f t="shared" ref="J76" si="21">SUM(B76,F76)</f>
        <v>806751.39500000002</v>
      </c>
      <c r="K76" s="44">
        <f t="shared" ref="K76" si="22">SUM(C76,G76)</f>
        <v>843874.98</v>
      </c>
      <c r="L76" s="259">
        <f t="shared" ref="L76" si="23">IF(J76=0, "    ---- ", IF(ABS(ROUND(100/J76*K76-100,1))&lt;999,ROUND(100/J76*K76-100,1),IF(ROUND(100/J76*K76-100,1)&gt;999,999,-999)))</f>
        <v>4.5999999999999996</v>
      </c>
      <c r="M76" s="27">
        <f>IFERROR(100/'Skjema total MA'!I77*K76,0)</f>
        <v>2.6922056841676612</v>
      </c>
      <c r="N76" s="148"/>
    </row>
    <row r="77" spans="1:14" ht="15.6" x14ac:dyDescent="0.25">
      <c r="A77" s="21" t="s">
        <v>380</v>
      </c>
      <c r="B77" s="234">
        <v>1650394.2660000001</v>
      </c>
      <c r="C77" s="234">
        <v>1869710.297</v>
      </c>
      <c r="D77" s="166">
        <f t="shared" si="16"/>
        <v>13.3</v>
      </c>
      <c r="E77" s="27">
        <f>IFERROR(100/'Skjema total MA'!C77*C77,0)</f>
        <v>42.466294842276866</v>
      </c>
      <c r="F77" s="234">
        <v>7357437.0939999996</v>
      </c>
      <c r="G77" s="145">
        <v>7278481.5659999996</v>
      </c>
      <c r="H77" s="166">
        <f t="shared" si="17"/>
        <v>-1.1000000000000001</v>
      </c>
      <c r="I77" s="27">
        <f>IFERROR(100/'Skjema total MA'!F77*G77,0)</f>
        <v>27.015065920897836</v>
      </c>
      <c r="J77" s="292">
        <f t="shared" si="18"/>
        <v>9007831.3599999994</v>
      </c>
      <c r="K77" s="44">
        <f t="shared" si="18"/>
        <v>9148191.8629999999</v>
      </c>
      <c r="L77" s="259">
        <f t="shared" si="19"/>
        <v>1.6</v>
      </c>
      <c r="M77" s="27">
        <f>IFERROR(100/'Skjema total MA'!I77*K77,0)</f>
        <v>29.185382571035515</v>
      </c>
    </row>
    <row r="78" spans="1:14" x14ac:dyDescent="0.25">
      <c r="A78" s="21" t="s">
        <v>9</v>
      </c>
      <c r="B78" s="234">
        <v>1650394.2660000001</v>
      </c>
      <c r="C78" s="145">
        <v>1869710.297</v>
      </c>
      <c r="D78" s="166">
        <f t="shared" si="16"/>
        <v>13.3</v>
      </c>
      <c r="E78" s="27">
        <f>IFERROR(100/'Skjema total MA'!C78*C78,0)</f>
        <v>42.789530076796289</v>
      </c>
      <c r="F78" s="234"/>
      <c r="G78" s="145"/>
      <c r="H78" s="166"/>
      <c r="I78" s="27"/>
      <c r="J78" s="292">
        <f t="shared" si="18"/>
        <v>1650394.2660000001</v>
      </c>
      <c r="K78" s="44">
        <f t="shared" si="18"/>
        <v>1869710.297</v>
      </c>
      <c r="L78" s="259">
        <f t="shared" si="19"/>
        <v>13.3</v>
      </c>
      <c r="M78" s="27">
        <f>IFERROR(100/'Skjema total MA'!I78*K78,0)</f>
        <v>42.789530076796289</v>
      </c>
    </row>
    <row r="79" spans="1:14" x14ac:dyDescent="0.25">
      <c r="A79" s="38" t="s">
        <v>421</v>
      </c>
      <c r="B79" s="296"/>
      <c r="C79" s="297"/>
      <c r="D79" s="166"/>
      <c r="E79" s="27"/>
      <c r="F79" s="296">
        <v>7357437.0939999996</v>
      </c>
      <c r="G79" s="297">
        <v>7278481.5659999996</v>
      </c>
      <c r="H79" s="166">
        <f t="shared" si="17"/>
        <v>-1.1000000000000001</v>
      </c>
      <c r="I79" s="27">
        <f>IFERROR(100/'Skjema total MA'!F79*G79,0)</f>
        <v>27.015065920897836</v>
      </c>
      <c r="J79" s="292">
        <f t="shared" si="18"/>
        <v>7357437.0939999996</v>
      </c>
      <c r="K79" s="44">
        <f t="shared" si="18"/>
        <v>7278481.5659999996</v>
      </c>
      <c r="L79" s="259">
        <f t="shared" si="19"/>
        <v>-1.1000000000000001</v>
      </c>
      <c r="M79" s="27">
        <f>IFERROR(100/'Skjema total MA'!I79*K79,0)</f>
        <v>26.981758069645331</v>
      </c>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v>103939.79300000001</v>
      </c>
      <c r="C86" s="145">
        <v>64210.512999999999</v>
      </c>
      <c r="D86" s="166">
        <f t="shared" si="16"/>
        <v>-38.200000000000003</v>
      </c>
      <c r="E86" s="27">
        <f>IFERROR(100/'Skjema total MA'!C86*C86,0)</f>
        <v>69.502864948850871</v>
      </c>
      <c r="F86" s="234"/>
      <c r="G86" s="145"/>
      <c r="H86" s="166"/>
      <c r="I86" s="27"/>
      <c r="J86" s="292">
        <f t="shared" si="18"/>
        <v>103939.79300000001</v>
      </c>
      <c r="K86" s="44">
        <f t="shared" si="18"/>
        <v>64210.512999999999</v>
      </c>
      <c r="L86" s="259">
        <f t="shared" si="19"/>
        <v>-38.200000000000003</v>
      </c>
      <c r="M86" s="27">
        <f>IFERROR(100/'Skjema total MA'!I86*K86,0)</f>
        <v>62.979131270751992</v>
      </c>
    </row>
    <row r="87" spans="1:13" ht="15.6" x14ac:dyDescent="0.25">
      <c r="A87" s="13" t="s">
        <v>363</v>
      </c>
      <c r="B87" s="354">
        <v>165466856.82699999</v>
      </c>
      <c r="C87" s="354">
        <v>169148736.111</v>
      </c>
      <c r="D87" s="171">
        <f t="shared" si="16"/>
        <v>2.2000000000000002</v>
      </c>
      <c r="E87" s="11">
        <f>IFERROR(100/'Skjema total MA'!C87*C87,0)</f>
        <v>42.140621449284822</v>
      </c>
      <c r="F87" s="353">
        <v>111505875.809</v>
      </c>
      <c r="G87" s="353">
        <v>134552197.15799999</v>
      </c>
      <c r="H87" s="171">
        <f t="shared" si="17"/>
        <v>20.7</v>
      </c>
      <c r="I87" s="11">
        <f>IFERROR(100/'Skjema total MA'!F87*G87,0)</f>
        <v>31.649172260099903</v>
      </c>
      <c r="J87" s="311">
        <f t="shared" ref="J87:K111" si="24">SUM(B87,F87)</f>
        <v>276972732.63599998</v>
      </c>
      <c r="K87" s="236">
        <f t="shared" si="24"/>
        <v>303700933.26899999</v>
      </c>
      <c r="L87" s="426">
        <f t="shared" si="19"/>
        <v>9.6999999999999993</v>
      </c>
      <c r="M87" s="11">
        <f>IFERROR(100/'Skjema total MA'!I87*K87,0)</f>
        <v>36.744192097048526</v>
      </c>
    </row>
    <row r="88" spans="1:13" x14ac:dyDescent="0.25">
      <c r="A88" s="21" t="s">
        <v>9</v>
      </c>
      <c r="B88" s="234">
        <v>159629713.93099999</v>
      </c>
      <c r="C88" s="145">
        <v>162422187.03</v>
      </c>
      <c r="D88" s="166">
        <f t="shared" si="16"/>
        <v>1.7</v>
      </c>
      <c r="E88" s="27">
        <f>IFERROR(100/'Skjema total MA'!C88*C88,0)</f>
        <v>41.832000219357546</v>
      </c>
      <c r="F88" s="234"/>
      <c r="G88" s="145"/>
      <c r="H88" s="166"/>
      <c r="I88" s="27"/>
      <c r="J88" s="292">
        <f t="shared" si="24"/>
        <v>159629713.93099999</v>
      </c>
      <c r="K88" s="44">
        <f t="shared" si="24"/>
        <v>162422187.03</v>
      </c>
      <c r="L88" s="259">
        <f t="shared" si="19"/>
        <v>1.7</v>
      </c>
      <c r="M88" s="27">
        <f>IFERROR(100/'Skjema total MA'!I88*K88,0)</f>
        <v>41.832000219357546</v>
      </c>
    </row>
    <row r="89" spans="1:13" x14ac:dyDescent="0.25">
      <c r="A89" s="21" t="s">
        <v>10</v>
      </c>
      <c r="B89" s="234">
        <v>48536.794000000002</v>
      </c>
      <c r="C89" s="145">
        <v>48388.133999999998</v>
      </c>
      <c r="D89" s="166">
        <f t="shared" si="16"/>
        <v>-0.3</v>
      </c>
      <c r="E89" s="27">
        <f>IFERROR(100/'Skjema total MA'!C89*C89,0)</f>
        <v>1.5677313685453971</v>
      </c>
      <c r="F89" s="234">
        <v>110052786.163</v>
      </c>
      <c r="G89" s="145">
        <v>131757377.891</v>
      </c>
      <c r="H89" s="166">
        <f t="shared" si="17"/>
        <v>19.7</v>
      </c>
      <c r="I89" s="27">
        <f>IFERROR(100/'Skjema total MA'!F89*G89,0)</f>
        <v>31.314327741189832</v>
      </c>
      <c r="J89" s="292">
        <f t="shared" si="24"/>
        <v>110101322.957</v>
      </c>
      <c r="K89" s="44">
        <f t="shared" si="24"/>
        <v>131805766.02500001</v>
      </c>
      <c r="L89" s="259">
        <f t="shared" si="19"/>
        <v>19.7</v>
      </c>
      <c r="M89" s="27">
        <f>IFERROR(100/'Skjema total MA'!I89*K89,0)</f>
        <v>31.097707778923173</v>
      </c>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v>381340.12900000002</v>
      </c>
      <c r="C96" s="145">
        <v>560301.52</v>
      </c>
      <c r="D96" s="166">
        <f t="shared" si="16"/>
        <v>46.9</v>
      </c>
      <c r="E96" s="27">
        <f>IFERROR(100/'Skjema total MA'!C96*C96,0)</f>
        <v>22.251268101503577</v>
      </c>
      <c r="F96" s="234">
        <v>1453089.6459999999</v>
      </c>
      <c r="G96" s="145">
        <v>2794819.267</v>
      </c>
      <c r="H96" s="166">
        <f t="shared" si="17"/>
        <v>92.3</v>
      </c>
      <c r="I96" s="27">
        <f>IFERROR(100/'Skjema total MA'!F96*G96,0)</f>
        <v>63.822372338976088</v>
      </c>
      <c r="J96" s="292">
        <f t="shared" si="24"/>
        <v>1834429.7749999999</v>
      </c>
      <c r="K96" s="44">
        <f t="shared" si="24"/>
        <v>3355120.787</v>
      </c>
      <c r="L96" s="259">
        <f t="shared" si="19"/>
        <v>82.9</v>
      </c>
      <c r="M96" s="27">
        <f>IFERROR(100/'Skjema total MA'!I96*K96,0)</f>
        <v>48.64521164743924</v>
      </c>
    </row>
    <row r="97" spans="1:13" x14ac:dyDescent="0.25">
      <c r="A97" s="21" t="s">
        <v>345</v>
      </c>
      <c r="B97" s="234">
        <v>5407265.9730000002</v>
      </c>
      <c r="C97" s="145">
        <v>6117859.4270000001</v>
      </c>
      <c r="D97" s="166">
        <f t="shared" ref="D97" si="25">IF(B97=0, "    ---- ", IF(ABS(ROUND(100/B97*C97-100,1))&lt;999,ROUND(100/B97*C97-100,1),IF(ROUND(100/B97*C97-100,1)&gt;999,999,-999)))</f>
        <v>13.1</v>
      </c>
      <c r="E97" s="27">
        <f>IFERROR(100/'Skjema total MA'!C98*C97,0)</f>
        <v>1.5812081668569327</v>
      </c>
      <c r="F97" s="234"/>
      <c r="G97" s="145"/>
      <c r="H97" s="166"/>
      <c r="I97" s="27"/>
      <c r="J97" s="292">
        <f t="shared" ref="J97" si="26">SUM(B97,F97)</f>
        <v>5407265.9730000002</v>
      </c>
      <c r="K97" s="44">
        <f t="shared" ref="K97" si="27">SUM(C97,G97)</f>
        <v>6117859.4270000001</v>
      </c>
      <c r="L97" s="259">
        <f t="shared" ref="L97" si="28">IF(J97=0, "    ---- ", IF(ABS(ROUND(100/J97*K97-100,1))&lt;999,ROUND(100/J97*K97-100,1),IF(ROUND(100/J97*K97-100,1)&gt;999,999,-999)))</f>
        <v>13.1</v>
      </c>
      <c r="M97" s="27">
        <f>IFERROR(100/'Skjema total MA'!I98*K97,0)</f>
        <v>0.75847423139349479</v>
      </c>
    </row>
    <row r="98" spans="1:13" ht="15.6" x14ac:dyDescent="0.25">
      <c r="A98" s="21" t="s">
        <v>380</v>
      </c>
      <c r="B98" s="234">
        <v>156419682.27399999</v>
      </c>
      <c r="C98" s="234">
        <v>159189175.12400001</v>
      </c>
      <c r="D98" s="166">
        <f t="shared" si="16"/>
        <v>1.8</v>
      </c>
      <c r="E98" s="27">
        <f>IFERROR(100/'Skjema total MA'!C98*C98,0)</f>
        <v>41.143675624583338</v>
      </c>
      <c r="F98" s="296">
        <v>110052786.163</v>
      </c>
      <c r="G98" s="296">
        <v>131757377.891</v>
      </c>
      <c r="H98" s="166">
        <f t="shared" si="17"/>
        <v>19.7</v>
      </c>
      <c r="I98" s="27">
        <f>IFERROR(100/'Skjema total MA'!F98*G98,0)</f>
        <v>31.39394678548134</v>
      </c>
      <c r="J98" s="292">
        <f t="shared" si="24"/>
        <v>266472468.43699998</v>
      </c>
      <c r="K98" s="44">
        <f t="shared" si="24"/>
        <v>290946553.01499999</v>
      </c>
      <c r="L98" s="259">
        <f t="shared" si="19"/>
        <v>9.1999999999999993</v>
      </c>
      <c r="M98" s="27">
        <f>IFERROR(100/'Skjema total MA'!I98*K98,0)</f>
        <v>36.070698551968995</v>
      </c>
    </row>
    <row r="99" spans="1:13" x14ac:dyDescent="0.25">
      <c r="A99" s="21" t="s">
        <v>9</v>
      </c>
      <c r="B99" s="296">
        <v>156371145.47999999</v>
      </c>
      <c r="C99" s="297">
        <v>159140786.99000001</v>
      </c>
      <c r="D99" s="166">
        <f t="shared" si="16"/>
        <v>1.8</v>
      </c>
      <c r="E99" s="27">
        <f>IFERROR(100/'Skjema total MA'!C99*C99,0)</f>
        <v>41.461924196856714</v>
      </c>
      <c r="F99" s="234"/>
      <c r="G99" s="145"/>
      <c r="H99" s="166"/>
      <c r="I99" s="27"/>
      <c r="J99" s="292">
        <f t="shared" si="24"/>
        <v>156371145.47999999</v>
      </c>
      <c r="K99" s="44">
        <f t="shared" si="24"/>
        <v>159140786.99000001</v>
      </c>
      <c r="L99" s="259">
        <f t="shared" si="19"/>
        <v>1.8</v>
      </c>
      <c r="M99" s="27">
        <f>IFERROR(100/'Skjema total MA'!I99*K99,0)</f>
        <v>41.461924196856714</v>
      </c>
    </row>
    <row r="100" spans="1:13" ht="15.6" x14ac:dyDescent="0.25">
      <c r="A100" s="38" t="s">
        <v>422</v>
      </c>
      <c r="B100" s="296">
        <v>48536.794000000002</v>
      </c>
      <c r="C100" s="297">
        <v>48388.133999999998</v>
      </c>
      <c r="D100" s="166">
        <f t="shared" si="16"/>
        <v>-0.3</v>
      </c>
      <c r="E100" s="27">
        <f>IFERROR(100/'Skjema total MA'!C100*C100,0)</f>
        <v>1.5677313685453971</v>
      </c>
      <c r="F100" s="234">
        <v>110052786.163</v>
      </c>
      <c r="G100" s="234">
        <v>131757377.891</v>
      </c>
      <c r="H100" s="166">
        <f t="shared" si="17"/>
        <v>19.7</v>
      </c>
      <c r="I100" s="27">
        <f>IFERROR(100/'Skjema total MA'!F100*G100,0)</f>
        <v>31.39394678548134</v>
      </c>
      <c r="J100" s="292">
        <f t="shared" si="24"/>
        <v>110101322.957</v>
      </c>
      <c r="K100" s="44">
        <f t="shared" si="24"/>
        <v>131805766.02500001</v>
      </c>
      <c r="L100" s="259">
        <f t="shared" si="19"/>
        <v>19.7</v>
      </c>
      <c r="M100" s="27">
        <f>IFERROR(100/'Skjema total MA'!I100*K100,0)</f>
        <v>31.176198808191707</v>
      </c>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v>3258568.4509999999</v>
      </c>
      <c r="C107" s="145">
        <v>3281400.04</v>
      </c>
      <c r="D107" s="166">
        <f t="shared" si="16"/>
        <v>0.7</v>
      </c>
      <c r="E107" s="27">
        <f>IFERROR(100/'Skjema total MA'!C107*C107,0)</f>
        <v>73.761688583718978</v>
      </c>
      <c r="F107" s="234"/>
      <c r="G107" s="145"/>
      <c r="H107" s="166"/>
      <c r="I107" s="27"/>
      <c r="J107" s="292">
        <f t="shared" si="24"/>
        <v>3258568.4509999999</v>
      </c>
      <c r="K107" s="44">
        <f t="shared" si="24"/>
        <v>3281400.04</v>
      </c>
      <c r="L107" s="259">
        <f t="shared" si="19"/>
        <v>0.7</v>
      </c>
      <c r="M107" s="27">
        <f>IFERROR(100/'Skjema total MA'!I107*K107,0)</f>
        <v>59.491501721045367</v>
      </c>
    </row>
    <row r="108" spans="1:13" ht="15.6" x14ac:dyDescent="0.25">
      <c r="A108" s="21" t="s">
        <v>382</v>
      </c>
      <c r="B108" s="234">
        <v>137350729.38999999</v>
      </c>
      <c r="C108" s="234">
        <v>141893254.428</v>
      </c>
      <c r="D108" s="166">
        <f t="shared" si="16"/>
        <v>3.3</v>
      </c>
      <c r="E108" s="27">
        <f>IFERROR(100/'Skjema total MA'!C108*C108,0)</f>
        <v>42.443671393944491</v>
      </c>
      <c r="F108" s="234">
        <v>16557006.169</v>
      </c>
      <c r="G108" s="234">
        <v>19251118.517000001</v>
      </c>
      <c r="H108" s="166">
        <f t="shared" si="17"/>
        <v>16.3</v>
      </c>
      <c r="I108" s="27">
        <f>IFERROR(100/'Skjema total MA'!F108*G108,0)</f>
        <v>94.489646919731697</v>
      </c>
      <c r="J108" s="292">
        <f t="shared" si="24"/>
        <v>153907735.55899999</v>
      </c>
      <c r="K108" s="44">
        <f t="shared" si="24"/>
        <v>161144372.94499999</v>
      </c>
      <c r="L108" s="259">
        <f t="shared" si="19"/>
        <v>4.7</v>
      </c>
      <c r="M108" s="27">
        <f>IFERROR(100/'Skjema total MA'!I108*K108,0)</f>
        <v>45.433305835829323</v>
      </c>
    </row>
    <row r="109" spans="1:13" ht="15.6" x14ac:dyDescent="0.25">
      <c r="A109" s="38" t="s">
        <v>437</v>
      </c>
      <c r="B109" s="234">
        <v>0</v>
      </c>
      <c r="C109" s="234">
        <v>343747.48499999999</v>
      </c>
      <c r="D109" s="166" t="str">
        <f t="shared" si="16"/>
        <v xml:space="preserve">    ---- </v>
      </c>
      <c r="E109" s="27">
        <f>IFERROR(100/'Skjema total MA'!C109*C109,0)</f>
        <v>21.801444581201338</v>
      </c>
      <c r="F109" s="234">
        <v>34907480.998999998</v>
      </c>
      <c r="G109" s="234">
        <v>42730353.509000003</v>
      </c>
      <c r="H109" s="166">
        <f t="shared" si="17"/>
        <v>22.4</v>
      </c>
      <c r="I109" s="27">
        <f>IFERROR(100/'Skjema total MA'!F109*G109,0)</f>
        <v>28.198184598418013</v>
      </c>
      <c r="J109" s="292">
        <f t="shared" si="24"/>
        <v>34907480.998999998</v>
      </c>
      <c r="K109" s="44">
        <f t="shared" si="24"/>
        <v>43074100.994000003</v>
      </c>
      <c r="L109" s="259">
        <f t="shared" si="19"/>
        <v>23.4</v>
      </c>
      <c r="M109" s="27">
        <f>IFERROR(100/'Skjema total MA'!I109*K109,0)</f>
        <v>28.132312398516419</v>
      </c>
    </row>
    <row r="110" spans="1:13" ht="15.6" x14ac:dyDescent="0.25">
      <c r="A110" s="21" t="s">
        <v>384</v>
      </c>
      <c r="B110" s="234">
        <v>133748.22200000001</v>
      </c>
      <c r="C110" s="234">
        <v>248822</v>
      </c>
      <c r="D110" s="166">
        <f t="shared" si="16"/>
        <v>86</v>
      </c>
      <c r="E110" s="27">
        <f>IFERROR(100/'Skjema total MA'!C110*C110,0)</f>
        <v>34.571869401899491</v>
      </c>
      <c r="F110" s="234"/>
      <c r="G110" s="234"/>
      <c r="H110" s="166"/>
      <c r="I110" s="27"/>
      <c r="J110" s="292">
        <f t="shared" si="24"/>
        <v>133748.22200000001</v>
      </c>
      <c r="K110" s="44">
        <f t="shared" si="24"/>
        <v>248822</v>
      </c>
      <c r="L110" s="259">
        <f t="shared" si="19"/>
        <v>86</v>
      </c>
      <c r="M110" s="27">
        <f>IFERROR(100/'Skjema total MA'!I110*K110,0)</f>
        <v>34.571869401899491</v>
      </c>
    </row>
    <row r="111" spans="1:13" ht="15.6" x14ac:dyDescent="0.25">
      <c r="A111" s="13" t="s">
        <v>364</v>
      </c>
      <c r="B111" s="310">
        <v>389565.114</v>
      </c>
      <c r="C111" s="159">
        <v>109377.48300000001</v>
      </c>
      <c r="D111" s="171">
        <f t="shared" si="16"/>
        <v>-71.900000000000006</v>
      </c>
      <c r="E111" s="11">
        <f>IFERROR(100/'Skjema total MA'!C111*C111,0)</f>
        <v>23.804319616021793</v>
      </c>
      <c r="F111" s="310">
        <v>4902510.7879999997</v>
      </c>
      <c r="G111" s="159">
        <v>7714924.8969999999</v>
      </c>
      <c r="H111" s="171">
        <f t="shared" si="17"/>
        <v>57.4</v>
      </c>
      <c r="I111" s="11">
        <f>IFERROR(100/'Skjema total MA'!F111*G111,0)</f>
        <v>14.554097404649035</v>
      </c>
      <c r="J111" s="311">
        <f t="shared" si="24"/>
        <v>5292075.9019999998</v>
      </c>
      <c r="K111" s="236">
        <f t="shared" si="24"/>
        <v>7824302.3799999999</v>
      </c>
      <c r="L111" s="426">
        <f t="shared" si="19"/>
        <v>47.8</v>
      </c>
      <c r="M111" s="11">
        <f>IFERROR(100/'Skjema total MA'!I111*K111,0)</f>
        <v>14.633590533420627</v>
      </c>
    </row>
    <row r="112" spans="1:13" x14ac:dyDescent="0.25">
      <c r="A112" s="21" t="s">
        <v>9</v>
      </c>
      <c r="B112" s="234">
        <v>1304.673</v>
      </c>
      <c r="C112" s="145">
        <v>7360.7049999999999</v>
      </c>
      <c r="D112" s="166">
        <f t="shared" ref="D112:D125" si="29">IF(B112=0, "    ---- ", IF(ABS(ROUND(100/B112*C112-100,1))&lt;999,ROUND(100/B112*C112-100,1),IF(ROUND(100/B112*C112-100,1)&gt;999,999,-999)))</f>
        <v>464.2</v>
      </c>
      <c r="E112" s="27">
        <f>IFERROR(100/'Skjema total MA'!C112*C112,0)</f>
        <v>2.1269868921086448</v>
      </c>
      <c r="F112" s="234">
        <v>4186.2830000000004</v>
      </c>
      <c r="G112" s="145">
        <v>11255.638000000001</v>
      </c>
      <c r="H112" s="166">
        <f t="shared" ref="H112:H125" si="30">IF(F112=0, "    ---- ", IF(ABS(ROUND(100/F112*G112-100,1))&lt;999,ROUND(100/F112*G112-100,1),IF(ROUND(100/F112*G112-100,1)&gt;999,999,-999)))</f>
        <v>168.9</v>
      </c>
      <c r="I112" s="27">
        <f>IFERROR(100/'Skjema total MA'!F112*G112,0)</f>
        <v>100</v>
      </c>
      <c r="J112" s="292">
        <f t="shared" ref="J112:K125" si="31">SUM(B112,F112)</f>
        <v>5490.9560000000001</v>
      </c>
      <c r="K112" s="44">
        <f t="shared" si="31"/>
        <v>18616.343000000001</v>
      </c>
      <c r="L112" s="259">
        <f t="shared" ref="L112:L125" si="32">IF(J112=0, "    ---- ", IF(ABS(ROUND(100/J112*K112-100,1))&lt;999,ROUND(100/J112*K112-100,1),IF(ROUND(100/J112*K112-100,1)&gt;999,999,-999)))</f>
        <v>239</v>
      </c>
      <c r="M112" s="27">
        <f>IFERROR(100/'Skjema total MA'!I112*K112,0)</f>
        <v>5.2100183572526859</v>
      </c>
    </row>
    <row r="113" spans="1:14" x14ac:dyDescent="0.25">
      <c r="A113" s="21" t="s">
        <v>10</v>
      </c>
      <c r="B113" s="234"/>
      <c r="C113" s="145"/>
      <c r="D113" s="166"/>
      <c r="E113" s="27"/>
      <c r="F113" s="234">
        <v>4829555.42</v>
      </c>
      <c r="G113" s="145">
        <v>7703669.2589999996</v>
      </c>
      <c r="H113" s="166">
        <f t="shared" si="30"/>
        <v>59.5</v>
      </c>
      <c r="I113" s="27">
        <f>IFERROR(100/'Skjema total MA'!F113*G113,0)</f>
        <v>14.53595030769991</v>
      </c>
      <c r="J113" s="292">
        <f t="shared" si="31"/>
        <v>4829555.42</v>
      </c>
      <c r="K113" s="44">
        <f t="shared" si="31"/>
        <v>7703669.2589999996</v>
      </c>
      <c r="L113" s="259">
        <f t="shared" si="32"/>
        <v>59.5</v>
      </c>
      <c r="M113" s="27">
        <f>IFERROR(100/'Skjema total MA'!I113*K113,0)</f>
        <v>14.53588746030842</v>
      </c>
    </row>
    <row r="114" spans="1:14" x14ac:dyDescent="0.25">
      <c r="A114" s="21" t="s">
        <v>26</v>
      </c>
      <c r="B114" s="234">
        <v>388260.44099999999</v>
      </c>
      <c r="C114" s="145">
        <v>102016.77800000001</v>
      </c>
      <c r="D114" s="166">
        <f t="shared" si="29"/>
        <v>-73.7</v>
      </c>
      <c r="E114" s="27">
        <f>IFERROR(100/'Skjema total MA'!C114*C114,0)</f>
        <v>90.125465951327172</v>
      </c>
      <c r="F114" s="234">
        <v>68769.085000000006</v>
      </c>
      <c r="G114" s="145">
        <v>0</v>
      </c>
      <c r="H114" s="166">
        <f t="shared" si="30"/>
        <v>-100</v>
      </c>
      <c r="I114" s="27">
        <f>IFERROR(100/'Skjema total MA'!F114*G114,0)</f>
        <v>0</v>
      </c>
      <c r="J114" s="292">
        <f t="shared" si="31"/>
        <v>457029.52600000001</v>
      </c>
      <c r="K114" s="44">
        <f t="shared" si="31"/>
        <v>102016.77800000001</v>
      </c>
      <c r="L114" s="259">
        <f t="shared" si="32"/>
        <v>-77.7</v>
      </c>
      <c r="M114" s="27">
        <f>IFERROR(100/'Skjema total MA'!I114*K114,0)</f>
        <v>90.125465951327172</v>
      </c>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v>2255.6489999999999</v>
      </c>
      <c r="C116" s="234">
        <v>502.11200000000002</v>
      </c>
      <c r="D116" s="166">
        <f t="shared" si="29"/>
        <v>-77.7</v>
      </c>
      <c r="E116" s="27">
        <f>IFERROR(100/'Skjema total MA'!C116*C116,0)</f>
        <v>0.68045424937987642</v>
      </c>
      <c r="F116" s="234">
        <v>4186.2830000000004</v>
      </c>
      <c r="G116" s="234">
        <v>11255.638000000001</v>
      </c>
      <c r="H116" s="166">
        <f t="shared" si="30"/>
        <v>168.9</v>
      </c>
      <c r="I116" s="27">
        <f>IFERROR(100/'Skjema total MA'!F116*G116,0)</f>
        <v>100</v>
      </c>
      <c r="J116" s="292">
        <f t="shared" si="31"/>
        <v>6441.9320000000007</v>
      </c>
      <c r="K116" s="44">
        <f t="shared" si="31"/>
        <v>11757.75</v>
      </c>
      <c r="L116" s="259">
        <f t="shared" si="32"/>
        <v>82.5</v>
      </c>
      <c r="M116" s="27">
        <f>IFERROR(100/'Skjema total MA'!I116*K116,0)</f>
        <v>13.825109155523061</v>
      </c>
    </row>
    <row r="117" spans="1:14" ht="15.6" x14ac:dyDescent="0.25">
      <c r="A117" s="21" t="s">
        <v>386</v>
      </c>
      <c r="B117" s="234"/>
      <c r="C117" s="234"/>
      <c r="D117" s="166"/>
      <c r="E117" s="27"/>
      <c r="F117" s="234">
        <v>587807.42299999995</v>
      </c>
      <c r="G117" s="234">
        <v>240648.315</v>
      </c>
      <c r="H117" s="166">
        <f t="shared" si="30"/>
        <v>-59.1</v>
      </c>
      <c r="I117" s="27">
        <f>IFERROR(100/'Skjema total MA'!F117*G117,0)</f>
        <v>3.1927672585293334</v>
      </c>
      <c r="J117" s="292">
        <f t="shared" si="31"/>
        <v>587807.42299999995</v>
      </c>
      <c r="K117" s="44">
        <f t="shared" si="31"/>
        <v>240648.315</v>
      </c>
      <c r="L117" s="259">
        <f t="shared" si="32"/>
        <v>-59.1</v>
      </c>
      <c r="M117" s="27">
        <f>IFERROR(100/'Skjema total MA'!I117*K117,0)</f>
        <v>3.1927672585293334</v>
      </c>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v>189926.68899999998</v>
      </c>
      <c r="C119" s="159">
        <v>269748.91000000003</v>
      </c>
      <c r="D119" s="171">
        <f t="shared" si="29"/>
        <v>42</v>
      </c>
      <c r="E119" s="11">
        <f>IFERROR(100/'Skjema total MA'!C119*C119,0)</f>
        <v>59.412499372328909</v>
      </c>
      <c r="F119" s="310">
        <v>3986709.733</v>
      </c>
      <c r="G119" s="159">
        <v>14502016.188999999</v>
      </c>
      <c r="H119" s="171">
        <f t="shared" si="30"/>
        <v>263.8</v>
      </c>
      <c r="I119" s="11">
        <f>IFERROR(100/'Skjema total MA'!F119*G119,0)</f>
        <v>23.84343892721715</v>
      </c>
      <c r="J119" s="311">
        <f t="shared" si="31"/>
        <v>4176636.4219999998</v>
      </c>
      <c r="K119" s="236">
        <f t="shared" si="31"/>
        <v>14771765.098999999</v>
      </c>
      <c r="L119" s="426">
        <f t="shared" si="32"/>
        <v>253.7</v>
      </c>
      <c r="M119" s="11">
        <f>IFERROR(100/'Skjema total MA'!I119*K119,0)</f>
        <v>24.106990046466212</v>
      </c>
    </row>
    <row r="120" spans="1:14" x14ac:dyDescent="0.25">
      <c r="A120" s="21" t="s">
        <v>9</v>
      </c>
      <c r="B120" s="234">
        <v>30846.05</v>
      </c>
      <c r="C120" s="145">
        <v>156743.185</v>
      </c>
      <c r="D120" s="166">
        <f t="shared" si="29"/>
        <v>408.1</v>
      </c>
      <c r="E120" s="27">
        <f>IFERROR(100/'Skjema total MA'!C120*C120,0)</f>
        <v>49.384627104293834</v>
      </c>
      <c r="F120" s="234"/>
      <c r="G120" s="145"/>
      <c r="H120" s="166"/>
      <c r="I120" s="27"/>
      <c r="J120" s="292">
        <f t="shared" si="31"/>
        <v>30846.05</v>
      </c>
      <c r="K120" s="44">
        <f t="shared" si="31"/>
        <v>156743.185</v>
      </c>
      <c r="L120" s="259">
        <f t="shared" si="32"/>
        <v>408.1</v>
      </c>
      <c r="M120" s="27">
        <f>IFERROR(100/'Skjema total MA'!I120*K120,0)</f>
        <v>49.384627104293834</v>
      </c>
    </row>
    <row r="121" spans="1:14" x14ac:dyDescent="0.25">
      <c r="A121" s="21" t="s">
        <v>10</v>
      </c>
      <c r="B121" s="234"/>
      <c r="C121" s="145"/>
      <c r="D121" s="166"/>
      <c r="E121" s="27"/>
      <c r="F121" s="234">
        <v>3986709.733</v>
      </c>
      <c r="G121" s="145">
        <v>14502016.188999999</v>
      </c>
      <c r="H121" s="166">
        <f t="shared" si="30"/>
        <v>263.8</v>
      </c>
      <c r="I121" s="27">
        <f>IFERROR(100/'Skjema total MA'!F121*G121,0)</f>
        <v>23.84343892721715</v>
      </c>
      <c r="J121" s="292">
        <f t="shared" si="31"/>
        <v>3986709.733</v>
      </c>
      <c r="K121" s="44">
        <f t="shared" si="31"/>
        <v>14502016.188999999</v>
      </c>
      <c r="L121" s="259">
        <f t="shared" si="32"/>
        <v>263.8</v>
      </c>
      <c r="M121" s="27">
        <f>IFERROR(100/'Skjema total MA'!I121*K121,0)</f>
        <v>23.839421424938845</v>
      </c>
    </row>
    <row r="122" spans="1:14" x14ac:dyDescent="0.25">
      <c r="A122" s="21" t="s">
        <v>26</v>
      </c>
      <c r="B122" s="234">
        <v>159080.639</v>
      </c>
      <c r="C122" s="145">
        <v>113005.72500000001</v>
      </c>
      <c r="D122" s="166">
        <f t="shared" si="29"/>
        <v>-29</v>
      </c>
      <c r="E122" s="27">
        <f>IFERROR(100/'Skjema total MA'!C122*C122,0)</f>
        <v>89.414135430106043</v>
      </c>
      <c r="F122" s="234"/>
      <c r="G122" s="145"/>
      <c r="H122" s="166"/>
      <c r="I122" s="27"/>
      <c r="J122" s="292">
        <f t="shared" si="31"/>
        <v>159080.639</v>
      </c>
      <c r="K122" s="44">
        <f t="shared" si="31"/>
        <v>113005.72500000001</v>
      </c>
      <c r="L122" s="259">
        <f t="shared" si="32"/>
        <v>-29</v>
      </c>
      <c r="M122" s="27">
        <f>IFERROR(100/'Skjema total MA'!I122*K122,0)</f>
        <v>89.414135430106043</v>
      </c>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v>3739.2460000000001</v>
      </c>
      <c r="C124" s="234">
        <v>6083.65</v>
      </c>
      <c r="D124" s="166">
        <f t="shared" si="29"/>
        <v>62.7</v>
      </c>
      <c r="E124" s="27">
        <f>IFERROR(100/'Skjema total MA'!C124*C124,0)</f>
        <v>23.915572386350075</v>
      </c>
      <c r="F124" s="234">
        <v>18657.546999999999</v>
      </c>
      <c r="G124" s="234">
        <v>42123.902000000002</v>
      </c>
      <c r="H124" s="166">
        <f t="shared" si="30"/>
        <v>125.8</v>
      </c>
      <c r="I124" s="27">
        <f>IFERROR(100/'Skjema total MA'!F124*G124,0)</f>
        <v>100</v>
      </c>
      <c r="J124" s="292">
        <f t="shared" si="31"/>
        <v>22396.792999999998</v>
      </c>
      <c r="K124" s="44">
        <f t="shared" si="31"/>
        <v>48207.552000000003</v>
      </c>
      <c r="L124" s="259">
        <f t="shared" si="32"/>
        <v>115.2</v>
      </c>
      <c r="M124" s="27">
        <f>IFERROR(100/'Skjema total MA'!I124*K124,0)</f>
        <v>71.353130379786379</v>
      </c>
    </row>
    <row r="125" spans="1:14" ht="15.6" x14ac:dyDescent="0.25">
      <c r="A125" s="21" t="s">
        <v>383</v>
      </c>
      <c r="B125" s="234">
        <v>155.43100000000001</v>
      </c>
      <c r="C125" s="234">
        <v>310.97500000000002</v>
      </c>
      <c r="D125" s="166">
        <f t="shared" si="29"/>
        <v>100.1</v>
      </c>
      <c r="E125" s="27">
        <f>IFERROR(100/'Skjema total MA'!C125*C125,0)</f>
        <v>14.019032497282671</v>
      </c>
      <c r="F125" s="234">
        <v>634306.65300000005</v>
      </c>
      <c r="G125" s="234">
        <v>10855478.534</v>
      </c>
      <c r="H125" s="166">
        <f t="shared" si="30"/>
        <v>999</v>
      </c>
      <c r="I125" s="27">
        <f>IFERROR(100/'Skjema total MA'!F125*G125,0)</f>
        <v>45.986135814192153</v>
      </c>
      <c r="J125" s="292">
        <f t="shared" si="31"/>
        <v>634462.08400000003</v>
      </c>
      <c r="K125" s="44">
        <f t="shared" si="31"/>
        <v>10855789.509</v>
      </c>
      <c r="L125" s="259">
        <f t="shared" si="32"/>
        <v>999</v>
      </c>
      <c r="M125" s="27">
        <f>IFERROR(100/'Skjema total MA'!I125*K125,0)</f>
        <v>45.983132174359703</v>
      </c>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v>218584.15599999999</v>
      </c>
      <c r="C134" s="311">
        <v>667520.35499999998</v>
      </c>
      <c r="D134" s="351">
        <f t="shared" ref="D134:D136" si="33">IF(B134=0, "    ---- ", IF(ABS(ROUND(100/B134*C134-100,1))&lt;999,ROUND(100/B134*C134-100,1),IF(ROUND(100/B134*C134-100,1)&gt;999,999,-999)))</f>
        <v>205.4</v>
      </c>
      <c r="E134" s="11">
        <f>IFERROR(100/'Skjema total MA'!C134*C134,0)</f>
        <v>1.3982048753860565</v>
      </c>
      <c r="F134" s="318"/>
      <c r="G134" s="319"/>
      <c r="H134" s="429"/>
      <c r="I134" s="24"/>
      <c r="J134" s="320">
        <f t="shared" ref="J134:K136" si="34">SUM(B134,F134)</f>
        <v>218584.15599999999</v>
      </c>
      <c r="K134" s="320">
        <f t="shared" si="34"/>
        <v>667520.35499999998</v>
      </c>
      <c r="L134" s="425">
        <f t="shared" ref="L134:L136" si="35">IF(J134=0, "    ---- ", IF(ABS(ROUND(100/J134*K134-100,1))&lt;999,ROUND(100/J134*K134-100,1),IF(ROUND(100/J134*K134-100,1)&gt;999,999,-999)))</f>
        <v>205.4</v>
      </c>
      <c r="M134" s="11">
        <f>IFERROR(100/'Skjema total MA'!I134*K134,0)</f>
        <v>1.3948078428761477</v>
      </c>
      <c r="N134" s="148"/>
    </row>
    <row r="135" spans="1:14" s="3" customFormat="1" ht="15.6" x14ac:dyDescent="0.25">
      <c r="A135" s="13" t="s">
        <v>392</v>
      </c>
      <c r="B135" s="236">
        <v>2922500.9730000002</v>
      </c>
      <c r="C135" s="311">
        <v>11070423.164999999</v>
      </c>
      <c r="D135" s="171">
        <f t="shared" si="33"/>
        <v>278.8</v>
      </c>
      <c r="E135" s="11">
        <f>IFERROR(100/'Skjema total MA'!C135*C135,0)</f>
        <v>1.6645466069845403</v>
      </c>
      <c r="F135" s="236"/>
      <c r="G135" s="311"/>
      <c r="H135" s="430"/>
      <c r="I135" s="24"/>
      <c r="J135" s="310">
        <f t="shared" si="34"/>
        <v>2922500.9730000002</v>
      </c>
      <c r="K135" s="310">
        <f t="shared" si="34"/>
        <v>11070423.164999999</v>
      </c>
      <c r="L135" s="426">
        <f t="shared" si="35"/>
        <v>278.8</v>
      </c>
      <c r="M135" s="11">
        <f>IFERROR(100/'Skjema total MA'!I135*K135,0)</f>
        <v>1.65912591669371</v>
      </c>
      <c r="N135" s="148"/>
    </row>
    <row r="136" spans="1:14" s="3" customFormat="1" ht="15.6" x14ac:dyDescent="0.25">
      <c r="A136" s="13" t="s">
        <v>389</v>
      </c>
      <c r="B136" s="236">
        <v>0</v>
      </c>
      <c r="C136" s="311">
        <v>6400360.4139999999</v>
      </c>
      <c r="D136" s="171" t="str">
        <f t="shared" si="33"/>
        <v xml:space="preserve">    ---- </v>
      </c>
      <c r="E136" s="11">
        <f>IFERROR(100/'Skjema total MA'!C136*C136,0)</f>
        <v>99.999999999999986</v>
      </c>
      <c r="F136" s="236"/>
      <c r="G136" s="311"/>
      <c r="H136" s="430"/>
      <c r="I136" s="24"/>
      <c r="J136" s="310">
        <f t="shared" si="34"/>
        <v>0</v>
      </c>
      <c r="K136" s="310">
        <f t="shared" si="34"/>
        <v>6400360.4139999999</v>
      </c>
      <c r="L136" s="426" t="str">
        <f t="shared" si="35"/>
        <v xml:space="preserve">    ---- </v>
      </c>
      <c r="M136" s="11">
        <f>IFERROR(100/'Skjema total MA'!I136*K136,0)</f>
        <v>99.999999999999986</v>
      </c>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301" priority="76">
      <formula>kvartal &lt; 4</formula>
    </cfRule>
  </conditionalFormatting>
  <conditionalFormatting sqref="C115">
    <cfRule type="expression" dxfId="300" priority="75">
      <formula>kvartal &lt; 4</formula>
    </cfRule>
  </conditionalFormatting>
  <conditionalFormatting sqref="B123">
    <cfRule type="expression" dxfId="299" priority="74">
      <formula>kvartal &lt; 4</formula>
    </cfRule>
  </conditionalFormatting>
  <conditionalFormatting sqref="C123">
    <cfRule type="expression" dxfId="298" priority="73">
      <formula>kvartal &lt; 4</formula>
    </cfRule>
  </conditionalFormatting>
  <conditionalFormatting sqref="F115">
    <cfRule type="expression" dxfId="297" priority="58">
      <formula>kvartal &lt; 4</formula>
    </cfRule>
  </conditionalFormatting>
  <conditionalFormatting sqref="G115">
    <cfRule type="expression" dxfId="296" priority="57">
      <formula>kvartal &lt; 4</formula>
    </cfRule>
  </conditionalFormatting>
  <conditionalFormatting sqref="F123:G123">
    <cfRule type="expression" dxfId="295" priority="56">
      <formula>kvartal &lt; 4</formula>
    </cfRule>
  </conditionalFormatting>
  <conditionalFormatting sqref="J115:K115">
    <cfRule type="expression" dxfId="294" priority="32">
      <formula>kvartal &lt; 4</formula>
    </cfRule>
  </conditionalFormatting>
  <conditionalFormatting sqref="J123:K123">
    <cfRule type="expression" dxfId="293" priority="31">
      <formula>kvartal &lt; 4</formula>
    </cfRule>
  </conditionalFormatting>
  <conditionalFormatting sqref="A50:A52">
    <cfRule type="expression" dxfId="292" priority="12">
      <formula>kvartal &lt; 4</formula>
    </cfRule>
  </conditionalFormatting>
  <conditionalFormatting sqref="A69:A74">
    <cfRule type="expression" dxfId="291" priority="10">
      <formula>kvartal &lt; 4</formula>
    </cfRule>
  </conditionalFormatting>
  <conditionalFormatting sqref="A80:A85">
    <cfRule type="expression" dxfId="290" priority="9">
      <formula>kvartal &lt; 4</formula>
    </cfRule>
  </conditionalFormatting>
  <conditionalFormatting sqref="A90:A95">
    <cfRule type="expression" dxfId="289" priority="6">
      <formula>kvartal &lt; 4</formula>
    </cfRule>
  </conditionalFormatting>
  <conditionalFormatting sqref="A101:A106">
    <cfRule type="expression" dxfId="288" priority="5">
      <formula>kvartal &lt; 4</formula>
    </cfRule>
  </conditionalFormatting>
  <conditionalFormatting sqref="A115">
    <cfRule type="expression" dxfId="287" priority="4">
      <formula>kvartal &lt; 4</formula>
    </cfRule>
  </conditionalFormatting>
  <conditionalFormatting sqref="A123">
    <cfRule type="expression" dxfId="286" priority="3">
      <formula>kvartal &lt; 4</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Normal="10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131</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c r="C7" s="309"/>
      <c r="D7" s="351"/>
      <c r="E7" s="11"/>
      <c r="F7" s="308"/>
      <c r="G7" s="309"/>
      <c r="H7" s="351"/>
      <c r="I7" s="160"/>
      <c r="J7" s="310"/>
      <c r="K7" s="311"/>
      <c r="L7" s="425"/>
      <c r="M7" s="11"/>
    </row>
    <row r="8" spans="1:14" ht="15.6" x14ac:dyDescent="0.25">
      <c r="A8" s="21" t="s">
        <v>25</v>
      </c>
      <c r="B8" s="286"/>
      <c r="C8" s="287"/>
      <c r="D8" s="166"/>
      <c r="E8" s="27"/>
      <c r="F8" s="290"/>
      <c r="G8" s="291"/>
      <c r="H8" s="166"/>
      <c r="I8" s="176"/>
      <c r="J8" s="234"/>
      <c r="K8" s="292"/>
      <c r="L8" s="426"/>
      <c r="M8" s="27"/>
    </row>
    <row r="9" spans="1:14" ht="15.6" x14ac:dyDescent="0.25">
      <c r="A9" s="21" t="s">
        <v>24</v>
      </c>
      <c r="B9" s="286"/>
      <c r="C9" s="287"/>
      <c r="D9" s="166"/>
      <c r="E9" s="27"/>
      <c r="F9" s="290"/>
      <c r="G9" s="291"/>
      <c r="H9" s="166"/>
      <c r="I9" s="176"/>
      <c r="J9" s="234"/>
      <c r="K9" s="292"/>
      <c r="L9" s="426"/>
      <c r="M9" s="27"/>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1"/>
      <c r="J22" s="318"/>
      <c r="K22" s="318"/>
      <c r="L22" s="425"/>
      <c r="M22" s="24"/>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c r="C28" s="292"/>
      <c r="D28" s="166"/>
      <c r="E28" s="11"/>
      <c r="F28" s="321"/>
      <c r="G28" s="321"/>
      <c r="H28" s="166"/>
      <c r="I28" s="27"/>
      <c r="J28" s="44"/>
      <c r="K28" s="44"/>
      <c r="L28" s="259"/>
      <c r="M28" s="23"/>
    </row>
    <row r="29" spans="1:14" s="3" customFormat="1" ht="15.6" x14ac:dyDescent="0.25">
      <c r="A29" s="13" t="s">
        <v>363</v>
      </c>
      <c r="B29" s="236"/>
      <c r="C29" s="236"/>
      <c r="D29" s="171"/>
      <c r="E29" s="11"/>
      <c r="F29" s="310"/>
      <c r="G29" s="310"/>
      <c r="H29" s="171"/>
      <c r="I29" s="11"/>
      <c r="J29" s="236"/>
      <c r="K29" s="236"/>
      <c r="L29" s="426"/>
      <c r="M29" s="24"/>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171"/>
      <c r="E38" s="24"/>
      <c r="F38" s="321"/>
      <c r="G38" s="322"/>
      <c r="H38" s="171"/>
      <c r="I38" s="432"/>
      <c r="J38" s="236"/>
      <c r="K38" s="236"/>
      <c r="L38" s="426"/>
      <c r="M38" s="24"/>
    </row>
    <row r="39" spans="1:14" ht="15.6" x14ac:dyDescent="0.25">
      <c r="A39" s="18" t="s">
        <v>373</v>
      </c>
      <c r="B39" s="281"/>
      <c r="C39" s="317"/>
      <c r="D39" s="169"/>
      <c r="E39" s="36"/>
      <c r="F39" s="324"/>
      <c r="G39" s="325"/>
      <c r="H39" s="169"/>
      <c r="I39" s="36"/>
      <c r="J39" s="236"/>
      <c r="K39" s="236"/>
      <c r="L39" s="427"/>
      <c r="M39" s="36"/>
    </row>
    <row r="40" spans="1:14" ht="15.6" x14ac:dyDescent="0.3">
      <c r="A40" s="47"/>
      <c r="B40" s="258"/>
      <c r="C40" s="258"/>
      <c r="D40" s="727"/>
      <c r="E40" s="727"/>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c r="C47" s="313">
        <v>1014</v>
      </c>
      <c r="D47" s="425" t="str">
        <f t="shared" ref="D47:D48" si="0">IF(B47=0, "    ---- ", IF(ABS(ROUND(100/B47*C47-100,1))&lt;999,ROUND(100/B47*C47-100,1),IF(ROUND(100/B47*C47-100,1)&gt;999,999,-999)))</f>
        <v xml:space="preserve">    ---- </v>
      </c>
      <c r="E47" s="11">
        <f>IFERROR(100/'Skjema total MA'!C47*C47,0)</f>
        <v>2.2680043263551695E-2</v>
      </c>
      <c r="F47" s="145"/>
      <c r="G47" s="33"/>
      <c r="H47" s="159"/>
      <c r="I47" s="159"/>
      <c r="J47" s="37"/>
      <c r="K47" s="37"/>
      <c r="L47" s="159"/>
      <c r="M47" s="159"/>
      <c r="N47" s="148"/>
    </row>
    <row r="48" spans="1:14" s="3" customFormat="1" ht="15.6" x14ac:dyDescent="0.25">
      <c r="A48" s="38" t="s">
        <v>374</v>
      </c>
      <c r="B48" s="286"/>
      <c r="C48" s="287">
        <v>1014</v>
      </c>
      <c r="D48" s="259" t="str">
        <f t="shared" si="0"/>
        <v xml:space="preserve">    ---- </v>
      </c>
      <c r="E48" s="27">
        <f>IFERROR(100/'Skjema total MA'!C48*C48,0)</f>
        <v>4.0442420855763973E-2</v>
      </c>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285" priority="76">
      <formula>kvartal &lt; 4</formula>
    </cfRule>
  </conditionalFormatting>
  <conditionalFormatting sqref="C115">
    <cfRule type="expression" dxfId="284" priority="75">
      <formula>kvartal &lt; 4</formula>
    </cfRule>
  </conditionalFormatting>
  <conditionalFormatting sqref="B123">
    <cfRule type="expression" dxfId="283" priority="74">
      <formula>kvartal &lt; 4</formula>
    </cfRule>
  </conditionalFormatting>
  <conditionalFormatting sqref="C123">
    <cfRule type="expression" dxfId="282" priority="73">
      <formula>kvartal &lt; 4</formula>
    </cfRule>
  </conditionalFormatting>
  <conditionalFormatting sqref="F115">
    <cfRule type="expression" dxfId="281" priority="58">
      <formula>kvartal &lt; 4</formula>
    </cfRule>
  </conditionalFormatting>
  <conditionalFormatting sqref="G115">
    <cfRule type="expression" dxfId="280" priority="57">
      <formula>kvartal &lt; 4</formula>
    </cfRule>
  </conditionalFormatting>
  <conditionalFormatting sqref="F123:G123">
    <cfRule type="expression" dxfId="279" priority="56">
      <formula>kvartal &lt; 4</formula>
    </cfRule>
  </conditionalFormatting>
  <conditionalFormatting sqref="J115:K115">
    <cfRule type="expression" dxfId="278" priority="32">
      <formula>kvartal &lt; 4</formula>
    </cfRule>
  </conditionalFormatting>
  <conditionalFormatting sqref="J123:K123">
    <cfRule type="expression" dxfId="277" priority="31">
      <formula>kvartal &lt; 4</formula>
    </cfRule>
  </conditionalFormatting>
  <conditionalFormatting sqref="A50:A52">
    <cfRule type="expression" dxfId="276" priority="12">
      <formula>kvartal &lt; 4</formula>
    </cfRule>
  </conditionalFormatting>
  <conditionalFormatting sqref="A69:A74">
    <cfRule type="expression" dxfId="275" priority="10">
      <formula>kvartal &lt; 4</formula>
    </cfRule>
  </conditionalFormatting>
  <conditionalFormatting sqref="A80:A85">
    <cfRule type="expression" dxfId="274" priority="9">
      <formula>kvartal &lt; 4</formula>
    </cfRule>
  </conditionalFormatting>
  <conditionalFormatting sqref="A90:A95">
    <cfRule type="expression" dxfId="273" priority="6">
      <formula>kvartal &lt; 4</formula>
    </cfRule>
  </conditionalFormatting>
  <conditionalFormatting sqref="A101:A106">
    <cfRule type="expression" dxfId="272" priority="5">
      <formula>kvartal &lt; 4</formula>
    </cfRule>
  </conditionalFormatting>
  <conditionalFormatting sqref="A115">
    <cfRule type="expression" dxfId="271" priority="4">
      <formula>kvartal &lt; 4</formula>
    </cfRule>
  </conditionalFormatting>
  <conditionalFormatting sqref="A123">
    <cfRule type="expression" dxfId="270" priority="3">
      <formula>kvartal &lt; 4</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Normal="100" workbookViewId="0"/>
  </sheetViews>
  <sheetFormatPr baseColWidth="10" defaultColWidth="11.44140625" defaultRowHeight="13.2" x14ac:dyDescent="0.25"/>
  <cols>
    <col min="1" max="1" width="43"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98</v>
      </c>
      <c r="D1" s="26"/>
      <c r="E1" s="26"/>
      <c r="F1" s="26"/>
      <c r="G1" s="26"/>
      <c r="H1" s="26"/>
      <c r="I1" s="26"/>
      <c r="J1" s="26"/>
      <c r="K1" s="26"/>
      <c r="L1" s="26"/>
      <c r="M1" s="26"/>
    </row>
    <row r="2" spans="1:14" ht="15.6" x14ac:dyDescent="0.3">
      <c r="A2" s="165" t="s">
        <v>28</v>
      </c>
      <c r="B2" s="723"/>
      <c r="C2" s="723"/>
      <c r="D2" s="723"/>
      <c r="E2" s="301"/>
      <c r="F2" s="723"/>
      <c r="G2" s="723"/>
      <c r="H2" s="723"/>
      <c r="I2" s="301"/>
      <c r="J2" s="723"/>
      <c r="K2" s="723"/>
      <c r="L2" s="723"/>
      <c r="M2" s="301"/>
    </row>
    <row r="3" spans="1:14" ht="15.6" x14ac:dyDescent="0.3">
      <c r="A3" s="163"/>
      <c r="B3" s="301"/>
      <c r="C3" s="301"/>
      <c r="D3" s="301"/>
      <c r="E3" s="301"/>
      <c r="F3" s="301"/>
      <c r="G3" s="301"/>
      <c r="H3" s="301"/>
      <c r="I3" s="301"/>
      <c r="J3" s="301"/>
      <c r="K3" s="301"/>
      <c r="L3" s="301"/>
      <c r="M3" s="301"/>
    </row>
    <row r="4" spans="1:14" x14ac:dyDescent="0.25">
      <c r="A4" s="144"/>
      <c r="B4" s="724" t="s">
        <v>0</v>
      </c>
      <c r="C4" s="725"/>
      <c r="D4" s="725"/>
      <c r="E4" s="303"/>
      <c r="F4" s="724" t="s">
        <v>1</v>
      </c>
      <c r="G4" s="725"/>
      <c r="H4" s="725"/>
      <c r="I4" s="306"/>
      <c r="J4" s="724" t="s">
        <v>2</v>
      </c>
      <c r="K4" s="725"/>
      <c r="L4" s="725"/>
      <c r="M4" s="3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c r="C7" s="309"/>
      <c r="D7" s="351"/>
      <c r="E7" s="11"/>
      <c r="F7" s="308"/>
      <c r="G7" s="309"/>
      <c r="H7" s="351"/>
      <c r="I7" s="160"/>
      <c r="J7" s="310"/>
      <c r="K7" s="311"/>
      <c r="L7" s="425"/>
      <c r="M7" s="11"/>
    </row>
    <row r="8" spans="1:14" ht="15.6" x14ac:dyDescent="0.25">
      <c r="A8" s="21" t="s">
        <v>25</v>
      </c>
      <c r="B8" s="286"/>
      <c r="C8" s="287"/>
      <c r="D8" s="166"/>
      <c r="E8" s="27"/>
      <c r="F8" s="290"/>
      <c r="G8" s="291"/>
      <c r="H8" s="166"/>
      <c r="I8" s="176"/>
      <c r="J8" s="234"/>
      <c r="K8" s="292"/>
      <c r="L8" s="259"/>
      <c r="M8" s="27"/>
    </row>
    <row r="9" spans="1:14" ht="15.6" x14ac:dyDescent="0.25">
      <c r="A9" s="21" t="s">
        <v>24</v>
      </c>
      <c r="B9" s="286"/>
      <c r="C9" s="287"/>
      <c r="D9" s="166"/>
      <c r="E9" s="27"/>
      <c r="F9" s="290"/>
      <c r="G9" s="291"/>
      <c r="H9" s="166"/>
      <c r="I9" s="176"/>
      <c r="J9" s="234"/>
      <c r="K9" s="292"/>
      <c r="L9" s="259"/>
      <c r="M9" s="27"/>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301"/>
      <c r="F18" s="726"/>
      <c r="G18" s="726"/>
      <c r="H18" s="726"/>
      <c r="I18" s="301"/>
      <c r="J18" s="726"/>
      <c r="K18" s="726"/>
      <c r="L18" s="726"/>
      <c r="M18" s="301"/>
    </row>
    <row r="19" spans="1:14" x14ac:dyDescent="0.25">
      <c r="A19" s="144"/>
      <c r="B19" s="724" t="s">
        <v>0</v>
      </c>
      <c r="C19" s="725"/>
      <c r="D19" s="725"/>
      <c r="E19" s="303"/>
      <c r="F19" s="724" t="s">
        <v>1</v>
      </c>
      <c r="G19" s="725"/>
      <c r="H19" s="725"/>
      <c r="I19" s="306"/>
      <c r="J19" s="724" t="s">
        <v>2</v>
      </c>
      <c r="K19" s="725"/>
      <c r="L19" s="725"/>
      <c r="M19" s="3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1"/>
      <c r="J22" s="318"/>
      <c r="K22" s="318"/>
      <c r="L22" s="425"/>
      <c r="M22" s="24"/>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c r="C28" s="292"/>
      <c r="D28" s="166"/>
      <c r="E28" s="11"/>
      <c r="F28" s="321"/>
      <c r="G28" s="321"/>
      <c r="H28" s="166"/>
      <c r="I28" s="27"/>
      <c r="J28" s="44"/>
      <c r="K28" s="44"/>
      <c r="L28" s="259"/>
      <c r="M28" s="23"/>
    </row>
    <row r="29" spans="1:14" s="3" customFormat="1" ht="15.6" x14ac:dyDescent="0.25">
      <c r="A29" s="13" t="s">
        <v>363</v>
      </c>
      <c r="B29" s="236"/>
      <c r="C29" s="236"/>
      <c r="D29" s="171"/>
      <c r="E29" s="11"/>
      <c r="F29" s="310"/>
      <c r="G29" s="310"/>
      <c r="H29" s="171"/>
      <c r="I29" s="11"/>
      <c r="J29" s="236"/>
      <c r="K29" s="236"/>
      <c r="L29" s="426"/>
      <c r="M29" s="24"/>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430"/>
      <c r="E38" s="24"/>
      <c r="F38" s="321"/>
      <c r="G38" s="322"/>
      <c r="H38" s="171"/>
      <c r="I38" s="432"/>
      <c r="J38" s="236"/>
      <c r="K38" s="236"/>
      <c r="L38" s="426"/>
      <c r="M38" s="24"/>
    </row>
    <row r="39" spans="1:14" ht="15.6" x14ac:dyDescent="0.25">
      <c r="A39" s="18" t="s">
        <v>373</v>
      </c>
      <c r="B39" s="281"/>
      <c r="C39" s="317"/>
      <c r="D39" s="431"/>
      <c r="E39" s="36"/>
      <c r="F39" s="324"/>
      <c r="G39" s="325"/>
      <c r="H39" s="169"/>
      <c r="I39" s="36"/>
      <c r="J39" s="236"/>
      <c r="K39" s="236"/>
      <c r="L39" s="427"/>
      <c r="M39" s="36"/>
    </row>
    <row r="40" spans="1:14" ht="15.6" x14ac:dyDescent="0.3">
      <c r="A40" s="47"/>
      <c r="B40" s="258"/>
      <c r="C40" s="258"/>
      <c r="D40" s="727"/>
      <c r="E40" s="728"/>
      <c r="F40" s="727"/>
      <c r="G40" s="727"/>
      <c r="H40" s="727"/>
      <c r="I40" s="727"/>
      <c r="J40" s="727"/>
      <c r="K40" s="727"/>
      <c r="L40" s="727"/>
      <c r="M40" s="304"/>
    </row>
    <row r="41" spans="1:14" x14ac:dyDescent="0.25">
      <c r="A41" s="155"/>
    </row>
    <row r="42" spans="1:14" ht="15.6" x14ac:dyDescent="0.3">
      <c r="A42" s="147" t="s">
        <v>271</v>
      </c>
      <c r="B42" s="723"/>
      <c r="C42" s="723"/>
      <c r="D42" s="723"/>
      <c r="E42" s="301"/>
      <c r="F42" s="728"/>
      <c r="G42" s="728"/>
      <c r="H42" s="728"/>
      <c r="I42" s="304"/>
      <c r="J42" s="728"/>
      <c r="K42" s="728"/>
      <c r="L42" s="728"/>
      <c r="M42" s="304"/>
    </row>
    <row r="43" spans="1:14" ht="15.6" x14ac:dyDescent="0.3">
      <c r="A43" s="163"/>
      <c r="B43" s="305"/>
      <c r="C43" s="305"/>
      <c r="D43" s="305"/>
      <c r="E43" s="305"/>
      <c r="F43" s="304"/>
      <c r="G43" s="304"/>
      <c r="H43" s="304"/>
      <c r="I43" s="304"/>
      <c r="J43" s="304"/>
      <c r="K43" s="304"/>
      <c r="L43" s="304"/>
      <c r="M43" s="304"/>
    </row>
    <row r="44" spans="1:14" ht="15.6" x14ac:dyDescent="0.3">
      <c r="A44" s="249"/>
      <c r="B44" s="724" t="s">
        <v>0</v>
      </c>
      <c r="C44" s="725"/>
      <c r="D44" s="725"/>
      <c r="E44" s="244"/>
      <c r="F44" s="304"/>
      <c r="G44" s="304"/>
      <c r="H44" s="304"/>
      <c r="I44" s="304"/>
      <c r="J44" s="304"/>
      <c r="K44" s="304"/>
      <c r="L44" s="304"/>
      <c r="M44" s="304"/>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574050.93926000001</v>
      </c>
      <c r="C47" s="313">
        <v>566035.48</v>
      </c>
      <c r="D47" s="425">
        <f t="shared" ref="D47:D58" si="0">IF(B47=0, "    ---- ", IF(ABS(ROUND(100/B47*C47-100,1))&lt;999,ROUND(100/B47*C47-100,1),IF(ROUND(100/B47*C47-100,1)&gt;999,999,-999)))</f>
        <v>-1.4</v>
      </c>
      <c r="E47" s="11">
        <f>IFERROR(100/'Skjema total MA'!C47*C47,0)</f>
        <v>12.660462697342455</v>
      </c>
      <c r="F47" s="145"/>
      <c r="G47" s="33"/>
      <c r="H47" s="159"/>
      <c r="I47" s="159"/>
      <c r="J47" s="37"/>
      <c r="K47" s="37"/>
      <c r="L47" s="159"/>
      <c r="M47" s="159"/>
      <c r="N47" s="148"/>
    </row>
    <row r="48" spans="1:14" s="3" customFormat="1" ht="15.6" x14ac:dyDescent="0.25">
      <c r="A48" s="38" t="s">
        <v>374</v>
      </c>
      <c r="B48" s="286">
        <v>146907.55911</v>
      </c>
      <c r="C48" s="287">
        <v>144545.821</v>
      </c>
      <c r="D48" s="259">
        <f t="shared" si="0"/>
        <v>-1.6</v>
      </c>
      <c r="E48" s="27">
        <f>IFERROR(100/'Skjema total MA'!C48*C48,0)</f>
        <v>5.7650719189585073</v>
      </c>
      <c r="F48" s="145"/>
      <c r="G48" s="33"/>
      <c r="H48" s="145"/>
      <c r="I48" s="145"/>
      <c r="J48" s="33"/>
      <c r="K48" s="33"/>
      <c r="L48" s="159"/>
      <c r="M48" s="159"/>
      <c r="N48" s="148"/>
    </row>
    <row r="49" spans="1:14" s="3" customFormat="1" ht="15.6" x14ac:dyDescent="0.25">
      <c r="A49" s="38" t="s">
        <v>375</v>
      </c>
      <c r="B49" s="44">
        <v>427143.38014999998</v>
      </c>
      <c r="C49" s="292">
        <v>421489.65899999999</v>
      </c>
      <c r="D49" s="259">
        <f>IF(B49=0, "    ---- ", IF(ABS(ROUND(100/B49*C49-100,1))&lt;999,ROUND(100/B49*C49-100,1),IF(ROUND(100/B49*C49-100,1)&gt;999,999,-999)))</f>
        <v>-1.3</v>
      </c>
      <c r="E49" s="27">
        <f>IFERROR(100/'Skjema total MA'!C49*C49,0)</f>
        <v>21.464901200069129</v>
      </c>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v>6279.5550000000003</v>
      </c>
      <c r="C53" s="313">
        <v>2703.1109999999999</v>
      </c>
      <c r="D53" s="426">
        <f t="shared" si="0"/>
        <v>-57</v>
      </c>
      <c r="E53" s="11">
        <f>IFERROR(100/'Skjema total MA'!C53*C53,0)</f>
        <v>1.0488232308274692</v>
      </c>
      <c r="F53" s="145"/>
      <c r="G53" s="33"/>
      <c r="H53" s="145"/>
      <c r="I53" s="145"/>
      <c r="J53" s="33"/>
      <c r="K53" s="33"/>
      <c r="L53" s="159"/>
      <c r="M53" s="159"/>
      <c r="N53" s="148"/>
    </row>
    <row r="54" spans="1:14" s="3" customFormat="1" ht="15.6" x14ac:dyDescent="0.25">
      <c r="A54" s="38" t="s">
        <v>374</v>
      </c>
      <c r="B54" s="286">
        <v>6279.5550000000003</v>
      </c>
      <c r="C54" s="287">
        <v>2703.1109999999999</v>
      </c>
      <c r="D54" s="259">
        <f t="shared" si="0"/>
        <v>-57</v>
      </c>
      <c r="E54" s="27">
        <f>IFERROR(100/'Skjema total MA'!C54*C54,0)</f>
        <v>1.0743551705251588</v>
      </c>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v>68805.273000000001</v>
      </c>
      <c r="C56" s="313">
        <v>26008.744000000002</v>
      </c>
      <c r="D56" s="426">
        <f t="shared" si="0"/>
        <v>-62.2</v>
      </c>
      <c r="E56" s="11">
        <f>IFERROR(100/'Skjema total MA'!C56*C56,0)</f>
        <v>21.479645950109951</v>
      </c>
      <c r="F56" s="145"/>
      <c r="G56" s="33"/>
      <c r="H56" s="145"/>
      <c r="I56" s="145"/>
      <c r="J56" s="33"/>
      <c r="K56" s="33"/>
      <c r="L56" s="159"/>
      <c r="M56" s="159"/>
      <c r="N56" s="148"/>
    </row>
    <row r="57" spans="1:14" s="3" customFormat="1" ht="15.6" x14ac:dyDescent="0.25">
      <c r="A57" s="38" t="s">
        <v>374</v>
      </c>
      <c r="B57" s="286">
        <v>68805.273000000001</v>
      </c>
      <c r="C57" s="287">
        <v>26003.919000000002</v>
      </c>
      <c r="D57" s="259">
        <f t="shared" si="0"/>
        <v>-62.2</v>
      </c>
      <c r="E57" s="27">
        <f>IFERROR(100/'Skjema total MA'!C57*C57,0)</f>
        <v>21.476516956966286</v>
      </c>
      <c r="F57" s="145"/>
      <c r="G57" s="33"/>
      <c r="H57" s="145"/>
      <c r="I57" s="145"/>
      <c r="J57" s="33"/>
      <c r="K57" s="33"/>
      <c r="L57" s="159"/>
      <c r="M57" s="159"/>
      <c r="N57" s="148"/>
    </row>
    <row r="58" spans="1:14" s="3" customFormat="1" ht="15.6" x14ac:dyDescent="0.25">
      <c r="A58" s="46" t="s">
        <v>375</v>
      </c>
      <c r="B58" s="288">
        <v>0</v>
      </c>
      <c r="C58" s="289">
        <v>4.8250000000000002</v>
      </c>
      <c r="D58" s="260" t="str">
        <f t="shared" si="0"/>
        <v xml:space="preserve">    ---- </v>
      </c>
      <c r="E58" s="22">
        <f>IFERROR(100/'Skjema total MA'!C58*C58,0)</f>
        <v>100</v>
      </c>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301"/>
      <c r="F62" s="726"/>
      <c r="G62" s="726"/>
      <c r="H62" s="726"/>
      <c r="I62" s="301"/>
      <c r="J62" s="726"/>
      <c r="K62" s="726"/>
      <c r="L62" s="726"/>
      <c r="M62" s="301"/>
    </row>
    <row r="63" spans="1:14" x14ac:dyDescent="0.25">
      <c r="A63" s="144"/>
      <c r="B63" s="724" t="s">
        <v>0</v>
      </c>
      <c r="C63" s="725"/>
      <c r="D63" s="729"/>
      <c r="E63" s="302"/>
      <c r="F63" s="725" t="s">
        <v>1</v>
      </c>
      <c r="G63" s="725"/>
      <c r="H63" s="725"/>
      <c r="I63" s="306"/>
      <c r="J63" s="724" t="s">
        <v>2</v>
      </c>
      <c r="K63" s="725"/>
      <c r="L63" s="725"/>
      <c r="M63" s="3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301"/>
      <c r="F130" s="726"/>
      <c r="G130" s="726"/>
      <c r="H130" s="726"/>
      <c r="I130" s="301"/>
      <c r="J130" s="726"/>
      <c r="K130" s="726"/>
      <c r="L130" s="726"/>
      <c r="M130" s="301"/>
    </row>
    <row r="131" spans="1:14" s="3" customFormat="1" x14ac:dyDescent="0.25">
      <c r="A131" s="144"/>
      <c r="B131" s="724" t="s">
        <v>0</v>
      </c>
      <c r="C131" s="725"/>
      <c r="D131" s="725"/>
      <c r="E131" s="303"/>
      <c r="F131" s="724" t="s">
        <v>1</v>
      </c>
      <c r="G131" s="725"/>
      <c r="H131" s="725"/>
      <c r="I131" s="306"/>
      <c r="J131" s="724" t="s">
        <v>2</v>
      </c>
      <c r="K131" s="725"/>
      <c r="L131" s="725"/>
      <c r="M131" s="3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115">
    <cfRule type="expression" dxfId="269" priority="61">
      <formula>kvartal &lt; 4</formula>
    </cfRule>
  </conditionalFormatting>
  <conditionalFormatting sqref="C115">
    <cfRule type="expression" dxfId="268" priority="60">
      <formula>kvartal &lt; 4</formula>
    </cfRule>
  </conditionalFormatting>
  <conditionalFormatting sqref="B123">
    <cfRule type="expression" dxfId="267" priority="59">
      <formula>kvartal &lt; 4</formula>
    </cfRule>
  </conditionalFormatting>
  <conditionalFormatting sqref="C123">
    <cfRule type="expression" dxfId="266" priority="58">
      <formula>kvartal &lt; 4</formula>
    </cfRule>
  </conditionalFormatting>
  <conditionalFormatting sqref="F115">
    <cfRule type="expression" dxfId="265" priority="43">
      <formula>kvartal &lt; 4</formula>
    </cfRule>
  </conditionalFormatting>
  <conditionalFormatting sqref="G115">
    <cfRule type="expression" dxfId="264" priority="42">
      <formula>kvartal &lt; 4</formula>
    </cfRule>
  </conditionalFormatting>
  <conditionalFormatting sqref="F123:G123">
    <cfRule type="expression" dxfId="263" priority="41">
      <formula>kvartal &lt; 4</formula>
    </cfRule>
  </conditionalFormatting>
  <conditionalFormatting sqref="J115:K115">
    <cfRule type="expression" dxfId="262" priority="17">
      <formula>kvartal &lt; 4</formula>
    </cfRule>
  </conditionalFormatting>
  <conditionalFormatting sqref="J123:K123">
    <cfRule type="expression" dxfId="261" priority="16">
      <formula>kvartal &lt; 4</formula>
    </cfRule>
  </conditionalFormatting>
  <conditionalFormatting sqref="A50:A52">
    <cfRule type="expression" dxfId="260" priority="12">
      <formula>kvartal &lt; 4</formula>
    </cfRule>
  </conditionalFormatting>
  <conditionalFormatting sqref="A69:A74">
    <cfRule type="expression" dxfId="259" priority="10">
      <formula>kvartal &lt; 4</formula>
    </cfRule>
  </conditionalFormatting>
  <conditionalFormatting sqref="A80:A85">
    <cfRule type="expression" dxfId="258" priority="9">
      <formula>kvartal &lt; 4</formula>
    </cfRule>
  </conditionalFormatting>
  <conditionalFormatting sqref="A90:A95">
    <cfRule type="expression" dxfId="257" priority="6">
      <formula>kvartal &lt; 4</formula>
    </cfRule>
  </conditionalFormatting>
  <conditionalFormatting sqref="A101:A106">
    <cfRule type="expression" dxfId="256" priority="5">
      <formula>kvartal &lt; 4</formula>
    </cfRule>
  </conditionalFormatting>
  <conditionalFormatting sqref="A115">
    <cfRule type="expression" dxfId="255" priority="4">
      <formula>kvartal &lt; 4</formula>
    </cfRule>
  </conditionalFormatting>
  <conditionalFormatting sqref="A123">
    <cfRule type="expression" dxfId="254" priority="3">
      <formula>kvartal &lt; 4</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N144"/>
  <sheetViews>
    <sheetView showGridLines="0" workbookViewId="0"/>
  </sheetViews>
  <sheetFormatPr baseColWidth="10" defaultColWidth="11.44140625" defaultRowHeight="13.2" x14ac:dyDescent="0.25"/>
  <cols>
    <col min="1" max="1" width="43"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401</v>
      </c>
      <c r="D1" s="26"/>
      <c r="E1" s="26"/>
      <c r="F1" s="26"/>
      <c r="G1" s="26"/>
      <c r="H1" s="26"/>
      <c r="I1" s="26"/>
      <c r="J1" s="26"/>
      <c r="K1" s="26"/>
      <c r="L1" s="26"/>
      <c r="M1" s="26"/>
    </row>
    <row r="2" spans="1:14" ht="15.6" x14ac:dyDescent="0.3">
      <c r="A2" s="165" t="s">
        <v>28</v>
      </c>
      <c r="B2" s="723"/>
      <c r="C2" s="723"/>
      <c r="D2" s="723"/>
      <c r="E2" s="608"/>
      <c r="F2" s="723"/>
      <c r="G2" s="723"/>
      <c r="H2" s="723"/>
      <c r="I2" s="608"/>
      <c r="J2" s="723"/>
      <c r="K2" s="723"/>
      <c r="L2" s="723"/>
      <c r="M2" s="608"/>
    </row>
    <row r="3" spans="1:14" ht="15.6" x14ac:dyDescent="0.3">
      <c r="A3" s="163"/>
      <c r="B3" s="608"/>
      <c r="C3" s="608"/>
      <c r="D3" s="608"/>
      <c r="E3" s="608"/>
      <c r="F3" s="608"/>
      <c r="G3" s="608"/>
      <c r="H3" s="608"/>
      <c r="I3" s="608"/>
      <c r="J3" s="608"/>
      <c r="K3" s="608"/>
      <c r="L3" s="608"/>
      <c r="M3" s="608"/>
    </row>
    <row r="4" spans="1:14" x14ac:dyDescent="0.25">
      <c r="A4" s="144"/>
      <c r="B4" s="724" t="s">
        <v>0</v>
      </c>
      <c r="C4" s="725"/>
      <c r="D4" s="725"/>
      <c r="E4" s="605"/>
      <c r="F4" s="724" t="s">
        <v>1</v>
      </c>
      <c r="G4" s="725"/>
      <c r="H4" s="725"/>
      <c r="I4" s="606"/>
      <c r="J4" s="724" t="s">
        <v>2</v>
      </c>
      <c r="K4" s="725"/>
      <c r="L4" s="725"/>
      <c r="M4" s="6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v>568</v>
      </c>
      <c r="C7" s="309">
        <v>1304</v>
      </c>
      <c r="D7" s="351">
        <f>IF(B7=0, "    ---- ", IF(ABS(ROUND(100/B7*C7-100,1))&lt;999,ROUND(100/B7*C7-100,1),IF(ROUND(100/B7*C7-100,1)&gt;999,999,-999)))</f>
        <v>129.6</v>
      </c>
      <c r="E7" s="11">
        <f>IFERROR(100/'Skjema total MA'!C7*C7,0)</f>
        <v>3.4194455920969494E-2</v>
      </c>
      <c r="F7" s="308"/>
      <c r="G7" s="309"/>
      <c r="H7" s="351"/>
      <c r="I7" s="160"/>
      <c r="J7" s="310">
        <f t="shared" ref="J7:K8" si="0">SUM(B7,F7)</f>
        <v>568</v>
      </c>
      <c r="K7" s="311">
        <f t="shared" si="0"/>
        <v>1304</v>
      </c>
      <c r="L7" s="425">
        <f>IF(J7=0, "    ---- ", IF(ABS(ROUND(100/J7*K7-100,1))&lt;999,ROUND(100/J7*K7-100,1),IF(ROUND(100/J7*K7-100,1)&gt;999,999,-999)))</f>
        <v>129.6</v>
      </c>
      <c r="M7" s="11">
        <f>IFERROR(100/'Skjema total MA'!I7*K7,0)</f>
        <v>8.8710265092391844E-3</v>
      </c>
    </row>
    <row r="8" spans="1:14" ht="15.6" x14ac:dyDescent="0.25">
      <c r="A8" s="21" t="s">
        <v>25</v>
      </c>
      <c r="B8" s="286">
        <v>568</v>
      </c>
      <c r="C8" s="287">
        <v>1304</v>
      </c>
      <c r="D8" s="166">
        <f t="shared" ref="D8" si="1">IF(B8=0, "    ---- ", IF(ABS(ROUND(100/B8*C8-100,1))&lt;999,ROUND(100/B8*C8-100,1),IF(ROUND(100/B8*C8-100,1)&gt;999,999,-999)))</f>
        <v>129.6</v>
      </c>
      <c r="E8" s="27">
        <f>IFERROR(100/'Skjema total MA'!C8*C8,0)</f>
        <v>5.257042592625203E-2</v>
      </c>
      <c r="F8" s="290"/>
      <c r="G8" s="291"/>
      <c r="H8" s="166"/>
      <c r="I8" s="176"/>
      <c r="J8" s="234">
        <f t="shared" si="0"/>
        <v>568</v>
      </c>
      <c r="K8" s="292">
        <f t="shared" si="0"/>
        <v>1304</v>
      </c>
      <c r="L8" s="166">
        <f t="shared" ref="L8" si="2">IF(J8=0, "    ---- ", IF(ABS(ROUND(100/J8*K8-100,1))&lt;999,ROUND(100/J8*K8-100,1),IF(ROUND(100/J8*K8-100,1)&gt;999,999,-999)))</f>
        <v>129.6</v>
      </c>
      <c r="M8" s="27">
        <f>IFERROR(100/'Skjema total MA'!I8*K8,0)</f>
        <v>5.257042592625203E-2</v>
      </c>
    </row>
    <row r="9" spans="1:14" ht="15.6" x14ac:dyDescent="0.25">
      <c r="A9" s="21" t="s">
        <v>24</v>
      </c>
      <c r="B9" s="286"/>
      <c r="C9" s="287"/>
      <c r="D9" s="166"/>
      <c r="E9" s="27"/>
      <c r="F9" s="290"/>
      <c r="G9" s="291"/>
      <c r="H9" s="166"/>
      <c r="I9" s="176"/>
      <c r="J9" s="234"/>
      <c r="K9" s="292"/>
      <c r="L9" s="166"/>
      <c r="M9" s="27"/>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608"/>
      <c r="F18" s="726"/>
      <c r="G18" s="726"/>
      <c r="H18" s="726"/>
      <c r="I18" s="608"/>
      <c r="J18" s="726"/>
      <c r="K18" s="726"/>
      <c r="L18" s="726"/>
      <c r="M18" s="608"/>
    </row>
    <row r="19" spans="1:14" x14ac:dyDescent="0.25">
      <c r="A19" s="144"/>
      <c r="B19" s="724" t="s">
        <v>0</v>
      </c>
      <c r="C19" s="725"/>
      <c r="D19" s="725"/>
      <c r="E19" s="605"/>
      <c r="F19" s="724" t="s">
        <v>1</v>
      </c>
      <c r="G19" s="725"/>
      <c r="H19" s="725"/>
      <c r="I19" s="606"/>
      <c r="J19" s="724" t="s">
        <v>2</v>
      </c>
      <c r="K19" s="725"/>
      <c r="L19" s="725"/>
      <c r="M19" s="6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156"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1"/>
      <c r="J22" s="318"/>
      <c r="K22" s="318"/>
      <c r="L22" s="425"/>
      <c r="M22" s="24"/>
    </row>
    <row r="23" spans="1:14" ht="15.6" x14ac:dyDescent="0.25">
      <c r="A23" s="581" t="s">
        <v>366</v>
      </c>
      <c r="B23" s="286"/>
      <c r="C23" s="286"/>
      <c r="D23" s="166"/>
      <c r="E23" s="11"/>
      <c r="F23" s="295"/>
      <c r="G23" s="295"/>
      <c r="H23" s="166"/>
      <c r="I23" s="415"/>
      <c r="J23" s="295"/>
      <c r="K23" s="295"/>
      <c r="L23" s="166"/>
      <c r="M23" s="23"/>
    </row>
    <row r="24" spans="1:14" ht="15.6" x14ac:dyDescent="0.25">
      <c r="A24" s="581" t="s">
        <v>367</v>
      </c>
      <c r="B24" s="286"/>
      <c r="C24" s="286"/>
      <c r="D24" s="166"/>
      <c r="E24" s="11"/>
      <c r="F24" s="295"/>
      <c r="G24" s="295"/>
      <c r="H24" s="166"/>
      <c r="I24" s="415"/>
      <c r="J24" s="295"/>
      <c r="K24" s="295"/>
      <c r="L24" s="166"/>
      <c r="M24" s="23"/>
    </row>
    <row r="25" spans="1:14" ht="15.6" x14ac:dyDescent="0.25">
      <c r="A25" s="581" t="s">
        <v>368</v>
      </c>
      <c r="B25" s="286"/>
      <c r="C25" s="286"/>
      <c r="D25" s="166"/>
      <c r="E25" s="11"/>
      <c r="F25" s="295"/>
      <c r="G25" s="295"/>
      <c r="H25" s="166"/>
      <c r="I25" s="415"/>
      <c r="J25" s="295"/>
      <c r="K25" s="295"/>
      <c r="L25" s="166"/>
      <c r="M25" s="23"/>
    </row>
    <row r="26" spans="1:14" ht="15.6" x14ac:dyDescent="0.25">
      <c r="A26" s="581" t="s">
        <v>369</v>
      </c>
      <c r="B26" s="286"/>
      <c r="C26" s="286"/>
      <c r="D26" s="166"/>
      <c r="E26" s="11"/>
      <c r="F26" s="295"/>
      <c r="G26" s="295"/>
      <c r="H26" s="166"/>
      <c r="I26" s="415"/>
      <c r="J26" s="295"/>
      <c r="K26" s="295"/>
      <c r="L26" s="166"/>
      <c r="M26" s="23"/>
    </row>
    <row r="27" spans="1:14" x14ac:dyDescent="0.25">
      <c r="A27" s="581" t="s">
        <v>11</v>
      </c>
      <c r="B27" s="286"/>
      <c r="C27" s="286"/>
      <c r="D27" s="166"/>
      <c r="E27" s="11"/>
      <c r="F27" s="295"/>
      <c r="G27" s="295"/>
      <c r="H27" s="166"/>
      <c r="I27" s="415"/>
      <c r="J27" s="295"/>
      <c r="K27" s="295"/>
      <c r="L27" s="166"/>
      <c r="M27" s="23"/>
    </row>
    <row r="28" spans="1:14" ht="15.6" x14ac:dyDescent="0.25">
      <c r="A28" s="49" t="s">
        <v>274</v>
      </c>
      <c r="B28" s="44"/>
      <c r="C28" s="292"/>
      <c r="D28" s="166"/>
      <c r="E28" s="11"/>
      <c r="F28" s="321"/>
      <c r="G28" s="321"/>
      <c r="H28" s="166"/>
      <c r="I28" s="27"/>
      <c r="J28" s="44"/>
      <c r="K28" s="44"/>
      <c r="L28" s="259"/>
      <c r="M28" s="23"/>
    </row>
    <row r="29" spans="1:14" s="3" customFormat="1" ht="15.6" x14ac:dyDescent="0.25">
      <c r="A29" s="13" t="s">
        <v>363</v>
      </c>
      <c r="B29" s="236"/>
      <c r="C29" s="236"/>
      <c r="D29" s="171"/>
      <c r="E29" s="11"/>
      <c r="F29" s="310"/>
      <c r="G29" s="310"/>
      <c r="H29" s="171"/>
      <c r="I29" s="11"/>
      <c r="J29" s="236"/>
      <c r="K29" s="236"/>
      <c r="L29" s="426"/>
      <c r="M29" s="24"/>
      <c r="N29" s="148"/>
    </row>
    <row r="30" spans="1:14" s="3" customFormat="1" ht="15.6" x14ac:dyDescent="0.25">
      <c r="A30" s="581" t="s">
        <v>366</v>
      </c>
      <c r="B30" s="286"/>
      <c r="C30" s="286"/>
      <c r="D30" s="166"/>
      <c r="E30" s="11"/>
      <c r="F30" s="295"/>
      <c r="G30" s="295"/>
      <c r="H30" s="166"/>
      <c r="I30" s="415"/>
      <c r="J30" s="295"/>
      <c r="K30" s="295"/>
      <c r="L30" s="166"/>
      <c r="M30" s="23"/>
      <c r="N30" s="148"/>
    </row>
    <row r="31" spans="1:14" s="3" customFormat="1" ht="15.6" x14ac:dyDescent="0.25">
      <c r="A31" s="581" t="s">
        <v>367</v>
      </c>
      <c r="B31" s="286"/>
      <c r="C31" s="286"/>
      <c r="D31" s="166"/>
      <c r="E31" s="11"/>
      <c r="F31" s="295"/>
      <c r="G31" s="295"/>
      <c r="H31" s="166"/>
      <c r="I31" s="415"/>
      <c r="J31" s="295"/>
      <c r="K31" s="295"/>
      <c r="L31" s="166"/>
      <c r="M31" s="23"/>
      <c r="N31" s="148"/>
    </row>
    <row r="32" spans="1:14" ht="15.6" x14ac:dyDescent="0.25">
      <c r="A32" s="581" t="s">
        <v>368</v>
      </c>
      <c r="B32" s="286"/>
      <c r="C32" s="286"/>
      <c r="D32" s="166"/>
      <c r="E32" s="11"/>
      <c r="F32" s="295"/>
      <c r="G32" s="295"/>
      <c r="H32" s="166"/>
      <c r="I32" s="415"/>
      <c r="J32" s="295"/>
      <c r="K32" s="295"/>
      <c r="L32" s="166"/>
      <c r="M32" s="23"/>
    </row>
    <row r="33" spans="1:14" ht="15.6" x14ac:dyDescent="0.25">
      <c r="A33" s="581" t="s">
        <v>369</v>
      </c>
      <c r="B33" s="286"/>
      <c r="C33" s="286"/>
      <c r="D33" s="166"/>
      <c r="E33" s="11"/>
      <c r="F33" s="295"/>
      <c r="G33" s="295"/>
      <c r="H33" s="166"/>
      <c r="I33" s="415"/>
      <c r="J33" s="295"/>
      <c r="K33" s="295"/>
      <c r="L33" s="166"/>
      <c r="M33" s="23"/>
    </row>
    <row r="34" spans="1:14" ht="15.6" x14ac:dyDescent="0.25">
      <c r="A34" s="13" t="s">
        <v>364</v>
      </c>
      <c r="B34" s="236"/>
      <c r="C34" s="311"/>
      <c r="D34" s="171"/>
      <c r="E34" s="11"/>
      <c r="F34" s="310"/>
      <c r="G34" s="311"/>
      <c r="H34" s="171"/>
      <c r="I34" s="11"/>
      <c r="J34" s="236"/>
      <c r="K34" s="236"/>
      <c r="L34" s="426"/>
      <c r="M34" s="24"/>
    </row>
    <row r="35" spans="1:14" ht="15.6" x14ac:dyDescent="0.25">
      <c r="A35" s="13" t="s">
        <v>365</v>
      </c>
      <c r="B35" s="236"/>
      <c r="C35" s="311"/>
      <c r="D35" s="171"/>
      <c r="E35" s="11"/>
      <c r="F35" s="310"/>
      <c r="G35" s="311"/>
      <c r="H35" s="171"/>
      <c r="I35" s="11"/>
      <c r="J35" s="236"/>
      <c r="K35" s="236"/>
      <c r="L35" s="426"/>
      <c r="M35" s="24"/>
    </row>
    <row r="36" spans="1:14" ht="15.6" x14ac:dyDescent="0.25">
      <c r="A36" s="12" t="s">
        <v>282</v>
      </c>
      <c r="B36" s="236"/>
      <c r="C36" s="311"/>
      <c r="D36" s="171"/>
      <c r="E36" s="11"/>
      <c r="F36" s="321"/>
      <c r="G36" s="322"/>
      <c r="H36" s="171"/>
      <c r="I36" s="432"/>
      <c r="J36" s="236"/>
      <c r="K36" s="236"/>
      <c r="L36" s="426"/>
      <c r="M36" s="24"/>
    </row>
    <row r="37" spans="1:14" ht="15.6" x14ac:dyDescent="0.25">
      <c r="A37" s="12" t="s">
        <v>371</v>
      </c>
      <c r="B37" s="236"/>
      <c r="C37" s="311"/>
      <c r="D37" s="171"/>
      <c r="E37" s="11"/>
      <c r="F37" s="321"/>
      <c r="G37" s="323"/>
      <c r="H37" s="171"/>
      <c r="I37" s="432"/>
      <c r="J37" s="236"/>
      <c r="K37" s="236"/>
      <c r="L37" s="426"/>
      <c r="M37" s="24"/>
    </row>
    <row r="38" spans="1:14" ht="15.6" x14ac:dyDescent="0.25">
      <c r="A38" s="12" t="s">
        <v>372</v>
      </c>
      <c r="B38" s="236"/>
      <c r="C38" s="311"/>
      <c r="D38" s="430"/>
      <c r="E38" s="24"/>
      <c r="F38" s="321"/>
      <c r="G38" s="322"/>
      <c r="H38" s="171"/>
      <c r="I38" s="432"/>
      <c r="J38" s="236"/>
      <c r="K38" s="236"/>
      <c r="L38" s="426"/>
      <c r="M38" s="24"/>
    </row>
    <row r="39" spans="1:14" ht="15.6" x14ac:dyDescent="0.25">
      <c r="A39" s="18" t="s">
        <v>373</v>
      </c>
      <c r="B39" s="281"/>
      <c r="C39" s="317"/>
      <c r="D39" s="431"/>
      <c r="E39" s="36"/>
      <c r="F39" s="324"/>
      <c r="G39" s="325"/>
      <c r="H39" s="169"/>
      <c r="I39" s="36"/>
      <c r="J39" s="236"/>
      <c r="K39" s="236"/>
      <c r="L39" s="427"/>
      <c r="M39" s="36"/>
    </row>
    <row r="40" spans="1:14" ht="15.6" x14ac:dyDescent="0.3">
      <c r="A40" s="47"/>
      <c r="B40" s="258"/>
      <c r="C40" s="258"/>
      <c r="D40" s="727"/>
      <c r="E40" s="728"/>
      <c r="F40" s="727"/>
      <c r="G40" s="727"/>
      <c r="H40" s="727"/>
      <c r="I40" s="727"/>
      <c r="J40" s="727"/>
      <c r="K40" s="727"/>
      <c r="L40" s="727"/>
      <c r="M40" s="609"/>
    </row>
    <row r="41" spans="1:14" x14ac:dyDescent="0.25">
      <c r="A41" s="155"/>
    </row>
    <row r="42" spans="1:14" ht="15.6" x14ac:dyDescent="0.3">
      <c r="A42" s="147" t="s">
        <v>271</v>
      </c>
      <c r="B42" s="723"/>
      <c r="C42" s="723"/>
      <c r="D42" s="723"/>
      <c r="E42" s="608"/>
      <c r="F42" s="728"/>
      <c r="G42" s="728"/>
      <c r="H42" s="728"/>
      <c r="I42" s="609"/>
      <c r="J42" s="728"/>
      <c r="K42" s="728"/>
      <c r="L42" s="728"/>
      <c r="M42" s="609"/>
    </row>
    <row r="43" spans="1:14" ht="15.6" x14ac:dyDescent="0.3">
      <c r="A43" s="163"/>
      <c r="B43" s="607"/>
      <c r="C43" s="607"/>
      <c r="D43" s="607"/>
      <c r="E43" s="607"/>
      <c r="F43" s="609"/>
      <c r="G43" s="609"/>
      <c r="H43" s="609"/>
      <c r="I43" s="609"/>
      <c r="J43" s="609"/>
      <c r="K43" s="609"/>
      <c r="L43" s="609"/>
      <c r="M43" s="609"/>
    </row>
    <row r="44" spans="1:14" ht="15.6" x14ac:dyDescent="0.3">
      <c r="A44" s="249"/>
      <c r="B44" s="724" t="s">
        <v>0</v>
      </c>
      <c r="C44" s="725"/>
      <c r="D44" s="725"/>
      <c r="E44" s="244"/>
      <c r="F44" s="609"/>
      <c r="G44" s="609"/>
      <c r="H44" s="609"/>
      <c r="I44" s="609"/>
      <c r="J44" s="609"/>
      <c r="K44" s="609"/>
      <c r="L44" s="609"/>
      <c r="M44" s="609"/>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583</v>
      </c>
      <c r="C47" s="313">
        <v>502</v>
      </c>
      <c r="D47" s="425">
        <f t="shared" ref="D47:D48" si="3">IF(B47=0, "    ---- ", IF(ABS(ROUND(100/B47*C47-100,1))&lt;999,ROUND(100/B47*C47-100,1),IF(ROUND(100/B47*C47-100,1)&gt;999,999,-999)))</f>
        <v>-13.9</v>
      </c>
      <c r="E47" s="11">
        <f>IFERROR(100/'Skjema total MA'!C47*C47,0)</f>
        <v>1.1228187098918097E-2</v>
      </c>
      <c r="F47" s="145"/>
      <c r="G47" s="33"/>
      <c r="H47" s="159"/>
      <c r="I47" s="159"/>
      <c r="J47" s="37"/>
      <c r="K47" s="37"/>
      <c r="L47" s="159"/>
      <c r="M47" s="159"/>
      <c r="N47" s="148"/>
    </row>
    <row r="48" spans="1:14" s="3" customFormat="1" ht="15.6" x14ac:dyDescent="0.25">
      <c r="A48" s="38" t="s">
        <v>374</v>
      </c>
      <c r="B48" s="286">
        <v>583</v>
      </c>
      <c r="C48" s="287">
        <v>502</v>
      </c>
      <c r="D48" s="259">
        <f t="shared" si="3"/>
        <v>-13.9</v>
      </c>
      <c r="E48" s="27">
        <f>IFERROR(100/'Skjema total MA'!C48*C48,0)</f>
        <v>2.0021790206699721E-2</v>
      </c>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608"/>
      <c r="F62" s="726"/>
      <c r="G62" s="726"/>
      <c r="H62" s="726"/>
      <c r="I62" s="608"/>
      <c r="J62" s="726"/>
      <c r="K62" s="726"/>
      <c r="L62" s="726"/>
      <c r="M62" s="608"/>
    </row>
    <row r="63" spans="1:14" x14ac:dyDescent="0.25">
      <c r="A63" s="144"/>
      <c r="B63" s="724" t="s">
        <v>0</v>
      </c>
      <c r="C63" s="725"/>
      <c r="D63" s="729"/>
      <c r="E63" s="604"/>
      <c r="F63" s="725" t="s">
        <v>1</v>
      </c>
      <c r="G63" s="725"/>
      <c r="H63" s="725"/>
      <c r="I63" s="606"/>
      <c r="J63" s="724" t="s">
        <v>2</v>
      </c>
      <c r="K63" s="725"/>
      <c r="L63" s="725"/>
      <c r="M63" s="6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417"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608"/>
      <c r="F130" s="726"/>
      <c r="G130" s="726"/>
      <c r="H130" s="726"/>
      <c r="I130" s="608"/>
      <c r="J130" s="726"/>
      <c r="K130" s="726"/>
      <c r="L130" s="726"/>
      <c r="M130" s="608"/>
    </row>
    <row r="131" spans="1:14" s="3" customFormat="1" x14ac:dyDescent="0.25">
      <c r="A131" s="144"/>
      <c r="B131" s="724" t="s">
        <v>0</v>
      </c>
      <c r="C131" s="725"/>
      <c r="D131" s="725"/>
      <c r="E131" s="605"/>
      <c r="F131" s="724" t="s">
        <v>1</v>
      </c>
      <c r="G131" s="725"/>
      <c r="H131" s="725"/>
      <c r="I131" s="606"/>
      <c r="J131" s="724" t="s">
        <v>2</v>
      </c>
      <c r="K131" s="725"/>
      <c r="L131" s="725"/>
      <c r="M131" s="6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115">
    <cfRule type="expression" dxfId="253" priority="42">
      <formula>kvartal &lt; 4</formula>
    </cfRule>
  </conditionalFormatting>
  <conditionalFormatting sqref="C115">
    <cfRule type="expression" dxfId="252" priority="41">
      <formula>kvartal &lt; 4</formula>
    </cfRule>
  </conditionalFormatting>
  <conditionalFormatting sqref="B123">
    <cfRule type="expression" dxfId="251" priority="40">
      <formula>kvartal &lt; 4</formula>
    </cfRule>
  </conditionalFormatting>
  <conditionalFormatting sqref="C123">
    <cfRule type="expression" dxfId="250" priority="39">
      <formula>kvartal &lt; 4</formula>
    </cfRule>
  </conditionalFormatting>
  <conditionalFormatting sqref="F115">
    <cfRule type="expression" dxfId="249" priority="28">
      <formula>kvartal &lt; 4</formula>
    </cfRule>
  </conditionalFormatting>
  <conditionalFormatting sqref="G115">
    <cfRule type="expression" dxfId="248" priority="27">
      <formula>kvartal &lt; 4</formula>
    </cfRule>
  </conditionalFormatting>
  <conditionalFormatting sqref="F123:G123">
    <cfRule type="expression" dxfId="247" priority="26">
      <formula>kvartal &lt; 4</formula>
    </cfRule>
  </conditionalFormatting>
  <conditionalFormatting sqref="J115:K115">
    <cfRule type="expression" dxfId="246" priority="9">
      <formula>kvartal &lt; 4</formula>
    </cfRule>
  </conditionalFormatting>
  <conditionalFormatting sqref="J123:K123">
    <cfRule type="expression" dxfId="245" priority="8">
      <formula>kvartal &lt; 4</formula>
    </cfRule>
  </conditionalFormatting>
  <conditionalFormatting sqref="A50:A52">
    <cfRule type="expression" dxfId="244" priority="7">
      <formula>kvartal &lt; 4</formula>
    </cfRule>
  </conditionalFormatting>
  <conditionalFormatting sqref="A69:A74">
    <cfRule type="expression" dxfId="243" priority="6">
      <formula>kvartal &lt; 4</formula>
    </cfRule>
  </conditionalFormatting>
  <conditionalFormatting sqref="A80:A85">
    <cfRule type="expression" dxfId="242" priority="5">
      <formula>kvartal &lt; 4</formula>
    </cfRule>
  </conditionalFormatting>
  <conditionalFormatting sqref="A90:A95">
    <cfRule type="expression" dxfId="241" priority="4">
      <formula>kvartal &lt; 4</formula>
    </cfRule>
  </conditionalFormatting>
  <conditionalFormatting sqref="A101:A106">
    <cfRule type="expression" dxfId="240" priority="3">
      <formula>kvartal &lt; 4</formula>
    </cfRule>
  </conditionalFormatting>
  <conditionalFormatting sqref="A115">
    <cfRule type="expression" dxfId="239" priority="2">
      <formula>kvartal &lt; 4</formula>
    </cfRule>
  </conditionalFormatting>
  <conditionalFormatting sqref="A123">
    <cfRule type="expression" dxfId="238" priority="1">
      <formula>kvartal &lt; 4</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1"/>
  <sheetViews>
    <sheetView showGridLines="0" zoomScale="70" zoomScaleNormal="70" workbookViewId="0">
      <pane xSplit="1" ySplit="8" topLeftCell="B9" activePane="bottomRight" state="frozen"/>
      <selection activeCell="B33" sqref="B33"/>
      <selection pane="topRight" activeCell="B33" sqref="B33"/>
      <selection pane="bottomLeft" activeCell="B33" sqref="B33"/>
      <selection pane="bottomRight"/>
    </sheetView>
  </sheetViews>
  <sheetFormatPr baseColWidth="10" defaultColWidth="11.44140625" defaultRowHeight="13.2" x14ac:dyDescent="0.25"/>
  <cols>
    <col min="1" max="1" width="90" style="506" customWidth="1"/>
    <col min="2" max="46" width="11.6640625" style="506" customWidth="1"/>
    <col min="47" max="16384" width="11.44140625" style="506"/>
  </cols>
  <sheetData>
    <row r="1" spans="1:46" ht="20.399999999999999" x14ac:dyDescent="0.35">
      <c r="A1" s="504" t="s">
        <v>283</v>
      </c>
      <c r="B1" s="470" t="s">
        <v>52</v>
      </c>
      <c r="C1" s="505"/>
      <c r="D1" s="505"/>
      <c r="H1" s="505"/>
      <c r="I1" s="505"/>
      <c r="J1" s="505"/>
      <c r="K1" s="505"/>
      <c r="L1" s="505"/>
      <c r="M1" s="505"/>
      <c r="N1" s="505"/>
      <c r="O1" s="505"/>
      <c r="P1" s="505"/>
    </row>
    <row r="2" spans="1:46" ht="20.399999999999999" x14ac:dyDescent="0.35">
      <c r="A2" s="504" t="s">
        <v>254</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row>
    <row r="3" spans="1:46" ht="17.399999999999999" x14ac:dyDescent="0.3">
      <c r="A3" s="508" t="s">
        <v>284</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row>
    <row r="4" spans="1:46" ht="18.75" customHeight="1" x14ac:dyDescent="0.3">
      <c r="A4" s="476" t="s">
        <v>426</v>
      </c>
      <c r="B4" s="510"/>
      <c r="C4" s="510"/>
      <c r="D4" s="511"/>
      <c r="E4" s="514"/>
      <c r="F4" s="513"/>
      <c r="G4" s="515"/>
      <c r="H4" s="512"/>
      <c r="I4" s="510"/>
      <c r="J4" s="511"/>
      <c r="K4" s="512"/>
      <c r="L4" s="510"/>
      <c r="M4" s="511"/>
      <c r="N4" s="512"/>
      <c r="O4" s="510"/>
      <c r="P4" s="511"/>
      <c r="Q4" s="513"/>
      <c r="R4" s="513"/>
      <c r="S4" s="513"/>
      <c r="T4" s="514"/>
      <c r="U4" s="513"/>
      <c r="V4" s="515"/>
      <c r="W4" s="514"/>
      <c r="X4" s="513"/>
      <c r="Y4" s="515"/>
      <c r="Z4" s="514"/>
      <c r="AA4" s="513"/>
      <c r="AB4" s="515"/>
      <c r="AC4" s="514"/>
      <c r="AD4" s="513"/>
      <c r="AE4" s="515"/>
      <c r="AF4" s="514"/>
      <c r="AG4" s="513"/>
      <c r="AH4" s="515"/>
      <c r="AI4" s="514"/>
      <c r="AJ4" s="513"/>
      <c r="AK4" s="515"/>
      <c r="AL4" s="514"/>
      <c r="AM4" s="513"/>
      <c r="AN4" s="515"/>
      <c r="AO4" s="516"/>
      <c r="AP4" s="517"/>
      <c r="AQ4" s="518"/>
      <c r="AR4" s="514"/>
      <c r="AS4" s="513"/>
      <c r="AT4" s="519"/>
    </row>
    <row r="5" spans="1:46" ht="18.75" customHeight="1" x14ac:dyDescent="0.3">
      <c r="A5" s="520" t="s">
        <v>101</v>
      </c>
      <c r="B5" s="730" t="s">
        <v>174</v>
      </c>
      <c r="C5" s="731"/>
      <c r="D5" s="732"/>
      <c r="E5" s="730" t="s">
        <v>175</v>
      </c>
      <c r="F5" s="731"/>
      <c r="G5" s="732"/>
      <c r="H5" s="730" t="s">
        <v>175</v>
      </c>
      <c r="I5" s="731"/>
      <c r="J5" s="732"/>
      <c r="K5" s="730" t="s">
        <v>402</v>
      </c>
      <c r="L5" s="731"/>
      <c r="M5" s="732"/>
      <c r="N5" s="730" t="s">
        <v>176</v>
      </c>
      <c r="O5" s="731"/>
      <c r="P5" s="732"/>
      <c r="Q5" s="730" t="s">
        <v>177</v>
      </c>
      <c r="R5" s="731"/>
      <c r="S5" s="732"/>
      <c r="T5" s="674" t="s">
        <v>178</v>
      </c>
      <c r="U5" s="675"/>
      <c r="V5" s="676"/>
      <c r="W5" s="682"/>
      <c r="X5" s="683"/>
      <c r="Y5" s="684"/>
      <c r="Z5" s="682"/>
      <c r="AA5" s="683"/>
      <c r="AB5" s="684"/>
      <c r="AC5" s="730" t="s">
        <v>179</v>
      </c>
      <c r="AD5" s="731"/>
      <c r="AE5" s="732"/>
      <c r="AF5" s="674"/>
      <c r="AG5" s="675"/>
      <c r="AH5" s="676"/>
      <c r="AI5" s="730" t="s">
        <v>68</v>
      </c>
      <c r="AJ5" s="731"/>
      <c r="AK5" s="732"/>
      <c r="AL5" s="730" t="s">
        <v>73</v>
      </c>
      <c r="AM5" s="731"/>
      <c r="AN5" s="732"/>
      <c r="AO5" s="739" t="s">
        <v>2</v>
      </c>
      <c r="AP5" s="740"/>
      <c r="AQ5" s="741"/>
      <c r="AR5" s="730" t="s">
        <v>285</v>
      </c>
      <c r="AS5" s="731"/>
      <c r="AT5" s="732"/>
    </row>
    <row r="6" spans="1:46" ht="21" customHeight="1" x14ac:dyDescent="0.3">
      <c r="A6" s="521"/>
      <c r="B6" s="733" t="s">
        <v>180</v>
      </c>
      <c r="C6" s="734"/>
      <c r="D6" s="735"/>
      <c r="E6" s="733" t="s">
        <v>423</v>
      </c>
      <c r="F6" s="734"/>
      <c r="G6" s="735"/>
      <c r="H6" s="733" t="s">
        <v>181</v>
      </c>
      <c r="I6" s="734"/>
      <c r="J6" s="735"/>
      <c r="K6" s="733" t="s">
        <v>181</v>
      </c>
      <c r="L6" s="734"/>
      <c r="M6" s="735"/>
      <c r="N6" s="733" t="s">
        <v>181</v>
      </c>
      <c r="O6" s="734"/>
      <c r="P6" s="735"/>
      <c r="Q6" s="733" t="s">
        <v>182</v>
      </c>
      <c r="R6" s="734"/>
      <c r="S6" s="735"/>
      <c r="T6" s="733" t="s">
        <v>91</v>
      </c>
      <c r="U6" s="734"/>
      <c r="V6" s="735"/>
      <c r="W6" s="733" t="s">
        <v>63</v>
      </c>
      <c r="X6" s="734"/>
      <c r="Y6" s="735"/>
      <c r="Z6" s="733" t="s">
        <v>66</v>
      </c>
      <c r="AA6" s="734"/>
      <c r="AB6" s="735"/>
      <c r="AC6" s="733" t="s">
        <v>180</v>
      </c>
      <c r="AD6" s="734"/>
      <c r="AE6" s="735"/>
      <c r="AF6" s="733" t="s">
        <v>72</v>
      </c>
      <c r="AG6" s="734"/>
      <c r="AH6" s="735"/>
      <c r="AI6" s="733" t="s">
        <v>424</v>
      </c>
      <c r="AJ6" s="734"/>
      <c r="AK6" s="735"/>
      <c r="AL6" s="733" t="s">
        <v>181</v>
      </c>
      <c r="AM6" s="734"/>
      <c r="AN6" s="735"/>
      <c r="AO6" s="736" t="s">
        <v>286</v>
      </c>
      <c r="AP6" s="737"/>
      <c r="AQ6" s="738"/>
      <c r="AR6" s="733" t="s">
        <v>287</v>
      </c>
      <c r="AS6" s="734"/>
      <c r="AT6" s="735"/>
    </row>
    <row r="7" spans="1:46" ht="18.75" customHeight="1" x14ac:dyDescent="0.3">
      <c r="A7" s="521"/>
      <c r="B7" s="520"/>
      <c r="C7" s="520"/>
      <c r="D7" s="522" t="s">
        <v>81</v>
      </c>
      <c r="E7" s="520"/>
      <c r="F7" s="520"/>
      <c r="G7" s="522" t="s">
        <v>81</v>
      </c>
      <c r="H7" s="520"/>
      <c r="I7" s="520"/>
      <c r="J7" s="522" t="s">
        <v>81</v>
      </c>
      <c r="K7" s="520"/>
      <c r="L7" s="520"/>
      <c r="M7" s="522" t="s">
        <v>81</v>
      </c>
      <c r="N7" s="520"/>
      <c r="O7" s="520"/>
      <c r="P7" s="522" t="s">
        <v>81</v>
      </c>
      <c r="Q7" s="520"/>
      <c r="R7" s="520"/>
      <c r="S7" s="522" t="s">
        <v>81</v>
      </c>
      <c r="T7" s="520"/>
      <c r="U7" s="520"/>
      <c r="V7" s="522" t="s">
        <v>81</v>
      </c>
      <c r="W7" s="520"/>
      <c r="X7" s="520"/>
      <c r="Y7" s="522" t="s">
        <v>81</v>
      </c>
      <c r="Z7" s="520"/>
      <c r="AA7" s="520"/>
      <c r="AB7" s="522" t="s">
        <v>81</v>
      </c>
      <c r="AC7" s="520"/>
      <c r="AD7" s="520"/>
      <c r="AE7" s="522" t="s">
        <v>81</v>
      </c>
      <c r="AF7" s="520"/>
      <c r="AG7" s="520"/>
      <c r="AH7" s="522" t="s">
        <v>81</v>
      </c>
      <c r="AI7" s="520"/>
      <c r="AJ7" s="520"/>
      <c r="AK7" s="522" t="s">
        <v>81</v>
      </c>
      <c r="AL7" s="520"/>
      <c r="AM7" s="520"/>
      <c r="AN7" s="522" t="s">
        <v>81</v>
      </c>
      <c r="AO7" s="520"/>
      <c r="AP7" s="520"/>
      <c r="AQ7" s="522" t="s">
        <v>81</v>
      </c>
      <c r="AR7" s="520"/>
      <c r="AS7" s="520"/>
      <c r="AT7" s="522" t="s">
        <v>81</v>
      </c>
    </row>
    <row r="8" spans="1:46" ht="18.75" customHeight="1" x14ac:dyDescent="0.35">
      <c r="A8" s="523" t="s">
        <v>288</v>
      </c>
      <c r="B8" s="642">
        <v>2020</v>
      </c>
      <c r="C8" s="642">
        <v>2021</v>
      </c>
      <c r="D8" s="524" t="s">
        <v>83</v>
      </c>
      <c r="E8" s="642">
        <f>$B$8</f>
        <v>2020</v>
      </c>
      <c r="F8" s="642">
        <f>$C$8</f>
        <v>2021</v>
      </c>
      <c r="G8" s="524" t="s">
        <v>83</v>
      </c>
      <c r="H8" s="642">
        <f>$B$8</f>
        <v>2020</v>
      </c>
      <c r="I8" s="642">
        <f>$C$8</f>
        <v>2021</v>
      </c>
      <c r="J8" s="524" t="s">
        <v>83</v>
      </c>
      <c r="K8" s="642">
        <f>$B$8</f>
        <v>2020</v>
      </c>
      <c r="L8" s="642">
        <f>$C$8</f>
        <v>2021</v>
      </c>
      <c r="M8" s="524" t="s">
        <v>83</v>
      </c>
      <c r="N8" s="642">
        <f>$B$8</f>
        <v>2020</v>
      </c>
      <c r="O8" s="642">
        <f>$C$8</f>
        <v>2021</v>
      </c>
      <c r="P8" s="524" t="s">
        <v>83</v>
      </c>
      <c r="Q8" s="642">
        <f>$B$8</f>
        <v>2020</v>
      </c>
      <c r="R8" s="642">
        <f>$C$8</f>
        <v>2021</v>
      </c>
      <c r="S8" s="524" t="s">
        <v>83</v>
      </c>
      <c r="T8" s="642">
        <f>$B$8</f>
        <v>2020</v>
      </c>
      <c r="U8" s="642">
        <f>$C$8</f>
        <v>2021</v>
      </c>
      <c r="V8" s="524" t="s">
        <v>83</v>
      </c>
      <c r="W8" s="642">
        <f>$B$8</f>
        <v>2020</v>
      </c>
      <c r="X8" s="642">
        <f>$C$8</f>
        <v>2021</v>
      </c>
      <c r="Y8" s="524" t="s">
        <v>83</v>
      </c>
      <c r="Z8" s="642">
        <f>$B$8</f>
        <v>2020</v>
      </c>
      <c r="AA8" s="642">
        <f>$C$8</f>
        <v>2021</v>
      </c>
      <c r="AB8" s="524" t="s">
        <v>83</v>
      </c>
      <c r="AC8" s="642">
        <f>$B$8</f>
        <v>2020</v>
      </c>
      <c r="AD8" s="642">
        <f>$C$8</f>
        <v>2021</v>
      </c>
      <c r="AE8" s="524" t="s">
        <v>83</v>
      </c>
      <c r="AF8" s="642">
        <f>$B$8</f>
        <v>2020</v>
      </c>
      <c r="AG8" s="642">
        <f>$C$8</f>
        <v>2021</v>
      </c>
      <c r="AH8" s="524" t="s">
        <v>83</v>
      </c>
      <c r="AI8" s="642">
        <f>$B$8</f>
        <v>2020</v>
      </c>
      <c r="AJ8" s="642">
        <f>$C$8</f>
        <v>2021</v>
      </c>
      <c r="AK8" s="524" t="s">
        <v>83</v>
      </c>
      <c r="AL8" s="642">
        <f>$B$8</f>
        <v>2020</v>
      </c>
      <c r="AM8" s="642">
        <f>$C$8</f>
        <v>2021</v>
      </c>
      <c r="AN8" s="524" t="s">
        <v>83</v>
      </c>
      <c r="AO8" s="642">
        <f>$B$8</f>
        <v>2020</v>
      </c>
      <c r="AP8" s="642">
        <f>$C$8</f>
        <v>2021</v>
      </c>
      <c r="AQ8" s="524" t="s">
        <v>83</v>
      </c>
      <c r="AR8" s="642">
        <f>$B$8</f>
        <v>2020</v>
      </c>
      <c r="AS8" s="642">
        <f>$C$8</f>
        <v>2021</v>
      </c>
      <c r="AT8" s="524" t="s">
        <v>83</v>
      </c>
    </row>
    <row r="9" spans="1:46" ht="18.75" customHeight="1" x14ac:dyDescent="0.35">
      <c r="A9" s="521" t="s">
        <v>289</v>
      </c>
      <c r="B9" s="612"/>
      <c r="C9" s="588"/>
      <c r="D9" s="526"/>
      <c r="E9" s="588"/>
      <c r="F9" s="588"/>
      <c r="G9" s="526"/>
      <c r="H9" s="612"/>
      <c r="I9" s="588"/>
      <c r="J9" s="526"/>
      <c r="K9" s="612"/>
      <c r="L9" s="588"/>
      <c r="M9" s="526"/>
      <c r="N9" s="612"/>
      <c r="O9" s="588"/>
      <c r="P9" s="526"/>
      <c r="Q9" s="612"/>
      <c r="R9" s="588"/>
      <c r="S9" s="525"/>
      <c r="T9" s="659"/>
      <c r="U9" s="527"/>
      <c r="V9" s="526"/>
      <c r="W9" s="647"/>
      <c r="X9" s="590"/>
      <c r="Y9" s="526"/>
      <c r="Z9" s="612"/>
      <c r="AA9" s="588"/>
      <c r="AB9" s="526"/>
      <c r="AC9" s="647"/>
      <c r="AD9" s="590"/>
      <c r="AE9" s="526"/>
      <c r="AF9" s="612"/>
      <c r="AG9" s="588"/>
      <c r="AH9" s="526"/>
      <c r="AI9" s="588"/>
      <c r="AJ9" s="588"/>
      <c r="AK9" s="526"/>
      <c r="AL9" s="612"/>
      <c r="AM9" s="588"/>
      <c r="AN9" s="526"/>
      <c r="AO9" s="526"/>
      <c r="AP9" s="526"/>
      <c r="AQ9" s="526"/>
      <c r="AR9" s="528"/>
      <c r="AS9" s="528"/>
      <c r="AT9" s="528"/>
    </row>
    <row r="10" spans="1:46" s="507" customFormat="1" ht="18.75" customHeight="1" x14ac:dyDescent="0.35">
      <c r="A10" s="529" t="s">
        <v>290</v>
      </c>
      <c r="B10" s="613"/>
      <c r="C10" s="435"/>
      <c r="D10" s="531"/>
      <c r="E10" s="435"/>
      <c r="F10" s="435"/>
      <c r="G10" s="531"/>
      <c r="H10" s="613"/>
      <c r="I10" s="435"/>
      <c r="J10" s="531"/>
      <c r="K10" s="613"/>
      <c r="L10" s="435"/>
      <c r="M10" s="531"/>
      <c r="N10" s="613"/>
      <c r="O10" s="435"/>
      <c r="P10" s="531"/>
      <c r="Q10" s="613"/>
      <c r="R10" s="435"/>
      <c r="S10" s="530"/>
      <c r="T10" s="650"/>
      <c r="U10" s="532"/>
      <c r="V10" s="531"/>
      <c r="W10" s="614"/>
      <c r="X10" s="339"/>
      <c r="Y10" s="531"/>
      <c r="Z10" s="613"/>
      <c r="AA10" s="435"/>
      <c r="AB10" s="531"/>
      <c r="AC10" s="614"/>
      <c r="AD10" s="339"/>
      <c r="AE10" s="531"/>
      <c r="AF10" s="613"/>
      <c r="AG10" s="435"/>
      <c r="AH10" s="531"/>
      <c r="AI10" s="613"/>
      <c r="AJ10" s="435"/>
      <c r="AK10" s="531"/>
      <c r="AL10" s="613"/>
      <c r="AM10" s="435"/>
      <c r="AN10" s="531"/>
      <c r="AO10" s="531"/>
      <c r="AP10" s="531"/>
      <c r="AQ10" s="531"/>
      <c r="AR10" s="533"/>
      <c r="AS10" s="533"/>
      <c r="AT10" s="533"/>
    </row>
    <row r="11" spans="1:46" s="507" customFormat="1" ht="18.75" customHeight="1" x14ac:dyDescent="0.35">
      <c r="A11" s="529" t="s">
        <v>291</v>
      </c>
      <c r="B11" s="614">
        <f>1883.065+0.52</f>
        <v>1883.585</v>
      </c>
      <c r="C11" s="339">
        <f>2059.209-6.063</f>
        <v>2053.1459999999997</v>
      </c>
      <c r="D11" s="531">
        <f t="shared" ref="D11:D16" si="0">IF(B11=0, "    ---- ", IF(ABS(ROUND(100/B11*C11-100,1))&lt;999,ROUND(100/B11*C11-100,1),IF(ROUND(100/B11*C11-100,1)&gt;999,999,-999)))</f>
        <v>9</v>
      </c>
      <c r="E11" s="339">
        <v>545.4</v>
      </c>
      <c r="F11" s="339"/>
      <c r="G11" s="531">
        <f t="shared" ref="G11:G30" si="1">IF(E11=0, "    ---- ", IF(ABS(ROUND(100/E11*F11-100,1))&lt;999,ROUND(100/E11*F11-100,1),IF(ROUND(100/E11*F11-100,1)&gt;999,999,-999)))</f>
        <v>-100</v>
      </c>
      <c r="H11" s="614">
        <v>10826.105</v>
      </c>
      <c r="I11" s="339">
        <v>12169.249904130002</v>
      </c>
      <c r="J11" s="531">
        <f t="shared" ref="J11:J17" si="2">IF(H11=0, "    ---- ", IF(ABS(ROUND(100/H11*I11-100,1))&lt;999,ROUND(100/H11*I11-100,1),IF(ROUND(100/H11*I11-100,1)&gt;999,999,-999)))</f>
        <v>12.4</v>
      </c>
      <c r="K11" s="614">
        <v>2541</v>
      </c>
      <c r="L11" s="339">
        <v>2674.7453371200004</v>
      </c>
      <c r="M11" s="531">
        <f t="shared" ref="M11:M17" si="3">IF(K11=0, "    ---- ", IF(ABS(ROUND(100/K11*L11-100,1))&lt;999,ROUND(100/K11*L11-100,1),IF(ROUND(100/K11*L11-100,1)&gt;999,999,-999)))</f>
        <v>5.3</v>
      </c>
      <c r="N11" s="614">
        <v>924.93299999999999</v>
      </c>
      <c r="O11" s="339">
        <v>563.12859400000002</v>
      </c>
      <c r="P11" s="531">
        <f t="shared" ref="P11:P17" si="4">IF(N11=0, "    ---- ", IF(ABS(ROUND(100/N11*O11-100,1))&lt;999,ROUND(100/N11*O11-100,1),IF(ROUND(100/N11*O11-100,1)&gt;999,999,-999)))</f>
        <v>-39.1</v>
      </c>
      <c r="Q11" s="614">
        <v>2870.85</v>
      </c>
      <c r="R11" s="339">
        <v>3263.7</v>
      </c>
      <c r="S11" s="531">
        <f t="shared" ref="S11:S16" si="5">IF(Q11=0, "    ---- ", IF(ABS(ROUND(100/Q11*R11-100,1))&lt;999,ROUND(100/Q11*R11-100,1),IF(ROUND(100/Q11*R11-100,1)&gt;999,999,-999)))</f>
        <v>13.7</v>
      </c>
      <c r="T11" s="614">
        <v>26.17104192</v>
      </c>
      <c r="U11" s="339">
        <v>25.866788830000001</v>
      </c>
      <c r="V11" s="531">
        <f>IF(T11=0, "    ---- ", IF(ABS(ROUND(100/T11*U11-100,1))&lt;999,ROUND(100/T11*U11-100,1),IF(ROUND(100/T11*U11-100,1)&gt;999,999,-999)))</f>
        <v>-1.2</v>
      </c>
      <c r="W11" s="614">
        <v>26234.381377770002</v>
      </c>
      <c r="X11" s="339">
        <v>41162.85014653</v>
      </c>
      <c r="Y11" s="531">
        <f t="shared" ref="Y11:Y17" si="6">IF(W11=0, "    ---- ", IF(ABS(ROUND(100/W11*X11-100,1))&lt;999,ROUND(100/W11*X11-100,1),IF(ROUND(100/W11*X11-100,1)&gt;999,999,-999)))</f>
        <v>56.9</v>
      </c>
      <c r="Z11" s="614">
        <v>10019</v>
      </c>
      <c r="AA11" s="339">
        <v>14487.47</v>
      </c>
      <c r="AB11" s="531">
        <f t="shared" ref="AB11:AB17" si="7">IF(Z11=0, "    ---- ", IF(ABS(ROUND(100/Z11*AA11-100,1))&lt;999,ROUND(100/Z11*AA11-100,1),IF(ROUND(100/Z11*AA11-100,1)&gt;999,999,-999)))</f>
        <v>44.6</v>
      </c>
      <c r="AC11" s="614">
        <v>2527</v>
      </c>
      <c r="AD11" s="339">
        <v>6102</v>
      </c>
      <c r="AE11" s="531">
        <f t="shared" ref="AE11:AE17" si="8">IF(AC11=0, "    ---- ", IF(ABS(ROUND(100/AC11*AD11-100,1))&lt;999,ROUND(100/AC11*AD11-100,1),IF(ROUND(100/AC11*AD11-100,1)&gt;999,999,-999)))</f>
        <v>141.5</v>
      </c>
      <c r="AF11" s="614">
        <v>94.921636710000001</v>
      </c>
      <c r="AG11" s="339">
        <v>118.58072222</v>
      </c>
      <c r="AH11" s="531">
        <f t="shared" ref="AH11:AH16" si="9">IF(AF11=0, "    ---- ", IF(ABS(ROUND(100/AF11*AG11-100,1))&lt;999,ROUND(100/AF11*AG11-100,1),IF(ROUND(100/AF11*AG11-100,1)&gt;999,999,-999)))</f>
        <v>24.9</v>
      </c>
      <c r="AI11" s="614">
        <v>4050.7280432700004</v>
      </c>
      <c r="AJ11" s="339">
        <v>4684.7154375499986</v>
      </c>
      <c r="AK11" s="531">
        <f t="shared" ref="AK11:AK17" si="10">IF(AI11=0, "    ---- ", IF(ABS(ROUND(100/AI11*AJ11-100,1))&lt;999,ROUND(100/AI11*AJ11-100,1),IF(ROUND(100/AI11*AJ11-100,1)&gt;999,999,-999)))</f>
        <v>15.7</v>
      </c>
      <c r="AL11" s="614">
        <v>13982</v>
      </c>
      <c r="AM11" s="339">
        <v>14898</v>
      </c>
      <c r="AN11" s="531">
        <f t="shared" ref="AN11:AN17" si="11">IF(AL11=0, "    ---- ", IF(ABS(ROUND(100/AL11*AM11-100,1))&lt;999,ROUND(100/AL11*AM11-100,1),IF(ROUND(100/AL11*AM11-100,1)&gt;999,999,-999)))</f>
        <v>6.6</v>
      </c>
      <c r="AO11" s="531">
        <f t="shared" ref="AO11:AP17" si="12">B11+H11+K11+N11+Q11+W11+E11+Z11+AC11+AI11+AL11</f>
        <v>76404.982421039997</v>
      </c>
      <c r="AP11" s="531">
        <f t="shared" si="12"/>
        <v>102059.00541933</v>
      </c>
      <c r="AQ11" s="531">
        <f t="shared" ref="AQ11:AQ45" si="13">IF(AO11=0, "    ---- ", IF(ABS(ROUND(100/AO11*AP11-100,1))&lt;999,ROUND(100/AO11*AP11-100,1),IF(ROUND(100/AO11*AP11-100,1)&gt;999,999,-999)))</f>
        <v>33.6</v>
      </c>
      <c r="AR11" s="534">
        <f t="shared" ref="AR11:AS17" si="14">+B11+H11+K11+N11+Q11+T11+W11+E11+Z11+AC11+AF11+AI11+AL11</f>
        <v>76526.075099670008</v>
      </c>
      <c r="AS11" s="534">
        <f t="shared" si="14"/>
        <v>102203.45293037999</v>
      </c>
      <c r="AT11" s="531">
        <f t="shared" ref="AT11:AT17" si="15">IF(AR11=0, "    ---- ", IF(ABS(ROUND(100/AR11*AS11-100,1))&lt;999,ROUND(100/AR11*AS11-100,1),IF(ROUND(100/AR11*AS11-100,1)&gt;999,999,-999)))</f>
        <v>33.6</v>
      </c>
    </row>
    <row r="12" spans="1:46" s="507" customFormat="1" ht="18.75" customHeight="1" x14ac:dyDescent="0.35">
      <c r="A12" s="529" t="s">
        <v>292</v>
      </c>
      <c r="B12" s="614">
        <v>-88.582999999999998</v>
      </c>
      <c r="C12" s="339">
        <v>-86.486000000000004</v>
      </c>
      <c r="D12" s="531">
        <f t="shared" si="0"/>
        <v>-2.4</v>
      </c>
      <c r="E12" s="339">
        <v>0.3</v>
      </c>
      <c r="F12" s="339"/>
      <c r="G12" s="531">
        <f t="shared" si="1"/>
        <v>-100</v>
      </c>
      <c r="H12" s="614">
        <v>-207.73599999999999</v>
      </c>
      <c r="I12" s="339">
        <v>-212.67733215000001</v>
      </c>
      <c r="J12" s="531">
        <f t="shared" si="2"/>
        <v>2.4</v>
      </c>
      <c r="K12" s="614">
        <v>-145</v>
      </c>
      <c r="L12" s="339">
        <v>-115.99971381</v>
      </c>
      <c r="M12" s="531">
        <f t="shared" si="3"/>
        <v>-20</v>
      </c>
      <c r="N12" s="614">
        <v>-1.0189999999999999</v>
      </c>
      <c r="O12" s="339">
        <v>-20.119945000000001</v>
      </c>
      <c r="P12" s="531">
        <f t="shared" si="4"/>
        <v>999</v>
      </c>
      <c r="Q12" s="614">
        <v>-58.96</v>
      </c>
      <c r="R12" s="339">
        <v>-60.8</v>
      </c>
      <c r="S12" s="531">
        <f t="shared" si="5"/>
        <v>3.1</v>
      </c>
      <c r="T12" s="614"/>
      <c r="U12" s="339"/>
      <c r="V12" s="531"/>
      <c r="W12" s="614">
        <v>0</v>
      </c>
      <c r="X12" s="339">
        <v>0</v>
      </c>
      <c r="Y12" s="531" t="str">
        <f t="shared" si="6"/>
        <v xml:space="preserve">    ---- </v>
      </c>
      <c r="Z12" s="614">
        <v>-67</v>
      </c>
      <c r="AA12" s="339">
        <v>-67</v>
      </c>
      <c r="AB12" s="531">
        <f t="shared" si="7"/>
        <v>0</v>
      </c>
      <c r="AC12" s="614">
        <v>-1</v>
      </c>
      <c r="AD12" s="339">
        <v>-1</v>
      </c>
      <c r="AE12" s="531"/>
      <c r="AF12" s="614"/>
      <c r="AG12" s="339"/>
      <c r="AH12" s="531"/>
      <c r="AI12" s="614">
        <v>-3.2709999999999999</v>
      </c>
      <c r="AJ12" s="339">
        <v>-4.5049999999999999</v>
      </c>
      <c r="AK12" s="531">
        <f t="shared" si="10"/>
        <v>37.700000000000003</v>
      </c>
      <c r="AL12" s="614">
        <v>-8</v>
      </c>
      <c r="AM12" s="339">
        <v>-6</v>
      </c>
      <c r="AN12" s="531">
        <f t="shared" si="11"/>
        <v>-25</v>
      </c>
      <c r="AO12" s="531">
        <f t="shared" si="12"/>
        <v>-580.26899999999989</v>
      </c>
      <c r="AP12" s="531">
        <f t="shared" si="12"/>
        <v>-574.58799095999996</v>
      </c>
      <c r="AQ12" s="531">
        <f t="shared" si="13"/>
        <v>-1</v>
      </c>
      <c r="AR12" s="534">
        <f t="shared" si="14"/>
        <v>-580.26899999999989</v>
      </c>
      <c r="AS12" s="534">
        <f t="shared" si="14"/>
        <v>-574.58799095999996</v>
      </c>
      <c r="AT12" s="531">
        <f t="shared" si="15"/>
        <v>-1</v>
      </c>
    </row>
    <row r="13" spans="1:46" s="507" customFormat="1" ht="18.75" customHeight="1" x14ac:dyDescent="0.35">
      <c r="A13" s="529" t="s">
        <v>293</v>
      </c>
      <c r="B13" s="614">
        <v>728.35199999999998</v>
      </c>
      <c r="C13" s="339">
        <v>3785.288</v>
      </c>
      <c r="D13" s="531">
        <f t="shared" si="0"/>
        <v>419.7</v>
      </c>
      <c r="E13" s="339">
        <v>320</v>
      </c>
      <c r="F13" s="339"/>
      <c r="G13" s="531">
        <f t="shared" si="1"/>
        <v>-100</v>
      </c>
      <c r="H13" s="614">
        <v>2084.1309999999999</v>
      </c>
      <c r="I13" s="339">
        <v>19013.55908993</v>
      </c>
      <c r="J13" s="531">
        <f t="shared" si="2"/>
        <v>812.3</v>
      </c>
      <c r="K13" s="614">
        <v>0</v>
      </c>
      <c r="L13" s="339">
        <v>0</v>
      </c>
      <c r="M13" s="531" t="str">
        <f t="shared" si="3"/>
        <v xml:space="preserve">    ---- </v>
      </c>
      <c r="N13" s="614">
        <v>101.58799999999999</v>
      </c>
      <c r="O13" s="339"/>
      <c r="P13" s="531">
        <f t="shared" si="4"/>
        <v>-100</v>
      </c>
      <c r="Q13" s="614">
        <v>1341.32</v>
      </c>
      <c r="R13" s="339">
        <v>7102.4</v>
      </c>
      <c r="S13" s="531">
        <f t="shared" si="5"/>
        <v>429.5</v>
      </c>
      <c r="T13" s="614"/>
      <c r="U13" s="339"/>
      <c r="V13" s="531"/>
      <c r="W13" s="614">
        <v>2846.1835729999998</v>
      </c>
      <c r="X13" s="339">
        <v>0</v>
      </c>
      <c r="Y13" s="531">
        <f t="shared" si="6"/>
        <v>-100</v>
      </c>
      <c r="Z13" s="614">
        <v>4797</v>
      </c>
      <c r="AA13" s="339">
        <v>8951</v>
      </c>
      <c r="AB13" s="531">
        <f t="shared" si="7"/>
        <v>86.6</v>
      </c>
      <c r="AC13" s="614">
        <v>0</v>
      </c>
      <c r="AD13" s="339">
        <v>14</v>
      </c>
      <c r="AE13" s="531"/>
      <c r="AF13" s="614">
        <v>73.030493000000007</v>
      </c>
      <c r="AG13" s="339">
        <v>78.064413000000002</v>
      </c>
      <c r="AH13" s="531">
        <f t="shared" si="9"/>
        <v>6.9</v>
      </c>
      <c r="AI13" s="614">
        <v>936.7658244600002</v>
      </c>
      <c r="AJ13" s="339">
        <v>7143.6231994599993</v>
      </c>
      <c r="AK13" s="531">
        <f t="shared" si="10"/>
        <v>662.6</v>
      </c>
      <c r="AL13" s="614">
        <v>5326</v>
      </c>
      <c r="AM13" s="339">
        <v>13610</v>
      </c>
      <c r="AN13" s="531">
        <f t="shared" si="11"/>
        <v>155.5</v>
      </c>
      <c r="AO13" s="531">
        <f t="shared" si="12"/>
        <v>18481.340397460001</v>
      </c>
      <c r="AP13" s="531">
        <f t="shared" si="12"/>
        <v>59619.870289390004</v>
      </c>
      <c r="AQ13" s="531">
        <f t="shared" si="13"/>
        <v>222.6</v>
      </c>
      <c r="AR13" s="534">
        <f t="shared" si="14"/>
        <v>18554.370890459999</v>
      </c>
      <c r="AS13" s="534">
        <f t="shared" si="14"/>
        <v>59697.934702390005</v>
      </c>
      <c r="AT13" s="531">
        <f t="shared" si="15"/>
        <v>221.7</v>
      </c>
    </row>
    <row r="14" spans="1:46" s="507" customFormat="1" ht="18.75" customHeight="1" x14ac:dyDescent="0.35">
      <c r="A14" s="529" t="s">
        <v>294</v>
      </c>
      <c r="B14" s="643">
        <f>SUM(B11:B13)</f>
        <v>2523.3539999999998</v>
      </c>
      <c r="C14" s="644">
        <f>SUM(C11:C13)</f>
        <v>5751.9479999999994</v>
      </c>
      <c r="D14" s="531">
        <f t="shared" si="0"/>
        <v>127.9</v>
      </c>
      <c r="E14" s="435">
        <f>SUM(E11:E13)</f>
        <v>865.69999999999993</v>
      </c>
      <c r="F14" s="435"/>
      <c r="G14" s="531">
        <f t="shared" si="1"/>
        <v>-100</v>
      </c>
      <c r="H14" s="613">
        <f>SUM(H11:H13)</f>
        <v>12702.499999999998</v>
      </c>
      <c r="I14" s="435">
        <f>SUM(I11:I13)</f>
        <v>30970.131661910003</v>
      </c>
      <c r="J14" s="531">
        <f t="shared" si="2"/>
        <v>143.80000000000001</v>
      </c>
      <c r="K14" s="613">
        <f>SUM(K11:K13)</f>
        <v>2396</v>
      </c>
      <c r="L14" s="435">
        <v>2558.7456233100002</v>
      </c>
      <c r="M14" s="531">
        <f t="shared" si="3"/>
        <v>6.8</v>
      </c>
      <c r="N14" s="613">
        <f>SUM(N11:N13)</f>
        <v>1025.502</v>
      </c>
      <c r="O14" s="435">
        <f>SUM(O11:O13)</f>
        <v>543.00864899999999</v>
      </c>
      <c r="P14" s="531">
        <f t="shared" si="4"/>
        <v>-47</v>
      </c>
      <c r="Q14" s="613">
        <f>SUM(Q11:Q13)</f>
        <v>4153.21</v>
      </c>
      <c r="R14" s="435">
        <f>SUM(R11:R13)</f>
        <v>10305.299999999999</v>
      </c>
      <c r="S14" s="531">
        <f t="shared" si="5"/>
        <v>148.1</v>
      </c>
      <c r="T14" s="613">
        <f>SUM(T11:T13)</f>
        <v>26.17104192</v>
      </c>
      <c r="U14" s="435">
        <f>SUM(U11:U13)</f>
        <v>25.866788830000001</v>
      </c>
      <c r="V14" s="531">
        <f>IF(T14=0, "    ---- ", IF(ABS(ROUND(100/T14*U14-100,1))&lt;999,ROUND(100/T14*U14-100,1),IF(ROUND(100/T14*U14-100,1)&gt;999,999,-999)))</f>
        <v>-1.2</v>
      </c>
      <c r="W14" s="613">
        <v>29080.56495077</v>
      </c>
      <c r="X14" s="435">
        <v>41162.85014653</v>
      </c>
      <c r="Y14" s="531">
        <f t="shared" si="6"/>
        <v>41.5</v>
      </c>
      <c r="Z14" s="613">
        <f>SUM(Z11:Z13)</f>
        <v>14749</v>
      </c>
      <c r="AA14" s="435">
        <f>SUM(AA11:AA13)</f>
        <v>23371.47</v>
      </c>
      <c r="AB14" s="531">
        <f t="shared" si="7"/>
        <v>58.5</v>
      </c>
      <c r="AC14" s="613">
        <f>SUM(AC11:AC13)</f>
        <v>2526</v>
      </c>
      <c r="AD14" s="435">
        <f>SUM(AD11:AD13)</f>
        <v>6115</v>
      </c>
      <c r="AE14" s="531">
        <f t="shared" si="8"/>
        <v>142.1</v>
      </c>
      <c r="AF14" s="613">
        <f>SUM(AF11:AF13)</f>
        <v>167.95212971000001</v>
      </c>
      <c r="AG14" s="435">
        <f>SUM(AG11:AG13)</f>
        <v>196.64513521999999</v>
      </c>
      <c r="AH14" s="531">
        <f t="shared" si="9"/>
        <v>17.100000000000001</v>
      </c>
      <c r="AI14" s="613">
        <f>SUM(AI11:AI13)</f>
        <v>4984.2228677300009</v>
      </c>
      <c r="AJ14" s="435">
        <f>SUM(AJ11:AJ13)</f>
        <v>11823.833637009997</v>
      </c>
      <c r="AK14" s="531">
        <f t="shared" si="10"/>
        <v>137.19999999999999</v>
      </c>
      <c r="AL14" s="613">
        <f>SUM(AL11:AL13)</f>
        <v>19300</v>
      </c>
      <c r="AM14" s="435">
        <f>SUM(AM11:AM13)</f>
        <v>28502</v>
      </c>
      <c r="AN14" s="531">
        <f t="shared" si="11"/>
        <v>47.7</v>
      </c>
      <c r="AO14" s="531">
        <f t="shared" si="12"/>
        <v>94306.053818500004</v>
      </c>
      <c r="AP14" s="531">
        <f t="shared" si="12"/>
        <v>161104.28771775999</v>
      </c>
      <c r="AQ14" s="531">
        <f t="shared" si="13"/>
        <v>70.8</v>
      </c>
      <c r="AR14" s="534">
        <f t="shared" si="14"/>
        <v>94500.176990129999</v>
      </c>
      <c r="AS14" s="534">
        <f t="shared" si="14"/>
        <v>161326.79964180998</v>
      </c>
      <c r="AT14" s="531">
        <f t="shared" si="15"/>
        <v>70.7</v>
      </c>
    </row>
    <row r="15" spans="1:46" s="507" customFormat="1" ht="18.75" customHeight="1" x14ac:dyDescent="0.35">
      <c r="A15" s="529" t="s">
        <v>295</v>
      </c>
      <c r="B15" s="196">
        <v>41.421999999999997</v>
      </c>
      <c r="C15" s="445">
        <v>7.5170000000000003</v>
      </c>
      <c r="D15" s="531">
        <f t="shared" si="0"/>
        <v>-81.900000000000006</v>
      </c>
      <c r="E15" s="445">
        <v>18.3</v>
      </c>
      <c r="F15" s="445"/>
      <c r="G15" s="531">
        <f t="shared" si="1"/>
        <v>-100</v>
      </c>
      <c r="H15" s="196">
        <v>-263.21600000000001</v>
      </c>
      <c r="I15" s="445">
        <v>6408.4429132300011</v>
      </c>
      <c r="J15" s="531">
        <f t="shared" si="2"/>
        <v>-999</v>
      </c>
      <c r="K15" s="648">
        <v>114</v>
      </c>
      <c r="L15" s="591">
        <v>67.088604500000002</v>
      </c>
      <c r="M15" s="531">
        <f t="shared" si="3"/>
        <v>-41.2</v>
      </c>
      <c r="N15" s="196">
        <v>23.684000000000001</v>
      </c>
      <c r="O15" s="591">
        <v>49.462055999999997</v>
      </c>
      <c r="P15" s="531">
        <f t="shared" si="4"/>
        <v>108.8</v>
      </c>
      <c r="Q15" s="196">
        <v>98.55</v>
      </c>
      <c r="R15" s="445">
        <v>217.1</v>
      </c>
      <c r="S15" s="531">
        <f t="shared" si="5"/>
        <v>120.3</v>
      </c>
      <c r="T15" s="640"/>
      <c r="U15" s="589"/>
      <c r="V15" s="531"/>
      <c r="W15" s="196">
        <v>7930.9492998100004</v>
      </c>
      <c r="X15" s="445">
        <v>32977.656970770004</v>
      </c>
      <c r="Y15" s="531">
        <f t="shared" si="6"/>
        <v>315.8</v>
      </c>
      <c r="Z15" s="196">
        <v>1556</v>
      </c>
      <c r="AA15" s="445">
        <v>3080.83</v>
      </c>
      <c r="AB15" s="531">
        <f t="shared" si="7"/>
        <v>98</v>
      </c>
      <c r="AC15" s="196">
        <v>3357</v>
      </c>
      <c r="AD15" s="445">
        <v>7808</v>
      </c>
      <c r="AE15" s="531">
        <f t="shared" si="8"/>
        <v>132.6</v>
      </c>
      <c r="AF15" s="640"/>
      <c r="AG15" s="589"/>
      <c r="AH15" s="531"/>
      <c r="AI15" s="652">
        <v>305.63495194999979</v>
      </c>
      <c r="AJ15" s="536">
        <v>1045.2961042799998</v>
      </c>
      <c r="AK15" s="531">
        <f t="shared" si="10"/>
        <v>242</v>
      </c>
      <c r="AL15" s="196">
        <v>7758</v>
      </c>
      <c r="AM15" s="445">
        <v>4665</v>
      </c>
      <c r="AN15" s="531">
        <f t="shared" si="11"/>
        <v>-39.9</v>
      </c>
      <c r="AO15" s="531">
        <f t="shared" si="12"/>
        <v>20940.324251760001</v>
      </c>
      <c r="AP15" s="531">
        <f t="shared" si="12"/>
        <v>56326.393648780009</v>
      </c>
      <c r="AQ15" s="531">
        <f t="shared" si="13"/>
        <v>169</v>
      </c>
      <c r="AR15" s="534">
        <f t="shared" si="14"/>
        <v>20940.324251760001</v>
      </c>
      <c r="AS15" s="534">
        <f t="shared" si="14"/>
        <v>56326.393648780009</v>
      </c>
      <c r="AT15" s="531">
        <f t="shared" si="15"/>
        <v>169</v>
      </c>
    </row>
    <row r="16" spans="1:46" s="507" customFormat="1" ht="18.75" customHeight="1" x14ac:dyDescent="0.35">
      <c r="A16" s="529" t="s">
        <v>296</v>
      </c>
      <c r="B16" s="196">
        <v>340.71899999999999</v>
      </c>
      <c r="C16" s="445">
        <v>2023.32</v>
      </c>
      <c r="D16" s="531">
        <f t="shared" si="0"/>
        <v>493.8</v>
      </c>
      <c r="E16" s="445">
        <v>12.3</v>
      </c>
      <c r="F16" s="445"/>
      <c r="G16" s="537">
        <f t="shared" si="1"/>
        <v>-100</v>
      </c>
      <c r="H16" s="196">
        <v>-872.71199999999999</v>
      </c>
      <c r="I16" s="445">
        <v>10420.390005119996</v>
      </c>
      <c r="J16" s="531">
        <f t="shared" si="2"/>
        <v>-999</v>
      </c>
      <c r="K16" s="648"/>
      <c r="L16" s="591"/>
      <c r="M16" s="531" t="str">
        <f t="shared" si="3"/>
        <v xml:space="preserve">    ---- </v>
      </c>
      <c r="N16" s="196">
        <v>-49.911000000000001</v>
      </c>
      <c r="O16" s="591"/>
      <c r="P16" s="531">
        <f t="shared" si="4"/>
        <v>-100</v>
      </c>
      <c r="Q16" s="196">
        <v>437.17</v>
      </c>
      <c r="R16" s="445">
        <v>3013.8</v>
      </c>
      <c r="S16" s="530">
        <f t="shared" si="5"/>
        <v>589.4</v>
      </c>
      <c r="T16" s="640"/>
      <c r="U16" s="589"/>
      <c r="V16" s="537"/>
      <c r="W16" s="196">
        <v>-0.71734605000000007</v>
      </c>
      <c r="X16" s="445">
        <v>118.1739824</v>
      </c>
      <c r="Y16" s="537">
        <f t="shared" si="6"/>
        <v>-999</v>
      </c>
      <c r="Z16" s="196">
        <v>803</v>
      </c>
      <c r="AA16" s="445">
        <v>9661.69</v>
      </c>
      <c r="AB16" s="531">
        <f t="shared" si="7"/>
        <v>999</v>
      </c>
      <c r="AC16" s="196"/>
      <c r="AD16" s="445"/>
      <c r="AE16" s="531"/>
      <c r="AF16" s="648">
        <v>167.7283042</v>
      </c>
      <c r="AG16" s="536">
        <v>314.72309575000003</v>
      </c>
      <c r="AH16" s="531">
        <f t="shared" si="9"/>
        <v>87.6</v>
      </c>
      <c r="AI16" s="652">
        <v>113.21726035000034</v>
      </c>
      <c r="AJ16" s="536">
        <v>4281.0129498899996</v>
      </c>
      <c r="AK16" s="531">
        <f t="shared" si="10"/>
        <v>999</v>
      </c>
      <c r="AL16" s="196">
        <v>1563</v>
      </c>
      <c r="AM16" s="445">
        <v>13052</v>
      </c>
      <c r="AN16" s="531">
        <f t="shared" si="11"/>
        <v>735.1</v>
      </c>
      <c r="AO16" s="531">
        <f t="shared" si="12"/>
        <v>2346.0659143000003</v>
      </c>
      <c r="AP16" s="531">
        <f t="shared" si="12"/>
        <v>42570.386937409996</v>
      </c>
      <c r="AQ16" s="531">
        <f t="shared" si="13"/>
        <v>999</v>
      </c>
      <c r="AR16" s="534">
        <f t="shared" si="14"/>
        <v>2513.7942185000002</v>
      </c>
      <c r="AS16" s="534">
        <f t="shared" si="14"/>
        <v>42885.110033159996</v>
      </c>
      <c r="AT16" s="531">
        <f t="shared" si="15"/>
        <v>999</v>
      </c>
    </row>
    <row r="17" spans="1:46" s="507" customFormat="1" ht="18.75" customHeight="1" x14ac:dyDescent="0.35">
      <c r="A17" s="529" t="s">
        <v>297</v>
      </c>
      <c r="B17" s="196"/>
      <c r="C17" s="445"/>
      <c r="D17" s="531"/>
      <c r="E17" s="445">
        <v>10.8</v>
      </c>
      <c r="F17" s="445"/>
      <c r="G17" s="531">
        <f t="shared" si="1"/>
        <v>-100</v>
      </c>
      <c r="H17" s="196">
        <v>-17.893999999999998</v>
      </c>
      <c r="I17" s="445">
        <v>5.0553127699999996</v>
      </c>
      <c r="J17" s="531">
        <f t="shared" si="2"/>
        <v>-128.30000000000001</v>
      </c>
      <c r="K17" s="648">
        <v>9</v>
      </c>
      <c r="L17" s="591">
        <v>5.8307104299999697</v>
      </c>
      <c r="M17" s="531">
        <f t="shared" si="3"/>
        <v>-35.200000000000003</v>
      </c>
      <c r="N17" s="196">
        <v>75.668999999999997</v>
      </c>
      <c r="O17" s="591">
        <v>5.1228000000000003E-2</v>
      </c>
      <c r="P17" s="531">
        <f t="shared" si="4"/>
        <v>-99.9</v>
      </c>
      <c r="Q17" s="196">
        <v>133</v>
      </c>
      <c r="R17" s="445">
        <v>162.69999999999999</v>
      </c>
      <c r="S17" s="531"/>
      <c r="T17" s="640"/>
      <c r="U17" s="589"/>
      <c r="V17" s="531"/>
      <c r="W17" s="196">
        <v>886.69994199999996</v>
      </c>
      <c r="X17" s="445">
        <v>942.431149</v>
      </c>
      <c r="Y17" s="531">
        <f t="shared" si="6"/>
        <v>6.3</v>
      </c>
      <c r="Z17" s="196">
        <v>153</v>
      </c>
      <c r="AA17" s="445">
        <v>254.54</v>
      </c>
      <c r="AB17" s="531">
        <f t="shared" si="7"/>
        <v>66.400000000000006</v>
      </c>
      <c r="AC17" s="196">
        <v>149</v>
      </c>
      <c r="AD17" s="445">
        <v>10</v>
      </c>
      <c r="AE17" s="531">
        <f t="shared" si="8"/>
        <v>-93.3</v>
      </c>
      <c r="AF17" s="640"/>
      <c r="AG17" s="589"/>
      <c r="AH17" s="531"/>
      <c r="AI17" s="652">
        <v>175.41353477000001</v>
      </c>
      <c r="AJ17" s="536">
        <v>257.96046215000001</v>
      </c>
      <c r="AK17" s="531">
        <f t="shared" si="10"/>
        <v>47.1</v>
      </c>
      <c r="AL17" s="196">
        <v>594</v>
      </c>
      <c r="AM17" s="445">
        <v>652</v>
      </c>
      <c r="AN17" s="531">
        <f t="shared" si="11"/>
        <v>9.8000000000000007</v>
      </c>
      <c r="AO17" s="531">
        <f t="shared" si="12"/>
        <v>2168.6884767700003</v>
      </c>
      <c r="AP17" s="531">
        <f t="shared" si="12"/>
        <v>2290.56886235</v>
      </c>
      <c r="AQ17" s="531">
        <f t="shared" si="13"/>
        <v>5.6</v>
      </c>
      <c r="AR17" s="534">
        <f t="shared" si="14"/>
        <v>2168.6884767700003</v>
      </c>
      <c r="AS17" s="534">
        <f t="shared" si="14"/>
        <v>2290.56886235</v>
      </c>
      <c r="AT17" s="531">
        <f t="shared" si="15"/>
        <v>5.6</v>
      </c>
    </row>
    <row r="18" spans="1:46" s="507" customFormat="1" ht="18.75" customHeight="1" x14ac:dyDescent="0.35">
      <c r="A18" s="529" t="s">
        <v>298</v>
      </c>
      <c r="B18" s="196"/>
      <c r="C18" s="445"/>
      <c r="D18" s="531"/>
      <c r="E18" s="445"/>
      <c r="F18" s="445"/>
      <c r="G18" s="531"/>
      <c r="H18" s="196"/>
      <c r="I18" s="445"/>
      <c r="J18" s="531"/>
      <c r="K18" s="648"/>
      <c r="L18" s="591"/>
      <c r="M18" s="531"/>
      <c r="N18" s="196"/>
      <c r="O18" s="591"/>
      <c r="P18" s="531"/>
      <c r="Q18" s="196"/>
      <c r="R18" s="445"/>
      <c r="S18" s="530"/>
      <c r="T18" s="640"/>
      <c r="U18" s="589"/>
      <c r="V18" s="531"/>
      <c r="W18" s="196"/>
      <c r="X18" s="445"/>
      <c r="Y18" s="531"/>
      <c r="Z18" s="655"/>
      <c r="AA18" s="538"/>
      <c r="AB18" s="531"/>
      <c r="AC18" s="196"/>
      <c r="AD18" s="445"/>
      <c r="AE18" s="531"/>
      <c r="AF18" s="640"/>
      <c r="AG18" s="589"/>
      <c r="AH18" s="531"/>
      <c r="AI18" s="652"/>
      <c r="AJ18" s="536"/>
      <c r="AK18" s="531"/>
      <c r="AL18" s="196"/>
      <c r="AM18" s="445"/>
      <c r="AN18" s="531"/>
      <c r="AO18" s="531"/>
      <c r="AP18" s="531"/>
      <c r="AQ18" s="531"/>
      <c r="AR18" s="539"/>
      <c r="AS18" s="539"/>
      <c r="AT18" s="533"/>
    </row>
    <row r="19" spans="1:46" s="507" customFormat="1" ht="18.75" customHeight="1" x14ac:dyDescent="0.35">
      <c r="A19" s="529" t="s">
        <v>299</v>
      </c>
      <c r="B19" s="613">
        <f>-607.703+33.625</f>
        <v>-574.07799999999997</v>
      </c>
      <c r="C19" s="435">
        <f>-555.304+39.239</f>
        <v>-516.06499999999994</v>
      </c>
      <c r="D19" s="531">
        <f>IF(B19=0, "    ---- ", IF(ABS(ROUND(100/B19*C19-100,1))&lt;999,ROUND(100/B19*C19-100,1),IF(ROUND(100/B19*C19-100,1)&gt;999,999,-999)))</f>
        <v>-10.1</v>
      </c>
      <c r="E19" s="435">
        <v>-75.3</v>
      </c>
      <c r="F19" s="435"/>
      <c r="G19" s="531">
        <f t="shared" si="1"/>
        <v>-100</v>
      </c>
      <c r="H19" s="613">
        <v>-10563.501</v>
      </c>
      <c r="I19" s="435">
        <v>-10921.576172400004</v>
      </c>
      <c r="J19" s="531">
        <f>IF(H19=0, "    ---- ", IF(ABS(ROUND(100/H19*I19-100,1))&lt;999,ROUND(100/H19*I19-100,1),IF(ROUND(100/H19*I19-100,1)&gt;999,999,-999)))</f>
        <v>3.4</v>
      </c>
      <c r="K19" s="613">
        <v>-1093</v>
      </c>
      <c r="L19" s="435">
        <v>-1095.12714351</v>
      </c>
      <c r="M19" s="531">
        <f>IF(K19=0, "    ---- ", IF(ABS(ROUND(100/K19*L19-100,1))&lt;999,ROUND(100/K19*L19-100,1),IF(ROUND(100/K19*L19-100,1)&gt;999,999,-999)))</f>
        <v>0.2</v>
      </c>
      <c r="N19" s="613">
        <v>-108.334</v>
      </c>
      <c r="O19" s="435">
        <v>-84.494</v>
      </c>
      <c r="P19" s="531">
        <f>IF(N19=0, "    ---- ", IF(ABS(ROUND(100/N19*O19-100,1))&lt;999,ROUND(100/N19*O19-100,1),IF(ROUND(100/N19*O19-100,1)&gt;999,999,-999)))</f>
        <v>-22</v>
      </c>
      <c r="Q19" s="613">
        <f>-473.61+5.39</f>
        <v>-468.22</v>
      </c>
      <c r="R19" s="435">
        <v>-548</v>
      </c>
      <c r="S19" s="531">
        <f>IF(Q19=0, "    ---- ", IF(ABS(ROUND(100/Q19*R19-100,1))&lt;999,ROUND(100/Q19*R19-100,1),IF(ROUND(100/Q19*R19-100,1)&gt;999,999,-999)))</f>
        <v>17</v>
      </c>
      <c r="T19" s="613">
        <v>-14.993433</v>
      </c>
      <c r="U19" s="435">
        <v>-11.365318</v>
      </c>
      <c r="V19" s="531">
        <f>IF(T19=0, "    ---- ", IF(ABS(ROUND(100/T19*U19-100,1))&lt;999,ROUND(100/T19*U19-100,1),IF(ROUND(100/T19*U19-100,1)&gt;999,999,-999)))</f>
        <v>-24.2</v>
      </c>
      <c r="W19" s="613">
        <v>-15345.527322</v>
      </c>
      <c r="X19" s="435">
        <v>-16343.858904999999</v>
      </c>
      <c r="Y19" s="531">
        <f>IF(W19=0, "    ---- ", IF(ABS(ROUND(100/W19*X19-100,1))&lt;999,ROUND(100/W19*X19-100,1),IF(ROUND(100/W19*X19-100,1)&gt;999,999,-999)))</f>
        <v>6.5</v>
      </c>
      <c r="Z19" s="613">
        <v>-5927</v>
      </c>
      <c r="AA19" s="435">
        <v>-4691.75</v>
      </c>
      <c r="AB19" s="531">
        <f>IF(Z19=0, "    ---- ", IF(ABS(ROUND(100/Z19*AA19-100,1))&lt;999,ROUND(100/Z19*AA19-100,1),IF(ROUND(100/Z19*AA19-100,1)&gt;999,999,-999)))</f>
        <v>-20.8</v>
      </c>
      <c r="AC19" s="613">
        <v>-2351</v>
      </c>
      <c r="AD19" s="435">
        <v>-2320</v>
      </c>
      <c r="AE19" s="531">
        <f>IF(AC19=0, "    ---- ", IF(ABS(ROUND(100/AC19*AD19-100,1))&lt;999,ROUND(100/AC19*AD19-100,1),IF(ROUND(100/AC19*AD19-100,1)&gt;999,999,-999)))</f>
        <v>-1.3</v>
      </c>
      <c r="AF19" s="613">
        <v>-153.73549273</v>
      </c>
      <c r="AG19" s="435">
        <v>-120.245323</v>
      </c>
      <c r="AH19" s="531">
        <f>IF(AF19=0, "    ---- ", IF(ABS(ROUND(100/AF19*AG19-100,1))&lt;999,ROUND(100/AF19*AG19-100,1),IF(ROUND(100/AF19*AG19-100,1)&gt;999,999,-999)))</f>
        <v>-21.8</v>
      </c>
      <c r="AI19" s="653">
        <v>-1158.6792028999998</v>
      </c>
      <c r="AJ19" s="540">
        <v>-1210.3769788299999</v>
      </c>
      <c r="AK19" s="531">
        <f>IF(AI19=0, "    ---- ", IF(ABS(ROUND(100/AI19*AJ19-100,1))&lt;999,ROUND(100/AI19*AJ19-100,1),IF(ROUND(100/AI19*AJ19-100,1)&gt;999,999,-999)))</f>
        <v>4.5</v>
      </c>
      <c r="AL19" s="613">
        <f>-9354+4</f>
        <v>-9350</v>
      </c>
      <c r="AM19" s="435">
        <v>-9493</v>
      </c>
      <c r="AN19" s="531">
        <f>IF(AL19=0, "    ---- ", IF(ABS(ROUND(100/AL19*AM19-100,1))&lt;999,ROUND(100/AL19*AM19-100,1),IF(ROUND(100/AL19*AM19-100,1)&gt;999,999,-999)))</f>
        <v>1.5</v>
      </c>
      <c r="AO19" s="531">
        <f t="shared" ref="AO19:AP21" si="16">B19+H19+K19+N19+Q19+W19+E19+Z19+AC19+AI19+AL19</f>
        <v>-47014.639524899998</v>
      </c>
      <c r="AP19" s="531">
        <f t="shared" si="16"/>
        <v>-47224.248199740003</v>
      </c>
      <c r="AQ19" s="531">
        <f t="shared" si="13"/>
        <v>0.4</v>
      </c>
      <c r="AR19" s="534">
        <f t="shared" ref="AR19:AS21" si="17">+B19+H19+K19+N19+Q19+T19+W19+E19+Z19+AC19+AF19+AI19+AL19</f>
        <v>-47183.368450629991</v>
      </c>
      <c r="AS19" s="534">
        <f t="shared" si="17"/>
        <v>-47355.858840740002</v>
      </c>
      <c r="AT19" s="531">
        <f>IF(AR19=0, "    ---- ", IF(ABS(ROUND(100/AR19*AS19-100,1))&lt;999,ROUND(100/AR19*AS19-100,1),IF(ROUND(100/AR19*AS19-100,1)&gt;999,999,-999)))</f>
        <v>0.4</v>
      </c>
    </row>
    <row r="20" spans="1:46" s="507" customFormat="1" ht="18.75" customHeight="1" x14ac:dyDescent="0.35">
      <c r="A20" s="529" t="s">
        <v>361</v>
      </c>
      <c r="B20" s="614">
        <v>-518.29200000000003</v>
      </c>
      <c r="C20" s="339">
        <v>-3528.5079999999998</v>
      </c>
      <c r="D20" s="531">
        <f>IF(B20=0, "    ---- ", IF(ABS(ROUND(100/B20*C20-100,1))&lt;999,ROUND(100/B20*C20-100,1),IF(ROUND(100/B20*C20-100,1)&gt;999,999,-999)))</f>
        <v>580.79999999999995</v>
      </c>
      <c r="E20" s="339">
        <v>-97.9</v>
      </c>
      <c r="F20" s="339"/>
      <c r="G20" s="531">
        <f t="shared" si="1"/>
        <v>-100</v>
      </c>
      <c r="H20" s="614">
        <v>-5884.3549999999996</v>
      </c>
      <c r="I20" s="339">
        <v>-20833.348733579998</v>
      </c>
      <c r="J20" s="531">
        <f>IF(H20=0, "    ---- ", IF(ABS(ROUND(100/H20*I20-100,1))&lt;999,ROUND(100/H20*I20-100,1),IF(ROUND(100/H20*I20-100,1)&gt;999,999,-999)))</f>
        <v>254</v>
      </c>
      <c r="K20" s="614">
        <v>114</v>
      </c>
      <c r="L20" s="339">
        <v>96.846488239999999</v>
      </c>
      <c r="M20" s="531">
        <f>IF(K20=0, "    ---- ", IF(ABS(ROUND(100/K20*L20-100,1))&lt;999,ROUND(100/K20*L20-100,1),IF(ROUND(100/K20*L20-100,1)&gt;999,999,-999)))</f>
        <v>-15</v>
      </c>
      <c r="N20" s="614">
        <v>-103.054</v>
      </c>
      <c r="O20" s="339"/>
      <c r="P20" s="531">
        <f>IF(N20=0, "    ---- ", IF(ABS(ROUND(100/N20*O20-100,1))&lt;999,ROUND(100/N20*O20-100,1),IF(ROUND(100/N20*O20-100,1)&gt;999,999,-999)))</f>
        <v>-100</v>
      </c>
      <c r="Q20" s="614">
        <v>-2402.5</v>
      </c>
      <c r="R20" s="339">
        <v>-7060.7</v>
      </c>
      <c r="S20" s="531">
        <f>IF(Q20=0, "    ---- ", IF(ABS(ROUND(100/Q20*R20-100,1))&lt;999,ROUND(100/Q20*R20-100,1),IF(ROUND(100/Q20*R20-100,1)&gt;999,999,-999)))</f>
        <v>193.9</v>
      </c>
      <c r="T20" s="614"/>
      <c r="U20" s="339"/>
      <c r="V20" s="531"/>
      <c r="W20" s="614">
        <v>-7667.30602</v>
      </c>
      <c r="X20" s="339">
        <v>-8346.1223590000009</v>
      </c>
      <c r="Y20" s="531">
        <f>IF(W20=0, "    ---- ", IF(ABS(ROUND(100/W20*X20-100,1))&lt;999,ROUND(100/W20*X20-100,1),IF(ROUND(100/W20*X20-100,1)&gt;999,999,-999)))</f>
        <v>8.9</v>
      </c>
      <c r="Z20" s="654">
        <v>-1765</v>
      </c>
      <c r="AA20" s="541">
        <v>-9332</v>
      </c>
      <c r="AB20" s="531">
        <f>IF(Z20=0, "    ---- ", IF(ABS(ROUND(100/Z20*AA20-100,1))&lt;999,ROUND(100/Z20*AA20-100,1),IF(ROUND(100/Z20*AA20-100,1)&gt;999,999,-999)))</f>
        <v>428.7</v>
      </c>
      <c r="AC20" s="654">
        <v>-41</v>
      </c>
      <c r="AD20" s="541">
        <v>0</v>
      </c>
      <c r="AE20" s="531"/>
      <c r="AF20" s="614">
        <v>-13.678045600000001</v>
      </c>
      <c r="AG20" s="339">
        <v>-130.25853950000001</v>
      </c>
      <c r="AH20" s="531">
        <f>IF(AF20=0, "    ---- ", IF(ABS(ROUND(100/AF20*AG20-100,1))&lt;999,ROUND(100/AF20*AG20-100,1),IF(ROUND(100/AF20*AG20-100,1)&gt;999,999,-999)))</f>
        <v>852.3</v>
      </c>
      <c r="AI20" s="654">
        <v>-672.03687275999994</v>
      </c>
      <c r="AJ20" s="541">
        <v>-5785.1600913599996</v>
      </c>
      <c r="AK20" s="531">
        <f>IF(AI20=0, "    ---- ", IF(ABS(ROUND(100/AI20*AJ20-100,1))&lt;999,ROUND(100/AI20*AJ20-100,1),IF(ROUND(100/AI20*AJ20-100,1)&gt;999,999,-999)))</f>
        <v>760.8</v>
      </c>
      <c r="AL20" s="614">
        <v>-4228</v>
      </c>
      <c r="AM20" s="339">
        <v>-14841</v>
      </c>
      <c r="AN20" s="531">
        <f>IF(AL20=0, "    ---- ", IF(ABS(ROUND(100/AL20*AM20-100,1))&lt;999,ROUND(100/AL20*AM20-100,1),IF(ROUND(100/AL20*AM20-100,1)&gt;999,999,-999)))</f>
        <v>251</v>
      </c>
      <c r="AO20" s="531">
        <f t="shared" si="16"/>
        <v>-23265.443892760002</v>
      </c>
      <c r="AP20" s="531">
        <f t="shared" si="16"/>
        <v>-69629.992695699999</v>
      </c>
      <c r="AQ20" s="531">
        <f t="shared" si="13"/>
        <v>199.3</v>
      </c>
      <c r="AR20" s="534">
        <f t="shared" si="17"/>
        <v>-23279.121938360004</v>
      </c>
      <c r="AS20" s="534">
        <f t="shared" si="17"/>
        <v>-69760.251235200005</v>
      </c>
      <c r="AT20" s="531">
        <f>IF(AR20=0, "    ---- ", IF(ABS(ROUND(100/AR20*AS20-100,1))&lt;999,ROUND(100/AR20*AS20-100,1),IF(ROUND(100/AR20*AS20-100,1)&gt;999,999,-999)))</f>
        <v>199.7</v>
      </c>
    </row>
    <row r="21" spans="1:46" s="507" customFormat="1" ht="18.75" customHeight="1" x14ac:dyDescent="0.35">
      <c r="A21" s="529" t="s">
        <v>300</v>
      </c>
      <c r="B21" s="613">
        <f>SUM(B19:B20)</f>
        <v>-1092.3699999999999</v>
      </c>
      <c r="C21" s="435">
        <f>SUM(C19:C20)</f>
        <v>-4044.5729999999999</v>
      </c>
      <c r="D21" s="531">
        <f>IF(B21=0, "    ---- ", IF(ABS(ROUND(100/B21*C21-100,1))&lt;999,ROUND(100/B21*C21-100,1),IF(ROUND(100/B21*C21-100,1)&gt;999,999,-999)))</f>
        <v>270.3</v>
      </c>
      <c r="E21" s="435">
        <f>SUM(E19:E20)</f>
        <v>-173.2</v>
      </c>
      <c r="F21" s="435"/>
      <c r="G21" s="531">
        <f t="shared" si="1"/>
        <v>-100</v>
      </c>
      <c r="H21" s="613">
        <f>SUM(H19:H20)</f>
        <v>-16447.856</v>
      </c>
      <c r="I21" s="435">
        <f>SUM(I19:I20)</f>
        <v>-31754.924905980002</v>
      </c>
      <c r="J21" s="531">
        <f>IF(H21=0, "    ---- ", IF(ABS(ROUND(100/H21*I21-100,1))&lt;999,ROUND(100/H21*I21-100,1),IF(ROUND(100/H21*I21-100,1)&gt;999,999,-999)))</f>
        <v>93.1</v>
      </c>
      <c r="K21" s="613">
        <f>SUM(K19:K20)</f>
        <v>-979</v>
      </c>
      <c r="L21" s="435">
        <v>-998.28065527000001</v>
      </c>
      <c r="M21" s="531">
        <f>IF(K21=0, "    ---- ", IF(ABS(ROUND(100/K21*L21-100,1))&lt;999,ROUND(100/K21*L21-100,1),IF(ROUND(100/K21*L21-100,1)&gt;999,999,-999)))</f>
        <v>2</v>
      </c>
      <c r="N21" s="613">
        <f>SUM(N19:N20)</f>
        <v>-211.38800000000001</v>
      </c>
      <c r="O21" s="435">
        <f>SUM(O19:O20)</f>
        <v>-84.494</v>
      </c>
      <c r="P21" s="531">
        <f>IF(N21=0, "    ---- ", IF(ABS(ROUND(100/N21*O21-100,1))&lt;999,ROUND(100/N21*O21-100,1),IF(ROUND(100/N21*O21-100,1)&gt;999,999,-999)))</f>
        <v>-60</v>
      </c>
      <c r="Q21" s="613">
        <f>SUM(Q19:Q20)</f>
        <v>-2870.7200000000003</v>
      </c>
      <c r="R21" s="435">
        <f>SUM(R19:R20)</f>
        <v>-7608.7</v>
      </c>
      <c r="S21" s="531">
        <f>IF(Q21=0, "    ---- ", IF(ABS(ROUND(100/Q21*R21-100,1))&lt;999,ROUND(100/Q21*R21-100,1),IF(ROUND(100/Q21*R21-100,1)&gt;999,999,-999)))</f>
        <v>165</v>
      </c>
      <c r="T21" s="613">
        <f>SUM(T19:T20)</f>
        <v>-14.993433</v>
      </c>
      <c r="U21" s="435">
        <f>SUM(U19:U20)</f>
        <v>-11.365318</v>
      </c>
      <c r="V21" s="531">
        <f>IF(T21=0, "    ---- ", IF(ABS(ROUND(100/T21*U21-100,1))&lt;999,ROUND(100/T21*U21-100,1),IF(ROUND(100/T21*U21-100,1)&gt;999,999,-999)))</f>
        <v>-24.2</v>
      </c>
      <c r="W21" s="613">
        <v>-23012.833341999998</v>
      </c>
      <c r="X21" s="435">
        <v>-24689.981264000002</v>
      </c>
      <c r="Y21" s="531">
        <f>IF(W21=0, "    ---- ", IF(ABS(ROUND(100/W21*X21-100,1))&lt;999,ROUND(100/W21*X21-100,1),IF(ROUND(100/W21*X21-100,1)&gt;999,999,-999)))</f>
        <v>7.3</v>
      </c>
      <c r="Z21" s="613">
        <f>SUM(Z19:Z20)</f>
        <v>-7692</v>
      </c>
      <c r="AA21" s="435">
        <f>SUM(AA19:AA20)</f>
        <v>-14023.75</v>
      </c>
      <c r="AB21" s="531">
        <f>IF(Z21=0, "    ---- ", IF(ABS(ROUND(100/Z21*AA21-100,1))&lt;999,ROUND(100/Z21*AA21-100,1),IF(ROUND(100/Z21*AA21-100,1)&gt;999,999,-999)))</f>
        <v>82.3</v>
      </c>
      <c r="AC21" s="613">
        <f>SUM(AC19:AC20)</f>
        <v>-2392</v>
      </c>
      <c r="AD21" s="435">
        <f>SUM(AD19:AD20)</f>
        <v>-2320</v>
      </c>
      <c r="AE21" s="531">
        <f>IF(AC21=0, "    ---- ", IF(ABS(ROUND(100/AC21*AD21-100,1))&lt;999,ROUND(100/AC21*AD21-100,1),IF(ROUND(100/AC21*AD21-100,1)&gt;999,999,-999)))</f>
        <v>-3</v>
      </c>
      <c r="AF21" s="613">
        <f>SUM(AF19:AF20)</f>
        <v>-167.41353832999999</v>
      </c>
      <c r="AG21" s="435">
        <f>SUM(AG19:AG20)</f>
        <v>-250.50386250000003</v>
      </c>
      <c r="AH21" s="531">
        <f>IF(AF21=0, "    ---- ", IF(ABS(ROUND(100/AF21*AG21-100,1))&lt;999,ROUND(100/AF21*AG21-100,1),IF(ROUND(100/AF21*AG21-100,1)&gt;999,999,-999)))</f>
        <v>49.6</v>
      </c>
      <c r="AI21" s="613">
        <f>SUM(AI19:AI20)</f>
        <v>-1830.7160756599997</v>
      </c>
      <c r="AJ21" s="435">
        <f>SUM(AJ19:AJ20)</f>
        <v>-6995.5370701899992</v>
      </c>
      <c r="AK21" s="531">
        <f>IF(AI21=0, "    ---- ", IF(ABS(ROUND(100/AI21*AJ21-100,1))&lt;999,ROUND(100/AI21*AJ21-100,1),IF(ROUND(100/AI21*AJ21-100,1)&gt;999,999,-999)))</f>
        <v>282.10000000000002</v>
      </c>
      <c r="AL21" s="613">
        <f>SUM(AL19:AL20)</f>
        <v>-13578</v>
      </c>
      <c r="AM21" s="435">
        <f>SUM(AM19:AM20)</f>
        <v>-24334</v>
      </c>
      <c r="AN21" s="531">
        <f>IF(AL21=0, "    ---- ", IF(ABS(ROUND(100/AL21*AM21-100,1))&lt;999,ROUND(100/AL21*AM21-100,1),IF(ROUND(100/AL21*AM21-100,1)&gt;999,999,-999)))</f>
        <v>79.2</v>
      </c>
      <c r="AO21" s="531">
        <f t="shared" si="16"/>
        <v>-70280.083417660004</v>
      </c>
      <c r="AP21" s="531">
        <f t="shared" si="16"/>
        <v>-116854.24089544</v>
      </c>
      <c r="AQ21" s="531">
        <f t="shared" si="13"/>
        <v>66.3</v>
      </c>
      <c r="AR21" s="534">
        <f t="shared" si="17"/>
        <v>-70462.490388990002</v>
      </c>
      <c r="AS21" s="534">
        <f t="shared" si="17"/>
        <v>-117116.11007594</v>
      </c>
      <c r="AT21" s="531">
        <f>IF(AR21=0, "    ---- ", IF(ABS(ROUND(100/AR21*AS21-100,1))&lt;999,ROUND(100/AR21*AS21-100,1),IF(ROUND(100/AR21*AS21-100,1)&gt;999,999,-999)))</f>
        <v>66.2</v>
      </c>
    </row>
    <row r="22" spans="1:46" s="507" customFormat="1" ht="18.75" customHeight="1" x14ac:dyDescent="0.35">
      <c r="A22" s="529" t="s">
        <v>301</v>
      </c>
      <c r="B22" s="196"/>
      <c r="C22" s="445"/>
      <c r="D22" s="531"/>
      <c r="E22" s="589"/>
      <c r="F22" s="589"/>
      <c r="G22" s="531"/>
      <c r="H22" s="196"/>
      <c r="I22" s="445"/>
      <c r="J22" s="531"/>
      <c r="K22" s="640"/>
      <c r="L22" s="589"/>
      <c r="M22" s="531"/>
      <c r="N22" s="196"/>
      <c r="O22" s="589"/>
      <c r="P22" s="531"/>
      <c r="Q22" s="196"/>
      <c r="R22" s="445"/>
      <c r="S22" s="531"/>
      <c r="T22" s="640"/>
      <c r="U22" s="589"/>
      <c r="V22" s="531"/>
      <c r="W22" s="196"/>
      <c r="X22" s="445"/>
      <c r="Y22" s="531"/>
      <c r="Z22" s="640"/>
      <c r="AA22" s="589"/>
      <c r="AB22" s="531"/>
      <c r="AC22" s="640"/>
      <c r="AD22" s="589"/>
      <c r="AE22" s="531"/>
      <c r="AF22" s="640"/>
      <c r="AG22" s="589"/>
      <c r="AH22" s="531"/>
      <c r="AI22" s="640"/>
      <c r="AJ22" s="589"/>
      <c r="AK22" s="531"/>
      <c r="AL22" s="196"/>
      <c r="AM22" s="445"/>
      <c r="AN22" s="531"/>
      <c r="AO22" s="531"/>
      <c r="AP22" s="531"/>
      <c r="AQ22" s="531"/>
      <c r="AR22" s="531"/>
      <c r="AS22" s="531"/>
      <c r="AT22" s="531"/>
    </row>
    <row r="23" spans="1:46" s="507" customFormat="1" ht="18.75" customHeight="1" x14ac:dyDescent="0.35">
      <c r="A23" s="529" t="s">
        <v>302</v>
      </c>
      <c r="B23" s="614">
        <f>-84.824+14.817</f>
        <v>-70.007000000000005</v>
      </c>
      <c r="C23" s="339">
        <f>-52.788+36.616</f>
        <v>-16.171999999999997</v>
      </c>
      <c r="D23" s="531">
        <f t="shared" ref="D23:D29" si="18">IF(B23=0, "    ---- ", IF(ABS(ROUND(100/B23*C23-100,1))&lt;999,ROUND(100/B23*C23-100,1),IF(ROUND(100/B23*C23-100,1)&gt;999,999,-999)))</f>
        <v>-76.900000000000006</v>
      </c>
      <c r="E23" s="339">
        <v>-61.9</v>
      </c>
      <c r="F23" s="339"/>
      <c r="G23" s="531">
        <f t="shared" si="1"/>
        <v>-100</v>
      </c>
      <c r="H23" s="614">
        <v>3318.8820000000001</v>
      </c>
      <c r="I23" s="339">
        <v>3055.2248449600002</v>
      </c>
      <c r="J23" s="531">
        <f t="shared" ref="J23:J29" si="19">IF(H23=0, "    ---- ", IF(ABS(ROUND(100/H23*I23-100,1))&lt;999,ROUND(100/H23*I23-100,1),IF(ROUND(100/H23*I23-100,1)&gt;999,999,-999)))</f>
        <v>-7.9</v>
      </c>
      <c r="K23" s="614">
        <v>-770</v>
      </c>
      <c r="L23" s="339">
        <v>-315.80887659999956</v>
      </c>
      <c r="M23" s="531">
        <f>IF(K23=0, "    ---- ", IF(ABS(ROUND(100/K23*L23-100,1))&lt;999,ROUND(100/K23*L23-100,1),IF(ROUND(100/K23*L23-100,1)&gt;999,999,-999)))</f>
        <v>-59</v>
      </c>
      <c r="N23" s="614">
        <v>-241.41200000000001</v>
      </c>
      <c r="O23" s="339">
        <v>-274.85297400000002</v>
      </c>
      <c r="P23" s="531">
        <f>IF(N23=0, "    ---- ", IF(ABS(ROUND(100/N23*O23-100,1))&lt;999,ROUND(100/N23*O23-100,1),IF(ROUND(100/N23*O23-100,1)&gt;999,999,-999)))</f>
        <v>13.9</v>
      </c>
      <c r="Q23" s="614">
        <f>-329.42+50.43</f>
        <v>-278.99</v>
      </c>
      <c r="R23" s="339">
        <v>-342.7</v>
      </c>
      <c r="S23" s="531">
        <f t="shared" ref="S23:S31" si="20">IF(Q23=0, "    ---- ", IF(ABS(ROUND(100/Q23*R23-100,1))&lt;999,ROUND(100/Q23*R23-100,1),IF(ROUND(100/Q23*R23-100,1)&gt;999,999,-999)))</f>
        <v>22.8</v>
      </c>
      <c r="T23" s="614">
        <v>5.4304032099999997</v>
      </c>
      <c r="U23" s="339">
        <v>3.0386540000000002</v>
      </c>
      <c r="V23" s="531"/>
      <c r="W23" s="614">
        <v>-14246.86870207</v>
      </c>
      <c r="X23" s="339">
        <v>-24823.137031990002</v>
      </c>
      <c r="Y23" s="531">
        <f t="shared" ref="Y23:Y30" si="21">IF(W23=0, "    ---- ", IF(ABS(ROUND(100/W23*X23-100,1))&lt;999,ROUND(100/W23*X23-100,1),IF(ROUND(100/W23*X23-100,1)&gt;999,999,-999)))</f>
        <v>74.2</v>
      </c>
      <c r="Z23" s="614">
        <v>-262</v>
      </c>
      <c r="AA23" s="339">
        <v>-205.95999999999998</v>
      </c>
      <c r="AB23" s="531">
        <f t="shared" ref="AB23:AB29" si="22">IF(Z23=0, "    ---- ", IF(ABS(ROUND(100/Z23*AA23-100,1))&lt;999,ROUND(100/Z23*AA23-100,1),IF(ROUND(100/Z23*AA23-100,1)&gt;999,999,-999)))</f>
        <v>-21.4</v>
      </c>
      <c r="AC23" s="614">
        <v>-1055</v>
      </c>
      <c r="AD23" s="339">
        <v>-4519</v>
      </c>
      <c r="AE23" s="531">
        <f t="shared" ref="AE23:AE29" si="23">IF(AC23=0, "    ---- ", IF(ABS(ROUND(100/AC23*AD23-100,1))&lt;999,ROUND(100/AC23*AD23-100,1),IF(ROUND(100/AC23*AD23-100,1)&gt;999,999,-999)))</f>
        <v>328.3</v>
      </c>
      <c r="AF23" s="614"/>
      <c r="AG23" s="339"/>
      <c r="AH23" s="531"/>
      <c r="AI23" s="614">
        <v>-212.90619566999999</v>
      </c>
      <c r="AJ23" s="339">
        <v>-226.24794961999999</v>
      </c>
      <c r="AK23" s="531">
        <f t="shared" ref="AK23:AK29" si="24">IF(AI23=0, "    ---- ", IF(ABS(ROUND(100/AI23*AJ23-100,1))&lt;999,ROUND(100/AI23*AJ23-100,1),IF(ROUND(100/AI23*AJ23-100,1)&gt;999,999,-999)))</f>
        <v>6.3</v>
      </c>
      <c r="AL23" s="614">
        <v>200</v>
      </c>
      <c r="AM23" s="339">
        <v>-5624</v>
      </c>
      <c r="AN23" s="531">
        <f t="shared" ref="AN23:AN29" si="25">IF(AL23=0, "    ---- ", IF(ABS(ROUND(100/AL23*AM23-100,1))&lt;999,ROUND(100/AL23*AM23-100,1),IF(ROUND(100/AL23*AM23-100,1)&gt;999,999,-999)))</f>
        <v>-999</v>
      </c>
      <c r="AO23" s="531">
        <f t="shared" ref="AO23:AO34" si="26">B23+H23+K23+N23+Q23+W23+E23+Z23+AC23+AI23+AL23</f>
        <v>-13680.20189774</v>
      </c>
      <c r="AP23" s="531">
        <f t="shared" ref="AP23:AP34" si="27">C23+I23+L23+O23+R23+X23+F23+AA23+AD23+AJ23+AM23</f>
        <v>-33292.65398725</v>
      </c>
      <c r="AQ23" s="531">
        <f t="shared" si="13"/>
        <v>143.4</v>
      </c>
      <c r="AR23" s="531"/>
      <c r="AS23" s="531"/>
      <c r="AT23" s="531"/>
    </row>
    <row r="24" spans="1:46" s="507" customFormat="1" ht="18.75" customHeight="1" x14ac:dyDescent="0.35">
      <c r="A24" s="529" t="s">
        <v>303</v>
      </c>
      <c r="B24" s="614"/>
      <c r="C24" s="339"/>
      <c r="D24" s="531"/>
      <c r="E24" s="339">
        <v>0</v>
      </c>
      <c r="F24" s="339"/>
      <c r="G24" s="531" t="str">
        <f t="shared" si="1"/>
        <v xml:space="preserve">    ---- </v>
      </c>
      <c r="H24" s="614">
        <v>1.57</v>
      </c>
      <c r="I24" s="339">
        <v>2.74218691</v>
      </c>
      <c r="J24" s="531">
        <f t="shared" si="19"/>
        <v>74.7</v>
      </c>
      <c r="K24" s="614">
        <v>0</v>
      </c>
      <c r="L24" s="339">
        <v>0</v>
      </c>
      <c r="M24" s="531" t="str">
        <f>IF(K24=0, "    ---- ", IF(ABS(ROUND(100/K24*L24-100,1))&lt;999,ROUND(100/K24*L24-100,1),IF(ROUND(100/K24*L24-100,1)&gt;999,999,-999)))</f>
        <v xml:space="preserve">    ---- </v>
      </c>
      <c r="N24" s="614"/>
      <c r="O24" s="339"/>
      <c r="P24" s="531" t="str">
        <f>IF(N24=0, "    ---- ", IF(ABS(ROUND(100/N24*O24-100,1))&lt;999,ROUND(100/N24*O24-100,1),IF(ROUND(100/N24*O24-100,1)&gt;999,999,-999)))</f>
        <v xml:space="preserve">    ---- </v>
      </c>
      <c r="Q24" s="614">
        <v>-1.46</v>
      </c>
      <c r="R24" s="339">
        <v>-0.08</v>
      </c>
      <c r="S24" s="531">
        <f t="shared" si="20"/>
        <v>-94.5</v>
      </c>
      <c r="T24" s="614"/>
      <c r="U24" s="339"/>
      <c r="V24" s="531"/>
      <c r="W24" s="614">
        <v>489.97288800000001</v>
      </c>
      <c r="X24" s="339">
        <v>611.07972500000005</v>
      </c>
      <c r="Y24" s="531">
        <f t="shared" si="21"/>
        <v>24.7</v>
      </c>
      <c r="Z24" s="614">
        <v>49</v>
      </c>
      <c r="AA24" s="339">
        <v>60</v>
      </c>
      <c r="AB24" s="531">
        <f t="shared" si="22"/>
        <v>22.4</v>
      </c>
      <c r="AC24" s="614"/>
      <c r="AD24" s="339"/>
      <c r="AE24" s="531" t="str">
        <f t="shared" si="23"/>
        <v xml:space="preserve">    ---- </v>
      </c>
      <c r="AF24" s="614"/>
      <c r="AG24" s="339"/>
      <c r="AH24" s="531"/>
      <c r="AI24" s="614">
        <v>176.69697060000007</v>
      </c>
      <c r="AJ24" s="339">
        <v>46.619932499999997</v>
      </c>
      <c r="AK24" s="531">
        <f t="shared" si="24"/>
        <v>-73.599999999999994</v>
      </c>
      <c r="AL24" s="614">
        <v>78</v>
      </c>
      <c r="AM24" s="339">
        <v>-641</v>
      </c>
      <c r="AN24" s="531">
        <f t="shared" si="25"/>
        <v>-921.8</v>
      </c>
      <c r="AO24" s="531">
        <f t="shared" si="26"/>
        <v>793.77985860000013</v>
      </c>
      <c r="AP24" s="531">
        <f t="shared" si="27"/>
        <v>79.361844410000003</v>
      </c>
      <c r="AQ24" s="531">
        <f t="shared" si="13"/>
        <v>-90</v>
      </c>
      <c r="AR24" s="531"/>
      <c r="AS24" s="531"/>
      <c r="AT24" s="531"/>
    </row>
    <row r="25" spans="1:46" s="507" customFormat="1" ht="18.75" customHeight="1" x14ac:dyDescent="0.35">
      <c r="A25" s="529" t="s">
        <v>304</v>
      </c>
      <c r="B25" s="614">
        <v>-25.46</v>
      </c>
      <c r="C25" s="339">
        <v>7.7709999999999999</v>
      </c>
      <c r="D25" s="531">
        <f t="shared" si="18"/>
        <v>-130.5</v>
      </c>
      <c r="E25" s="339">
        <v>0.6</v>
      </c>
      <c r="F25" s="339"/>
      <c r="G25" s="531">
        <f t="shared" si="1"/>
        <v>-100</v>
      </c>
      <c r="H25" s="614">
        <v>2264.88</v>
      </c>
      <c r="I25" s="339">
        <v>804.82167647000006</v>
      </c>
      <c r="J25" s="531">
        <f t="shared" si="19"/>
        <v>-64.5</v>
      </c>
      <c r="K25" s="614">
        <v>-23</v>
      </c>
      <c r="L25" s="339">
        <v>46.184984679999999</v>
      </c>
      <c r="M25" s="531"/>
      <c r="N25" s="614">
        <v>2.98</v>
      </c>
      <c r="O25" s="339">
        <v>1.4</v>
      </c>
      <c r="P25" s="531"/>
      <c r="Q25" s="614">
        <v>18.940000000000001</v>
      </c>
      <c r="R25" s="339">
        <v>-11.2</v>
      </c>
      <c r="S25" s="531">
        <f t="shared" si="20"/>
        <v>-159.1</v>
      </c>
      <c r="T25" s="614"/>
      <c r="U25" s="339"/>
      <c r="V25" s="531"/>
      <c r="W25" s="614">
        <v>8304.7692729999999</v>
      </c>
      <c r="X25" s="339">
        <v>-13482.824649</v>
      </c>
      <c r="Y25" s="531">
        <f t="shared" si="21"/>
        <v>-262.39999999999998</v>
      </c>
      <c r="Z25" s="614">
        <v>-31</v>
      </c>
      <c r="AA25" s="339">
        <v>-594</v>
      </c>
      <c r="AB25" s="531">
        <f t="shared" si="22"/>
        <v>999</v>
      </c>
      <c r="AC25" s="614">
        <v>1090</v>
      </c>
      <c r="AD25" s="339">
        <v>-570</v>
      </c>
      <c r="AE25" s="531">
        <f t="shared" si="23"/>
        <v>-152.30000000000001</v>
      </c>
      <c r="AF25" s="614"/>
      <c r="AG25" s="339"/>
      <c r="AH25" s="531"/>
      <c r="AI25" s="614">
        <v>-28.441718989999995</v>
      </c>
      <c r="AJ25" s="339">
        <v>-55.505044310000017</v>
      </c>
      <c r="AK25" s="531">
        <f t="shared" si="24"/>
        <v>95.2</v>
      </c>
      <c r="AL25" s="614">
        <v>-2592</v>
      </c>
      <c r="AM25" s="339">
        <v>1478</v>
      </c>
      <c r="AN25" s="531">
        <f t="shared" si="25"/>
        <v>-157</v>
      </c>
      <c r="AO25" s="531">
        <f t="shared" si="26"/>
        <v>8982.2675540100008</v>
      </c>
      <c r="AP25" s="531">
        <f t="shared" si="27"/>
        <v>-12375.352032160001</v>
      </c>
      <c r="AQ25" s="531">
        <f t="shared" si="13"/>
        <v>-237.8</v>
      </c>
      <c r="AR25" s="531"/>
      <c r="AS25" s="531"/>
      <c r="AT25" s="531"/>
    </row>
    <row r="26" spans="1:46" s="507" customFormat="1" ht="18.75" customHeight="1" x14ac:dyDescent="0.35">
      <c r="A26" s="529" t="s">
        <v>305</v>
      </c>
      <c r="B26" s="614"/>
      <c r="C26" s="339"/>
      <c r="D26" s="531"/>
      <c r="E26" s="339">
        <v>-0.3</v>
      </c>
      <c r="F26" s="339"/>
      <c r="G26" s="531">
        <f t="shared" si="1"/>
        <v>-100</v>
      </c>
      <c r="H26" s="614">
        <v>-9.4939999999999998</v>
      </c>
      <c r="I26" s="339">
        <v>-7.8538150499999997</v>
      </c>
      <c r="J26" s="531">
        <f t="shared" si="19"/>
        <v>-17.3</v>
      </c>
      <c r="K26" s="614">
        <v>0</v>
      </c>
      <c r="L26" s="339">
        <v>0</v>
      </c>
      <c r="M26" s="531"/>
      <c r="N26" s="614"/>
      <c r="O26" s="339"/>
      <c r="P26" s="531"/>
      <c r="Q26" s="614">
        <v>1.98</v>
      </c>
      <c r="R26" s="339">
        <v>1.6</v>
      </c>
      <c r="S26" s="531"/>
      <c r="T26" s="614"/>
      <c r="U26" s="339"/>
      <c r="V26" s="531"/>
      <c r="W26" s="614">
        <v>-175.29139000000001</v>
      </c>
      <c r="X26" s="339">
        <v>-541.43877599999996</v>
      </c>
      <c r="Y26" s="531">
        <f t="shared" si="21"/>
        <v>208.9</v>
      </c>
      <c r="Z26" s="614">
        <v>-3</v>
      </c>
      <c r="AA26" s="339">
        <v>-3</v>
      </c>
      <c r="AB26" s="531">
        <f t="shared" si="22"/>
        <v>0</v>
      </c>
      <c r="AC26" s="614">
        <v>-23</v>
      </c>
      <c r="AD26" s="339">
        <v>-79</v>
      </c>
      <c r="AE26" s="531">
        <f t="shared" si="23"/>
        <v>243.5</v>
      </c>
      <c r="AF26" s="614"/>
      <c r="AG26" s="339"/>
      <c r="AH26" s="531"/>
      <c r="AI26" s="614">
        <v>-3.1828799999999999</v>
      </c>
      <c r="AJ26" s="339">
        <v>-2.442043</v>
      </c>
      <c r="AK26" s="531">
        <f t="shared" si="24"/>
        <v>-23.3</v>
      </c>
      <c r="AL26" s="614"/>
      <c r="AM26" s="339">
        <v>-3</v>
      </c>
      <c r="AN26" s="531" t="str">
        <f t="shared" si="25"/>
        <v xml:space="preserve">    ---- </v>
      </c>
      <c r="AO26" s="531">
        <f t="shared" si="26"/>
        <v>-212.28827000000004</v>
      </c>
      <c r="AP26" s="531">
        <f t="shared" si="27"/>
        <v>-635.13463404999993</v>
      </c>
      <c r="AQ26" s="531">
        <f t="shared" si="13"/>
        <v>199.2</v>
      </c>
      <c r="AR26" s="531"/>
      <c r="AS26" s="531"/>
      <c r="AT26" s="531"/>
    </row>
    <row r="27" spans="1:46" s="507" customFormat="1" ht="18.75" customHeight="1" x14ac:dyDescent="0.35">
      <c r="A27" s="529" t="s">
        <v>306</v>
      </c>
      <c r="B27" s="614">
        <v>-0.52</v>
      </c>
      <c r="C27" s="339">
        <v>1.571</v>
      </c>
      <c r="D27" s="531">
        <f t="shared" si="18"/>
        <v>-402.1</v>
      </c>
      <c r="E27" s="339"/>
      <c r="F27" s="339"/>
      <c r="G27" s="531"/>
      <c r="H27" s="614">
        <v>-362.935</v>
      </c>
      <c r="I27" s="339">
        <v>-389.2674963</v>
      </c>
      <c r="J27" s="531">
        <f t="shared" si="19"/>
        <v>7.3</v>
      </c>
      <c r="K27" s="614">
        <v>0</v>
      </c>
      <c r="L27" s="339">
        <v>0</v>
      </c>
      <c r="M27" s="531" t="str">
        <f>IF(K27=0, "    ---- ", IF(ABS(ROUND(100/K27*L27-100,1))&lt;999,ROUND(100/K27*L27-100,1),IF(ROUND(100/K27*L27-100,1)&gt;999,999,-999)))</f>
        <v xml:space="preserve">    ---- </v>
      </c>
      <c r="N27" s="614">
        <v>-2.2690000000000001</v>
      </c>
      <c r="O27" s="339">
        <v>-5.6719999999999997</v>
      </c>
      <c r="P27" s="531">
        <f>IF(N27=0, "    ---- ", IF(ABS(ROUND(100/N27*O27-100,1))&lt;999,ROUND(100/N27*O27-100,1),IF(ROUND(100/N27*O27-100,1)&gt;999,999,-999)))</f>
        <v>150</v>
      </c>
      <c r="Q27" s="614"/>
      <c r="R27" s="339"/>
      <c r="S27" s="531"/>
      <c r="T27" s="614"/>
      <c r="U27" s="339"/>
      <c r="V27" s="531"/>
      <c r="W27" s="614"/>
      <c r="X27" s="339"/>
      <c r="Y27" s="531"/>
      <c r="Z27" s="614">
        <v>0</v>
      </c>
      <c r="AA27" s="339">
        <v>0</v>
      </c>
      <c r="AB27" s="531" t="str">
        <f t="shared" si="22"/>
        <v xml:space="preserve">    ---- </v>
      </c>
      <c r="AC27" s="614">
        <v>-3</v>
      </c>
      <c r="AD27" s="339">
        <v>-17</v>
      </c>
      <c r="AE27" s="531"/>
      <c r="AF27" s="614"/>
      <c r="AG27" s="339"/>
      <c r="AH27" s="531"/>
      <c r="AI27" s="614">
        <v>0</v>
      </c>
      <c r="AJ27" s="339">
        <v>0</v>
      </c>
      <c r="AK27" s="531" t="str">
        <f t="shared" si="24"/>
        <v xml:space="preserve">    ---- </v>
      </c>
      <c r="AL27" s="614">
        <v>-118</v>
      </c>
      <c r="AM27" s="339">
        <v>8</v>
      </c>
      <c r="AN27" s="531">
        <f t="shared" si="25"/>
        <v>-106.8</v>
      </c>
      <c r="AO27" s="531">
        <f t="shared" si="26"/>
        <v>-486.72399999999999</v>
      </c>
      <c r="AP27" s="531">
        <f t="shared" si="27"/>
        <v>-402.3684963</v>
      </c>
      <c r="AQ27" s="531">
        <f t="shared" si="13"/>
        <v>-17.3</v>
      </c>
      <c r="AR27" s="531"/>
      <c r="AS27" s="531"/>
      <c r="AT27" s="531"/>
    </row>
    <row r="28" spans="1:46" s="507" customFormat="1" ht="18.75" customHeight="1" x14ac:dyDescent="0.35">
      <c r="A28" s="529" t="s">
        <v>307</v>
      </c>
      <c r="B28" s="614"/>
      <c r="C28" s="339"/>
      <c r="D28" s="531"/>
      <c r="E28" s="339"/>
      <c r="F28" s="339"/>
      <c r="G28" s="531" t="str">
        <f t="shared" si="1"/>
        <v xml:space="preserve">    ---- </v>
      </c>
      <c r="H28" s="614">
        <v>11.691000000000001</v>
      </c>
      <c r="I28" s="339">
        <v>8.1920000000000002</v>
      </c>
      <c r="J28" s="531">
        <f t="shared" si="19"/>
        <v>-29.9</v>
      </c>
      <c r="K28" s="614">
        <v>0</v>
      </c>
      <c r="L28" s="339">
        <v>0</v>
      </c>
      <c r="M28" s="531"/>
      <c r="N28" s="614"/>
      <c r="O28" s="339"/>
      <c r="P28" s="531"/>
      <c r="Q28" s="614"/>
      <c r="R28" s="339"/>
      <c r="S28" s="531" t="str">
        <f t="shared" si="20"/>
        <v xml:space="preserve">    ---- </v>
      </c>
      <c r="T28" s="614"/>
      <c r="U28" s="339"/>
      <c r="V28" s="531"/>
      <c r="W28" s="614">
        <v>0</v>
      </c>
      <c r="X28" s="339">
        <v>0</v>
      </c>
      <c r="Y28" s="531" t="str">
        <f t="shared" si="21"/>
        <v xml:space="preserve">    ---- </v>
      </c>
      <c r="Z28" s="614">
        <v>3</v>
      </c>
      <c r="AA28" s="339">
        <v>3</v>
      </c>
      <c r="AB28" s="531">
        <f t="shared" si="22"/>
        <v>0</v>
      </c>
      <c r="AC28" s="614"/>
      <c r="AD28" s="339"/>
      <c r="AE28" s="531"/>
      <c r="AF28" s="614"/>
      <c r="AG28" s="339"/>
      <c r="AH28" s="531"/>
      <c r="AI28" s="614">
        <v>0</v>
      </c>
      <c r="AJ28" s="339">
        <v>0.55512700000000004</v>
      </c>
      <c r="AK28" s="531" t="str">
        <f t="shared" si="24"/>
        <v xml:space="preserve">    ---- </v>
      </c>
      <c r="AL28" s="614">
        <v>-7</v>
      </c>
      <c r="AM28" s="339">
        <v>682</v>
      </c>
      <c r="AN28" s="531">
        <f t="shared" si="25"/>
        <v>-999</v>
      </c>
      <c r="AO28" s="531">
        <f t="shared" si="26"/>
        <v>7.6910000000000007</v>
      </c>
      <c r="AP28" s="531">
        <f t="shared" si="27"/>
        <v>693.74712699999998</v>
      </c>
      <c r="AQ28" s="531">
        <f t="shared" si="13"/>
        <v>999</v>
      </c>
      <c r="AR28" s="531"/>
      <c r="AS28" s="531"/>
      <c r="AT28" s="531"/>
    </row>
    <row r="29" spans="1:46" s="507" customFormat="1" ht="18.75" customHeight="1" x14ac:dyDescent="0.35">
      <c r="A29" s="529" t="s">
        <v>308</v>
      </c>
      <c r="B29" s="614">
        <f>SUM(B23:B28)</f>
        <v>-95.987000000000009</v>
      </c>
      <c r="C29" s="339">
        <f>SUM(C23:C28)</f>
        <v>-6.8299999999999965</v>
      </c>
      <c r="D29" s="531">
        <f t="shared" si="18"/>
        <v>-92.9</v>
      </c>
      <c r="E29" s="339">
        <f>SUM(E23:E28)</f>
        <v>-61.599999999999994</v>
      </c>
      <c r="F29" s="339"/>
      <c r="G29" s="531">
        <f t="shared" si="1"/>
        <v>-100</v>
      </c>
      <c r="H29" s="614">
        <f>SUM(H23:H28)</f>
        <v>5224.5940000000001</v>
      </c>
      <c r="I29" s="339">
        <f>SUM(I23:I28)</f>
        <v>3473.8593969900003</v>
      </c>
      <c r="J29" s="531">
        <f t="shared" si="19"/>
        <v>-33.5</v>
      </c>
      <c r="K29" s="614">
        <f>SUM(K23:K28)</f>
        <v>-793</v>
      </c>
      <c r="L29" s="339">
        <v>-269.62389191999955</v>
      </c>
      <c r="M29" s="531">
        <f>IF(K29=0, "    ---- ", IF(ABS(ROUND(100/K29*L29-100,1))&lt;999,ROUND(100/K29*L29-100,1),IF(ROUND(100/K29*L29-100,1)&gt;999,999,-999)))</f>
        <v>-66</v>
      </c>
      <c r="N29" s="614">
        <f>SUM(N23:N28)</f>
        <v>-240.70100000000002</v>
      </c>
      <c r="O29" s="339">
        <f>SUM(O23:O28)</f>
        <v>-279.12497400000007</v>
      </c>
      <c r="P29" s="531">
        <f>IF(N29=0, "    ---- ", IF(ABS(ROUND(100/N29*O29-100,1))&lt;999,ROUND(100/N29*O29-100,1),IF(ROUND(100/N29*O29-100,1)&gt;999,999,-999)))</f>
        <v>16</v>
      </c>
      <c r="Q29" s="614">
        <f>SUM(Q23:Q28)</f>
        <v>-259.52999999999997</v>
      </c>
      <c r="R29" s="339">
        <f>SUM(R23:R28)</f>
        <v>-352.37999999999994</v>
      </c>
      <c r="S29" s="531">
        <f t="shared" si="20"/>
        <v>35.799999999999997</v>
      </c>
      <c r="T29" s="614">
        <f>SUM(T23:T28)</f>
        <v>5.4304032099999997</v>
      </c>
      <c r="U29" s="339">
        <f>SUM(U23:U28)</f>
        <v>3.0386540000000002</v>
      </c>
      <c r="V29" s="531"/>
      <c r="W29" s="614">
        <v>-5627.4179310700001</v>
      </c>
      <c r="X29" s="339">
        <v>-38236.320731990003</v>
      </c>
      <c r="Y29" s="531">
        <f t="shared" si="21"/>
        <v>579.5</v>
      </c>
      <c r="Z29" s="614">
        <f>SUM(Z23:Z28)</f>
        <v>-244</v>
      </c>
      <c r="AA29" s="339">
        <f>SUM(AA23:AA28)</f>
        <v>-739.96</v>
      </c>
      <c r="AB29" s="531">
        <f t="shared" si="22"/>
        <v>203.3</v>
      </c>
      <c r="AC29" s="614">
        <f>SUM(AC23:AC28)</f>
        <v>9</v>
      </c>
      <c r="AD29" s="339">
        <f>SUM(AD23:AD28)</f>
        <v>-5185</v>
      </c>
      <c r="AE29" s="531">
        <f t="shared" si="23"/>
        <v>-999</v>
      </c>
      <c r="AF29" s="614">
        <f>SUM(AF23:AF28)</f>
        <v>0</v>
      </c>
      <c r="AG29" s="339">
        <f>SUM(AG23:AG28)</f>
        <v>0</v>
      </c>
      <c r="AH29" s="531"/>
      <c r="AI29" s="614">
        <f>SUM(AI23:AI28)</f>
        <v>-67.833824059999912</v>
      </c>
      <c r="AJ29" s="339">
        <f>SUM(AJ23:AJ28)</f>
        <v>-237.01997743000001</v>
      </c>
      <c r="AK29" s="531">
        <f t="shared" si="24"/>
        <v>249.4</v>
      </c>
      <c r="AL29" s="614">
        <f>SUM(AL23:AL28)</f>
        <v>-2439</v>
      </c>
      <c r="AM29" s="339">
        <f>SUM(AM23:AM28)</f>
        <v>-4100</v>
      </c>
      <c r="AN29" s="531">
        <f t="shared" si="25"/>
        <v>68.099999999999994</v>
      </c>
      <c r="AO29" s="531">
        <f t="shared" si="26"/>
        <v>-4595.4757551299999</v>
      </c>
      <c r="AP29" s="531">
        <f t="shared" si="27"/>
        <v>-45932.400178349999</v>
      </c>
      <c r="AQ29" s="531">
        <f t="shared" si="13"/>
        <v>899.5</v>
      </c>
      <c r="AR29" s="531"/>
      <c r="AS29" s="531"/>
      <c r="AT29" s="531"/>
    </row>
    <row r="30" spans="1:46" s="507" customFormat="1" ht="18.75" customHeight="1" x14ac:dyDescent="0.35">
      <c r="A30" s="529" t="s">
        <v>309</v>
      </c>
      <c r="B30" s="614">
        <v>-1453.777</v>
      </c>
      <c r="C30" s="339">
        <v>-3450.6439999999998</v>
      </c>
      <c r="D30" s="531">
        <f>IF(B30=0, "    ---- ", IF(ABS(ROUND(100/B30*C30-100,1))&lt;999,ROUND(100/B30*C30-100,1),IF(ROUND(100/B30*C30-100,1)&gt;999,999,-999)))</f>
        <v>137.4</v>
      </c>
      <c r="E30" s="339">
        <v>-665.4</v>
      </c>
      <c r="F30" s="339"/>
      <c r="G30" s="531">
        <f t="shared" si="1"/>
        <v>-100</v>
      </c>
      <c r="H30" s="614">
        <v>-1100.953</v>
      </c>
      <c r="I30" s="339">
        <v>-15036.32295288</v>
      </c>
      <c r="J30" s="531">
        <f>IF(H30=0, "    ---- ", IF(ABS(ROUND(100/H30*I30-100,1))&lt;999,ROUND(100/H30*I30-100,1),IF(ROUND(100/H30*I30-100,1)&gt;999,999,-999)))</f>
        <v>999</v>
      </c>
      <c r="K30" s="614"/>
      <c r="L30" s="339"/>
      <c r="M30" s="531"/>
      <c r="N30" s="614">
        <v>-246.80500000000001</v>
      </c>
      <c r="O30" s="339"/>
      <c r="P30" s="531"/>
      <c r="Q30" s="614">
        <v>-1399.7</v>
      </c>
      <c r="R30" s="339">
        <v>-5304.7</v>
      </c>
      <c r="S30" s="531">
        <f t="shared" si="20"/>
        <v>279</v>
      </c>
      <c r="T30" s="614"/>
      <c r="U30" s="339"/>
      <c r="V30" s="531"/>
      <c r="W30" s="614">
        <v>588.91876600000001</v>
      </c>
      <c r="X30" s="339">
        <v>-76.765759000000003</v>
      </c>
      <c r="Y30" s="531">
        <f t="shared" si="21"/>
        <v>-113</v>
      </c>
      <c r="Z30" s="614">
        <v>-7899</v>
      </c>
      <c r="AA30" s="339">
        <v>-18966.25</v>
      </c>
      <c r="AB30" s="531">
        <f>IF(Z30=0, "    ---- ", IF(ABS(ROUND(100/Z30*AA30-100,1))&lt;999,ROUND(100/Z30*AA30-100,1),IF(ROUND(100/Z30*AA30-100,1)&gt;999,999,-999)))</f>
        <v>140.1</v>
      </c>
      <c r="AC30" s="614"/>
      <c r="AD30" s="339"/>
      <c r="AE30" s="531"/>
      <c r="AF30" s="614">
        <v>-161.01533685000001</v>
      </c>
      <c r="AG30" s="339">
        <v>-252.38226577</v>
      </c>
      <c r="AH30" s="531">
        <f>IF(AF30=0, "    ---- ", IF(ABS(ROUND(100/AF30*AG30-100,1))&lt;999,ROUND(100/AF30*AG30-100,1),IF(ROUND(100/AF30*AG30-100,1)&gt;999,999,-999)))</f>
        <v>56.7</v>
      </c>
      <c r="AI30" s="614">
        <v>-3121.4266780900016</v>
      </c>
      <c r="AJ30" s="339">
        <v>-8940.1426066400018</v>
      </c>
      <c r="AK30" s="531">
        <f>IF(AI30=0, "    ---- ", IF(ABS(ROUND(100/AI30*AJ30-100,1))&lt;999,ROUND(100/AI30*AJ30-100,1),IF(ROUND(100/AI30*AJ30-100,1)&gt;999,999,-999)))</f>
        <v>186.4</v>
      </c>
      <c r="AL30" s="614">
        <v>-10376</v>
      </c>
      <c r="AM30" s="339">
        <v>-14374</v>
      </c>
      <c r="AN30" s="531">
        <f>IF(AL30=0, "    ---- ", IF(ABS(ROUND(100/AL30*AM30-100,1))&lt;999,ROUND(100/AL30*AM30-100,1),IF(ROUND(100/AL30*AM30-100,1)&gt;999,999,-999)))</f>
        <v>38.5</v>
      </c>
      <c r="AO30" s="531">
        <f t="shared" si="26"/>
        <v>-25674.142912089999</v>
      </c>
      <c r="AP30" s="531">
        <f t="shared" si="27"/>
        <v>-66148.825318520001</v>
      </c>
      <c r="AQ30" s="531">
        <f t="shared" si="13"/>
        <v>157.6</v>
      </c>
      <c r="AR30" s="531"/>
      <c r="AS30" s="531"/>
      <c r="AT30" s="531"/>
    </row>
    <row r="31" spans="1:46" s="507" customFormat="1" ht="18.75" customHeight="1" x14ac:dyDescent="0.35">
      <c r="A31" s="529" t="s">
        <v>310</v>
      </c>
      <c r="B31" s="614">
        <v>0</v>
      </c>
      <c r="C31" s="339">
        <v>-6.5</v>
      </c>
      <c r="D31" s="531" t="str">
        <f>IF(B31=0, "    ---- ", IF(ABS(ROUND(100/B31*C31-100,1))&lt;999,ROUND(100/B31*C31-100,1),IF(ROUND(100/B31*C31-100,1)&gt;999,999,-999)))</f>
        <v xml:space="preserve">    ---- </v>
      </c>
      <c r="E31" s="339">
        <v>0</v>
      </c>
      <c r="F31" s="339"/>
      <c r="G31" s="531"/>
      <c r="H31" s="614">
        <v>-105.422</v>
      </c>
      <c r="I31" s="339">
        <v>-2875.4594507100005</v>
      </c>
      <c r="J31" s="531">
        <f>IF(H31=0, "    ---- ", IF(ABS(ROUND(100/H31*I31-100,1))&lt;999,ROUND(100/H31*I31-100,1),IF(ROUND(100/H31*I31-100,1)&gt;999,999,-999)))</f>
        <v>999</v>
      </c>
      <c r="K31" s="614">
        <v>0</v>
      </c>
      <c r="L31" s="339">
        <v>-0.65504912999999998</v>
      </c>
      <c r="M31" s="531"/>
      <c r="N31" s="614"/>
      <c r="O31" s="339"/>
      <c r="P31" s="531"/>
      <c r="Q31" s="614">
        <v>37.39</v>
      </c>
      <c r="R31" s="339">
        <v>-46</v>
      </c>
      <c r="S31" s="531">
        <f t="shared" si="20"/>
        <v>-223</v>
      </c>
      <c r="T31" s="614"/>
      <c r="U31" s="339"/>
      <c r="V31" s="531"/>
      <c r="W31" s="614">
        <v>-7040.6116030000003</v>
      </c>
      <c r="X31" s="339">
        <v>-9494.1922919999997</v>
      </c>
      <c r="Y31" s="531">
        <f>IF(W31=0, "    ---- ", IF(ABS(ROUND(100/W31*X31-100,1))&lt;999,ROUND(100/W31*X31-100,1),IF(ROUND(100/W31*X31-100,1)&gt;999,999,-999)))</f>
        <v>34.799999999999997</v>
      </c>
      <c r="Z31" s="614">
        <v>-435</v>
      </c>
      <c r="AA31" s="339">
        <v>-1364.7</v>
      </c>
      <c r="AB31" s="531">
        <f>IF(Z31=0, "    ---- ", IF(ABS(ROUND(100/Z31*AA31-100,1))&lt;999,ROUND(100/Z31*AA31-100,1),IF(ROUND(100/Z31*AA31-100,1)&gt;999,999,-999)))</f>
        <v>213.7</v>
      </c>
      <c r="AC31" s="614">
        <v>-3141</v>
      </c>
      <c r="AD31" s="339">
        <v>-5751</v>
      </c>
      <c r="AE31" s="531">
        <f>IF(AC31=0, "    ---- ", IF(ABS(ROUND(100/AC31*AD31-100,1))&lt;999,ROUND(100/AC31*AD31-100,1),IF(ROUND(100/AC31*AD31-100,1)&gt;999,999,-999)))</f>
        <v>83.1</v>
      </c>
      <c r="AF31" s="614"/>
      <c r="AG31" s="339"/>
      <c r="AH31" s="531"/>
      <c r="AI31" s="614">
        <v>-74.716521539999988</v>
      </c>
      <c r="AJ31" s="339">
        <v>-563.33151398999996</v>
      </c>
      <c r="AK31" s="531">
        <f>IF(AI31=0, "    ---- ", IF(ABS(ROUND(100/AI31*AJ31-100,1))&lt;999,ROUND(100/AI31*AJ31-100,1),IF(ROUND(100/AI31*AJ31-100,1)&gt;999,999,-999)))</f>
        <v>654</v>
      </c>
      <c r="AL31" s="614">
        <v>-1308</v>
      </c>
      <c r="AM31" s="339">
        <v>-1945</v>
      </c>
      <c r="AN31" s="531">
        <f>IF(AL31=0, "    ---- ", IF(ABS(ROUND(100/AL31*AM31-100,1))&lt;999,ROUND(100/AL31*AM31-100,1),IF(ROUND(100/AL31*AM31-100,1)&gt;999,999,-999)))</f>
        <v>48.7</v>
      </c>
      <c r="AO31" s="531">
        <f t="shared" si="26"/>
        <v>-12067.36012454</v>
      </c>
      <c r="AP31" s="531">
        <f t="shared" si="27"/>
        <v>-22046.838305830002</v>
      </c>
      <c r="AQ31" s="531">
        <f t="shared" si="13"/>
        <v>82.7</v>
      </c>
      <c r="AR31" s="531"/>
      <c r="AS31" s="531"/>
      <c r="AT31" s="531"/>
    </row>
    <row r="32" spans="1:46" s="507" customFormat="1" ht="18.75" customHeight="1" x14ac:dyDescent="0.35">
      <c r="A32" s="529" t="s">
        <v>311</v>
      </c>
      <c r="B32" s="614">
        <v>-183.60400000000001</v>
      </c>
      <c r="C32" s="339">
        <v>-159.75399999999999</v>
      </c>
      <c r="D32" s="531">
        <f>IF(B32=0, "    ---- ", IF(ABS(ROUND(100/B32*C32-100,1))&lt;999,ROUND(100/B32*C32-100,1),IF(ROUND(100/B32*C32-100,1)&gt;999,999,-999)))</f>
        <v>-13</v>
      </c>
      <c r="E32" s="339">
        <v>-57.1</v>
      </c>
      <c r="F32" s="339"/>
      <c r="G32" s="531">
        <f>IF(E32=0, "    ---- ", IF(ABS(ROUND(100/E32*F32-100,1))&lt;999,ROUND(100/E32*F32-100,1),IF(ROUND(100/E32*F32-100,1)&gt;999,999,-999)))</f>
        <v>-100</v>
      </c>
      <c r="H32" s="614">
        <v>-799.80499999999995</v>
      </c>
      <c r="I32" s="339">
        <v>-874.62169599999993</v>
      </c>
      <c r="J32" s="531">
        <f>IF(H32=0, "    ---- ", IF(ABS(ROUND(100/H32*I32-100,1))&lt;999,ROUND(100/H32*I32-100,1),IF(ROUND(100/H32*I32-100,1)&gt;999,999,-999)))</f>
        <v>9.4</v>
      </c>
      <c r="K32" s="614">
        <v>-688</v>
      </c>
      <c r="L32" s="339">
        <v>-630.40857976000007</v>
      </c>
      <c r="M32" s="531">
        <f>IF(K32=0, "    ---- ", IF(ABS(ROUND(100/K32*L32-100,1))&lt;999,ROUND(100/K32*L32-100,1),IF(ROUND(100/K32*L32-100,1)&gt;999,999,-999)))</f>
        <v>-8.4</v>
      </c>
      <c r="N32" s="614">
        <v>-190.81800000000001</v>
      </c>
      <c r="O32" s="339">
        <v>-161.54178400000001</v>
      </c>
      <c r="P32" s="531">
        <f>IF(N32=0, "    ---- ", IF(ABS(ROUND(100/N32*O32-100,1))&lt;999,ROUND(100/N32*O32-100,1),IF(ROUND(100/N32*O32-100,1)&gt;999,999,-999)))</f>
        <v>-15.3</v>
      </c>
      <c r="Q32" s="614">
        <v>-222.89</v>
      </c>
      <c r="R32" s="339">
        <v>-231.7</v>
      </c>
      <c r="S32" s="531">
        <f>IF(Q32=0, "    ---- ", IF(ABS(ROUND(100/Q32*R32-100,1))&lt;999,ROUND(100/Q32*R32-100,1),IF(ROUND(100/Q32*R32-100,1)&gt;999,999,-999)))</f>
        <v>4</v>
      </c>
      <c r="T32" s="614">
        <v>-8.1308204899999996</v>
      </c>
      <c r="U32" s="339">
        <v>-7.6978609699999998</v>
      </c>
      <c r="V32" s="531">
        <f>IF(T32=0, "    ---- ", IF(ABS(ROUND(100/T32*U32-100,1))&lt;999,ROUND(100/T32*U32-100,1),IF(ROUND(100/T32*U32-100,1)&gt;999,999,-999)))</f>
        <v>-5.3</v>
      </c>
      <c r="W32" s="614">
        <v>-824.60600101</v>
      </c>
      <c r="X32" s="339">
        <v>-890.7754149299999</v>
      </c>
      <c r="Y32" s="531">
        <f>IF(W32=0, "    ---- ", IF(ABS(ROUND(100/W32*X32-100,1))&lt;999,ROUND(100/W32*X32-100,1),IF(ROUND(100/W32*X32-100,1)&gt;999,999,-999)))</f>
        <v>8</v>
      </c>
      <c r="Z32" s="614">
        <v>-466</v>
      </c>
      <c r="AA32" s="339">
        <v>-554.39</v>
      </c>
      <c r="AB32" s="531">
        <f>IF(Z32=0, "    ---- ", IF(ABS(ROUND(100/Z32*AA32-100,1))&lt;999,ROUND(100/Z32*AA32-100,1),IF(ROUND(100/Z32*AA32-100,1)&gt;999,999,-999)))</f>
        <v>19</v>
      </c>
      <c r="AC32" s="614">
        <v>-142</v>
      </c>
      <c r="AD32" s="339">
        <v>-168</v>
      </c>
      <c r="AE32" s="531">
        <f>IF(AC32=0, "    ---- ", IF(ABS(ROUND(100/AC32*AD32-100,1))&lt;999,ROUND(100/AC32*AD32-100,1),IF(ROUND(100/AC32*AD32-100,1)&gt;999,999,-999)))</f>
        <v>18.3</v>
      </c>
      <c r="AF32" s="614">
        <v>4.5158026500000004</v>
      </c>
      <c r="AG32" s="339">
        <v>5.8977456300000002</v>
      </c>
      <c r="AH32" s="531">
        <f>IF(AF32=0, "    ---- ", IF(ABS(ROUND(100/AF32*AG32-100,1))&lt;999,ROUND(100/AF32*AG32-100,1),IF(ROUND(100/AF32*AG32-100,1)&gt;999,999,-999)))</f>
        <v>30.6</v>
      </c>
      <c r="AI32" s="614">
        <v>-450.36729448839998</v>
      </c>
      <c r="AJ32" s="339">
        <v>-518.89662693869991</v>
      </c>
      <c r="AK32" s="531">
        <f>IF(AI32=0, "    ---- ", IF(ABS(ROUND(100/AI32*AJ32-100,1))&lt;999,ROUND(100/AI32*AJ32-100,1),IF(ROUND(100/AI32*AJ32-100,1)&gt;999,999,-999)))</f>
        <v>15.2</v>
      </c>
      <c r="AL32" s="614">
        <v>-1022</v>
      </c>
      <c r="AM32" s="339">
        <v>-1024</v>
      </c>
      <c r="AN32" s="531">
        <f>IF(AL32=0, "    ---- ", IF(ABS(ROUND(100/AL32*AM32-100,1))&lt;999,ROUND(100/AL32*AM32-100,1),IF(ROUND(100/AL32*AM32-100,1)&gt;999,999,-999)))</f>
        <v>0.2</v>
      </c>
      <c r="AO32" s="531">
        <f t="shared" si="26"/>
        <v>-5047.1902954983998</v>
      </c>
      <c r="AP32" s="531">
        <f t="shared" si="27"/>
        <v>-5214.0881016286994</v>
      </c>
      <c r="AQ32" s="531">
        <f t="shared" si="13"/>
        <v>3.3</v>
      </c>
      <c r="AR32" s="531"/>
      <c r="AS32" s="531"/>
      <c r="AT32" s="531"/>
    </row>
    <row r="33" spans="1:46" s="542" customFormat="1" ht="18.75" customHeight="1" x14ac:dyDescent="0.35">
      <c r="A33" s="529" t="s">
        <v>312</v>
      </c>
      <c r="B33" s="196"/>
      <c r="C33" s="445"/>
      <c r="D33" s="534"/>
      <c r="E33" s="445">
        <v>-10</v>
      </c>
      <c r="F33" s="445"/>
      <c r="G33" s="534">
        <f>IF(E33=0, "    ---- ", IF(ABS(ROUND(100/E33*F33-100,1))&lt;999,ROUND(100/E33*F33-100,1),IF(ROUND(100/E33*F33-100,1)&gt;999,999,-999)))</f>
        <v>-100</v>
      </c>
      <c r="H33" s="196">
        <v>-15.510999999999999</v>
      </c>
      <c r="I33" s="445">
        <v>-35.665785839999998</v>
      </c>
      <c r="J33" s="534">
        <f>IF(H33=0, "    ---- ", IF(ABS(ROUND(100/H33*I33-100,1))&lt;999,ROUND(100/H33*I33-100,1),IF(ROUND(100/H33*I33-100,1)&gt;999,999,-999)))</f>
        <v>129.9</v>
      </c>
      <c r="K33" s="196">
        <v>-10</v>
      </c>
      <c r="L33" s="445">
        <v>-30.067079400000004</v>
      </c>
      <c r="M33" s="534"/>
      <c r="N33" s="196"/>
      <c r="O33" s="445"/>
      <c r="P33" s="534"/>
      <c r="Q33" s="196"/>
      <c r="R33" s="445"/>
      <c r="S33" s="534"/>
      <c r="T33" s="196"/>
      <c r="U33" s="445"/>
      <c r="V33" s="534"/>
      <c r="W33" s="196">
        <v>-896.86303499999997</v>
      </c>
      <c r="X33" s="445">
        <v>-952.22080100000005</v>
      </c>
      <c r="Y33" s="534">
        <f>IF(W33=0, "    ---- ", IF(ABS(ROUND(100/W33*X33-100,1))&lt;999,ROUND(100/W33*X33-100,1),IF(ROUND(100/W33*X33-100,1)&gt;999,999,-999)))</f>
        <v>6.2</v>
      </c>
      <c r="Z33" s="196">
        <v>-34.794406780000003</v>
      </c>
      <c r="AA33" s="445">
        <v>-24.782766969999997</v>
      </c>
      <c r="AB33" s="534">
        <f>IF(Z33=0, "    ---- ", IF(ABS(ROUND(100/Z33*AA33-100,1))&lt;999,ROUND(100/Z33*AA33-100,1),IF(ROUND(100/Z33*AA33-100,1)&gt;999,999,-999)))</f>
        <v>-28.8</v>
      </c>
      <c r="AC33" s="196"/>
      <c r="AD33" s="445"/>
      <c r="AE33" s="534"/>
      <c r="AF33" s="196"/>
      <c r="AG33" s="445"/>
      <c r="AH33" s="534"/>
      <c r="AI33" s="196">
        <v>-0.41922915999999993</v>
      </c>
      <c r="AJ33" s="445">
        <v>-2.6564795000000001</v>
      </c>
      <c r="AK33" s="534">
        <f>IF(AI33=0, "    ---- ", IF(ABS(ROUND(100/AI33*AJ33-100,1))&lt;999,ROUND(100/AI33*AJ33-100,1),IF(ROUND(100/AI33*AJ33-100,1)&gt;999,999,-999)))</f>
        <v>533.70000000000005</v>
      </c>
      <c r="AL33" s="196">
        <v>-178</v>
      </c>
      <c r="AM33" s="445">
        <v>-102</v>
      </c>
      <c r="AN33" s="534">
        <f>IF(AL33=0, "    ---- ", IF(ABS(ROUND(100/AL33*AM33-100,1))&lt;999,ROUND(100/AL33*AM33-100,1),IF(ROUND(100/AL33*AM33-100,1)&gt;999,999,-999)))</f>
        <v>-42.7</v>
      </c>
      <c r="AO33" s="531">
        <f t="shared" si="26"/>
        <v>-1145.58767094</v>
      </c>
      <c r="AP33" s="531">
        <f t="shared" si="27"/>
        <v>-1147.39291271</v>
      </c>
      <c r="AQ33" s="534">
        <f t="shared" si="13"/>
        <v>0.2</v>
      </c>
      <c r="AR33" s="534"/>
      <c r="AS33" s="534"/>
      <c r="AT33" s="534"/>
    </row>
    <row r="34" spans="1:46" s="545" customFormat="1" ht="18.75" customHeight="1" x14ac:dyDescent="0.3">
      <c r="A34" s="543" t="s">
        <v>313</v>
      </c>
      <c r="B34" s="199">
        <f>SUM(B14+B15+B16+B17+B21+B29+B30+B31+B32+B33)</f>
        <v>79.756999999999863</v>
      </c>
      <c r="C34" s="451">
        <f>SUM(C14+C15+C16+C17+C21+C29+C30+C31+C32+C33)</f>
        <v>114.48399999999938</v>
      </c>
      <c r="D34" s="544">
        <f>IF(B34=0, "    ---- ", IF(ABS(ROUND(100/B34*C34-100,1))&lt;999,ROUND(100/B34*C34-100,1),IF(ROUND(100/B34*C34-100,1)&gt;999,999,-999)))</f>
        <v>43.5</v>
      </c>
      <c r="E34" s="451">
        <f>SUM(E14+E15+E16+E17+E21+E29+E30+E31+E32+E33)</f>
        <v>-60.200000000000138</v>
      </c>
      <c r="F34" s="451"/>
      <c r="G34" s="544">
        <f>IF(E34=0, "    ---- ", IF(ABS(ROUND(100/E34*F34-100,1))&lt;999,ROUND(100/E34*F34-100,1),IF(ROUND(100/E34*F34-100,1)&gt;999,999,-999)))</f>
        <v>-100</v>
      </c>
      <c r="H34" s="199">
        <f>SUM(H14+H15+H16+H17+H21+H29+H30+H31+H32+H33)</f>
        <v>-1696.2750000000015</v>
      </c>
      <c r="I34" s="451">
        <f>SUM(I14+I15+I16+I17+I21+I29+I30+I31+I32+I33)</f>
        <v>700.88449860999219</v>
      </c>
      <c r="J34" s="544">
        <f>IF(H34=0, "    ---- ", IF(ABS(ROUND(100/H34*I34-100,1))&lt;999,ROUND(100/H34*I34-100,1),IF(ROUND(100/H34*I34-100,1)&gt;999,999,-999)))</f>
        <v>-141.30000000000001</v>
      </c>
      <c r="K34" s="199">
        <f>SUM(K14+K15+K16+K17+K21+K29+K30+K31+K32+K33)</f>
        <v>49</v>
      </c>
      <c r="L34" s="451">
        <f>SUM(L14+L15+L16+L17+L21+L29+L30+L31+L32+L33)</f>
        <v>702.62968276000106</v>
      </c>
      <c r="M34" s="544">
        <f>IF(K34=0, "    ---- ", IF(ABS(ROUND(100/K34*L34-100,1))&lt;999,ROUND(100/K34*L34-100,1),IF(ROUND(100/K34*L34-100,1)&gt;999,999,-999)))</f>
        <v>999</v>
      </c>
      <c r="N34" s="199">
        <f>SUM(N14+N15+N16+N17+N21+N29+N30+N31+N32+N33)</f>
        <v>185.23199999999989</v>
      </c>
      <c r="O34" s="451">
        <f>SUM(O14+O15+O16+O17+O21+O29+O30+O31+O32+O33)</f>
        <v>67.361174999999889</v>
      </c>
      <c r="P34" s="544">
        <f>IF(N34=0, "    ---- ", IF(ABS(ROUND(100/N34*O34-100,1))&lt;999,ROUND(100/N34*O34-100,1),IF(ROUND(100/N34*O34-100,1)&gt;999,999,-999)))</f>
        <v>-63.6</v>
      </c>
      <c r="Q34" s="199">
        <f>SUM(Q14+Q15+Q16+Q17+Q21+Q29+Q30+Q31+Q32+Q33)</f>
        <v>106.48000000000002</v>
      </c>
      <c r="R34" s="451">
        <f>SUM(R14+R15+R16+R17+R21+R29+R30+R31+R32+R33)</f>
        <v>155.42000000000172</v>
      </c>
      <c r="S34" s="544">
        <f>IF(Q34=0, "    ---- ", IF(ABS(ROUND(100/Q34*R34-100,1))&lt;999,ROUND(100/Q34*R34-100,1),IF(ROUND(100/Q34*R34-100,1)&gt;999,999,-999)))</f>
        <v>46</v>
      </c>
      <c r="T34" s="199">
        <f>SUM(T14+T15+T16+T17+T21+T29+T30+T31+T32+T33)</f>
        <v>8.4771916399999991</v>
      </c>
      <c r="U34" s="451">
        <f>SUM(U14+U15+U16+U17+U21+U29+U30+U31+U32+U33)</f>
        <v>9.8422638599999992</v>
      </c>
      <c r="V34" s="544">
        <f>IF(T34=0, "    ---- ", IF(ABS(ROUND(100/T34*U34-100,1))&lt;999,ROUND(100/T34*U34-100,1),IF(ROUND(100/T34*U34-100,1)&gt;999,999,-999)))</f>
        <v>16.100000000000001</v>
      </c>
      <c r="W34" s="199">
        <v>1084.0837004500067</v>
      </c>
      <c r="X34" s="451">
        <v>860.85598577999133</v>
      </c>
      <c r="Y34" s="544">
        <f>IF(W34=0, "    ---- ", IF(ABS(ROUND(100/W34*X34-100,1))&lt;999,ROUND(100/W34*X34-100,1),IF(ROUND(100/W34*X34-100,1)&gt;999,999,-999)))</f>
        <v>-20.6</v>
      </c>
      <c r="Z34" s="199">
        <f>SUM(Z14+Z15+Z16+Z17+Z21+Z29+Z30+Z31+Z32+Z33)</f>
        <v>490.20559321999997</v>
      </c>
      <c r="AA34" s="451">
        <f>SUM(AA14+AA15+AA16+AA17+AA21+AA29+AA30+AA31+AA32+AA33)</f>
        <v>694.69723303000694</v>
      </c>
      <c r="AB34" s="544">
        <f>IF(Z34=0, "    ---- ", IF(ABS(ROUND(100/Z34*AA34-100,1))&lt;999,ROUND(100/Z34*AA34-100,1),IF(ROUND(100/Z34*AA34-100,1)&gt;999,999,-999)))</f>
        <v>41.7</v>
      </c>
      <c r="AC34" s="199">
        <f>SUM(AC14+AC15+AC16+AC17+AC21+AC29+AC30+AC31+AC32+AC33)</f>
        <v>366</v>
      </c>
      <c r="AD34" s="451">
        <f>SUM(AD14+AD15+AD16+AD17+AD21+AD29+AD30+AD31+AD32+AD33)</f>
        <v>509</v>
      </c>
      <c r="AE34" s="544">
        <f>IF(AC34=0, "    ---- ", IF(ABS(ROUND(100/AC34*AD34-100,1))&lt;999,ROUND(100/AC34*AD34-100,1),IF(ROUND(100/AC34*AD34-100,1)&gt;999,999,-999)))</f>
        <v>39.1</v>
      </c>
      <c r="AF34" s="199">
        <f>SUM(AF14+AF15+AF16+AF17+AF21+AF29+AF30+AF31+AF32+AF33)</f>
        <v>11.767361380000029</v>
      </c>
      <c r="AG34" s="451">
        <f>SUM(AG14+AG15+AG16+AG17+AG21+AG29+AG30+AG31+AG32+AG33)</f>
        <v>14.379848329999984</v>
      </c>
      <c r="AH34" s="544">
        <f>IF(AF34=0, "    ---- ", IF(ABS(ROUND(100/AF34*AG34-100,1))&lt;999,ROUND(100/AF34*AG34-100,1),IF(ROUND(100/AF34*AG34-100,1)&gt;999,999,-999)))</f>
        <v>22.2</v>
      </c>
      <c r="AI34" s="199">
        <f>SUM(AI14+AI15+AI16+AI17+AI21+AI29+AI30+AI31+AI32+AI33)</f>
        <v>33.008991801600118</v>
      </c>
      <c r="AJ34" s="451">
        <f>SUM(AJ14+AJ15+AJ16+AJ17+AJ21+AJ29+AJ30+AJ31+AJ32+AJ33)</f>
        <v>150.51887864129668</v>
      </c>
      <c r="AK34" s="544">
        <f>IF(AI34=0, "    ---- ", IF(ABS(ROUND(100/AI34*AJ34-100,1))&lt;999,ROUND(100/AI34*AJ34-100,1),IF(ROUND(100/AI34*AJ34-100,1)&gt;999,999,-999)))</f>
        <v>356</v>
      </c>
      <c r="AL34" s="199">
        <f>SUM(AL14+AL15+AL16+AL17+AL21+AL29+AL30+AL31+AL32+AL33)</f>
        <v>314</v>
      </c>
      <c r="AM34" s="451">
        <f>SUM(AM14+AM15+AM16+AM17+AM21+AM29+AM30+AM31+AM32+AM33)</f>
        <v>992</v>
      </c>
      <c r="AN34" s="544">
        <f>IF(AL34=0, "    ---- ", IF(ABS(ROUND(100/AL34*AM34-100,1))&lt;999,ROUND(100/AL34*AM34-100,1),IF(ROUND(100/AL34*AM34-100,1)&gt;999,999,-999)))</f>
        <v>215.9</v>
      </c>
      <c r="AO34" s="544">
        <f t="shared" si="26"/>
        <v>951.29228547160506</v>
      </c>
      <c r="AP34" s="544">
        <f t="shared" si="27"/>
        <v>4947.8514538212894</v>
      </c>
      <c r="AQ34" s="544">
        <f t="shared" si="13"/>
        <v>420.1</v>
      </c>
      <c r="AR34" s="544"/>
      <c r="AS34" s="544"/>
      <c r="AT34" s="544"/>
    </row>
    <row r="35" spans="1:46" s="545" customFormat="1" ht="18.75" customHeight="1" x14ac:dyDescent="0.3">
      <c r="A35" s="546"/>
      <c r="B35" s="649"/>
      <c r="C35" s="547"/>
      <c r="D35" s="548"/>
      <c r="E35" s="547"/>
      <c r="F35" s="547"/>
      <c r="G35" s="548"/>
      <c r="H35" s="649"/>
      <c r="I35" s="547"/>
      <c r="J35" s="548"/>
      <c r="K35" s="649"/>
      <c r="L35" s="547"/>
      <c r="M35" s="548"/>
      <c r="N35" s="649"/>
      <c r="O35" s="547"/>
      <c r="P35" s="548"/>
      <c r="Q35" s="649"/>
      <c r="R35" s="547"/>
      <c r="S35" s="548"/>
      <c r="T35" s="649"/>
      <c r="U35" s="547"/>
      <c r="V35" s="548"/>
      <c r="W35" s="649"/>
      <c r="X35" s="547"/>
      <c r="Y35" s="548"/>
      <c r="Z35" s="649"/>
      <c r="AA35" s="547"/>
      <c r="AB35" s="548"/>
      <c r="AC35" s="649"/>
      <c r="AD35" s="547"/>
      <c r="AE35" s="548"/>
      <c r="AF35" s="649"/>
      <c r="AG35" s="547"/>
      <c r="AH35" s="548"/>
      <c r="AI35" s="649"/>
      <c r="AJ35" s="547"/>
      <c r="AK35" s="549"/>
      <c r="AL35" s="649"/>
      <c r="AM35" s="547"/>
      <c r="AN35" s="549"/>
      <c r="AO35" s="549"/>
      <c r="AP35" s="549"/>
      <c r="AQ35" s="549"/>
      <c r="AR35" s="550"/>
      <c r="AS35" s="551"/>
      <c r="AT35" s="552"/>
    </row>
    <row r="36" spans="1:46" s="545" customFormat="1" ht="18.75" customHeight="1" x14ac:dyDescent="0.3">
      <c r="A36" s="521" t="s">
        <v>314</v>
      </c>
      <c r="B36" s="649"/>
      <c r="C36" s="547"/>
      <c r="D36" s="548"/>
      <c r="E36" s="547"/>
      <c r="F36" s="547"/>
      <c r="G36" s="548"/>
      <c r="H36" s="649"/>
      <c r="I36" s="547"/>
      <c r="J36" s="548"/>
      <c r="K36" s="649"/>
      <c r="L36" s="547"/>
      <c r="M36" s="548"/>
      <c r="N36" s="649"/>
      <c r="O36" s="547"/>
      <c r="P36" s="548"/>
      <c r="Q36" s="649"/>
      <c r="R36" s="547"/>
      <c r="S36" s="548"/>
      <c r="T36" s="649"/>
      <c r="U36" s="547"/>
      <c r="V36" s="548"/>
      <c r="W36" s="649"/>
      <c r="X36" s="547"/>
      <c r="Y36" s="548"/>
      <c r="Z36" s="649"/>
      <c r="AA36" s="547"/>
      <c r="AB36" s="548"/>
      <c r="AC36" s="649"/>
      <c r="AD36" s="547"/>
      <c r="AE36" s="548"/>
      <c r="AF36" s="649"/>
      <c r="AG36" s="547"/>
      <c r="AH36" s="548"/>
      <c r="AI36" s="649"/>
      <c r="AJ36" s="547"/>
      <c r="AK36" s="548"/>
      <c r="AL36" s="649"/>
      <c r="AM36" s="547"/>
      <c r="AN36" s="548"/>
      <c r="AO36" s="548"/>
      <c r="AP36" s="548"/>
      <c r="AQ36" s="548"/>
      <c r="AR36" s="553"/>
      <c r="AS36" s="554"/>
      <c r="AT36" s="555"/>
    </row>
    <row r="37" spans="1:46" s="557" customFormat="1" ht="18.75" customHeight="1" x14ac:dyDescent="0.35">
      <c r="A37" s="529" t="s">
        <v>315</v>
      </c>
      <c r="B37" s="650">
        <v>21.33</v>
      </c>
      <c r="C37" s="532">
        <v>4.835</v>
      </c>
      <c r="D37" s="531">
        <f t="shared" ref="D37:D43" si="28">IF(B37=0, "    ---- ", IF(ABS(ROUND(100/B37*C37-100,1))&lt;999,ROUND(100/B37*C37-100,1),IF(ROUND(100/B37*C37-100,1)&gt;999,999,-999)))</f>
        <v>-77.3</v>
      </c>
      <c r="E37" s="532">
        <v>11.7</v>
      </c>
      <c r="F37" s="532"/>
      <c r="G37" s="531">
        <f t="shared" ref="G37:G44" si="29">IF(E37=0, "    ---- ", IF(ABS(ROUND(100/E37*F37-100,1))&lt;999,ROUND(100/E37*F37-100,1),IF(ROUND(100/E37*F37-100,1)&gt;999,999,-999)))</f>
        <v>-100</v>
      </c>
      <c r="H37" s="650">
        <v>466.72699999999998</v>
      </c>
      <c r="I37" s="532">
        <v>761.01273470000001</v>
      </c>
      <c r="J37" s="531">
        <f t="shared" ref="J37:J44" si="30">IF(H37=0, "    ---- ", IF(ABS(ROUND(100/H37*I37-100,1))&lt;999,ROUND(100/H37*I37-100,1),IF(ROUND(100/H37*I37-100,1)&gt;999,999,-999)))</f>
        <v>63.1</v>
      </c>
      <c r="K37" s="650">
        <v>20</v>
      </c>
      <c r="L37" s="532">
        <v>17.557317219999998</v>
      </c>
      <c r="M37" s="531">
        <f t="shared" ref="M37:M43" si="31">IF(K37=0, "    ---- ", IF(ABS(ROUND(100/K37*L37-100,1))&lt;999,ROUND(100/K37*L37-100,1),IF(ROUND(100/K37*L37-100,1)&gt;999,999,-999)))</f>
        <v>-12.2</v>
      </c>
      <c r="N37" s="650">
        <v>9.8469999999999995</v>
      </c>
      <c r="O37" s="532">
        <v>19.544682999999999</v>
      </c>
      <c r="P37" s="531">
        <f t="shared" ref="P37:P43" si="32">IF(N37=0, "    ---- ", IF(ABS(ROUND(100/N37*O37-100,1))&lt;999,ROUND(100/N37*O37-100,1),IF(ROUND(100/N37*O37-100,1)&gt;999,999,-999)))</f>
        <v>98.5</v>
      </c>
      <c r="Q37" s="650">
        <v>13.49</v>
      </c>
      <c r="R37" s="532">
        <v>6.4</v>
      </c>
      <c r="S37" s="531">
        <f t="shared" ref="S37:S44" si="33">IF(Q37=0, "    ---- ", IF(ABS(ROUND(100/Q37*R37-100,1))&lt;999,ROUND(100/Q37*R37-100,1),IF(ROUND(100/Q37*R37-100,1)&gt;999,999,-999)))</f>
        <v>-52.6</v>
      </c>
      <c r="T37" s="650">
        <v>1.44263363</v>
      </c>
      <c r="U37" s="532">
        <v>0.52629322999999995</v>
      </c>
      <c r="V37" s="531">
        <f t="shared" ref="V37:V43" si="34">IF(T37=0, "    ---- ", IF(ABS(ROUND(100/T37*U37-100,1))&lt;999,ROUND(100/T37*U37-100,1),IF(ROUND(100/T37*U37-100,1)&gt;999,999,-999)))</f>
        <v>-63.5</v>
      </c>
      <c r="W37" s="650">
        <v>846.03066941999998</v>
      </c>
      <c r="X37" s="532">
        <v>1033.3446320399999</v>
      </c>
      <c r="Y37" s="531">
        <f t="shared" ref="Y37:Y44" si="35">IF(W37=0, "    ---- ", IF(ABS(ROUND(100/W37*X37-100,1))&lt;999,ROUND(100/W37*X37-100,1),IF(ROUND(100/W37*X37-100,1)&gt;999,999,-999)))</f>
        <v>22.1</v>
      </c>
      <c r="Z37" s="650">
        <v>215</v>
      </c>
      <c r="AA37" s="532">
        <v>10.210000000000001</v>
      </c>
      <c r="AB37" s="531">
        <f t="shared" ref="AB37:AB44" si="36">IF(Z37=0, "    ---- ", IF(ABS(ROUND(100/Z37*AA37-100,1))&lt;999,ROUND(100/Z37*AA37-100,1),IF(ROUND(100/Z37*AA37-100,1)&gt;999,999,-999)))</f>
        <v>-95.3</v>
      </c>
      <c r="AC37" s="650">
        <v>258</v>
      </c>
      <c r="AD37" s="532">
        <v>447</v>
      </c>
      <c r="AE37" s="531">
        <f t="shared" ref="AE37:AE43" si="37">IF(AC37=0, "    ---- ", IF(ABS(ROUND(100/AC37*AD37-100,1))&lt;999,ROUND(100/AC37*AD37-100,1),IF(ROUND(100/AC37*AD37-100,1)&gt;999,999,-999)))</f>
        <v>73.3</v>
      </c>
      <c r="AF37" s="650">
        <v>8.3802429999999997E-2</v>
      </c>
      <c r="AG37" s="532">
        <v>0.19519549999999999</v>
      </c>
      <c r="AH37" s="531"/>
      <c r="AI37" s="650">
        <v>131.80482156000002</v>
      </c>
      <c r="AJ37" s="532">
        <v>190.76453634000009</v>
      </c>
      <c r="AK37" s="531">
        <f t="shared" ref="AK37:AK44" si="38">IF(AI37=0, "    ---- ", IF(ABS(ROUND(100/AI37*AJ37-100,1))&lt;999,ROUND(100/AI37*AJ37-100,1),IF(ROUND(100/AI37*AJ37-100,1)&gt;999,999,-999)))</f>
        <v>44.7</v>
      </c>
      <c r="AL37" s="650">
        <v>777</v>
      </c>
      <c r="AM37" s="532">
        <v>2074</v>
      </c>
      <c r="AN37" s="531">
        <f t="shared" ref="AN37:AN44" si="39">IF(AL37=0, "    ---- ", IF(ABS(ROUND(100/AL37*AM37-100,1))&lt;999,ROUND(100/AL37*AM37-100,1),IF(ROUND(100/AL37*AM37-100,1)&gt;999,999,-999)))</f>
        <v>166.9</v>
      </c>
      <c r="AO37" s="531">
        <f t="shared" ref="AO37:AO45" si="40">B37+H37+K37+N37+Q37+W37+E37+Z37+AC37+AI37+AL37</f>
        <v>2770.9294909800001</v>
      </c>
      <c r="AP37" s="531">
        <f t="shared" ref="AP37:AP45" si="41">C37+I37+L37+O37+R37+X37+F37+AA37+AD37+AJ37+AM37</f>
        <v>4564.6689033000002</v>
      </c>
      <c r="AQ37" s="531">
        <f t="shared" si="13"/>
        <v>64.7</v>
      </c>
      <c r="AR37" s="533"/>
      <c r="AS37" s="556"/>
      <c r="AT37" s="535"/>
    </row>
    <row r="38" spans="1:46" s="557" customFormat="1" ht="18.75" customHeight="1" x14ac:dyDescent="0.35">
      <c r="A38" s="529" t="s">
        <v>316</v>
      </c>
      <c r="B38" s="650"/>
      <c r="C38" s="532"/>
      <c r="D38" s="531"/>
      <c r="E38" s="532">
        <v>4.3</v>
      </c>
      <c r="F38" s="532"/>
      <c r="G38" s="531">
        <f t="shared" si="29"/>
        <v>-100</v>
      </c>
      <c r="H38" s="650">
        <v>1279.1500000000001</v>
      </c>
      <c r="I38" s="532">
        <v>74.766682070000002</v>
      </c>
      <c r="J38" s="531">
        <f t="shared" si="30"/>
        <v>-94.2</v>
      </c>
      <c r="K38" s="650">
        <v>0</v>
      </c>
      <c r="L38" s="532">
        <v>0</v>
      </c>
      <c r="M38" s="531" t="str">
        <f t="shared" si="31"/>
        <v xml:space="preserve">    ---- </v>
      </c>
      <c r="N38" s="650">
        <v>3.5999999999999997E-2</v>
      </c>
      <c r="O38" s="532">
        <v>4.095E-2</v>
      </c>
      <c r="P38" s="531">
        <f t="shared" si="32"/>
        <v>13.8</v>
      </c>
      <c r="Q38" s="650"/>
      <c r="R38" s="532"/>
      <c r="S38" s="531" t="str">
        <f t="shared" si="33"/>
        <v xml:space="preserve">    ---- </v>
      </c>
      <c r="T38" s="650"/>
      <c r="U38" s="532"/>
      <c r="V38" s="531"/>
      <c r="W38" s="650">
        <v>-0.11769064</v>
      </c>
      <c r="X38" s="532">
        <v>11.11077416</v>
      </c>
      <c r="Y38" s="531">
        <f t="shared" si="35"/>
        <v>-999</v>
      </c>
      <c r="Z38" s="650">
        <v>2</v>
      </c>
      <c r="AA38" s="532">
        <v>0</v>
      </c>
      <c r="AB38" s="531">
        <f t="shared" si="36"/>
        <v>-100</v>
      </c>
      <c r="AC38" s="650">
        <v>6</v>
      </c>
      <c r="AD38" s="532">
        <v>4</v>
      </c>
      <c r="AE38" s="531">
        <f t="shared" si="37"/>
        <v>-33.299999999999997</v>
      </c>
      <c r="AF38" s="650"/>
      <c r="AG38" s="532"/>
      <c r="AH38" s="531"/>
      <c r="AI38" s="650">
        <v>3.0027850899999997</v>
      </c>
      <c r="AJ38" s="532">
        <v>1.7599469099999998</v>
      </c>
      <c r="AK38" s="531">
        <f t="shared" si="38"/>
        <v>-41.4</v>
      </c>
      <c r="AL38" s="650">
        <v>2</v>
      </c>
      <c r="AM38" s="532">
        <v>2</v>
      </c>
      <c r="AN38" s="531">
        <f t="shared" si="39"/>
        <v>0</v>
      </c>
      <c r="AO38" s="531">
        <f t="shared" si="40"/>
        <v>1296.3710944500001</v>
      </c>
      <c r="AP38" s="531">
        <f t="shared" si="41"/>
        <v>93.678353139999999</v>
      </c>
      <c r="AQ38" s="531">
        <f t="shared" si="13"/>
        <v>-92.8</v>
      </c>
      <c r="AR38" s="531"/>
      <c r="AS38" s="558"/>
      <c r="AT38" s="531"/>
    </row>
    <row r="39" spans="1:46" s="557" customFormat="1" ht="18.75" customHeight="1" x14ac:dyDescent="0.35">
      <c r="A39" s="529" t="s">
        <v>317</v>
      </c>
      <c r="B39" s="650"/>
      <c r="C39" s="532"/>
      <c r="D39" s="531"/>
      <c r="E39" s="532">
        <v>-7.5</v>
      </c>
      <c r="F39" s="532"/>
      <c r="G39" s="531">
        <f t="shared" si="29"/>
        <v>-100</v>
      </c>
      <c r="H39" s="650">
        <v>-285.60899999999998</v>
      </c>
      <c r="I39" s="532">
        <v>-409.88744632000004</v>
      </c>
      <c r="J39" s="531">
        <f t="shared" si="30"/>
        <v>43.5</v>
      </c>
      <c r="K39" s="650">
        <v>-10</v>
      </c>
      <c r="L39" s="532">
        <v>-14.30557554</v>
      </c>
      <c r="M39" s="531">
        <f t="shared" si="31"/>
        <v>43.1</v>
      </c>
      <c r="N39" s="650"/>
      <c r="O39" s="532"/>
      <c r="P39" s="531" t="str">
        <f t="shared" si="32"/>
        <v xml:space="preserve">    ---- </v>
      </c>
      <c r="Q39" s="650">
        <v>-9.44</v>
      </c>
      <c r="R39" s="532">
        <v>-6.6</v>
      </c>
      <c r="S39" s="531">
        <f t="shared" si="33"/>
        <v>-30.1</v>
      </c>
      <c r="T39" s="650"/>
      <c r="U39" s="532"/>
      <c r="V39" s="531"/>
      <c r="W39" s="650">
        <v>-626.80458233000002</v>
      </c>
      <c r="X39" s="532">
        <v>-205.9828373</v>
      </c>
      <c r="Y39" s="531">
        <f t="shared" si="35"/>
        <v>-67.099999999999994</v>
      </c>
      <c r="Z39" s="650">
        <v>-78</v>
      </c>
      <c r="AA39" s="532">
        <v>-58.83</v>
      </c>
      <c r="AB39" s="531">
        <f t="shared" si="36"/>
        <v>-24.6</v>
      </c>
      <c r="AC39" s="650">
        <v>-74</v>
      </c>
      <c r="AD39" s="532">
        <v>-101</v>
      </c>
      <c r="AE39" s="531">
        <f t="shared" si="37"/>
        <v>36.5</v>
      </c>
      <c r="AF39" s="650"/>
      <c r="AG39" s="532"/>
      <c r="AH39" s="531"/>
      <c r="AI39" s="650">
        <v>-40.838523121599998</v>
      </c>
      <c r="AJ39" s="532">
        <v>-50.437510551300001</v>
      </c>
      <c r="AK39" s="531">
        <f t="shared" si="38"/>
        <v>23.5</v>
      </c>
      <c r="AL39" s="650">
        <v>-290</v>
      </c>
      <c r="AM39" s="532">
        <v>-334.2</v>
      </c>
      <c r="AN39" s="531">
        <f t="shared" si="39"/>
        <v>15.2</v>
      </c>
      <c r="AO39" s="531">
        <f t="shared" si="40"/>
        <v>-1422.1921054515999</v>
      </c>
      <c r="AP39" s="531">
        <f t="shared" si="41"/>
        <v>-1181.2433697113001</v>
      </c>
      <c r="AQ39" s="531">
        <f t="shared" si="13"/>
        <v>-16.899999999999999</v>
      </c>
      <c r="AR39" s="531"/>
      <c r="AS39" s="558"/>
      <c r="AT39" s="531"/>
    </row>
    <row r="40" spans="1:46" s="560" customFormat="1" ht="18.75" customHeight="1" x14ac:dyDescent="0.3">
      <c r="A40" s="546" t="s">
        <v>318</v>
      </c>
      <c r="B40" s="649">
        <f>SUM(B37:B39)</f>
        <v>21.33</v>
      </c>
      <c r="C40" s="547">
        <f>SUM(C37:C39)</f>
        <v>4.835</v>
      </c>
      <c r="D40" s="548">
        <f t="shared" si="28"/>
        <v>-77.3</v>
      </c>
      <c r="E40" s="547">
        <f>SUM(E37:E39)</f>
        <v>8.5</v>
      </c>
      <c r="F40" s="547"/>
      <c r="G40" s="548">
        <f t="shared" si="29"/>
        <v>-100</v>
      </c>
      <c r="H40" s="649">
        <f>SUM(H37:H39)</f>
        <v>1460.268</v>
      </c>
      <c r="I40" s="547">
        <f>SUM(I37:I39)</f>
        <v>425.89197044999997</v>
      </c>
      <c r="J40" s="548">
        <f t="shared" si="30"/>
        <v>-70.8</v>
      </c>
      <c r="K40" s="649">
        <f>SUM(K37:K39)</f>
        <v>10</v>
      </c>
      <c r="L40" s="547">
        <f>SUM(L37:L39)</f>
        <v>3.2517416799999985</v>
      </c>
      <c r="M40" s="548">
        <f t="shared" si="31"/>
        <v>-67.5</v>
      </c>
      <c r="N40" s="649">
        <f>SUM(N37:N39)</f>
        <v>9.8829999999999991</v>
      </c>
      <c r="O40" s="547">
        <f>SUM(O37:O39)</f>
        <v>19.585632999999998</v>
      </c>
      <c r="P40" s="548">
        <f t="shared" si="32"/>
        <v>98.2</v>
      </c>
      <c r="Q40" s="649">
        <f>SUM(Q37:Q39)</f>
        <v>4.0500000000000007</v>
      </c>
      <c r="R40" s="547">
        <f>SUM(R37:R39)</f>
        <v>-0.19999999999999929</v>
      </c>
      <c r="S40" s="548">
        <f t="shared" si="33"/>
        <v>-104.9</v>
      </c>
      <c r="T40" s="649">
        <f>SUM(T37:T39)</f>
        <v>1.44263363</v>
      </c>
      <c r="U40" s="547">
        <f>SUM(U37:U39)</f>
        <v>0.52629322999999995</v>
      </c>
      <c r="V40" s="548">
        <f t="shared" si="34"/>
        <v>-63.5</v>
      </c>
      <c r="W40" s="649">
        <v>219.10839644999999</v>
      </c>
      <c r="X40" s="547">
        <v>838.47256889999971</v>
      </c>
      <c r="Y40" s="548">
        <f t="shared" si="35"/>
        <v>282.7</v>
      </c>
      <c r="Z40" s="649">
        <f>SUM(Z37:Z39)</f>
        <v>139</v>
      </c>
      <c r="AA40" s="547">
        <f>SUM(AA37:AA39)</f>
        <v>-48.62</v>
      </c>
      <c r="AB40" s="548">
        <f t="shared" si="36"/>
        <v>-135</v>
      </c>
      <c r="AC40" s="649">
        <f>SUM(AC37:AC39)</f>
        <v>190</v>
      </c>
      <c r="AD40" s="547">
        <f>SUM(AD37:AD39)</f>
        <v>350</v>
      </c>
      <c r="AE40" s="548">
        <f t="shared" si="37"/>
        <v>84.2</v>
      </c>
      <c r="AF40" s="649">
        <f>SUM(AF37:AF39)</f>
        <v>8.3802429999999997E-2</v>
      </c>
      <c r="AG40" s="547">
        <f>SUM(AG37:AG39)</f>
        <v>0.19519549999999999</v>
      </c>
      <c r="AH40" s="548"/>
      <c r="AI40" s="649">
        <f>SUM(AI37:AI39)</f>
        <v>93.969083528400034</v>
      </c>
      <c r="AJ40" s="547">
        <f>SUM(AJ37:AJ39)</f>
        <v>142.08697269870009</v>
      </c>
      <c r="AK40" s="548">
        <f t="shared" si="38"/>
        <v>51.2</v>
      </c>
      <c r="AL40" s="649">
        <f>SUM(AL37:AL39)</f>
        <v>489</v>
      </c>
      <c r="AM40" s="547">
        <f>SUM(AM37:AM39)</f>
        <v>1741.8</v>
      </c>
      <c r="AN40" s="548">
        <f t="shared" si="39"/>
        <v>256.2</v>
      </c>
      <c r="AO40" s="548">
        <f t="shared" si="40"/>
        <v>2645.1084799783998</v>
      </c>
      <c r="AP40" s="548">
        <f t="shared" si="41"/>
        <v>3477.1038867286998</v>
      </c>
      <c r="AQ40" s="548">
        <f t="shared" si="13"/>
        <v>31.5</v>
      </c>
      <c r="AR40" s="548"/>
      <c r="AS40" s="559"/>
      <c r="AT40" s="548"/>
    </row>
    <row r="41" spans="1:46" s="560" customFormat="1" ht="18.75" customHeight="1" x14ac:dyDescent="0.3">
      <c r="A41" s="546" t="s">
        <v>319</v>
      </c>
      <c r="B41" s="649">
        <f>B34+B40</f>
        <v>101.08699999999986</v>
      </c>
      <c r="C41" s="547">
        <f>C34+C40</f>
        <v>119.31899999999938</v>
      </c>
      <c r="D41" s="548">
        <f t="shared" si="28"/>
        <v>18</v>
      </c>
      <c r="E41" s="547">
        <f>E34+E40</f>
        <v>-51.700000000000138</v>
      </c>
      <c r="F41" s="547"/>
      <c r="G41" s="548">
        <f t="shared" si="29"/>
        <v>-100</v>
      </c>
      <c r="H41" s="649">
        <f>H34+H40</f>
        <v>-236.00700000000143</v>
      </c>
      <c r="I41" s="547">
        <f>I34+I40</f>
        <v>1126.7764690599922</v>
      </c>
      <c r="J41" s="548">
        <f t="shared" si="30"/>
        <v>-577.4</v>
      </c>
      <c r="K41" s="649">
        <f>K34+K40</f>
        <v>59</v>
      </c>
      <c r="L41" s="547">
        <f>L34+L40</f>
        <v>705.88142444000107</v>
      </c>
      <c r="M41" s="548">
        <f t="shared" si="31"/>
        <v>999</v>
      </c>
      <c r="N41" s="649">
        <f>N34+N40</f>
        <v>195.1149999999999</v>
      </c>
      <c r="O41" s="547">
        <f>O34+O40</f>
        <v>86.946807999999891</v>
      </c>
      <c r="P41" s="548">
        <f t="shared" si="32"/>
        <v>-55.4</v>
      </c>
      <c r="Q41" s="649">
        <f>Q34+Q40</f>
        <v>110.53000000000002</v>
      </c>
      <c r="R41" s="547">
        <f>R34+R40</f>
        <v>155.22000000000173</v>
      </c>
      <c r="S41" s="548">
        <f t="shared" si="33"/>
        <v>40.4</v>
      </c>
      <c r="T41" s="649">
        <f>T34+T40</f>
        <v>9.9198252699999987</v>
      </c>
      <c r="U41" s="547">
        <f>U34+U40</f>
        <v>10.368557089999999</v>
      </c>
      <c r="V41" s="548">
        <f t="shared" si="34"/>
        <v>4.5</v>
      </c>
      <c r="W41" s="649">
        <v>1303.1920969000066</v>
      </c>
      <c r="X41" s="547">
        <v>1699.3285546799912</v>
      </c>
      <c r="Y41" s="548">
        <f t="shared" si="35"/>
        <v>30.4</v>
      </c>
      <c r="Z41" s="649">
        <f>Z34+Z40</f>
        <v>629.20559321999997</v>
      </c>
      <c r="AA41" s="547">
        <f>AA34+AA40</f>
        <v>646.07723303000694</v>
      </c>
      <c r="AB41" s="548">
        <f t="shared" si="36"/>
        <v>2.7</v>
      </c>
      <c r="AC41" s="649">
        <f>AC34+AC40</f>
        <v>556</v>
      </c>
      <c r="AD41" s="547">
        <f>AD34+AD40</f>
        <v>859</v>
      </c>
      <c r="AE41" s="548">
        <f t="shared" si="37"/>
        <v>54.5</v>
      </c>
      <c r="AF41" s="649">
        <f>AF34+AF40</f>
        <v>11.851163810000029</v>
      </c>
      <c r="AG41" s="547">
        <f>AG34+AG40</f>
        <v>14.575043829999984</v>
      </c>
      <c r="AH41" s="548">
        <f>IF(AF41=0, "    ---- ", IF(ABS(ROUND(100/AF41*AG41-100,1))&lt;999,ROUND(100/AF41*AG41-100,1),IF(ROUND(100/AF41*AG41-100,1)&gt;999,999,-999)))</f>
        <v>23</v>
      </c>
      <c r="AI41" s="649">
        <f>AI34+AI40</f>
        <v>126.97807533000015</v>
      </c>
      <c r="AJ41" s="547">
        <f>AJ34+AJ40</f>
        <v>292.60585133999678</v>
      </c>
      <c r="AK41" s="548">
        <f t="shared" si="38"/>
        <v>130.4</v>
      </c>
      <c r="AL41" s="649">
        <f>AL34+AL40</f>
        <v>803</v>
      </c>
      <c r="AM41" s="547">
        <f>AM34+AM40</f>
        <v>2733.8</v>
      </c>
      <c r="AN41" s="548">
        <f t="shared" si="39"/>
        <v>240.4</v>
      </c>
      <c r="AO41" s="548">
        <f t="shared" si="40"/>
        <v>3596.4007654500051</v>
      </c>
      <c r="AP41" s="548">
        <f t="shared" si="41"/>
        <v>8424.9553405499901</v>
      </c>
      <c r="AQ41" s="548">
        <f t="shared" si="13"/>
        <v>134.30000000000001</v>
      </c>
      <c r="AR41" s="548"/>
      <c r="AS41" s="559"/>
      <c r="AT41" s="548"/>
    </row>
    <row r="42" spans="1:46" s="557" customFormat="1" ht="18.75" customHeight="1" x14ac:dyDescent="0.35">
      <c r="A42" s="529" t="s">
        <v>320</v>
      </c>
      <c r="B42" s="650">
        <v>-25.271000000000001</v>
      </c>
      <c r="C42" s="532">
        <v>-29.83</v>
      </c>
      <c r="D42" s="531">
        <f t="shared" si="28"/>
        <v>18</v>
      </c>
      <c r="E42" s="532">
        <v>65</v>
      </c>
      <c r="F42" s="532"/>
      <c r="G42" s="531"/>
      <c r="H42" s="650">
        <v>393.38499999999999</v>
      </c>
      <c r="I42" s="532">
        <v>-221.43106399999999</v>
      </c>
      <c r="J42" s="531">
        <f t="shared" si="30"/>
        <v>-156.30000000000001</v>
      </c>
      <c r="K42" s="650">
        <v>-14</v>
      </c>
      <c r="L42" s="532">
        <v>-183.75984665000001</v>
      </c>
      <c r="M42" s="531">
        <f t="shared" si="31"/>
        <v>999</v>
      </c>
      <c r="N42" s="650">
        <v>-48.262999999999998</v>
      </c>
      <c r="O42" s="532">
        <v>-20.075565000000001</v>
      </c>
      <c r="P42" s="531">
        <f t="shared" si="32"/>
        <v>-58.4</v>
      </c>
      <c r="Q42" s="650">
        <v>-27.65</v>
      </c>
      <c r="R42" s="532">
        <v>-38.799999999999997</v>
      </c>
      <c r="S42" s="531">
        <f t="shared" si="33"/>
        <v>40.299999999999997</v>
      </c>
      <c r="T42" s="650">
        <v>-2.5011290000000002</v>
      </c>
      <c r="U42" s="532">
        <v>-2.599701</v>
      </c>
      <c r="V42" s="531">
        <f t="shared" si="34"/>
        <v>3.9</v>
      </c>
      <c r="W42" s="650">
        <v>-184.28933747500002</v>
      </c>
      <c r="X42" s="532">
        <v>-286.18241747499997</v>
      </c>
      <c r="Y42" s="531"/>
      <c r="Z42" s="650">
        <v>-158</v>
      </c>
      <c r="AA42" s="532">
        <v>-152.71</v>
      </c>
      <c r="AB42" s="531">
        <f t="shared" si="36"/>
        <v>-3.3</v>
      </c>
      <c r="AC42" s="650">
        <v>-110</v>
      </c>
      <c r="AD42" s="532">
        <v>-253</v>
      </c>
      <c r="AE42" s="531">
        <f t="shared" si="37"/>
        <v>130</v>
      </c>
      <c r="AF42" s="650">
        <v>-2.7151239999999999</v>
      </c>
      <c r="AG42" s="532">
        <v>-3.2065100000000002</v>
      </c>
      <c r="AH42" s="531"/>
      <c r="AI42" s="650">
        <v>-41.116055950000003</v>
      </c>
      <c r="AJ42" s="532">
        <v>-38.794350999999999</v>
      </c>
      <c r="AK42" s="531">
        <f t="shared" si="38"/>
        <v>-5.6</v>
      </c>
      <c r="AL42" s="650">
        <v>507</v>
      </c>
      <c r="AM42" s="532">
        <v>-331.4</v>
      </c>
      <c r="AN42" s="531">
        <f t="shared" si="39"/>
        <v>-165.4</v>
      </c>
      <c r="AO42" s="531">
        <f t="shared" si="40"/>
        <v>356.79560657499997</v>
      </c>
      <c r="AP42" s="531">
        <f t="shared" si="41"/>
        <v>-1555.9832441250001</v>
      </c>
      <c r="AQ42" s="531">
        <f t="shared" si="13"/>
        <v>-536.1</v>
      </c>
      <c r="AR42" s="531"/>
      <c r="AS42" s="558"/>
      <c r="AT42" s="531"/>
    </row>
    <row r="43" spans="1:46" s="560" customFormat="1" ht="18.75" customHeight="1" x14ac:dyDescent="0.3">
      <c r="A43" s="546" t="s">
        <v>321</v>
      </c>
      <c r="B43" s="649">
        <f>B41+B42</f>
        <v>75.81599999999986</v>
      </c>
      <c r="C43" s="547">
        <f>C41+C42</f>
        <v>89.488999999999379</v>
      </c>
      <c r="D43" s="548">
        <f t="shared" si="28"/>
        <v>18</v>
      </c>
      <c r="E43" s="547">
        <f>E41+E42</f>
        <v>13.299999999999862</v>
      </c>
      <c r="F43" s="547"/>
      <c r="G43" s="548">
        <f t="shared" si="29"/>
        <v>-100</v>
      </c>
      <c r="H43" s="649">
        <f>H41+H42</f>
        <v>157.37799999999856</v>
      </c>
      <c r="I43" s="547">
        <f>I41+I42</f>
        <v>905.34540505999223</v>
      </c>
      <c r="J43" s="548">
        <f t="shared" si="30"/>
        <v>475.3</v>
      </c>
      <c r="K43" s="649">
        <f>K41+K42</f>
        <v>45</v>
      </c>
      <c r="L43" s="547">
        <f>L41+L42</f>
        <v>522.12157779000108</v>
      </c>
      <c r="M43" s="548">
        <f t="shared" si="31"/>
        <v>999</v>
      </c>
      <c r="N43" s="649">
        <f>N41+N42</f>
        <v>146.85199999999989</v>
      </c>
      <c r="O43" s="547">
        <f>O41+O42</f>
        <v>66.871242999999893</v>
      </c>
      <c r="P43" s="548">
        <f t="shared" si="32"/>
        <v>-54.5</v>
      </c>
      <c r="Q43" s="649">
        <f>Q41+Q42</f>
        <v>82.880000000000024</v>
      </c>
      <c r="R43" s="547">
        <f>R41+R42</f>
        <v>116.42000000000174</v>
      </c>
      <c r="S43" s="548">
        <f t="shared" si="33"/>
        <v>40.5</v>
      </c>
      <c r="T43" s="649">
        <f>T41+T42</f>
        <v>7.4186962699999981</v>
      </c>
      <c r="U43" s="547">
        <f>U41+U42</f>
        <v>7.7688560899999999</v>
      </c>
      <c r="V43" s="548">
        <f t="shared" si="34"/>
        <v>4.7</v>
      </c>
      <c r="W43" s="649">
        <v>1118.9027594250065</v>
      </c>
      <c r="X43" s="547">
        <v>1413.1461372049912</v>
      </c>
      <c r="Y43" s="548">
        <f t="shared" si="35"/>
        <v>26.3</v>
      </c>
      <c r="Z43" s="649">
        <f>Z41+Z42</f>
        <v>471.20559321999997</v>
      </c>
      <c r="AA43" s="547">
        <f>AA41+AA42</f>
        <v>493.3672330300069</v>
      </c>
      <c r="AB43" s="548">
        <f t="shared" si="36"/>
        <v>4.7</v>
      </c>
      <c r="AC43" s="649">
        <f>AC41+AC42</f>
        <v>446</v>
      </c>
      <c r="AD43" s="547">
        <f>AD41+AD42</f>
        <v>606</v>
      </c>
      <c r="AE43" s="548">
        <f t="shared" si="37"/>
        <v>35.9</v>
      </c>
      <c r="AF43" s="649">
        <f>AF41+AF42</f>
        <v>9.13603981000003</v>
      </c>
      <c r="AG43" s="547">
        <f>AG41+AG42</f>
        <v>11.368533829999985</v>
      </c>
      <c r="AH43" s="548">
        <f>IF(AF43=0, "    ---- ", IF(ABS(ROUND(100/AF43*AG43-100,1))&lt;999,ROUND(100/AF43*AG43-100,1),IF(ROUND(100/AF43*AG43-100,1)&gt;999,999,-999)))</f>
        <v>24.4</v>
      </c>
      <c r="AI43" s="649">
        <f>AI41+AI42</f>
        <v>85.862019380000149</v>
      </c>
      <c r="AJ43" s="547">
        <f>AJ41+AJ42</f>
        <v>253.81150033999677</v>
      </c>
      <c r="AK43" s="548">
        <f t="shared" si="38"/>
        <v>195.6</v>
      </c>
      <c r="AL43" s="649">
        <f>AL41+AL42</f>
        <v>1310</v>
      </c>
      <c r="AM43" s="547">
        <f>AM41+AM42</f>
        <v>2402.4</v>
      </c>
      <c r="AN43" s="548">
        <f t="shared" si="39"/>
        <v>83.4</v>
      </c>
      <c r="AO43" s="548">
        <f t="shared" si="40"/>
        <v>3953.1963720250051</v>
      </c>
      <c r="AP43" s="548">
        <f t="shared" si="41"/>
        <v>6868.97209642499</v>
      </c>
      <c r="AQ43" s="548">
        <f t="shared" si="13"/>
        <v>73.8</v>
      </c>
      <c r="AR43" s="548"/>
      <c r="AS43" s="559"/>
      <c r="AT43" s="548"/>
    </row>
    <row r="44" spans="1:46" s="557" customFormat="1" ht="18.75" customHeight="1" x14ac:dyDescent="0.35">
      <c r="A44" s="529" t="s">
        <v>322</v>
      </c>
      <c r="B44" s="650"/>
      <c r="C44" s="532"/>
      <c r="D44" s="531"/>
      <c r="E44" s="532">
        <v>-3.5</v>
      </c>
      <c r="F44" s="532"/>
      <c r="G44" s="531">
        <f t="shared" si="29"/>
        <v>-100</v>
      </c>
      <c r="H44" s="650">
        <v>-7.7249999999999996</v>
      </c>
      <c r="I44" s="532">
        <v>4.9324360499999997</v>
      </c>
      <c r="J44" s="531">
        <f t="shared" si="30"/>
        <v>-163.9</v>
      </c>
      <c r="K44" s="650">
        <v>0</v>
      </c>
      <c r="L44" s="532"/>
      <c r="M44" s="531"/>
      <c r="N44" s="650"/>
      <c r="O44" s="532"/>
      <c r="P44" s="531"/>
      <c r="Q44" s="650"/>
      <c r="R44" s="532"/>
      <c r="S44" s="531" t="str">
        <f t="shared" si="33"/>
        <v xml:space="preserve">    ---- </v>
      </c>
      <c r="T44" s="650"/>
      <c r="U44" s="532"/>
      <c r="V44" s="531"/>
      <c r="W44" s="650">
        <v>-213.17688207500001</v>
      </c>
      <c r="X44" s="532">
        <v>-183.82437852499999</v>
      </c>
      <c r="Y44" s="531">
        <f t="shared" si="35"/>
        <v>-13.8</v>
      </c>
      <c r="Z44" s="650">
        <v>-19</v>
      </c>
      <c r="AA44" s="532">
        <v>3.45</v>
      </c>
      <c r="AB44" s="531">
        <f t="shared" si="36"/>
        <v>-118.2</v>
      </c>
      <c r="AC44" s="650"/>
      <c r="AD44" s="532"/>
      <c r="AE44" s="531"/>
      <c r="AF44" s="650"/>
      <c r="AG44" s="532"/>
      <c r="AH44" s="531"/>
      <c r="AI44" s="650"/>
      <c r="AJ44" s="532"/>
      <c r="AK44" s="531" t="str">
        <f t="shared" si="38"/>
        <v xml:space="preserve">    ---- </v>
      </c>
      <c r="AL44" s="650"/>
      <c r="AM44" s="532">
        <v>-35</v>
      </c>
      <c r="AN44" s="531" t="str">
        <f t="shared" si="39"/>
        <v xml:space="preserve">    ---- </v>
      </c>
      <c r="AO44" s="531">
        <f t="shared" si="40"/>
        <v>-243.401882075</v>
      </c>
      <c r="AP44" s="531">
        <f t="shared" si="41"/>
        <v>-210.44194247499999</v>
      </c>
      <c r="AQ44" s="531">
        <f t="shared" si="13"/>
        <v>-13.5</v>
      </c>
      <c r="AR44" s="531"/>
      <c r="AS44" s="558"/>
      <c r="AT44" s="531"/>
    </row>
    <row r="45" spans="1:46" s="560" customFormat="1" ht="18.75" customHeight="1" x14ac:dyDescent="0.3">
      <c r="A45" s="543" t="s">
        <v>323</v>
      </c>
      <c r="B45" s="651">
        <f>B43+B44</f>
        <v>75.81599999999986</v>
      </c>
      <c r="C45" s="561">
        <f>C43+C44</f>
        <v>89.488999999999379</v>
      </c>
      <c r="D45" s="544">
        <f>IF(B45=0, "    ---- ", IF(ABS(ROUND(100/B45*C45-100,1))&lt;999,ROUND(100/B45*C45-100,1),IF(ROUND(100/B45*C45-100,1)&gt;999,999,-999)))</f>
        <v>18</v>
      </c>
      <c r="E45" s="561">
        <f>E43+E44</f>
        <v>9.7999999999998622</v>
      </c>
      <c r="F45" s="561"/>
      <c r="G45" s="544">
        <f>IF(E45=0, "    ---- ", IF(ABS(ROUND(100/E45*F45-100,1))&lt;999,ROUND(100/E45*F45-100,1),IF(ROUND(100/E45*F45-100,1)&gt;999,999,-999)))</f>
        <v>-100</v>
      </c>
      <c r="H45" s="651">
        <f>H43+H44</f>
        <v>149.65299999999857</v>
      </c>
      <c r="I45" s="561">
        <f>I43+I44</f>
        <v>910.27784110999221</v>
      </c>
      <c r="J45" s="544">
        <f>IF(H45=0, "    ---- ", IF(ABS(ROUND(100/H45*I45-100,1))&lt;999,ROUND(100/H45*I45-100,1),IF(ROUND(100/H45*I45-100,1)&gt;999,999,-999)))</f>
        <v>508.3</v>
      </c>
      <c r="K45" s="651">
        <f>K43+K44</f>
        <v>45</v>
      </c>
      <c r="L45" s="561">
        <f>L43+L44</f>
        <v>522.12157779000108</v>
      </c>
      <c r="M45" s="544">
        <f>IF(K45=0, "    ---- ", IF(ABS(ROUND(100/K45*L45-100,1))&lt;999,ROUND(100/K45*L45-100,1),IF(ROUND(100/K45*L45-100,1)&gt;999,999,-999)))</f>
        <v>999</v>
      </c>
      <c r="N45" s="651">
        <f>N43+N44</f>
        <v>146.85199999999989</v>
      </c>
      <c r="O45" s="561">
        <f>O43+O44</f>
        <v>66.871242999999893</v>
      </c>
      <c r="P45" s="544">
        <f>IF(N45=0, "    ---- ", IF(ABS(ROUND(100/N45*O45-100,1))&lt;999,ROUND(100/N45*O45-100,1),IF(ROUND(100/N45*O45-100,1)&gt;999,999,-999)))</f>
        <v>-54.5</v>
      </c>
      <c r="Q45" s="651">
        <f>Q43+Q44</f>
        <v>82.880000000000024</v>
      </c>
      <c r="R45" s="561">
        <f>R43+R44</f>
        <v>116.42000000000174</v>
      </c>
      <c r="S45" s="544">
        <f>IF(Q45=0, "    ---- ", IF(ABS(ROUND(100/Q45*R45-100,1))&lt;999,ROUND(100/Q45*R45-100,1),IF(ROUND(100/Q45*R45-100,1)&gt;999,999,-999)))</f>
        <v>40.5</v>
      </c>
      <c r="T45" s="651">
        <f>T43+T44</f>
        <v>7.4186962699999981</v>
      </c>
      <c r="U45" s="561">
        <f>U43+U44</f>
        <v>7.7688560899999999</v>
      </c>
      <c r="V45" s="544">
        <f>IF(T45=0, "    ---- ", IF(ABS(ROUND(100/T45*U45-100,1))&lt;999,ROUND(100/T45*U45-100,1),IF(ROUND(100/T45*U45-100,1)&gt;999,999,-999)))</f>
        <v>4.7</v>
      </c>
      <c r="W45" s="651">
        <v>905.7258773500065</v>
      </c>
      <c r="X45" s="561">
        <v>1229.3217586799913</v>
      </c>
      <c r="Y45" s="544">
        <f>IF(W45=0, "    ---- ", IF(ABS(ROUND(100/W45*X45-100,1))&lt;999,ROUND(100/W45*X45-100,1),IF(ROUND(100/W45*X45-100,1)&gt;999,999,-999)))</f>
        <v>35.700000000000003</v>
      </c>
      <c r="Z45" s="651">
        <f>Z43+Z44</f>
        <v>452.20559321999997</v>
      </c>
      <c r="AA45" s="561">
        <f>AA43+AA44</f>
        <v>496.81723303000689</v>
      </c>
      <c r="AB45" s="544">
        <f>IF(Z45=0, "    ---- ", IF(ABS(ROUND(100/Z45*AA45-100,1))&lt;999,ROUND(100/Z45*AA45-100,1),IF(ROUND(100/Z45*AA45-100,1)&gt;999,999,-999)))</f>
        <v>9.9</v>
      </c>
      <c r="AC45" s="651">
        <f>AC43+AC44</f>
        <v>446</v>
      </c>
      <c r="AD45" s="561">
        <f>AD43+AD44</f>
        <v>606</v>
      </c>
      <c r="AE45" s="544">
        <f>IF(AC45=0, "    ---- ", IF(ABS(ROUND(100/AC45*AD45-100,1))&lt;999,ROUND(100/AC45*AD45-100,1),IF(ROUND(100/AC45*AD45-100,1)&gt;999,999,-999)))</f>
        <v>35.9</v>
      </c>
      <c r="AF45" s="651">
        <f>AF43+AF44</f>
        <v>9.13603981000003</v>
      </c>
      <c r="AG45" s="561">
        <f>AG43+AG44</f>
        <v>11.368533829999985</v>
      </c>
      <c r="AH45" s="544">
        <f>IF(AF45=0, "    ---- ", IF(ABS(ROUND(100/AF45*AG45-100,1))&lt;999,ROUND(100/AF45*AG45-100,1),IF(ROUND(100/AF45*AG45-100,1)&gt;999,999,-999)))</f>
        <v>24.4</v>
      </c>
      <c r="AI45" s="651">
        <f>AI43+AI44</f>
        <v>85.862019380000149</v>
      </c>
      <c r="AJ45" s="561">
        <f>AJ43+AJ44</f>
        <v>253.81150033999677</v>
      </c>
      <c r="AK45" s="544">
        <f>IF(AI45=0, "    ---- ", IF(ABS(ROUND(100/AI45*AJ45-100,1))&lt;999,ROUND(100/AI45*AJ45-100,1),IF(ROUND(100/AI45*AJ45-100,1)&gt;999,999,-999)))</f>
        <v>195.6</v>
      </c>
      <c r="AL45" s="651">
        <f>AL43+AL44</f>
        <v>1310</v>
      </c>
      <c r="AM45" s="561">
        <f>AM43+AM44</f>
        <v>2367.4</v>
      </c>
      <c r="AN45" s="544">
        <f>IF(AL45=0, "    ---- ", IF(ABS(ROUND(100/AL45*AM45-100,1))&lt;999,ROUND(100/AL45*AM45-100,1),IF(ROUND(100/AL45*AM45-100,1)&gt;999,999,-999)))</f>
        <v>80.7</v>
      </c>
      <c r="AO45" s="544">
        <f t="shared" si="40"/>
        <v>3709.7944899500048</v>
      </c>
      <c r="AP45" s="544">
        <f t="shared" si="41"/>
        <v>6658.5301539499887</v>
      </c>
      <c r="AQ45" s="544">
        <f t="shared" si="13"/>
        <v>79.5</v>
      </c>
      <c r="AR45" s="562"/>
      <c r="AS45" s="563"/>
      <c r="AT45" s="564"/>
    </row>
    <row r="46" spans="1:46" s="560" customFormat="1" ht="18.75" customHeight="1" x14ac:dyDescent="0.3">
      <c r="A46" s="565"/>
      <c r="B46" s="673"/>
      <c r="C46" s="673"/>
      <c r="D46" s="567"/>
      <c r="E46" s="566"/>
      <c r="F46" s="566"/>
      <c r="G46" s="549"/>
      <c r="H46" s="673"/>
      <c r="I46" s="673"/>
      <c r="J46" s="549"/>
      <c r="K46" s="566"/>
      <c r="L46" s="566"/>
      <c r="M46" s="549"/>
      <c r="N46" s="673"/>
      <c r="O46" s="673"/>
      <c r="P46" s="549"/>
      <c r="Q46" s="673"/>
      <c r="R46" s="673"/>
      <c r="S46" s="567"/>
      <c r="T46" s="673"/>
      <c r="U46" s="673"/>
      <c r="V46" s="549"/>
      <c r="W46" s="673"/>
      <c r="X46" s="673"/>
      <c r="Y46" s="549"/>
      <c r="Z46" s="673"/>
      <c r="AA46" s="673"/>
      <c r="AB46" s="549"/>
      <c r="AC46" s="673"/>
      <c r="AD46" s="673"/>
      <c r="AE46" s="549"/>
      <c r="AF46" s="673"/>
      <c r="AG46" s="673"/>
      <c r="AH46" s="549"/>
      <c r="AI46" s="673"/>
      <c r="AJ46" s="673"/>
      <c r="AK46" s="549"/>
      <c r="AL46" s="673"/>
      <c r="AM46" s="673"/>
      <c r="AN46" s="549"/>
      <c r="AO46" s="567"/>
      <c r="AP46" s="567"/>
      <c r="AQ46" s="549"/>
      <c r="AR46" s="568"/>
      <c r="AS46" s="568"/>
      <c r="AT46" s="569"/>
    </row>
    <row r="47" spans="1:46" s="570" customFormat="1" ht="18.75" customHeight="1" x14ac:dyDescent="0.35">
      <c r="A47" s="586" t="s">
        <v>324</v>
      </c>
      <c r="B47" s="601"/>
      <c r="C47" s="601"/>
      <c r="D47" s="586"/>
      <c r="E47" s="601"/>
      <c r="F47" s="601"/>
      <c r="G47" s="586"/>
      <c r="H47" s="601"/>
      <c r="I47" s="601"/>
      <c r="J47" s="586"/>
      <c r="K47" s="601"/>
      <c r="L47" s="601"/>
      <c r="M47" s="586"/>
      <c r="N47" s="601"/>
      <c r="O47" s="601"/>
      <c r="P47" s="586"/>
      <c r="Q47" s="601"/>
      <c r="R47" s="601"/>
      <c r="S47" s="586"/>
      <c r="T47" s="601"/>
      <c r="U47" s="601"/>
      <c r="V47" s="586"/>
      <c r="W47" s="601"/>
      <c r="X47" s="601"/>
      <c r="Y47" s="586"/>
      <c r="Z47" s="601"/>
      <c r="AA47" s="601"/>
      <c r="AB47" s="586"/>
      <c r="AC47" s="601"/>
      <c r="AD47" s="601"/>
      <c r="AE47" s="586"/>
      <c r="AF47" s="601"/>
      <c r="AG47" s="601"/>
      <c r="AH47" s="586"/>
      <c r="AI47" s="601"/>
      <c r="AJ47" s="601"/>
      <c r="AK47" s="586"/>
      <c r="AL47" s="601"/>
      <c r="AM47" s="601"/>
      <c r="AN47" s="586"/>
      <c r="AO47" s="586"/>
      <c r="AP47" s="586"/>
      <c r="AQ47" s="586"/>
      <c r="AR47" s="586"/>
      <c r="AS47" s="586"/>
      <c r="AT47" s="586"/>
    </row>
    <row r="48" spans="1:46" s="571" customFormat="1" ht="18.75" customHeight="1" x14ac:dyDescent="0.35">
      <c r="A48" s="586" t="s">
        <v>325</v>
      </c>
      <c r="B48" s="601"/>
      <c r="C48" s="601"/>
      <c r="D48" s="586"/>
      <c r="E48" s="601"/>
      <c r="F48" s="601"/>
      <c r="G48" s="586"/>
      <c r="H48" s="601"/>
      <c r="I48" s="601"/>
      <c r="J48" s="586"/>
      <c r="K48" s="601"/>
      <c r="L48" s="601"/>
      <c r="M48" s="586"/>
      <c r="N48" s="601"/>
      <c r="O48" s="601"/>
      <c r="P48" s="586"/>
      <c r="Q48" s="601"/>
      <c r="R48" s="601"/>
      <c r="S48" s="586"/>
      <c r="T48" s="601"/>
      <c r="U48" s="601"/>
      <c r="V48" s="586"/>
      <c r="W48" s="601"/>
      <c r="X48" s="601"/>
      <c r="Y48" s="586"/>
      <c r="Z48" s="601"/>
      <c r="AA48" s="601"/>
      <c r="AB48" s="586"/>
      <c r="AC48" s="601"/>
      <c r="AD48" s="601"/>
      <c r="AE48" s="586"/>
      <c r="AF48" s="601"/>
      <c r="AG48" s="601"/>
      <c r="AH48" s="586"/>
      <c r="AI48" s="601"/>
      <c r="AJ48" s="601"/>
      <c r="AK48" s="586"/>
      <c r="AL48" s="601"/>
      <c r="AM48" s="601"/>
      <c r="AN48" s="586"/>
      <c r="AO48" s="586">
        <f t="shared" ref="AO48:AO57" si="42">B48+H48+K48+N48+Q48+W48+E48+Z48+AC48+AI48+AL48</f>
        <v>0</v>
      </c>
      <c r="AP48" s="586">
        <f t="shared" ref="AP48:AP57" si="43">C48+I48+L48+O48+R48+X48+F48+AA48+AD48+AJ48+AM48</f>
        <v>0</v>
      </c>
      <c r="AQ48" s="586"/>
      <c r="AR48" s="586"/>
      <c r="AS48" s="586"/>
      <c r="AT48" s="586"/>
    </row>
    <row r="49" spans="1:46" s="571" customFormat="1" ht="18.75" customHeight="1" x14ac:dyDescent="0.35">
      <c r="A49" s="586" t="s">
        <v>326</v>
      </c>
      <c r="B49" s="601"/>
      <c r="C49" s="601"/>
      <c r="D49" s="586"/>
      <c r="E49" s="601"/>
      <c r="F49" s="601"/>
      <c r="G49" s="586"/>
      <c r="H49" s="601"/>
      <c r="I49" s="601"/>
      <c r="J49" s="586"/>
      <c r="K49" s="601"/>
      <c r="L49" s="601"/>
      <c r="M49" s="586"/>
      <c r="N49" s="601"/>
      <c r="O49" s="601"/>
      <c r="P49" s="586"/>
      <c r="Q49" s="601"/>
      <c r="R49" s="601"/>
      <c r="S49" s="586"/>
      <c r="T49" s="601"/>
      <c r="U49" s="601"/>
      <c r="V49" s="586"/>
      <c r="W49" s="601"/>
      <c r="X49" s="601"/>
      <c r="Y49" s="586"/>
      <c r="Z49" s="601"/>
      <c r="AA49" s="601"/>
      <c r="AB49" s="586"/>
      <c r="AC49" s="601"/>
      <c r="AD49" s="601"/>
      <c r="AE49" s="586"/>
      <c r="AF49" s="601"/>
      <c r="AG49" s="601"/>
      <c r="AH49" s="586"/>
      <c r="AI49" s="601"/>
      <c r="AJ49" s="601"/>
      <c r="AK49" s="586"/>
      <c r="AL49" s="601"/>
      <c r="AM49" s="601"/>
      <c r="AN49" s="586"/>
      <c r="AO49" s="586">
        <f t="shared" si="42"/>
        <v>0</v>
      </c>
      <c r="AP49" s="586">
        <f t="shared" si="43"/>
        <v>0</v>
      </c>
      <c r="AQ49" s="586"/>
      <c r="AR49" s="586"/>
      <c r="AS49" s="586"/>
      <c r="AT49" s="586"/>
    </row>
    <row r="50" spans="1:46" s="571" customFormat="1" ht="18.75" customHeight="1" x14ac:dyDescent="0.35">
      <c r="A50" s="586" t="s">
        <v>327</v>
      </c>
      <c r="B50" s="601"/>
      <c r="C50" s="601"/>
      <c r="D50" s="586"/>
      <c r="E50" s="601"/>
      <c r="F50" s="601"/>
      <c r="G50" s="586"/>
      <c r="H50" s="601"/>
      <c r="I50" s="601"/>
      <c r="J50" s="586"/>
      <c r="K50" s="601"/>
      <c r="L50" s="601"/>
      <c r="M50" s="586"/>
      <c r="N50" s="601"/>
      <c r="O50" s="601"/>
      <c r="P50" s="586"/>
      <c r="Q50" s="601"/>
      <c r="R50" s="601"/>
      <c r="S50" s="586"/>
      <c r="T50" s="601"/>
      <c r="U50" s="601"/>
      <c r="V50" s="586"/>
      <c r="W50" s="601"/>
      <c r="X50" s="601"/>
      <c r="Y50" s="586"/>
      <c r="Z50" s="601"/>
      <c r="AA50" s="601"/>
      <c r="AB50" s="586"/>
      <c r="AC50" s="601"/>
      <c r="AD50" s="601"/>
      <c r="AE50" s="586"/>
      <c r="AF50" s="601"/>
      <c r="AG50" s="601"/>
      <c r="AH50" s="586"/>
      <c r="AI50" s="601"/>
      <c r="AJ50" s="601"/>
      <c r="AK50" s="586"/>
      <c r="AL50" s="601"/>
      <c r="AM50" s="601"/>
      <c r="AN50" s="586"/>
      <c r="AO50" s="586">
        <f t="shared" si="42"/>
        <v>0</v>
      </c>
      <c r="AP50" s="586">
        <f t="shared" si="43"/>
        <v>0</v>
      </c>
      <c r="AQ50" s="586"/>
      <c r="AR50" s="586"/>
      <c r="AS50" s="586"/>
      <c r="AT50" s="586"/>
    </row>
    <row r="51" spans="1:46" s="571" customFormat="1" ht="18.75" customHeight="1" x14ac:dyDescent="0.35">
      <c r="A51" s="586" t="s">
        <v>328</v>
      </c>
      <c r="B51" s="601"/>
      <c r="C51" s="601"/>
      <c r="D51" s="586"/>
      <c r="E51" s="601"/>
      <c r="F51" s="601"/>
      <c r="G51" s="586"/>
      <c r="H51" s="601"/>
      <c r="I51" s="601"/>
      <c r="J51" s="586"/>
      <c r="K51" s="601"/>
      <c r="L51" s="601"/>
      <c r="M51" s="586"/>
      <c r="N51" s="601"/>
      <c r="O51" s="601"/>
      <c r="P51" s="586"/>
      <c r="Q51" s="601"/>
      <c r="R51" s="601"/>
      <c r="S51" s="586"/>
      <c r="T51" s="601"/>
      <c r="U51" s="601"/>
      <c r="V51" s="586"/>
      <c r="W51" s="601"/>
      <c r="X51" s="601"/>
      <c r="Y51" s="586"/>
      <c r="Z51" s="601"/>
      <c r="AA51" s="601"/>
      <c r="AB51" s="586"/>
      <c r="AC51" s="601"/>
      <c r="AD51" s="601"/>
      <c r="AE51" s="586"/>
      <c r="AF51" s="601"/>
      <c r="AG51" s="601"/>
      <c r="AH51" s="586"/>
      <c r="AI51" s="601"/>
      <c r="AJ51" s="601"/>
      <c r="AK51" s="586"/>
      <c r="AL51" s="601"/>
      <c r="AM51" s="601"/>
      <c r="AN51" s="586"/>
      <c r="AO51" s="586">
        <f t="shared" si="42"/>
        <v>0</v>
      </c>
      <c r="AP51" s="586">
        <f t="shared" si="43"/>
        <v>0</v>
      </c>
      <c r="AQ51" s="586"/>
      <c r="AR51" s="586"/>
      <c r="AS51" s="586"/>
      <c r="AT51" s="586"/>
    </row>
    <row r="52" spans="1:46" s="571" customFormat="1" ht="18.75" customHeight="1" x14ac:dyDescent="0.35">
      <c r="A52" s="586" t="s">
        <v>329</v>
      </c>
      <c r="B52" s="601"/>
      <c r="C52" s="601"/>
      <c r="D52" s="586"/>
      <c r="E52" s="601"/>
      <c r="F52" s="601"/>
      <c r="G52" s="586"/>
      <c r="H52" s="601"/>
      <c r="I52" s="601"/>
      <c r="J52" s="586"/>
      <c r="K52" s="601"/>
      <c r="L52" s="601"/>
      <c r="M52" s="586"/>
      <c r="N52" s="601"/>
      <c r="O52" s="601"/>
      <c r="P52" s="586"/>
      <c r="Q52" s="601"/>
      <c r="R52" s="601"/>
      <c r="S52" s="586"/>
      <c r="T52" s="601"/>
      <c r="U52" s="601"/>
      <c r="V52" s="586"/>
      <c r="W52" s="601"/>
      <c r="X52" s="601"/>
      <c r="Y52" s="586"/>
      <c r="Z52" s="601"/>
      <c r="AA52" s="601"/>
      <c r="AB52" s="586"/>
      <c r="AC52" s="601"/>
      <c r="AD52" s="601"/>
      <c r="AE52" s="586"/>
      <c r="AF52" s="601"/>
      <c r="AG52" s="601"/>
      <c r="AH52" s="586"/>
      <c r="AI52" s="601"/>
      <c r="AJ52" s="601"/>
      <c r="AK52" s="586"/>
      <c r="AL52" s="601"/>
      <c r="AM52" s="601"/>
      <c r="AN52" s="586"/>
      <c r="AO52" s="586">
        <f t="shared" si="42"/>
        <v>0</v>
      </c>
      <c r="AP52" s="586">
        <f t="shared" si="43"/>
        <v>0</v>
      </c>
      <c r="AQ52" s="586"/>
      <c r="AR52" s="586"/>
      <c r="AS52" s="586"/>
      <c r="AT52" s="586"/>
    </row>
    <row r="53" spans="1:46" s="571" customFormat="1" ht="18.75" customHeight="1" x14ac:dyDescent="0.35">
      <c r="A53" s="586" t="s">
        <v>330</v>
      </c>
      <c r="B53" s="601"/>
      <c r="C53" s="601"/>
      <c r="D53" s="586"/>
      <c r="E53" s="601"/>
      <c r="F53" s="601"/>
      <c r="G53" s="586"/>
      <c r="H53" s="601"/>
      <c r="I53" s="601"/>
      <c r="J53" s="586"/>
      <c r="K53" s="601"/>
      <c r="L53" s="601"/>
      <c r="M53" s="586"/>
      <c r="N53" s="601"/>
      <c r="O53" s="601"/>
      <c r="P53" s="586"/>
      <c r="Q53" s="601"/>
      <c r="R53" s="601"/>
      <c r="S53" s="586"/>
      <c r="T53" s="601"/>
      <c r="U53" s="601"/>
      <c r="V53" s="586"/>
      <c r="W53" s="601"/>
      <c r="X53" s="601"/>
      <c r="Y53" s="586"/>
      <c r="Z53" s="601"/>
      <c r="AA53" s="601"/>
      <c r="AB53" s="586"/>
      <c r="AC53" s="601"/>
      <c r="AD53" s="601"/>
      <c r="AE53" s="586"/>
      <c r="AF53" s="601"/>
      <c r="AG53" s="601"/>
      <c r="AH53" s="586"/>
      <c r="AI53" s="601"/>
      <c r="AJ53" s="601"/>
      <c r="AK53" s="586"/>
      <c r="AL53" s="601"/>
      <c r="AM53" s="601"/>
      <c r="AN53" s="586"/>
      <c r="AO53" s="586">
        <f t="shared" si="42"/>
        <v>0</v>
      </c>
      <c r="AP53" s="586">
        <f t="shared" si="43"/>
        <v>0</v>
      </c>
      <c r="AQ53" s="586"/>
      <c r="AR53" s="586"/>
      <c r="AS53" s="586"/>
      <c r="AT53" s="586"/>
    </row>
    <row r="54" spans="1:46" s="571" customFormat="1" ht="18.75" customHeight="1" x14ac:dyDescent="0.35">
      <c r="A54" s="586" t="s">
        <v>331</v>
      </c>
      <c r="B54" s="601"/>
      <c r="C54" s="601"/>
      <c r="D54" s="586"/>
      <c r="E54" s="601"/>
      <c r="F54" s="601"/>
      <c r="G54" s="586"/>
      <c r="H54" s="601"/>
      <c r="I54" s="601"/>
      <c r="J54" s="586"/>
      <c r="K54" s="601"/>
      <c r="L54" s="601"/>
      <c r="M54" s="586"/>
      <c r="N54" s="601"/>
      <c r="O54" s="601"/>
      <c r="P54" s="586"/>
      <c r="Q54" s="601"/>
      <c r="R54" s="601"/>
      <c r="S54" s="586"/>
      <c r="T54" s="601"/>
      <c r="U54" s="601"/>
      <c r="V54" s="586"/>
      <c r="W54" s="601"/>
      <c r="X54" s="601"/>
      <c r="Y54" s="586"/>
      <c r="Z54" s="601"/>
      <c r="AA54" s="601"/>
      <c r="AB54" s="586"/>
      <c r="AC54" s="601"/>
      <c r="AD54" s="601"/>
      <c r="AE54" s="586"/>
      <c r="AF54" s="601"/>
      <c r="AG54" s="601"/>
      <c r="AH54" s="586"/>
      <c r="AI54" s="601"/>
      <c r="AJ54" s="601"/>
      <c r="AK54" s="586"/>
      <c r="AL54" s="601"/>
      <c r="AM54" s="601"/>
      <c r="AN54" s="586"/>
      <c r="AO54" s="586">
        <f t="shared" si="42"/>
        <v>0</v>
      </c>
      <c r="AP54" s="586">
        <f t="shared" si="43"/>
        <v>0</v>
      </c>
      <c r="AQ54" s="586"/>
      <c r="AR54" s="586"/>
      <c r="AS54" s="586"/>
      <c r="AT54" s="586"/>
    </row>
    <row r="55" spans="1:46" s="571" customFormat="1" ht="18.75" customHeight="1" x14ac:dyDescent="0.35">
      <c r="A55" s="586" t="s">
        <v>332</v>
      </c>
      <c r="B55" s="601"/>
      <c r="C55" s="601"/>
      <c r="D55" s="586"/>
      <c r="E55" s="601"/>
      <c r="F55" s="601"/>
      <c r="G55" s="586"/>
      <c r="H55" s="601"/>
      <c r="I55" s="601"/>
      <c r="J55" s="586"/>
      <c r="K55" s="601"/>
      <c r="L55" s="601"/>
      <c r="M55" s="586"/>
      <c r="N55" s="601"/>
      <c r="O55" s="601"/>
      <c r="P55" s="586"/>
      <c r="Q55" s="601"/>
      <c r="R55" s="601"/>
      <c r="S55" s="586"/>
      <c r="T55" s="601"/>
      <c r="U55" s="601"/>
      <c r="V55" s="586"/>
      <c r="W55" s="601"/>
      <c r="X55" s="601"/>
      <c r="Y55" s="586"/>
      <c r="Z55" s="601"/>
      <c r="AA55" s="601"/>
      <c r="AB55" s="586"/>
      <c r="AC55" s="601"/>
      <c r="AD55" s="601"/>
      <c r="AE55" s="586"/>
      <c r="AF55" s="601"/>
      <c r="AG55" s="601"/>
      <c r="AH55" s="586"/>
      <c r="AI55" s="601"/>
      <c r="AJ55" s="601"/>
      <c r="AK55" s="586"/>
      <c r="AL55" s="601"/>
      <c r="AM55" s="601"/>
      <c r="AN55" s="586"/>
      <c r="AO55" s="586">
        <f t="shared" si="42"/>
        <v>0</v>
      </c>
      <c r="AP55" s="586">
        <f t="shared" si="43"/>
        <v>0</v>
      </c>
      <c r="AQ55" s="586"/>
      <c r="AR55" s="586"/>
      <c r="AS55" s="586"/>
      <c r="AT55" s="586"/>
    </row>
    <row r="56" spans="1:46" s="571" customFormat="1" ht="18.75" customHeight="1" x14ac:dyDescent="0.35">
      <c r="A56" s="586" t="s">
        <v>333</v>
      </c>
      <c r="B56" s="601"/>
      <c r="C56" s="601"/>
      <c r="D56" s="586"/>
      <c r="E56" s="601"/>
      <c r="F56" s="601"/>
      <c r="G56" s="586"/>
      <c r="H56" s="601"/>
      <c r="I56" s="601"/>
      <c r="J56" s="586"/>
      <c r="K56" s="601"/>
      <c r="L56" s="601"/>
      <c r="M56" s="586"/>
      <c r="N56" s="601"/>
      <c r="O56" s="601"/>
      <c r="P56" s="586"/>
      <c r="Q56" s="601"/>
      <c r="R56" s="601"/>
      <c r="S56" s="586"/>
      <c r="T56" s="601"/>
      <c r="U56" s="601"/>
      <c r="V56" s="586"/>
      <c r="W56" s="601"/>
      <c r="X56" s="601"/>
      <c r="Y56" s="586"/>
      <c r="Z56" s="601"/>
      <c r="AA56" s="601"/>
      <c r="AB56" s="586"/>
      <c r="AC56" s="601"/>
      <c r="AD56" s="601"/>
      <c r="AE56" s="586"/>
      <c r="AF56" s="601"/>
      <c r="AG56" s="601"/>
      <c r="AH56" s="586"/>
      <c r="AI56" s="601"/>
      <c r="AJ56" s="601"/>
      <c r="AK56" s="586"/>
      <c r="AL56" s="601"/>
      <c r="AM56" s="601"/>
      <c r="AN56" s="586"/>
      <c r="AO56" s="586">
        <f t="shared" si="42"/>
        <v>0</v>
      </c>
      <c r="AP56" s="586">
        <f t="shared" si="43"/>
        <v>0</v>
      </c>
      <c r="AQ56" s="586"/>
      <c r="AR56" s="586"/>
      <c r="AS56" s="586"/>
      <c r="AT56" s="586"/>
    </row>
    <row r="57" spans="1:46" s="570" customFormat="1" ht="18.75" customHeight="1" x14ac:dyDescent="0.35">
      <c r="A57" s="587" t="s">
        <v>334</v>
      </c>
      <c r="B57" s="602"/>
      <c r="C57" s="602"/>
      <c r="D57" s="587"/>
      <c r="E57" s="602"/>
      <c r="F57" s="602"/>
      <c r="G57" s="587"/>
      <c r="H57" s="602"/>
      <c r="I57" s="602"/>
      <c r="J57" s="587"/>
      <c r="K57" s="602"/>
      <c r="L57" s="602"/>
      <c r="M57" s="587"/>
      <c r="N57" s="602"/>
      <c r="O57" s="602"/>
      <c r="P57" s="587"/>
      <c r="Q57" s="602"/>
      <c r="R57" s="602"/>
      <c r="S57" s="587"/>
      <c r="T57" s="602"/>
      <c r="U57" s="602"/>
      <c r="V57" s="587"/>
      <c r="W57" s="602"/>
      <c r="X57" s="602"/>
      <c r="Y57" s="587"/>
      <c r="Z57" s="602"/>
      <c r="AA57" s="602"/>
      <c r="AB57" s="587"/>
      <c r="AC57" s="602"/>
      <c r="AD57" s="602"/>
      <c r="AE57" s="587"/>
      <c r="AF57" s="602"/>
      <c r="AG57" s="602"/>
      <c r="AH57" s="587"/>
      <c r="AI57" s="602"/>
      <c r="AJ57" s="602"/>
      <c r="AK57" s="587"/>
      <c r="AL57" s="602"/>
      <c r="AM57" s="602"/>
      <c r="AN57" s="587"/>
      <c r="AO57" s="587">
        <f t="shared" si="42"/>
        <v>0</v>
      </c>
      <c r="AP57" s="587">
        <f t="shared" si="43"/>
        <v>0</v>
      </c>
      <c r="AQ57" s="587"/>
      <c r="AR57" s="587"/>
      <c r="AS57" s="587"/>
      <c r="AT57" s="587"/>
    </row>
    <row r="58" spans="1:46" s="573" customFormat="1" ht="18.75" customHeight="1" x14ac:dyDescent="0.35">
      <c r="A58" s="557" t="s">
        <v>250</v>
      </c>
      <c r="B58" s="557"/>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2"/>
      <c r="AL58" s="572"/>
      <c r="AM58" s="572"/>
      <c r="AN58" s="572"/>
      <c r="AO58" s="572"/>
      <c r="AP58" s="572"/>
      <c r="AQ58" s="572"/>
      <c r="AR58" s="572"/>
      <c r="AS58" s="572"/>
    </row>
    <row r="59" spans="1:46" s="573" customFormat="1" ht="18.75" customHeight="1" x14ac:dyDescent="0.35">
      <c r="A59" s="557" t="s">
        <v>251</v>
      </c>
    </row>
    <row r="60" spans="1:46" s="573" customFormat="1" ht="18.75" customHeight="1" x14ac:dyDescent="0.35">
      <c r="A60" s="557" t="s">
        <v>252</v>
      </c>
    </row>
    <row r="61" spans="1:46" s="573" customFormat="1" ht="18" x14ac:dyDescent="0.35"/>
  </sheetData>
  <mergeCells count="26">
    <mergeCell ref="AI6:AK6"/>
    <mergeCell ref="AL6:AN6"/>
    <mergeCell ref="AO6:AQ6"/>
    <mergeCell ref="Q5:S5"/>
    <mergeCell ref="AR6:AT6"/>
    <mergeCell ref="AR5:AT5"/>
    <mergeCell ref="T6:V6"/>
    <mergeCell ref="W6:Y6"/>
    <mergeCell ref="Z6:AB6"/>
    <mergeCell ref="AC6:AE6"/>
    <mergeCell ref="AC5:AE5"/>
    <mergeCell ref="AL5:AN5"/>
    <mergeCell ref="AO5:AQ5"/>
    <mergeCell ref="AF6:AH6"/>
    <mergeCell ref="B6:D6"/>
    <mergeCell ref="H6:J6"/>
    <mergeCell ref="K6:M6"/>
    <mergeCell ref="N6:P6"/>
    <mergeCell ref="Q6:S6"/>
    <mergeCell ref="E6:G6"/>
    <mergeCell ref="B5:D5"/>
    <mergeCell ref="H5:J5"/>
    <mergeCell ref="K5:M5"/>
    <mergeCell ref="N5:P5"/>
    <mergeCell ref="AI5:AK5"/>
    <mergeCell ref="E5:G5"/>
  </mergeCells>
  <conditionalFormatting sqref="K29">
    <cfRule type="expression" dxfId="237" priority="116">
      <formula>#REF! ="30≠24+25+26+27+28+29"</formula>
    </cfRule>
  </conditionalFormatting>
  <conditionalFormatting sqref="K34">
    <cfRule type="expression" dxfId="236" priority="117">
      <formula>#REF! ="35≠14+15+16+17+22+30+31+32+33+34"</formula>
    </cfRule>
  </conditionalFormatting>
  <conditionalFormatting sqref="K45">
    <cfRule type="expression" dxfId="235" priority="118">
      <formula>#REF! ="46≠35+38+39+40+43+45"</formula>
    </cfRule>
  </conditionalFormatting>
  <conditionalFormatting sqref="K14">
    <cfRule type="expression" dxfId="234" priority="119">
      <formula>#REF! ="14≠11+12+13"</formula>
    </cfRule>
  </conditionalFormatting>
  <conditionalFormatting sqref="K21">
    <cfRule type="expression" dxfId="233" priority="120">
      <formula>#REF! ="22≠19+20+21"</formula>
    </cfRule>
  </conditionalFormatting>
  <conditionalFormatting sqref="T29">
    <cfRule type="expression" dxfId="232" priority="106">
      <formula>#REF! ="30≠24+25+26+27+28+29"</formula>
    </cfRule>
  </conditionalFormatting>
  <conditionalFormatting sqref="T34">
    <cfRule type="expression" dxfId="231" priority="107">
      <formula>#REF! ="35≠14+15+16+17+22+30+31+32+33+34"</formula>
    </cfRule>
  </conditionalFormatting>
  <conditionalFormatting sqref="T45">
    <cfRule type="expression" dxfId="230" priority="108">
      <formula>#REF! ="46≠35+38+39+40+43+45"</formula>
    </cfRule>
  </conditionalFormatting>
  <conditionalFormatting sqref="T14">
    <cfRule type="expression" dxfId="229" priority="109">
      <formula>#REF! ="14≠11+12+13"</formula>
    </cfRule>
  </conditionalFormatting>
  <conditionalFormatting sqref="T21">
    <cfRule type="expression" dxfId="228" priority="110">
      <formula>#REF! ="22≠19+20+21"</formula>
    </cfRule>
  </conditionalFormatting>
  <conditionalFormatting sqref="AF29">
    <cfRule type="expression" dxfId="227" priority="96">
      <formula>#REF! ="30≠24+25+26+27+28+29"</formula>
    </cfRule>
  </conditionalFormatting>
  <conditionalFormatting sqref="AF34">
    <cfRule type="expression" dxfId="226" priority="97">
      <formula>#REF! ="35≠14+15+16+17+22+30+31+32+33+34"</formula>
    </cfRule>
  </conditionalFormatting>
  <conditionalFormatting sqref="AF45">
    <cfRule type="expression" dxfId="225" priority="98">
      <formula>#REF! ="46≠35+38+39+40+43+45"</formula>
    </cfRule>
  </conditionalFormatting>
  <conditionalFormatting sqref="AF14">
    <cfRule type="expression" dxfId="224" priority="99">
      <formula>#REF! ="14≠11+12+13"</formula>
    </cfRule>
  </conditionalFormatting>
  <conditionalFormatting sqref="AF21">
    <cfRule type="expression" dxfId="223" priority="100">
      <formula>#REF! ="22≠19+20+21"</formula>
    </cfRule>
  </conditionalFormatting>
  <conditionalFormatting sqref="AI29">
    <cfRule type="expression" dxfId="222" priority="88">
      <formula>#REF! ="30≠24+25+26+27+28+29"</formula>
    </cfRule>
  </conditionalFormatting>
  <conditionalFormatting sqref="AI34">
    <cfRule type="expression" dxfId="221" priority="87">
      <formula>#REF! ="35≠14+15+16+17+22+30+31+32+33+34"</formula>
    </cfRule>
  </conditionalFormatting>
  <conditionalFormatting sqref="AI45">
    <cfRule type="expression" dxfId="220" priority="86">
      <formula>#REF! ="46≠35+38+39+40+43+45"</formula>
    </cfRule>
  </conditionalFormatting>
  <conditionalFormatting sqref="AI14">
    <cfRule type="expression" dxfId="219" priority="94">
      <formula>#REF! ="14≠11+12+13"</formula>
    </cfRule>
  </conditionalFormatting>
  <conditionalFormatting sqref="AI21">
    <cfRule type="expression" dxfId="218" priority="95">
      <formula>#REF! ="22≠19+20+21"</formula>
    </cfRule>
  </conditionalFormatting>
  <conditionalFormatting sqref="Z29">
    <cfRule type="expression" dxfId="217" priority="76">
      <formula>#REF! ="30≠24+25+26+27+28+29"</formula>
    </cfRule>
  </conditionalFormatting>
  <conditionalFormatting sqref="Z34">
    <cfRule type="expression" dxfId="216" priority="77">
      <formula>#REF! ="35≠14+15+16+17+22+30+31+32+33+34"</formula>
    </cfRule>
  </conditionalFormatting>
  <conditionalFormatting sqref="Z45">
    <cfRule type="expression" dxfId="215" priority="78">
      <formula>#REF! ="46≠35+38+39+40+43+45"</formula>
    </cfRule>
  </conditionalFormatting>
  <conditionalFormatting sqref="Z14">
    <cfRule type="expression" dxfId="214" priority="79">
      <formula>#REF! ="14≠11+12+13"</formula>
    </cfRule>
  </conditionalFormatting>
  <conditionalFormatting sqref="Z21">
    <cfRule type="expression" dxfId="213" priority="80">
      <formula>#REF! ="22≠19+20+21"</formula>
    </cfRule>
  </conditionalFormatting>
  <conditionalFormatting sqref="W29">
    <cfRule type="expression" dxfId="212" priority="66">
      <formula>#REF! ="30≠24+25+26+27+28+29"</formula>
    </cfRule>
  </conditionalFormatting>
  <conditionalFormatting sqref="W34">
    <cfRule type="expression" dxfId="211" priority="67">
      <formula>#REF! ="35≠14+15+16+17+22+30+31+32+33+34"</formula>
    </cfRule>
  </conditionalFormatting>
  <conditionalFormatting sqref="W45">
    <cfRule type="expression" dxfId="210" priority="68">
      <formula>#REF! ="46≠35+38+39+40+43+45"</formula>
    </cfRule>
  </conditionalFormatting>
  <conditionalFormatting sqref="W14">
    <cfRule type="expression" dxfId="209" priority="69">
      <formula>#REF! ="14≠11+12+13"</formula>
    </cfRule>
  </conditionalFormatting>
  <conditionalFormatting sqref="W21">
    <cfRule type="expression" dxfId="208" priority="70">
      <formula>#REF! ="22≠19+20+21"</formula>
    </cfRule>
  </conditionalFormatting>
  <conditionalFormatting sqref="AL29">
    <cfRule type="expression" dxfId="207" priority="56">
      <formula>#REF! ="30≠24+25+26+27+28+29"</formula>
    </cfRule>
  </conditionalFormatting>
  <conditionalFormatting sqref="AL34">
    <cfRule type="expression" dxfId="206" priority="57">
      <formula>#REF! ="35≠14+15+16+17+22+30+31+32+33+34"</formula>
    </cfRule>
  </conditionalFormatting>
  <conditionalFormatting sqref="AL45">
    <cfRule type="expression" dxfId="205" priority="58">
      <formula>#REF! ="46≠35+38+39+40+43+45"</formula>
    </cfRule>
  </conditionalFormatting>
  <conditionalFormatting sqref="AL14">
    <cfRule type="expression" dxfId="204" priority="59">
      <formula>#REF! ="14≠11+12+13"</formula>
    </cfRule>
  </conditionalFormatting>
  <conditionalFormatting sqref="AL21">
    <cfRule type="expression" dxfId="203" priority="60">
      <formula>#REF! ="22≠19+20+21"</formula>
    </cfRule>
  </conditionalFormatting>
  <conditionalFormatting sqref="N29">
    <cfRule type="expression" dxfId="202" priority="46">
      <formula>#REF! ="30≠24+25+26+27+28+29"</formula>
    </cfRule>
  </conditionalFormatting>
  <conditionalFormatting sqref="N34">
    <cfRule type="expression" dxfId="201" priority="47">
      <formula>#REF! ="35≠14+15+16+17+22+30+31+32+33+34"</formula>
    </cfRule>
  </conditionalFormatting>
  <conditionalFormatting sqref="N45">
    <cfRule type="expression" dxfId="200" priority="48">
      <formula>#REF! ="46≠35+38+39+40+43+45"</formula>
    </cfRule>
  </conditionalFormatting>
  <conditionalFormatting sqref="N14">
    <cfRule type="expression" dxfId="199" priority="49">
      <formula>#REF! ="14≠11+12+13"</formula>
    </cfRule>
  </conditionalFormatting>
  <conditionalFormatting sqref="N21">
    <cfRule type="expression" dxfId="198" priority="50">
      <formula>#REF! ="22≠19+20+21"</formula>
    </cfRule>
  </conditionalFormatting>
  <conditionalFormatting sqref="AC29">
    <cfRule type="expression" dxfId="197" priority="36">
      <formula>#REF! ="30≠24+25+26+27+28+29"</formula>
    </cfRule>
  </conditionalFormatting>
  <conditionalFormatting sqref="AC34">
    <cfRule type="expression" dxfId="196" priority="37">
      <formula>#REF! ="35≠14+15+16+17+22+30+31+32+33+34"</formula>
    </cfRule>
  </conditionalFormatting>
  <conditionalFormatting sqref="AC45">
    <cfRule type="expression" dxfId="195" priority="38">
      <formula>#REF! ="46≠35+38+39+40+43+45"</formula>
    </cfRule>
  </conditionalFormatting>
  <conditionalFormatting sqref="AC14">
    <cfRule type="expression" dxfId="194" priority="39">
      <formula>#REF! ="14≠11+12+13"</formula>
    </cfRule>
  </conditionalFormatting>
  <conditionalFormatting sqref="AC21">
    <cfRule type="expression" dxfId="193" priority="40">
      <formula>#REF! ="22≠19+20+21"</formula>
    </cfRule>
  </conditionalFormatting>
  <conditionalFormatting sqref="B29">
    <cfRule type="expression" dxfId="192" priority="26">
      <formula>#REF! ="30≠24+25+26+27+28+29"</formula>
    </cfRule>
  </conditionalFormatting>
  <conditionalFormatting sqref="B34">
    <cfRule type="expression" dxfId="191" priority="27">
      <formula>#REF! ="35≠14+15+16+17+22+30+31+32+33+34"</formula>
    </cfRule>
  </conditionalFormatting>
  <conditionalFormatting sqref="B45">
    <cfRule type="expression" dxfId="190" priority="28">
      <formula>#REF! ="46≠35+38+39+40+43+45"</formula>
    </cfRule>
  </conditionalFormatting>
  <conditionalFormatting sqref="B14">
    <cfRule type="expression" dxfId="189" priority="29">
      <formula>#REF! ="14≠11+12+13"</formula>
    </cfRule>
  </conditionalFormatting>
  <conditionalFormatting sqref="B21">
    <cfRule type="expression" dxfId="188" priority="30">
      <formula>#REF! ="22≠19+20+21"</formula>
    </cfRule>
  </conditionalFormatting>
  <conditionalFormatting sqref="H29">
    <cfRule type="expression" dxfId="187" priority="16">
      <formula>#REF! ="30≠24+25+26+27+28+29"</formula>
    </cfRule>
  </conditionalFormatting>
  <conditionalFormatting sqref="H34">
    <cfRule type="expression" dxfId="186" priority="17">
      <formula>#REF! ="35≠14+15+16+17+22+30+31+32+33+34"</formula>
    </cfRule>
  </conditionalFormatting>
  <conditionalFormatting sqref="H45">
    <cfRule type="expression" dxfId="185" priority="18">
      <formula>#REF! ="46≠35+38+39+40+43+45"</formula>
    </cfRule>
  </conditionalFormatting>
  <conditionalFormatting sqref="H14">
    <cfRule type="expression" dxfId="184" priority="19">
      <formula>#REF! ="14≠11+12+13"</formula>
    </cfRule>
  </conditionalFormatting>
  <conditionalFormatting sqref="H21">
    <cfRule type="expression" dxfId="183" priority="20">
      <formula>#REF! ="22≠19+20+21"</formula>
    </cfRule>
  </conditionalFormatting>
  <conditionalFormatting sqref="Q29">
    <cfRule type="expression" dxfId="182" priority="6">
      <formula>#REF! ="30≠24+25+26+27+28+29"</formula>
    </cfRule>
  </conditionalFormatting>
  <conditionalFormatting sqref="Q34">
    <cfRule type="expression" dxfId="181" priority="7">
      <formula>#REF! ="35≠14+15+16+17+22+30+31+32+33+34"</formula>
    </cfRule>
  </conditionalFormatting>
  <conditionalFormatting sqref="Q45">
    <cfRule type="expression" dxfId="180" priority="8">
      <formula>#REF! ="46≠35+38+39+40+43+45"</formula>
    </cfRule>
  </conditionalFormatting>
  <conditionalFormatting sqref="Q14">
    <cfRule type="expression" dxfId="179" priority="9">
      <formula>#REF! ="14≠11+12+13"</formula>
    </cfRule>
  </conditionalFormatting>
  <conditionalFormatting sqref="Q21">
    <cfRule type="expression" dxfId="178" priority="10">
      <formula>#REF! ="22≠19+20+21"</formula>
    </cfRule>
  </conditionalFormatting>
  <conditionalFormatting sqref="E29">
    <cfRule type="expression" dxfId="177" priority="1">
      <formula>#REF! ="30≠24+25+26+27+28+29"</formula>
    </cfRule>
  </conditionalFormatting>
  <conditionalFormatting sqref="E34">
    <cfRule type="expression" dxfId="176" priority="2">
      <formula>#REF! ="35≠14+15+16+17+22+30+31+32+33+34"</formula>
    </cfRule>
  </conditionalFormatting>
  <conditionalFormatting sqref="E45">
    <cfRule type="expression" dxfId="175" priority="3">
      <formula>#REF! ="46≠35+38+39+40+43+45"</formula>
    </cfRule>
  </conditionalFormatting>
  <conditionalFormatting sqref="E14">
    <cfRule type="expression" dxfId="174" priority="4">
      <formula>#REF! ="14≠11+12+13"</formula>
    </cfRule>
  </conditionalFormatting>
  <conditionalFormatting sqref="E21">
    <cfRule type="expression" dxfId="173" priority="5">
      <formula>#REF! ="22≠19+20+21"</formula>
    </cfRule>
  </conditionalFormatting>
  <conditionalFormatting sqref="AR29:AS29 F29 L29 U29 AG29 AJ29 AA29 X29 AM29 O29 AD29 C29 I29 R29">
    <cfRule type="expression" dxfId="172" priority="1222">
      <formula>#REF! ="30≠24+25+26+27+28+29"</formula>
    </cfRule>
  </conditionalFormatting>
  <conditionalFormatting sqref="AR34:AS34 AO34:AP34 AO45:AP45 F34 L34 U34 AG34 AJ34 AA34 X34 AM34 O34 AD34 C34 I34 R34">
    <cfRule type="expression" dxfId="171" priority="1224">
      <formula>#REF! ="35≠14+15+16+17+22+30+31+32+33+34"</formula>
    </cfRule>
  </conditionalFormatting>
  <conditionalFormatting sqref="AR45:AS45 F45 L45 U45 AG45 AJ45 AA45 X45 AM45 O45 AD45 C45 I45 R45">
    <cfRule type="expression" dxfId="170" priority="1228">
      <formula>#REF! ="46≠35+38+39+40+43+45"</formula>
    </cfRule>
  </conditionalFormatting>
  <conditionalFormatting sqref="F14 L14 U14 AG14 AJ14 AA14 X14 AM14 O14 AD14 C14 I14 R14">
    <cfRule type="expression" dxfId="169" priority="1230">
      <formula>#REF! ="14≠11+12+13"</formula>
    </cfRule>
  </conditionalFormatting>
  <conditionalFormatting sqref="F21 L21 U21 AG21 AJ21 AA21 X21 AM21 O21 AD21 C21 I21 R21">
    <cfRule type="expression" dxfId="168" priority="1231">
      <formula>#REF! ="22≠19+20+21"</formula>
    </cfRule>
  </conditionalFormatting>
  <hyperlinks>
    <hyperlink ref="B1" location="Innhold!A1" display="Tilbake" xr:uid="{00000000-0004-0000-1E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H113"/>
  <sheetViews>
    <sheetView showGridLines="0" zoomScale="70" zoomScaleNormal="70" workbookViewId="0">
      <pane xSplit="1" ySplit="8" topLeftCell="B9" activePane="bottomRight" state="frozen"/>
      <selection activeCell="B33" sqref="B33"/>
      <selection pane="topRight" activeCell="B33" sqref="B33"/>
      <selection pane="bottomLeft" activeCell="B33" sqref="B33"/>
      <selection pane="bottomRight" activeCell="A4" sqref="A4"/>
    </sheetView>
  </sheetViews>
  <sheetFormatPr baseColWidth="10" defaultColWidth="11.44140625" defaultRowHeight="13.2" x14ac:dyDescent="0.25"/>
  <cols>
    <col min="1" max="1" width="106.6640625" style="464" customWidth="1"/>
    <col min="2" max="40" width="11.6640625" style="464" customWidth="1"/>
    <col min="41" max="42" width="13" style="464" customWidth="1"/>
    <col min="43" max="43" width="11.6640625" style="464" customWidth="1"/>
    <col min="44" max="16384" width="11.44140625" style="464"/>
  </cols>
  <sheetData>
    <row r="1" spans="1:60" ht="20.25" customHeight="1" x14ac:dyDescent="0.35">
      <c r="A1" s="469" t="s">
        <v>171</v>
      </c>
      <c r="B1" s="470" t="s">
        <v>52</v>
      </c>
      <c r="C1" s="471"/>
      <c r="D1" s="471"/>
      <c r="H1" s="471"/>
      <c r="I1" s="471"/>
      <c r="J1" s="471"/>
      <c r="K1" s="471"/>
      <c r="L1" s="471"/>
      <c r="M1" s="471"/>
      <c r="N1" s="471"/>
      <c r="O1" s="471"/>
      <c r="P1" s="471"/>
      <c r="AR1" s="472"/>
    </row>
    <row r="2" spans="1:60" ht="20.100000000000001" customHeight="1" x14ac:dyDescent="0.35">
      <c r="A2" s="469" t="s">
        <v>172</v>
      </c>
      <c r="AR2" s="472"/>
    </row>
    <row r="3" spans="1:60" ht="20.100000000000001" customHeight="1" x14ac:dyDescent="0.3">
      <c r="A3" s="473" t="s">
        <v>173</v>
      </c>
      <c r="B3" s="474"/>
      <c r="C3" s="474"/>
      <c r="D3" s="474"/>
      <c r="H3" s="474"/>
      <c r="I3" s="474"/>
      <c r="J3" s="474"/>
      <c r="K3" s="474"/>
      <c r="L3" s="474"/>
      <c r="M3" s="474"/>
      <c r="N3" s="474"/>
      <c r="O3" s="474"/>
      <c r="P3" s="474"/>
      <c r="AR3" s="475"/>
    </row>
    <row r="4" spans="1:60" ht="18.75" customHeight="1" x14ac:dyDescent="0.3">
      <c r="A4" s="476" t="s">
        <v>426</v>
      </c>
      <c r="B4" s="477"/>
      <c r="C4" s="477"/>
      <c r="D4" s="478"/>
      <c r="E4" s="481"/>
      <c r="F4" s="480"/>
      <c r="G4" s="482"/>
      <c r="H4" s="477"/>
      <c r="I4" s="477"/>
      <c r="J4" s="478"/>
      <c r="K4" s="479"/>
      <c r="L4" s="477"/>
      <c r="M4" s="478"/>
      <c r="N4" s="479"/>
      <c r="O4" s="477"/>
      <c r="P4" s="478"/>
      <c r="Q4" s="480"/>
      <c r="R4" s="480"/>
      <c r="S4" s="480"/>
      <c r="T4" s="481"/>
      <c r="U4" s="480"/>
      <c r="V4" s="482"/>
      <c r="W4" s="481"/>
      <c r="X4" s="480"/>
      <c r="Y4" s="482"/>
      <c r="Z4" s="481"/>
      <c r="AA4" s="480"/>
      <c r="AB4" s="482"/>
      <c r="AC4" s="481"/>
      <c r="AD4" s="480"/>
      <c r="AE4" s="482"/>
      <c r="AF4" s="481"/>
      <c r="AG4" s="480"/>
      <c r="AH4" s="482"/>
      <c r="AI4" s="481"/>
      <c r="AJ4" s="480"/>
      <c r="AK4" s="482"/>
      <c r="AL4" s="481"/>
      <c r="AM4" s="480"/>
      <c r="AN4" s="482"/>
      <c r="AO4" s="481"/>
      <c r="AP4" s="480"/>
      <c r="AQ4" s="482"/>
      <c r="AR4" s="483"/>
      <c r="AS4" s="484"/>
      <c r="AT4" s="484"/>
      <c r="AU4" s="484"/>
      <c r="AV4" s="484"/>
      <c r="AW4" s="484"/>
      <c r="AX4" s="484"/>
      <c r="AY4" s="484"/>
      <c r="AZ4" s="484"/>
      <c r="BA4" s="484"/>
      <c r="BB4" s="484"/>
      <c r="BC4" s="484"/>
      <c r="BD4" s="484"/>
      <c r="BE4" s="484"/>
      <c r="BF4" s="484"/>
      <c r="BG4" s="484"/>
      <c r="BH4" s="484"/>
    </row>
    <row r="5" spans="1:60" ht="18.75" customHeight="1" x14ac:dyDescent="0.3">
      <c r="A5" s="485" t="s">
        <v>101</v>
      </c>
      <c r="B5" s="746" t="s">
        <v>174</v>
      </c>
      <c r="C5" s="747"/>
      <c r="D5" s="748"/>
      <c r="E5" s="746" t="s">
        <v>175</v>
      </c>
      <c r="F5" s="747"/>
      <c r="G5" s="748"/>
      <c r="H5" s="746" t="s">
        <v>175</v>
      </c>
      <c r="I5" s="747"/>
      <c r="J5" s="748"/>
      <c r="K5" s="746" t="s">
        <v>402</v>
      </c>
      <c r="L5" s="747"/>
      <c r="M5" s="748"/>
      <c r="N5" s="746" t="s">
        <v>176</v>
      </c>
      <c r="O5" s="747"/>
      <c r="P5" s="748"/>
      <c r="Q5" s="746" t="s">
        <v>177</v>
      </c>
      <c r="R5" s="747"/>
      <c r="S5" s="748"/>
      <c r="T5" s="677" t="s">
        <v>178</v>
      </c>
      <c r="U5" s="678"/>
      <c r="V5" s="679"/>
      <c r="W5" s="685" t="s">
        <v>178</v>
      </c>
      <c r="X5" s="686"/>
      <c r="Y5" s="687"/>
      <c r="Z5" s="685"/>
      <c r="AA5" s="686"/>
      <c r="AB5" s="687"/>
      <c r="AC5" s="746" t="s">
        <v>179</v>
      </c>
      <c r="AD5" s="747"/>
      <c r="AE5" s="748"/>
      <c r="AF5" s="677"/>
      <c r="AG5" s="678"/>
      <c r="AH5" s="679"/>
      <c r="AI5" s="730" t="s">
        <v>68</v>
      </c>
      <c r="AJ5" s="731"/>
      <c r="AK5" s="732"/>
      <c r="AL5" s="746" t="s">
        <v>73</v>
      </c>
      <c r="AM5" s="747"/>
      <c r="AN5" s="748"/>
      <c r="AO5" s="746" t="s">
        <v>2</v>
      </c>
      <c r="AP5" s="747"/>
      <c r="AQ5" s="748"/>
      <c r="AR5" s="486"/>
      <c r="AS5" s="487"/>
      <c r="AT5" s="745"/>
      <c r="AU5" s="745"/>
      <c r="AV5" s="745"/>
      <c r="AW5" s="745"/>
      <c r="AX5" s="745"/>
      <c r="AY5" s="745"/>
      <c r="AZ5" s="745"/>
      <c r="BA5" s="745"/>
      <c r="BB5" s="745"/>
      <c r="BC5" s="745"/>
      <c r="BD5" s="745"/>
      <c r="BE5" s="745"/>
      <c r="BF5" s="745"/>
      <c r="BG5" s="745"/>
      <c r="BH5" s="745"/>
    </row>
    <row r="6" spans="1:60" ht="21" customHeight="1" x14ac:dyDescent="0.3">
      <c r="A6" s="488"/>
      <c r="B6" s="742" t="s">
        <v>180</v>
      </c>
      <c r="C6" s="743"/>
      <c r="D6" s="744"/>
      <c r="E6" s="742" t="s">
        <v>423</v>
      </c>
      <c r="F6" s="743"/>
      <c r="G6" s="744"/>
      <c r="H6" s="742" t="s">
        <v>181</v>
      </c>
      <c r="I6" s="743"/>
      <c r="J6" s="744"/>
      <c r="K6" s="742" t="s">
        <v>181</v>
      </c>
      <c r="L6" s="743"/>
      <c r="M6" s="744"/>
      <c r="N6" s="742" t="s">
        <v>181</v>
      </c>
      <c r="O6" s="743"/>
      <c r="P6" s="744"/>
      <c r="Q6" s="742" t="s">
        <v>182</v>
      </c>
      <c r="R6" s="743"/>
      <c r="S6" s="744"/>
      <c r="T6" s="742" t="s">
        <v>91</v>
      </c>
      <c r="U6" s="743"/>
      <c r="V6" s="744"/>
      <c r="W6" s="742" t="s">
        <v>63</v>
      </c>
      <c r="X6" s="743"/>
      <c r="Y6" s="744"/>
      <c r="Z6" s="742" t="s">
        <v>66</v>
      </c>
      <c r="AA6" s="743"/>
      <c r="AB6" s="744"/>
      <c r="AC6" s="742" t="s">
        <v>180</v>
      </c>
      <c r="AD6" s="743"/>
      <c r="AE6" s="744"/>
      <c r="AF6" s="742" t="s">
        <v>72</v>
      </c>
      <c r="AG6" s="743"/>
      <c r="AH6" s="744"/>
      <c r="AI6" s="733" t="s">
        <v>424</v>
      </c>
      <c r="AJ6" s="734"/>
      <c r="AK6" s="735"/>
      <c r="AL6" s="742" t="s">
        <v>181</v>
      </c>
      <c r="AM6" s="743"/>
      <c r="AN6" s="744"/>
      <c r="AO6" s="742" t="s">
        <v>183</v>
      </c>
      <c r="AP6" s="743"/>
      <c r="AQ6" s="744"/>
      <c r="AR6" s="486"/>
      <c r="AS6" s="487"/>
      <c r="AT6" s="745"/>
      <c r="AU6" s="745"/>
      <c r="AV6" s="745"/>
      <c r="AW6" s="745"/>
      <c r="AX6" s="745"/>
      <c r="AY6" s="745"/>
      <c r="AZ6" s="745"/>
      <c r="BA6" s="745"/>
      <c r="BB6" s="745"/>
      <c r="BC6" s="745"/>
      <c r="BD6" s="745"/>
      <c r="BE6" s="745"/>
      <c r="BF6" s="745"/>
      <c r="BG6" s="745"/>
      <c r="BH6" s="745"/>
    </row>
    <row r="7" spans="1:60" ht="18.75" customHeight="1" x14ac:dyDescent="0.3">
      <c r="A7" s="488"/>
      <c r="B7" s="520"/>
      <c r="C7" s="520"/>
      <c r="D7" s="489" t="s">
        <v>81</v>
      </c>
      <c r="E7" s="520"/>
      <c r="F7" s="520"/>
      <c r="G7" s="489" t="s">
        <v>81</v>
      </c>
      <c r="H7" s="520"/>
      <c r="I7" s="520"/>
      <c r="J7" s="489" t="s">
        <v>81</v>
      </c>
      <c r="K7" s="520"/>
      <c r="L7" s="520"/>
      <c r="M7" s="489" t="s">
        <v>81</v>
      </c>
      <c r="N7" s="520"/>
      <c r="O7" s="520"/>
      <c r="P7" s="489" t="s">
        <v>81</v>
      </c>
      <c r="Q7" s="520"/>
      <c r="R7" s="520"/>
      <c r="S7" s="489" t="s">
        <v>81</v>
      </c>
      <c r="T7" s="520"/>
      <c r="U7" s="520"/>
      <c r="V7" s="489" t="s">
        <v>81</v>
      </c>
      <c r="W7" s="520"/>
      <c r="X7" s="520"/>
      <c r="Y7" s="489" t="s">
        <v>81</v>
      </c>
      <c r="Z7" s="520"/>
      <c r="AA7" s="520"/>
      <c r="AB7" s="489" t="s">
        <v>81</v>
      </c>
      <c r="AC7" s="520"/>
      <c r="AD7" s="520"/>
      <c r="AE7" s="489" t="s">
        <v>81</v>
      </c>
      <c r="AF7" s="520"/>
      <c r="AG7" s="520"/>
      <c r="AH7" s="489" t="s">
        <v>81</v>
      </c>
      <c r="AI7" s="520"/>
      <c r="AJ7" s="520"/>
      <c r="AK7" s="489" t="s">
        <v>81</v>
      </c>
      <c r="AL7" s="520"/>
      <c r="AM7" s="520"/>
      <c r="AN7" s="489" t="s">
        <v>81</v>
      </c>
      <c r="AO7" s="520"/>
      <c r="AP7" s="520"/>
      <c r="AQ7" s="489" t="s">
        <v>81</v>
      </c>
      <c r="AR7" s="486"/>
      <c r="AS7" s="487"/>
      <c r="AT7" s="487"/>
      <c r="AU7" s="487"/>
      <c r="AV7" s="487"/>
      <c r="AW7" s="487"/>
      <c r="AX7" s="487"/>
      <c r="AY7" s="487"/>
      <c r="AZ7" s="487"/>
      <c r="BA7" s="487"/>
      <c r="BB7" s="487"/>
      <c r="BC7" s="487"/>
      <c r="BD7" s="487"/>
      <c r="BE7" s="487"/>
      <c r="BF7" s="487"/>
      <c r="BG7" s="487"/>
      <c r="BH7" s="487"/>
    </row>
    <row r="8" spans="1:60" ht="18.75" customHeight="1" x14ac:dyDescent="0.35">
      <c r="A8" s="454" t="s">
        <v>184</v>
      </c>
      <c r="B8" s="641">
        <v>2020</v>
      </c>
      <c r="C8" s="641">
        <v>2021</v>
      </c>
      <c r="D8" s="455" t="s">
        <v>83</v>
      </c>
      <c r="E8" s="641">
        <f>$B$8</f>
        <v>2020</v>
      </c>
      <c r="F8" s="641">
        <f>$C$8</f>
        <v>2021</v>
      </c>
      <c r="G8" s="455" t="s">
        <v>83</v>
      </c>
      <c r="H8" s="641">
        <f t="shared" ref="H8" si="0">$B$8</f>
        <v>2020</v>
      </c>
      <c r="I8" s="641">
        <f t="shared" ref="I8" si="1">$C$8</f>
        <v>2021</v>
      </c>
      <c r="J8" s="455" t="s">
        <v>83</v>
      </c>
      <c r="K8" s="641">
        <f t="shared" ref="K8" si="2">$B$8</f>
        <v>2020</v>
      </c>
      <c r="L8" s="641">
        <f t="shared" ref="L8" si="3">$C$8</f>
        <v>2021</v>
      </c>
      <c r="M8" s="455" t="s">
        <v>83</v>
      </c>
      <c r="N8" s="641">
        <f t="shared" ref="N8" si="4">$B$8</f>
        <v>2020</v>
      </c>
      <c r="O8" s="641">
        <f t="shared" ref="O8" si="5">$C$8</f>
        <v>2021</v>
      </c>
      <c r="P8" s="455" t="s">
        <v>83</v>
      </c>
      <c r="Q8" s="641">
        <f t="shared" ref="Q8" si="6">$B$8</f>
        <v>2020</v>
      </c>
      <c r="R8" s="641">
        <f t="shared" ref="R8" si="7">$C$8</f>
        <v>2021</v>
      </c>
      <c r="S8" s="455" t="s">
        <v>83</v>
      </c>
      <c r="T8" s="641">
        <f t="shared" ref="T8" si="8">$B$8</f>
        <v>2020</v>
      </c>
      <c r="U8" s="641">
        <f t="shared" ref="U8" si="9">$C$8</f>
        <v>2021</v>
      </c>
      <c r="V8" s="455" t="s">
        <v>83</v>
      </c>
      <c r="W8" s="641">
        <f t="shared" ref="W8" si="10">$B$8</f>
        <v>2020</v>
      </c>
      <c r="X8" s="641">
        <f t="shared" ref="X8" si="11">$C$8</f>
        <v>2021</v>
      </c>
      <c r="Y8" s="455" t="s">
        <v>83</v>
      </c>
      <c r="Z8" s="641">
        <f t="shared" ref="Z8" si="12">$B$8</f>
        <v>2020</v>
      </c>
      <c r="AA8" s="641">
        <f t="shared" ref="AA8" si="13">$C$8</f>
        <v>2021</v>
      </c>
      <c r="AB8" s="455" t="s">
        <v>83</v>
      </c>
      <c r="AC8" s="641">
        <f t="shared" ref="AC8" si="14">$B$8</f>
        <v>2020</v>
      </c>
      <c r="AD8" s="641">
        <f t="shared" ref="AD8" si="15">$C$8</f>
        <v>2021</v>
      </c>
      <c r="AE8" s="455" t="s">
        <v>83</v>
      </c>
      <c r="AF8" s="641">
        <f t="shared" ref="AF8" si="16">$B$8</f>
        <v>2020</v>
      </c>
      <c r="AG8" s="641">
        <f t="shared" ref="AG8" si="17">$C$8</f>
        <v>2021</v>
      </c>
      <c r="AH8" s="455" t="s">
        <v>83</v>
      </c>
      <c r="AI8" s="641">
        <f t="shared" ref="AI8" si="18">$B$8</f>
        <v>2020</v>
      </c>
      <c r="AJ8" s="641">
        <f t="shared" ref="AJ8" si="19">$C$8</f>
        <v>2021</v>
      </c>
      <c r="AK8" s="455" t="s">
        <v>83</v>
      </c>
      <c r="AL8" s="641">
        <f t="shared" ref="AL8" si="20">$B$8</f>
        <v>2020</v>
      </c>
      <c r="AM8" s="641">
        <f t="shared" ref="AM8" si="21">$C$8</f>
        <v>2021</v>
      </c>
      <c r="AN8" s="455" t="s">
        <v>83</v>
      </c>
      <c r="AO8" s="641">
        <f t="shared" ref="AO8" si="22">$B$8</f>
        <v>2020</v>
      </c>
      <c r="AP8" s="641">
        <f t="shared" ref="AP8" si="23">$C$8</f>
        <v>2021</v>
      </c>
      <c r="AQ8" s="455" t="s">
        <v>83</v>
      </c>
      <c r="AR8" s="486"/>
      <c r="AS8" s="490"/>
      <c r="AT8" s="491"/>
      <c r="AU8" s="491"/>
      <c r="AV8" s="490"/>
      <c r="AW8" s="491"/>
      <c r="AX8" s="491"/>
      <c r="AY8" s="490"/>
      <c r="AZ8" s="491"/>
      <c r="BA8" s="491"/>
      <c r="BB8" s="490"/>
      <c r="BC8" s="491"/>
      <c r="BD8" s="491"/>
      <c r="BE8" s="490"/>
      <c r="BF8" s="491"/>
      <c r="BG8" s="491"/>
      <c r="BH8" s="490"/>
    </row>
    <row r="9" spans="1:60" ht="18.75" customHeight="1" x14ac:dyDescent="0.35">
      <c r="A9" s="456"/>
      <c r="B9" s="645"/>
      <c r="C9" s="434"/>
      <c r="D9" s="434"/>
      <c r="E9" s="435"/>
      <c r="F9" s="435"/>
      <c r="G9" s="339"/>
      <c r="H9" s="645"/>
      <c r="I9" s="434"/>
      <c r="J9" s="434"/>
      <c r="K9" s="645"/>
      <c r="L9" s="434"/>
      <c r="M9" s="434"/>
      <c r="N9" s="645"/>
      <c r="O9" s="434"/>
      <c r="P9" s="434"/>
      <c r="Q9" s="613"/>
      <c r="R9" s="435"/>
      <c r="S9" s="435"/>
      <c r="T9" s="660"/>
      <c r="U9" s="436"/>
      <c r="V9" s="339"/>
      <c r="W9" s="613"/>
      <c r="X9" s="435"/>
      <c r="Y9" s="339"/>
      <c r="Z9" s="613"/>
      <c r="AA9" s="435"/>
      <c r="AB9" s="339"/>
      <c r="AC9" s="613"/>
      <c r="AD9" s="435"/>
      <c r="AE9" s="339"/>
      <c r="AF9" s="613"/>
      <c r="AG9" s="435"/>
      <c r="AH9" s="339"/>
      <c r="AI9" s="613"/>
      <c r="AJ9" s="435"/>
      <c r="AK9" s="339"/>
      <c r="AL9" s="613"/>
      <c r="AM9" s="435"/>
      <c r="AN9" s="339"/>
      <c r="AO9" s="437"/>
      <c r="AP9" s="437"/>
      <c r="AQ9" s="339"/>
      <c r="AR9" s="486"/>
      <c r="AS9" s="486"/>
    </row>
    <row r="10" spans="1:60" s="465" customFormat="1" ht="18.75" customHeight="1" x14ac:dyDescent="0.35">
      <c r="A10" s="457" t="s">
        <v>185</v>
      </c>
      <c r="B10" s="646"/>
      <c r="C10" s="438"/>
      <c r="D10" s="438"/>
      <c r="E10" s="435"/>
      <c r="F10" s="435"/>
      <c r="G10" s="339"/>
      <c r="H10" s="646"/>
      <c r="I10" s="438"/>
      <c r="J10" s="438"/>
      <c r="K10" s="646"/>
      <c r="L10" s="438"/>
      <c r="M10" s="438"/>
      <c r="N10" s="646"/>
      <c r="O10" s="438"/>
      <c r="P10" s="438"/>
      <c r="Q10" s="613"/>
      <c r="R10" s="435"/>
      <c r="S10" s="435"/>
      <c r="T10" s="660"/>
      <c r="U10" s="436"/>
      <c r="V10" s="339"/>
      <c r="W10" s="613"/>
      <c r="X10" s="435"/>
      <c r="Y10" s="339"/>
      <c r="Z10" s="613"/>
      <c r="AA10" s="435"/>
      <c r="AB10" s="339"/>
      <c r="AC10" s="613"/>
      <c r="AD10" s="435"/>
      <c r="AE10" s="339"/>
      <c r="AF10" s="613"/>
      <c r="AG10" s="435"/>
      <c r="AH10" s="339"/>
      <c r="AI10" s="613"/>
      <c r="AJ10" s="435"/>
      <c r="AK10" s="339"/>
      <c r="AL10" s="613"/>
      <c r="AM10" s="435"/>
      <c r="AN10" s="339"/>
      <c r="AO10" s="437"/>
      <c r="AP10" s="437"/>
      <c r="AQ10" s="339"/>
      <c r="AR10" s="492"/>
      <c r="AS10" s="492"/>
    </row>
    <row r="11" spans="1:60" s="465" customFormat="1" ht="18.75" customHeight="1" x14ac:dyDescent="0.35">
      <c r="A11" s="458"/>
      <c r="B11" s="646"/>
      <c r="C11" s="438"/>
      <c r="D11" s="438"/>
      <c r="E11" s="435"/>
      <c r="F11" s="435"/>
      <c r="G11" s="339"/>
      <c r="H11" s="646"/>
      <c r="I11" s="438"/>
      <c r="J11" s="438"/>
      <c r="K11" s="646"/>
      <c r="L11" s="438"/>
      <c r="M11" s="438"/>
      <c r="N11" s="646"/>
      <c r="O11" s="438"/>
      <c r="P11" s="438"/>
      <c r="Q11" s="613"/>
      <c r="R11" s="435"/>
      <c r="S11" s="435"/>
      <c r="T11" s="660"/>
      <c r="U11" s="436"/>
      <c r="V11" s="339"/>
      <c r="W11" s="613"/>
      <c r="X11" s="435"/>
      <c r="Y11" s="339"/>
      <c r="Z11" s="613"/>
      <c r="AA11" s="435"/>
      <c r="AB11" s="339"/>
      <c r="AC11" s="613"/>
      <c r="AD11" s="435"/>
      <c r="AE11" s="339"/>
      <c r="AF11" s="613"/>
      <c r="AG11" s="435"/>
      <c r="AH11" s="339"/>
      <c r="AI11" s="613"/>
      <c r="AJ11" s="435"/>
      <c r="AK11" s="339"/>
      <c r="AL11" s="613"/>
      <c r="AM11" s="435"/>
      <c r="AN11" s="339"/>
      <c r="AO11" s="437"/>
      <c r="AP11" s="437"/>
      <c r="AQ11" s="339"/>
      <c r="AR11" s="492"/>
      <c r="AS11" s="492"/>
    </row>
    <row r="12" spans="1:60" s="465" customFormat="1" ht="20.100000000000001" customHeight="1" x14ac:dyDescent="0.35">
      <c r="A12" s="457" t="s">
        <v>186</v>
      </c>
      <c r="B12" s="198"/>
      <c r="C12" s="439"/>
      <c r="D12" s="439"/>
      <c r="E12" s="435"/>
      <c r="F12" s="435"/>
      <c r="G12" s="339"/>
      <c r="H12" s="198"/>
      <c r="I12" s="439"/>
      <c r="J12" s="439"/>
      <c r="K12" s="198"/>
      <c r="L12" s="439"/>
      <c r="M12" s="439"/>
      <c r="N12" s="198"/>
      <c r="O12" s="439"/>
      <c r="P12" s="439"/>
      <c r="Q12" s="613"/>
      <c r="R12" s="435"/>
      <c r="S12" s="435"/>
      <c r="T12" s="660"/>
      <c r="U12" s="436"/>
      <c r="V12" s="339"/>
      <c r="W12" s="613"/>
      <c r="X12" s="435"/>
      <c r="Y12" s="339"/>
      <c r="Z12" s="613"/>
      <c r="AA12" s="435"/>
      <c r="AB12" s="339"/>
      <c r="AC12" s="613"/>
      <c r="AD12" s="435"/>
      <c r="AE12" s="339"/>
      <c r="AF12" s="613"/>
      <c r="AG12" s="435"/>
      <c r="AH12" s="339"/>
      <c r="AI12" s="613"/>
      <c r="AJ12" s="435"/>
      <c r="AK12" s="339"/>
      <c r="AL12" s="613"/>
      <c r="AM12" s="435"/>
      <c r="AN12" s="339"/>
      <c r="AO12" s="437"/>
      <c r="AP12" s="437"/>
      <c r="AQ12" s="339"/>
      <c r="AR12" s="492"/>
      <c r="AS12" s="492"/>
    </row>
    <row r="13" spans="1:60" s="494" customFormat="1" ht="20.100000000000001" customHeight="1" x14ac:dyDescent="0.35">
      <c r="A13" s="457" t="s">
        <v>187</v>
      </c>
      <c r="B13" s="198"/>
      <c r="C13" s="439"/>
      <c r="D13" s="440"/>
      <c r="E13" s="615"/>
      <c r="F13" s="615"/>
      <c r="G13" s="442"/>
      <c r="H13" s="198"/>
      <c r="I13" s="439"/>
      <c r="J13" s="440"/>
      <c r="K13" s="198"/>
      <c r="L13" s="439"/>
      <c r="M13" s="440"/>
      <c r="N13" s="198"/>
      <c r="O13" s="439"/>
      <c r="P13" s="440"/>
      <c r="Q13" s="104"/>
      <c r="R13" s="615"/>
      <c r="S13" s="441"/>
      <c r="T13" s="688"/>
      <c r="U13" s="661"/>
      <c r="V13" s="442"/>
      <c r="W13" s="104"/>
      <c r="X13" s="615"/>
      <c r="Y13" s="442"/>
      <c r="Z13" s="104"/>
      <c r="AA13" s="615"/>
      <c r="AB13" s="442"/>
      <c r="AC13" s="104"/>
      <c r="AD13" s="615"/>
      <c r="AE13" s="442"/>
      <c r="AF13" s="104"/>
      <c r="AG13" s="615"/>
      <c r="AH13" s="442"/>
      <c r="AI13" s="104"/>
      <c r="AJ13" s="615"/>
      <c r="AK13" s="442"/>
      <c r="AL13" s="104"/>
      <c r="AM13" s="615"/>
      <c r="AN13" s="442"/>
      <c r="AO13" s="443"/>
      <c r="AP13" s="443"/>
      <c r="AQ13" s="442"/>
      <c r="AR13" s="493"/>
      <c r="AS13" s="493"/>
    </row>
    <row r="14" spans="1:60" s="494" customFormat="1" ht="20.100000000000001" customHeight="1" x14ac:dyDescent="0.35">
      <c r="A14" s="459" t="s">
        <v>188</v>
      </c>
      <c r="B14" s="196"/>
      <c r="C14" s="445"/>
      <c r="D14" s="442"/>
      <c r="E14" s="615"/>
      <c r="F14" s="615"/>
      <c r="G14" s="442"/>
      <c r="H14" s="196"/>
      <c r="I14" s="445"/>
      <c r="J14" s="442"/>
      <c r="K14" s="196">
        <v>0</v>
      </c>
      <c r="L14" s="445">
        <v>0</v>
      </c>
      <c r="M14" s="442"/>
      <c r="N14" s="196"/>
      <c r="O14" s="445"/>
      <c r="P14" s="442"/>
      <c r="Q14" s="104">
        <v>8.2200000000000006</v>
      </c>
      <c r="R14" s="615">
        <v>5.4</v>
      </c>
      <c r="S14" s="441"/>
      <c r="T14" s="688"/>
      <c r="U14" s="661"/>
      <c r="V14" s="442"/>
      <c r="W14" s="104">
        <v>962.94018874999995</v>
      </c>
      <c r="X14" s="615">
        <v>994.03668174999996</v>
      </c>
      <c r="Y14" s="442">
        <f t="shared" ref="Y14:Y28" si="24">IF(W14=0, "    ---- ", IF(ABS(ROUND(100/W14*X14-100,1))&lt;999,ROUND(100/W14*X14-100,1),IF(ROUND(100/W14*X14-100,1)&gt;999,999,-999)))</f>
        <v>3.2</v>
      </c>
      <c r="Z14" s="104"/>
      <c r="AA14" s="615"/>
      <c r="AB14" s="442"/>
      <c r="AC14" s="104"/>
      <c r="AD14" s="615"/>
      <c r="AE14" s="442"/>
      <c r="AF14" s="104"/>
      <c r="AG14" s="615"/>
      <c r="AH14" s="442"/>
      <c r="AI14" s="104"/>
      <c r="AJ14" s="615"/>
      <c r="AK14" s="442" t="str">
        <f t="shared" ref="AK14:AK28" si="25">IF(AI14=0, "    ---- ", IF(ABS(ROUND(100/AI14*AJ14-100,1))&lt;999,ROUND(100/AI14*AJ14-100,1),IF(ROUND(100/AI14*AJ14-100,1)&gt;999,999,-999)))</f>
        <v xml:space="preserve">    ---- </v>
      </c>
      <c r="AL14" s="104"/>
      <c r="AM14" s="615"/>
      <c r="AN14" s="442"/>
      <c r="AO14" s="443">
        <f t="shared" ref="AO14:AO29" si="26">B14+H14+K14+N14+Q14+T14+W14+E14+Z14+AC14+AF14+AI14+AL14</f>
        <v>971.16018874999997</v>
      </c>
      <c r="AP14" s="443">
        <f t="shared" ref="AP14:AP29" si="27">C14+I14+L14+O14+R14+U14+X14+F14+AA14+AD14+AG14+AJ14+AM14</f>
        <v>999.43668174999993</v>
      </c>
      <c r="AQ14" s="442">
        <f t="shared" ref="AQ14:AQ29" si="28">IF(AO14=0, "    ---- ", IF(ABS(ROUND(100/AO14*AP14-100,1))&lt;999,ROUND(100/AO14*AP14-100,1),IF(ROUND(100/AO14*AP14-100,1)&gt;999,999,-999)))</f>
        <v>2.9</v>
      </c>
      <c r="AR14" s="493"/>
      <c r="AS14" s="493"/>
    </row>
    <row r="15" spans="1:60" s="494" customFormat="1" ht="20.100000000000001" customHeight="1" x14ac:dyDescent="0.35">
      <c r="A15" s="459" t="s">
        <v>189</v>
      </c>
      <c r="B15" s="196"/>
      <c r="C15" s="445"/>
      <c r="D15" s="442"/>
      <c r="E15" s="615"/>
      <c r="F15" s="615"/>
      <c r="G15" s="442"/>
      <c r="H15" s="196">
        <v>1696.5309999999999</v>
      </c>
      <c r="I15" s="445">
        <v>1367.0719999999999</v>
      </c>
      <c r="J15" s="442">
        <f t="shared" ref="J15:J28" si="29">IF(H15=0, "    ---- ", IF(ABS(ROUND(100/H15*I15-100,1))&lt;999,ROUND(100/H15*I15-100,1),IF(ROUND(100/H15*I15-100,1)&gt;999,999,-999)))</f>
        <v>-19.399999999999999</v>
      </c>
      <c r="K15" s="196">
        <v>0</v>
      </c>
      <c r="L15" s="445">
        <v>0</v>
      </c>
      <c r="M15" s="442"/>
      <c r="N15" s="196"/>
      <c r="O15" s="445"/>
      <c r="P15" s="442"/>
      <c r="Q15" s="104"/>
      <c r="R15" s="615"/>
      <c r="S15" s="441"/>
      <c r="T15" s="688"/>
      <c r="U15" s="661"/>
      <c r="V15" s="442"/>
      <c r="W15" s="104">
        <v>7858.3347634799993</v>
      </c>
      <c r="X15" s="615">
        <v>8693.9543338600015</v>
      </c>
      <c r="Y15" s="442">
        <f t="shared" si="24"/>
        <v>10.6</v>
      </c>
      <c r="Z15" s="104"/>
      <c r="AA15" s="615">
        <v>0.42000000000000004</v>
      </c>
      <c r="AB15" s="442" t="str">
        <f t="shared" ref="AB15" si="30">IF(Z15=0, "    ---- ", IF(ABS(ROUND(100/Z15*AA15-100,1))&lt;999,ROUND(100/Z15*AA15-100,1),IF(ROUND(100/Z15*AA15-100,1)&gt;999,999,-999)))</f>
        <v xml:space="preserve">    ---- </v>
      </c>
      <c r="AC15" s="104">
        <f>710+320</f>
        <v>1030</v>
      </c>
      <c r="AD15" s="615">
        <f>1062+365</f>
        <v>1427</v>
      </c>
      <c r="AE15" s="442">
        <f t="shared" ref="AE15:AE28" si="31">IF(AC15=0, "    ---- ", IF(ABS(ROUND(100/AC15*AD15-100,1))&lt;999,ROUND(100/AC15*AD15-100,1),IF(ROUND(100/AC15*AD15-100,1)&gt;999,999,-999)))</f>
        <v>38.5</v>
      </c>
      <c r="AF15" s="104"/>
      <c r="AG15" s="615"/>
      <c r="AH15" s="442"/>
      <c r="AI15" s="104">
        <v>1656.8530000000001</v>
      </c>
      <c r="AJ15" s="615">
        <v>1858.89</v>
      </c>
      <c r="AK15" s="442">
        <f t="shared" si="25"/>
        <v>12.2</v>
      </c>
      <c r="AL15" s="104">
        <v>13457</v>
      </c>
      <c r="AM15" s="615">
        <v>12678</v>
      </c>
      <c r="AN15" s="442">
        <f t="shared" ref="AN15:AN28" si="32">IF(AL15=0, "    ---- ", IF(ABS(ROUND(100/AL15*AM15-100,1))&lt;999,ROUND(100/AL15*AM15-100,1),IF(ROUND(100/AL15*AM15-100,1)&gt;999,999,-999)))</f>
        <v>-5.8</v>
      </c>
      <c r="AO15" s="443">
        <f t="shared" si="26"/>
        <v>25698.718763479999</v>
      </c>
      <c r="AP15" s="443">
        <f t="shared" si="27"/>
        <v>26025.336333860003</v>
      </c>
      <c r="AQ15" s="442">
        <f t="shared" si="28"/>
        <v>1.3</v>
      </c>
      <c r="AR15" s="493"/>
      <c r="AS15" s="493"/>
    </row>
    <row r="16" spans="1:60" s="494" customFormat="1" ht="20.100000000000001" customHeight="1" x14ac:dyDescent="0.35">
      <c r="A16" s="459" t="s">
        <v>190</v>
      </c>
      <c r="B16" s="196">
        <f>SUM(B17+B19)</f>
        <v>0</v>
      </c>
      <c r="C16" s="445">
        <f>SUM(C17+C19)</f>
        <v>0</v>
      </c>
      <c r="D16" s="442"/>
      <c r="E16" s="615">
        <f>SUM(E17+E19)</f>
        <v>297.60000000000002</v>
      </c>
      <c r="F16" s="615"/>
      <c r="G16" s="442"/>
      <c r="H16" s="196">
        <f>SUM(H17+H19)</f>
        <v>8734.9759999999987</v>
      </c>
      <c r="I16" s="445">
        <f>SUM(I17+I19)</f>
        <v>14200.677286150001</v>
      </c>
      <c r="J16" s="442"/>
      <c r="K16" s="196">
        <f>SUM(K17+K19)</f>
        <v>0</v>
      </c>
      <c r="L16" s="445">
        <v>164.82161775</v>
      </c>
      <c r="M16" s="442"/>
      <c r="N16" s="196">
        <f>SUM(N17+N19)</f>
        <v>84.265000000000001</v>
      </c>
      <c r="O16" s="445">
        <f>SUM(O17+O19)</f>
        <v>94.586989000000003</v>
      </c>
      <c r="P16" s="442"/>
      <c r="Q16" s="104">
        <v>252.97</v>
      </c>
      <c r="R16" s="615">
        <f>SUM(R17+R19)</f>
        <v>249</v>
      </c>
      <c r="S16" s="441"/>
      <c r="T16" s="688">
        <f>SUM(T17+T19)</f>
        <v>0</v>
      </c>
      <c r="U16" s="661">
        <f>SUM(U17+U19)</f>
        <v>0</v>
      </c>
      <c r="V16" s="442"/>
      <c r="W16" s="104">
        <v>19115.600070979999</v>
      </c>
      <c r="X16" s="615">
        <v>19350.69231477</v>
      </c>
      <c r="Y16" s="442">
        <f t="shared" si="24"/>
        <v>1.2</v>
      </c>
      <c r="Z16" s="104"/>
      <c r="AA16" s="615"/>
      <c r="AB16" s="442"/>
      <c r="AC16" s="104">
        <f>SUM(AC17+AC19)</f>
        <v>4458</v>
      </c>
      <c r="AD16" s="615">
        <f>SUM(AD17+AD19)</f>
        <v>4811</v>
      </c>
      <c r="AE16" s="442">
        <f t="shared" si="31"/>
        <v>7.9</v>
      </c>
      <c r="AF16" s="104">
        <f>SUM(AF17+AF19)</f>
        <v>0</v>
      </c>
      <c r="AG16" s="615">
        <f>SUM(AG17+AG19)</f>
        <v>0</v>
      </c>
      <c r="AH16" s="442"/>
      <c r="AI16" s="104">
        <f>SUM(AI17+AI19)</f>
        <v>1122.2260000000001</v>
      </c>
      <c r="AJ16" s="615">
        <f>SUM(AJ17+AJ19)</f>
        <v>1104.7350000000001</v>
      </c>
      <c r="AK16" s="442">
        <f t="shared" si="25"/>
        <v>-1.6</v>
      </c>
      <c r="AL16" s="104">
        <f>SUM(AL17+AL19)</f>
        <v>8470</v>
      </c>
      <c r="AM16" s="615">
        <f>8287+1220</f>
        <v>9507</v>
      </c>
      <c r="AN16" s="442">
        <f t="shared" si="32"/>
        <v>12.2</v>
      </c>
      <c r="AO16" s="443">
        <f t="shared" si="26"/>
        <v>42535.637070979996</v>
      </c>
      <c r="AP16" s="443">
        <f t="shared" si="27"/>
        <v>49482.513207670003</v>
      </c>
      <c r="AQ16" s="442">
        <f t="shared" si="28"/>
        <v>16.3</v>
      </c>
      <c r="AR16" s="493"/>
      <c r="AS16" s="493"/>
    </row>
    <row r="17" spans="1:46" s="494" customFormat="1" ht="20.100000000000001" customHeight="1" x14ac:dyDescent="0.35">
      <c r="A17" s="459" t="s">
        <v>191</v>
      </c>
      <c r="B17" s="196"/>
      <c r="C17" s="445"/>
      <c r="D17" s="442"/>
      <c r="E17" s="615"/>
      <c r="F17" s="615"/>
      <c r="G17" s="442"/>
      <c r="H17" s="196">
        <v>6269.9449999999997</v>
      </c>
      <c r="I17" s="445">
        <v>11519.060993040001</v>
      </c>
      <c r="J17" s="442"/>
      <c r="K17" s="196">
        <v>0</v>
      </c>
      <c r="L17" s="445">
        <v>0</v>
      </c>
      <c r="M17" s="442"/>
      <c r="N17" s="196">
        <v>84.265000000000001</v>
      </c>
      <c r="O17" s="445">
        <v>94.586989000000003</v>
      </c>
      <c r="P17" s="442"/>
      <c r="Q17" s="104"/>
      <c r="R17" s="615"/>
      <c r="S17" s="441"/>
      <c r="T17" s="688"/>
      <c r="U17" s="661"/>
      <c r="V17" s="442"/>
      <c r="W17" s="104">
        <v>7422.3321139700001</v>
      </c>
      <c r="X17" s="615">
        <v>6936.8172131599995</v>
      </c>
      <c r="Y17" s="442">
        <f t="shared" si="24"/>
        <v>-6.5</v>
      </c>
      <c r="Z17" s="104"/>
      <c r="AA17" s="615"/>
      <c r="AB17" s="442"/>
      <c r="AC17" s="104">
        <v>10</v>
      </c>
      <c r="AD17" s="615">
        <v>10</v>
      </c>
      <c r="AE17" s="442">
        <f t="shared" si="31"/>
        <v>0</v>
      </c>
      <c r="AF17" s="104"/>
      <c r="AG17" s="615"/>
      <c r="AH17" s="442"/>
      <c r="AI17" s="104">
        <v>75.641999999999996</v>
      </c>
      <c r="AJ17" s="615">
        <v>39.902999999999999</v>
      </c>
      <c r="AK17" s="442">
        <f t="shared" si="25"/>
        <v>-47.2</v>
      </c>
      <c r="AL17" s="104"/>
      <c r="AM17" s="615"/>
      <c r="AN17" s="442" t="str">
        <f t="shared" si="32"/>
        <v xml:space="preserve">    ---- </v>
      </c>
      <c r="AO17" s="443">
        <f t="shared" si="26"/>
        <v>13862.184113970001</v>
      </c>
      <c r="AP17" s="443">
        <f t="shared" si="27"/>
        <v>18600.368195199997</v>
      </c>
      <c r="AQ17" s="442">
        <f t="shared" si="28"/>
        <v>34.200000000000003</v>
      </c>
      <c r="AR17" s="493"/>
      <c r="AS17" s="493"/>
    </row>
    <row r="18" spans="1:46" s="494" customFormat="1" ht="20.100000000000001" customHeight="1" x14ac:dyDescent="0.35">
      <c r="A18" s="459" t="s">
        <v>192</v>
      </c>
      <c r="B18" s="196"/>
      <c r="C18" s="445"/>
      <c r="D18" s="442"/>
      <c r="E18" s="615"/>
      <c r="F18" s="615"/>
      <c r="G18" s="442"/>
      <c r="H18" s="196">
        <v>6269.9449999999997</v>
      </c>
      <c r="I18" s="445">
        <f>+I17</f>
        <v>11519.060993040001</v>
      </c>
      <c r="J18" s="442"/>
      <c r="K18" s="196">
        <v>0</v>
      </c>
      <c r="L18" s="445">
        <v>0</v>
      </c>
      <c r="M18" s="442"/>
      <c r="N18" s="196">
        <v>84.265000000000001</v>
      </c>
      <c r="O18" s="445">
        <v>94.586989000000003</v>
      </c>
      <c r="P18" s="442"/>
      <c r="Q18" s="104"/>
      <c r="R18" s="615"/>
      <c r="S18" s="441"/>
      <c r="T18" s="688"/>
      <c r="U18" s="661"/>
      <c r="V18" s="442"/>
      <c r="W18" s="104">
        <v>7422.3321139700001</v>
      </c>
      <c r="X18" s="615">
        <v>6936.8172131599995</v>
      </c>
      <c r="Y18" s="442">
        <f t="shared" si="24"/>
        <v>-6.5</v>
      </c>
      <c r="Z18" s="104"/>
      <c r="AA18" s="615"/>
      <c r="AB18" s="442"/>
      <c r="AC18" s="104"/>
      <c r="AD18" s="615"/>
      <c r="AE18" s="442"/>
      <c r="AF18" s="104"/>
      <c r="AG18" s="615"/>
      <c r="AH18" s="442"/>
      <c r="AI18" s="104">
        <v>7.4999999999996723</v>
      </c>
      <c r="AJ18" s="615">
        <v>-3.2782554626464843E-13</v>
      </c>
      <c r="AK18" s="442">
        <f t="shared" si="25"/>
        <v>-100</v>
      </c>
      <c r="AL18" s="104"/>
      <c r="AM18" s="615"/>
      <c r="AN18" s="442" t="str">
        <f t="shared" si="32"/>
        <v xml:space="preserve">    ---- </v>
      </c>
      <c r="AO18" s="443">
        <f t="shared" si="26"/>
        <v>13784.042113970001</v>
      </c>
      <c r="AP18" s="443">
        <f t="shared" si="27"/>
        <v>18550.465195199999</v>
      </c>
      <c r="AQ18" s="442">
        <f t="shared" si="28"/>
        <v>34.6</v>
      </c>
      <c r="AR18" s="493"/>
      <c r="AS18" s="493"/>
    </row>
    <row r="19" spans="1:46" s="494" customFormat="1" ht="20.100000000000001" customHeight="1" x14ac:dyDescent="0.35">
      <c r="A19" s="459" t="s">
        <v>193</v>
      </c>
      <c r="B19" s="196"/>
      <c r="C19" s="445"/>
      <c r="D19" s="442"/>
      <c r="E19" s="615">
        <v>297.60000000000002</v>
      </c>
      <c r="F19" s="615"/>
      <c r="G19" s="442"/>
      <c r="H19" s="196">
        <v>2465.0309999999999</v>
      </c>
      <c r="I19" s="445">
        <v>2681.6162931100002</v>
      </c>
      <c r="J19" s="442"/>
      <c r="K19" s="196">
        <v>0</v>
      </c>
      <c r="L19" s="445">
        <v>164.82161775</v>
      </c>
      <c r="M19" s="442"/>
      <c r="N19" s="196"/>
      <c r="O19" s="445"/>
      <c r="P19" s="442"/>
      <c r="Q19" s="104">
        <v>252.97</v>
      </c>
      <c r="R19" s="615">
        <v>249</v>
      </c>
      <c r="S19" s="441"/>
      <c r="T19" s="688"/>
      <c r="U19" s="661"/>
      <c r="V19" s="442"/>
      <c r="W19" s="104">
        <v>11693.267957010001</v>
      </c>
      <c r="X19" s="615">
        <v>12413.875101610001</v>
      </c>
      <c r="Y19" s="442">
        <f t="shared" si="24"/>
        <v>6.2</v>
      </c>
      <c r="Z19" s="104"/>
      <c r="AA19" s="615"/>
      <c r="AB19" s="442"/>
      <c r="AC19" s="104">
        <v>4448</v>
      </c>
      <c r="AD19" s="615">
        <v>4801</v>
      </c>
      <c r="AE19" s="442">
        <f t="shared" si="31"/>
        <v>7.9</v>
      </c>
      <c r="AF19" s="104"/>
      <c r="AG19" s="615"/>
      <c r="AH19" s="442"/>
      <c r="AI19" s="104">
        <v>1046.5840000000001</v>
      </c>
      <c r="AJ19" s="615">
        <v>1064.8320000000001</v>
      </c>
      <c r="AK19" s="442">
        <f t="shared" si="25"/>
        <v>1.7</v>
      </c>
      <c r="AL19" s="104">
        <f>1+8120+349</f>
        <v>8470</v>
      </c>
      <c r="AM19" s="615">
        <f>8287+1220</f>
        <v>9507</v>
      </c>
      <c r="AN19" s="442">
        <f t="shared" si="32"/>
        <v>12.2</v>
      </c>
      <c r="AO19" s="443">
        <f t="shared" si="26"/>
        <v>28673.452957010002</v>
      </c>
      <c r="AP19" s="443">
        <f t="shared" si="27"/>
        <v>30882.145012470002</v>
      </c>
      <c r="AQ19" s="442">
        <f t="shared" si="28"/>
        <v>7.7</v>
      </c>
      <c r="AR19" s="493"/>
      <c r="AS19" s="493"/>
    </row>
    <row r="20" spans="1:46" s="494" customFormat="1" ht="20.100000000000001" customHeight="1" x14ac:dyDescent="0.35">
      <c r="A20" s="459" t="s">
        <v>194</v>
      </c>
      <c r="B20" s="196">
        <f>SUM(B21:B25)</f>
        <v>760.12099999999998</v>
      </c>
      <c r="C20" s="445">
        <f>SUM(C21:C25)</f>
        <v>847.56499999999994</v>
      </c>
      <c r="D20" s="442">
        <f>IF(B20=0, "    ---- ", IF(ABS(ROUND(100/B20*C20-100,1))&lt;999,ROUND(100/B20*C20-100,1),IF(ROUND(100/B20*C20-100,1)&gt;999,999,-999)))</f>
        <v>11.5</v>
      </c>
      <c r="E20" s="615">
        <f>SUM(E21:E25)</f>
        <v>263.39999999999998</v>
      </c>
      <c r="F20" s="615"/>
      <c r="G20" s="442">
        <f t="shared" ref="G20:G28" si="33">IF(E20=0, "    ---- ", IF(ABS(ROUND(100/E20*F20-100,1))&lt;999,ROUND(100/E20*F20-100,1),IF(ROUND(100/E20*F20-100,1)&gt;999,999,-999)))</f>
        <v>-100</v>
      </c>
      <c r="H20" s="196">
        <f>SUM(H21:H25)</f>
        <v>22454.759000000002</v>
      </c>
      <c r="I20" s="445">
        <f>SUM(I21:I25)</f>
        <v>18882.432392910003</v>
      </c>
      <c r="J20" s="442">
        <f t="shared" si="29"/>
        <v>-15.9</v>
      </c>
      <c r="K20" s="196">
        <f>SUM(K21:K25)</f>
        <v>1425.1268943800003</v>
      </c>
      <c r="L20" s="445">
        <v>2481.9259533900008</v>
      </c>
      <c r="M20" s="442">
        <f t="shared" ref="M20:M22" si="34">IF(K20=0, "    ---- ", IF(ABS(ROUND(100/K20*L20-100,1))&lt;999,ROUND(100/K20*L20-100,1),IF(ROUND(100/K20*L20-100,1)&gt;999,999,-999)))</f>
        <v>74.2</v>
      </c>
      <c r="N20" s="196">
        <f>SUM(N21:N25)</f>
        <v>412.66699999999997</v>
      </c>
      <c r="O20" s="445">
        <f>SUM(O21:O25)</f>
        <v>387.77268700000002</v>
      </c>
      <c r="P20" s="442">
        <f t="shared" ref="P20:P28" si="35">IF(N20=0, "    ---- ", IF(ABS(ROUND(100/N20*O20-100,1))&lt;999,ROUND(100/N20*O20-100,1),IF(ROUND(100/N20*O20-100,1)&gt;999,999,-999)))</f>
        <v>-6</v>
      </c>
      <c r="Q20" s="104">
        <f>SUM(Q21:Q25)</f>
        <v>830.48</v>
      </c>
      <c r="R20" s="615">
        <f>SUM(R21:R25)</f>
        <v>1039.9000000000001</v>
      </c>
      <c r="S20" s="441">
        <f t="shared" ref="S20:S28" si="36">IF(Q20=0, "    ---- ", IF(ABS(ROUND(100/Q20*R20-100,1))&lt;999,ROUND(100/Q20*R20-100,1),IF(ROUND(100/Q20*R20-100,1)&gt;999,999,-999)))</f>
        <v>25.2</v>
      </c>
      <c r="T20" s="688">
        <f>SUM(T21:T25)</f>
        <v>0</v>
      </c>
      <c r="U20" s="661">
        <f>SUM(U21:U25)</f>
        <v>0</v>
      </c>
      <c r="V20" s="442" t="str">
        <f t="shared" ref="V20:V27" si="37">IF(T20=0, "    ---- ", IF(ABS(ROUND(100/T20*U20-100,1))&lt;999,ROUND(100/T20*U20-100,1),IF(ROUND(100/T20*U20-100,1)&gt;999,999,-999)))</f>
        <v xml:space="preserve">    ---- </v>
      </c>
      <c r="W20" s="104">
        <v>16407.368000320002</v>
      </c>
      <c r="X20" s="615">
        <v>15571.545790259999</v>
      </c>
      <c r="Y20" s="442">
        <f t="shared" si="24"/>
        <v>-5.0999999999999996</v>
      </c>
      <c r="Z20" s="104">
        <f>SUM(Z21:Z25)</f>
        <v>10567.93</v>
      </c>
      <c r="AA20" s="615">
        <f>SUM(AA21:AA25)</f>
        <v>11050.230000000001</v>
      </c>
      <c r="AB20" s="442">
        <f t="shared" ref="AB20:AB28" si="38">IF(Z20=0, "    ---- ", IF(ABS(ROUND(100/Z20*AA20-100,1))&lt;999,ROUND(100/Z20*AA20-100,1),IF(ROUND(100/Z20*AA20-100,1)&gt;999,999,-999)))</f>
        <v>4.5999999999999996</v>
      </c>
      <c r="AC20" s="104">
        <f>SUM(AC21:AC25)</f>
        <v>4572</v>
      </c>
      <c r="AD20" s="615">
        <f>SUM(AD21:AD25)</f>
        <v>4373</v>
      </c>
      <c r="AE20" s="442">
        <f t="shared" si="31"/>
        <v>-4.4000000000000004</v>
      </c>
      <c r="AF20" s="104">
        <f>SUM(AF21:AF25)</f>
        <v>0</v>
      </c>
      <c r="AG20" s="615">
        <f>SUM(AG21:AG25)</f>
        <v>0</v>
      </c>
      <c r="AH20" s="339" t="str">
        <f>IF(AF20=0, "    ---- ", IF(ABS(ROUND(100/AF20*AG20-100,1))&lt;999,ROUND(100/AF20*AG20-100,1),IF(ROUND(100/AF20*AG20-100,1)&gt;999,999,-999)))</f>
        <v xml:space="preserve">    ---- </v>
      </c>
      <c r="AI20" s="104">
        <f>SUM(AI21:AI25)</f>
        <v>3736.3809999999999</v>
      </c>
      <c r="AJ20" s="615">
        <f>SUM(AJ21:AJ25)</f>
        <v>3820.739</v>
      </c>
      <c r="AK20" s="442">
        <f t="shared" si="25"/>
        <v>2.2999999999999998</v>
      </c>
      <c r="AL20" s="104">
        <f>SUM(AL21:AL25)</f>
        <v>12796</v>
      </c>
      <c r="AM20" s="615">
        <f>SUM(AM21:AM25)</f>
        <v>14956</v>
      </c>
      <c r="AN20" s="442">
        <f t="shared" si="32"/>
        <v>16.899999999999999</v>
      </c>
      <c r="AO20" s="443">
        <f t="shared" si="26"/>
        <v>74226.232894700006</v>
      </c>
      <c r="AP20" s="443">
        <f t="shared" si="27"/>
        <v>73411.110823560011</v>
      </c>
      <c r="AQ20" s="442">
        <f t="shared" si="28"/>
        <v>-1.1000000000000001</v>
      </c>
      <c r="AR20" s="493"/>
      <c r="AS20" s="493"/>
    </row>
    <row r="21" spans="1:46" s="494" customFormat="1" ht="20.100000000000001" customHeight="1" x14ac:dyDescent="0.35">
      <c r="A21" s="459" t="s">
        <v>195</v>
      </c>
      <c r="B21" s="196">
        <v>6.2839999999999998</v>
      </c>
      <c r="C21" s="445">
        <v>7.2039999999999997</v>
      </c>
      <c r="D21" s="442">
        <f>IF(B21=0, "    ---- ", IF(ABS(ROUND(100/B21*C21-100,1))&lt;999,ROUND(100/B21*C21-100,1),IF(ROUND(100/B21*C21-100,1)&gt;999,999,-999)))</f>
        <v>14.6</v>
      </c>
      <c r="E21" s="615">
        <v>255.7</v>
      </c>
      <c r="F21" s="615"/>
      <c r="G21" s="442">
        <f t="shared" si="33"/>
        <v>-100</v>
      </c>
      <c r="H21" s="196">
        <v>558.73699999999997</v>
      </c>
      <c r="I21" s="445">
        <v>1567.4986408599998</v>
      </c>
      <c r="J21" s="442">
        <f t="shared" si="29"/>
        <v>180.5</v>
      </c>
      <c r="K21" s="196">
        <v>0</v>
      </c>
      <c r="L21" s="445">
        <v>0</v>
      </c>
      <c r="M21" s="442" t="str">
        <f t="shared" si="34"/>
        <v xml:space="preserve">    ---- </v>
      </c>
      <c r="N21" s="196">
        <v>58.100999999999999</v>
      </c>
      <c r="O21" s="445">
        <v>59.491070999999998</v>
      </c>
      <c r="P21" s="442">
        <f t="shared" si="35"/>
        <v>2.4</v>
      </c>
      <c r="Q21" s="104">
        <v>10.59</v>
      </c>
      <c r="R21" s="615">
        <v>44.2</v>
      </c>
      <c r="S21" s="441">
        <f t="shared" si="36"/>
        <v>317.39999999999998</v>
      </c>
      <c r="T21" s="688"/>
      <c r="U21" s="661"/>
      <c r="V21" s="442"/>
      <c r="W21" s="104">
        <v>5.2555584500000005</v>
      </c>
      <c r="X21" s="615">
        <v>6.7540584500000005</v>
      </c>
      <c r="Y21" s="442">
        <f t="shared" si="24"/>
        <v>28.5</v>
      </c>
      <c r="Z21" s="104">
        <v>0</v>
      </c>
      <c r="AA21" s="615">
        <v>7.76</v>
      </c>
      <c r="AB21" s="442" t="str">
        <f t="shared" si="38"/>
        <v xml:space="preserve">    ---- </v>
      </c>
      <c r="AC21" s="104">
        <v>2242</v>
      </c>
      <c r="AD21" s="615">
        <v>2330</v>
      </c>
      <c r="AE21" s="442"/>
      <c r="AF21" s="104"/>
      <c r="AG21" s="615"/>
      <c r="AH21" s="442"/>
      <c r="AI21" s="104">
        <v>1.2030000000000001</v>
      </c>
      <c r="AJ21" s="615">
        <v>1.204</v>
      </c>
      <c r="AK21" s="442">
        <f t="shared" si="25"/>
        <v>0.1</v>
      </c>
      <c r="AL21" s="104">
        <v>55</v>
      </c>
      <c r="AM21" s="615">
        <v>407</v>
      </c>
      <c r="AN21" s="442">
        <f t="shared" si="32"/>
        <v>640</v>
      </c>
      <c r="AO21" s="443">
        <f t="shared" si="26"/>
        <v>3192.8705584499999</v>
      </c>
      <c r="AP21" s="443">
        <f t="shared" si="27"/>
        <v>4431.1117703099999</v>
      </c>
      <c r="AQ21" s="442">
        <f t="shared" si="28"/>
        <v>38.799999999999997</v>
      </c>
      <c r="AR21" s="493"/>
      <c r="AS21" s="493"/>
    </row>
    <row r="22" spans="1:46" s="494" customFormat="1" ht="20.100000000000001" customHeight="1" x14ac:dyDescent="0.35">
      <c r="A22" s="459" t="s">
        <v>196</v>
      </c>
      <c r="B22" s="196">
        <v>753.83699999999999</v>
      </c>
      <c r="C22" s="445">
        <v>840.36099999999999</v>
      </c>
      <c r="D22" s="442">
        <f>IF(B22=0, "    ---- ", IF(ABS(ROUND(100/B22*C22-100,1))&lt;999,ROUND(100/B22*C22-100,1),IF(ROUND(100/B22*C22-100,1)&gt;999,999,-999)))</f>
        <v>11.5</v>
      </c>
      <c r="E22" s="615"/>
      <c r="F22" s="615"/>
      <c r="G22" s="442" t="str">
        <f t="shared" si="33"/>
        <v xml:space="preserve">    ---- </v>
      </c>
      <c r="H22" s="196">
        <v>21552.663</v>
      </c>
      <c r="I22" s="445">
        <v>17016.17989716</v>
      </c>
      <c r="J22" s="442">
        <f t="shared" si="29"/>
        <v>-21</v>
      </c>
      <c r="K22" s="196">
        <v>1606.9927431800002</v>
      </c>
      <c r="L22" s="445">
        <v>2413.9000814400006</v>
      </c>
      <c r="M22" s="442">
        <f t="shared" si="34"/>
        <v>50.2</v>
      </c>
      <c r="N22" s="196">
        <v>305.02199999999999</v>
      </c>
      <c r="O22" s="445">
        <v>247.121364</v>
      </c>
      <c r="P22" s="442">
        <f t="shared" si="35"/>
        <v>-19</v>
      </c>
      <c r="Q22" s="104">
        <v>819.89</v>
      </c>
      <c r="R22" s="615">
        <v>995.7</v>
      </c>
      <c r="S22" s="441">
        <f t="shared" si="36"/>
        <v>21.4</v>
      </c>
      <c r="T22" s="688"/>
      <c r="U22" s="661"/>
      <c r="V22" s="442"/>
      <c r="W22" s="104">
        <v>9708.7033964000002</v>
      </c>
      <c r="X22" s="615">
        <v>10351.00128986</v>
      </c>
      <c r="Y22" s="442">
        <f t="shared" si="24"/>
        <v>6.6</v>
      </c>
      <c r="Z22" s="104">
        <v>10567.93</v>
      </c>
      <c r="AA22" s="615">
        <v>11042.36</v>
      </c>
      <c r="AB22" s="442">
        <f t="shared" si="38"/>
        <v>4.5</v>
      </c>
      <c r="AC22" s="104">
        <v>2300</v>
      </c>
      <c r="AD22" s="615">
        <v>2055</v>
      </c>
      <c r="AE22" s="442">
        <f t="shared" si="31"/>
        <v>-10.7</v>
      </c>
      <c r="AF22" s="104"/>
      <c r="AG22" s="615"/>
      <c r="AH22" s="442"/>
      <c r="AI22" s="104">
        <v>2604.125</v>
      </c>
      <c r="AJ22" s="615">
        <v>3190.6109999999999</v>
      </c>
      <c r="AK22" s="442">
        <f t="shared" si="25"/>
        <v>22.5</v>
      </c>
      <c r="AL22" s="104">
        <v>11364</v>
      </c>
      <c r="AM22" s="615">
        <v>13653</v>
      </c>
      <c r="AN22" s="442">
        <f t="shared" si="32"/>
        <v>20.100000000000001</v>
      </c>
      <c r="AO22" s="443">
        <f t="shared" si="26"/>
        <v>61583.16313958</v>
      </c>
      <c r="AP22" s="443">
        <f t="shared" si="27"/>
        <v>61805.23463246</v>
      </c>
      <c r="AQ22" s="442">
        <f t="shared" si="28"/>
        <v>0.4</v>
      </c>
      <c r="AR22" s="493"/>
      <c r="AS22" s="493"/>
    </row>
    <row r="23" spans="1:46" s="494" customFormat="1" ht="20.100000000000001" customHeight="1" x14ac:dyDescent="0.35">
      <c r="A23" s="459" t="s">
        <v>197</v>
      </c>
      <c r="B23" s="196"/>
      <c r="C23" s="445"/>
      <c r="D23" s="442"/>
      <c r="E23" s="615">
        <v>7.7</v>
      </c>
      <c r="F23" s="615"/>
      <c r="G23" s="442">
        <f t="shared" si="33"/>
        <v>-100</v>
      </c>
      <c r="H23" s="196">
        <v>32.89</v>
      </c>
      <c r="I23" s="445">
        <v>7.8191590300000007</v>
      </c>
      <c r="J23" s="442">
        <f t="shared" si="29"/>
        <v>-76.2</v>
      </c>
      <c r="K23" s="196">
        <v>-182.94478226999999</v>
      </c>
      <c r="L23" s="445">
        <v>67.588517570000022</v>
      </c>
      <c r="M23" s="442"/>
      <c r="N23" s="196"/>
      <c r="O23" s="445"/>
      <c r="P23" s="442"/>
      <c r="Q23" s="104"/>
      <c r="R23" s="615"/>
      <c r="S23" s="441" t="str">
        <f t="shared" si="36"/>
        <v xml:space="preserve">    ---- </v>
      </c>
      <c r="T23" s="688"/>
      <c r="U23" s="661"/>
      <c r="V23" s="442"/>
      <c r="W23" s="104">
        <v>1781.44696176</v>
      </c>
      <c r="X23" s="615">
        <v>1512.9207325899999</v>
      </c>
      <c r="Y23" s="442">
        <f t="shared" si="24"/>
        <v>-15.1</v>
      </c>
      <c r="Z23" s="104">
        <v>0</v>
      </c>
      <c r="AA23" s="615">
        <v>0.11</v>
      </c>
      <c r="AB23" s="442" t="str">
        <f t="shared" si="38"/>
        <v xml:space="preserve">    ---- </v>
      </c>
      <c r="AC23" s="104"/>
      <c r="AD23" s="615"/>
      <c r="AE23" s="442" t="str">
        <f t="shared" si="31"/>
        <v xml:space="preserve">    ---- </v>
      </c>
      <c r="AF23" s="104"/>
      <c r="AG23" s="615"/>
      <c r="AH23" s="442"/>
      <c r="AI23" s="104">
        <v>0</v>
      </c>
      <c r="AJ23" s="615">
        <v>0</v>
      </c>
      <c r="AK23" s="442" t="str">
        <f t="shared" si="25"/>
        <v xml:space="preserve">    ---- </v>
      </c>
      <c r="AL23" s="104"/>
      <c r="AM23" s="615"/>
      <c r="AN23" s="442" t="str">
        <f t="shared" si="32"/>
        <v xml:space="preserve">    ---- </v>
      </c>
      <c r="AO23" s="443">
        <f t="shared" si="26"/>
        <v>1639.09217949</v>
      </c>
      <c r="AP23" s="443">
        <f t="shared" si="27"/>
        <v>1588.4384091899999</v>
      </c>
      <c r="AQ23" s="442">
        <f t="shared" si="28"/>
        <v>-3.1</v>
      </c>
      <c r="AR23" s="493"/>
      <c r="AS23" s="493"/>
    </row>
    <row r="24" spans="1:46" s="494" customFormat="1" ht="20.100000000000001" customHeight="1" x14ac:dyDescent="0.35">
      <c r="A24" s="459" t="s">
        <v>198</v>
      </c>
      <c r="B24" s="196"/>
      <c r="C24" s="445"/>
      <c r="D24" s="442"/>
      <c r="E24" s="615"/>
      <c r="F24" s="615"/>
      <c r="G24" s="442"/>
      <c r="H24" s="196">
        <v>0.57099999999999995</v>
      </c>
      <c r="I24" s="445">
        <v>3.3540056099999997</v>
      </c>
      <c r="J24" s="442">
        <f t="shared" si="29"/>
        <v>487.4</v>
      </c>
      <c r="K24" s="196">
        <v>0</v>
      </c>
      <c r="L24" s="445">
        <v>0</v>
      </c>
      <c r="M24" s="442"/>
      <c r="N24" s="196"/>
      <c r="O24" s="445"/>
      <c r="P24" s="442"/>
      <c r="Q24" s="104"/>
      <c r="R24" s="615"/>
      <c r="S24" s="441"/>
      <c r="T24" s="688"/>
      <c r="U24" s="661"/>
      <c r="V24" s="442"/>
      <c r="W24" s="104">
        <v>1012.17298548</v>
      </c>
      <c r="X24" s="615">
        <v>680.74601358000007</v>
      </c>
      <c r="Y24" s="442">
        <f t="shared" si="24"/>
        <v>-32.700000000000003</v>
      </c>
      <c r="Z24" s="104"/>
      <c r="AA24" s="615"/>
      <c r="AB24" s="442"/>
      <c r="AC24" s="104">
        <v>30</v>
      </c>
      <c r="AD24" s="615">
        <v>-12</v>
      </c>
      <c r="AE24" s="442">
        <f t="shared" si="31"/>
        <v>-140</v>
      </c>
      <c r="AF24" s="104"/>
      <c r="AG24" s="615"/>
      <c r="AH24" s="442"/>
      <c r="AI24" s="104">
        <v>0.92300000000000004</v>
      </c>
      <c r="AJ24" s="615">
        <v>0.64500000000000002</v>
      </c>
      <c r="AK24" s="442"/>
      <c r="AL24" s="104">
        <v>1377</v>
      </c>
      <c r="AM24" s="615">
        <v>896</v>
      </c>
      <c r="AN24" s="442">
        <f t="shared" si="32"/>
        <v>-34.9</v>
      </c>
      <c r="AO24" s="443">
        <f t="shared" si="26"/>
        <v>2420.6669854800002</v>
      </c>
      <c r="AP24" s="443">
        <f t="shared" si="27"/>
        <v>1568.74501919</v>
      </c>
      <c r="AQ24" s="442">
        <f t="shared" si="28"/>
        <v>-35.200000000000003</v>
      </c>
      <c r="AR24" s="493"/>
      <c r="AS24" s="493"/>
    </row>
    <row r="25" spans="1:46" s="494" customFormat="1" ht="20.100000000000001" customHeight="1" x14ac:dyDescent="0.35">
      <c r="A25" s="459" t="s">
        <v>199</v>
      </c>
      <c r="B25" s="196"/>
      <c r="C25" s="445"/>
      <c r="D25" s="442"/>
      <c r="E25" s="615"/>
      <c r="F25" s="615"/>
      <c r="G25" s="442"/>
      <c r="H25" s="196">
        <v>309.89800000000002</v>
      </c>
      <c r="I25" s="445">
        <v>287.58069025000003</v>
      </c>
      <c r="J25" s="442">
        <f t="shared" si="29"/>
        <v>-7.2</v>
      </c>
      <c r="K25" s="196">
        <v>1.0789334700000022</v>
      </c>
      <c r="L25" s="445">
        <v>0.43735437999999871</v>
      </c>
      <c r="M25" s="442">
        <f t="shared" ref="M25" si="39">IF(K25=0, "    ---- ", IF(ABS(ROUND(100/K25*L25-100,1))&lt;999,ROUND(100/K25*L25-100,1),IF(ROUND(100/K25*L25-100,1)&gt;999,999,-999)))</f>
        <v>-59.5</v>
      </c>
      <c r="N25" s="196">
        <v>49.543999999999997</v>
      </c>
      <c r="O25" s="445">
        <v>81.160252</v>
      </c>
      <c r="P25" s="442">
        <f t="shared" si="35"/>
        <v>63.8</v>
      </c>
      <c r="Q25" s="104"/>
      <c r="R25" s="615"/>
      <c r="S25" s="441"/>
      <c r="T25" s="688"/>
      <c r="U25" s="661"/>
      <c r="V25" s="442" t="str">
        <f t="shared" si="37"/>
        <v xml:space="preserve">    ---- </v>
      </c>
      <c r="W25" s="104">
        <v>3899.78909823</v>
      </c>
      <c r="X25" s="615">
        <v>3020.1236957800002</v>
      </c>
      <c r="Y25" s="442">
        <f t="shared" si="24"/>
        <v>-22.6</v>
      </c>
      <c r="Z25" s="104"/>
      <c r="AA25" s="615"/>
      <c r="AB25" s="442"/>
      <c r="AC25" s="104"/>
      <c r="AD25" s="615"/>
      <c r="AE25" s="442"/>
      <c r="AF25" s="104"/>
      <c r="AG25" s="615"/>
      <c r="AH25" s="339" t="str">
        <f>IF(AF25=0, "    ---- ", IF(ABS(ROUND(100/AF25*AG25-100,1))&lt;999,ROUND(100/AF25*AG25-100,1),IF(ROUND(100/AF25*AG25-100,1)&gt;999,999,-999)))</f>
        <v xml:space="preserve">    ---- </v>
      </c>
      <c r="AI25" s="104">
        <v>1130.1300000000001</v>
      </c>
      <c r="AJ25" s="615">
        <v>628.279</v>
      </c>
      <c r="AK25" s="442">
        <f t="shared" si="25"/>
        <v>-44.4</v>
      </c>
      <c r="AL25" s="104"/>
      <c r="AM25" s="615"/>
      <c r="AN25" s="442" t="str">
        <f t="shared" si="32"/>
        <v xml:space="preserve">    ---- </v>
      </c>
      <c r="AO25" s="443">
        <f t="shared" si="26"/>
        <v>5390.4400317</v>
      </c>
      <c r="AP25" s="443">
        <f t="shared" si="27"/>
        <v>4017.5809924100004</v>
      </c>
      <c r="AQ25" s="442">
        <f t="shared" si="28"/>
        <v>-25.5</v>
      </c>
      <c r="AR25" s="493"/>
      <c r="AS25" s="493"/>
    </row>
    <row r="26" spans="1:46" s="494" customFormat="1" ht="20.100000000000001" customHeight="1" x14ac:dyDescent="0.35">
      <c r="A26" s="459" t="s">
        <v>200</v>
      </c>
      <c r="B26" s="196"/>
      <c r="C26" s="445"/>
      <c r="D26" s="442"/>
      <c r="E26" s="615"/>
      <c r="F26" s="615"/>
      <c r="G26" s="442"/>
      <c r="H26" s="196"/>
      <c r="I26" s="445"/>
      <c r="J26" s="442"/>
      <c r="K26" s="196">
        <v>0</v>
      </c>
      <c r="L26" s="445">
        <v>0</v>
      </c>
      <c r="M26" s="442"/>
      <c r="N26" s="196"/>
      <c r="O26" s="445"/>
      <c r="P26" s="442"/>
      <c r="Q26" s="104"/>
      <c r="R26" s="615"/>
      <c r="S26" s="441"/>
      <c r="T26" s="688"/>
      <c r="U26" s="661"/>
      <c r="V26" s="442"/>
      <c r="W26" s="104"/>
      <c r="X26" s="615"/>
      <c r="Y26" s="442"/>
      <c r="Z26" s="104"/>
      <c r="AA26" s="615"/>
      <c r="AB26" s="442"/>
      <c r="AC26" s="104"/>
      <c r="AD26" s="615"/>
      <c r="AE26" s="442"/>
      <c r="AF26" s="104"/>
      <c r="AG26" s="615"/>
      <c r="AH26" s="442"/>
      <c r="AI26" s="104"/>
      <c r="AJ26" s="615"/>
      <c r="AK26" s="442"/>
      <c r="AL26" s="104"/>
      <c r="AM26" s="615"/>
      <c r="AN26" s="442"/>
      <c r="AO26" s="443">
        <f t="shared" si="26"/>
        <v>0</v>
      </c>
      <c r="AP26" s="443">
        <f t="shared" si="27"/>
        <v>0</v>
      </c>
      <c r="AQ26" s="442" t="str">
        <f t="shared" si="28"/>
        <v xml:space="preserve">    ---- </v>
      </c>
      <c r="AR26" s="493"/>
      <c r="AS26" s="493"/>
    </row>
    <row r="27" spans="1:46" s="494" customFormat="1" ht="20.100000000000001" customHeight="1" x14ac:dyDescent="0.35">
      <c r="A27" s="460" t="s">
        <v>201</v>
      </c>
      <c r="B27" s="196">
        <f>SUM(B14+B15+B16+B20+B26)</f>
        <v>760.12099999999998</v>
      </c>
      <c r="C27" s="445">
        <f>SUM(C14+C15+C16+C20+C26)</f>
        <v>847.56499999999994</v>
      </c>
      <c r="D27" s="442">
        <f>IF(B27=0, "    ---- ", IF(ABS(ROUND(100/B27*C27-100,1))&lt;999,ROUND(100/B27*C27-100,1),IF(ROUND(100/B27*C27-100,1)&gt;999,999,-999)))</f>
        <v>11.5</v>
      </c>
      <c r="E27" s="615">
        <f>SUM(E14+E15+E16+E20+E26)</f>
        <v>561</v>
      </c>
      <c r="F27" s="615"/>
      <c r="G27" s="442">
        <f t="shared" si="33"/>
        <v>-100</v>
      </c>
      <c r="H27" s="196">
        <f>SUM(H14+H15+H16+H20+H26)</f>
        <v>32886.266000000003</v>
      </c>
      <c r="I27" s="445">
        <f>SUM(I14+I15+I16+I20+I26)</f>
        <v>34450.181679060006</v>
      </c>
      <c r="J27" s="442">
        <f t="shared" si="29"/>
        <v>4.8</v>
      </c>
      <c r="K27" s="196">
        <f>SUM(K14+K15+K16+K20+K26)</f>
        <v>1425.1268943800003</v>
      </c>
      <c r="L27" s="445">
        <v>2646.7475711400007</v>
      </c>
      <c r="M27" s="442">
        <f t="shared" ref="M27:M28" si="40">IF(K27=0, "    ---- ", IF(ABS(ROUND(100/K27*L27-100,1))&lt;999,ROUND(100/K27*L27-100,1),IF(ROUND(100/K27*L27-100,1)&gt;999,999,-999)))</f>
        <v>85.7</v>
      </c>
      <c r="N27" s="196">
        <f>SUM(N14+N15+N16+N20+N26)</f>
        <v>496.93199999999996</v>
      </c>
      <c r="O27" s="445">
        <f>SUM(O14+O15+O16+O20+O26)</f>
        <v>482.35967600000004</v>
      </c>
      <c r="P27" s="442">
        <f t="shared" si="35"/>
        <v>-2.9</v>
      </c>
      <c r="Q27" s="104">
        <f>SUM(Q14+Q15+Q16+Q20+Q26)</f>
        <v>1091.67</v>
      </c>
      <c r="R27" s="615">
        <f>SUM(R14+R15+R16+R20+R26)</f>
        <v>1294.3000000000002</v>
      </c>
      <c r="S27" s="441">
        <f t="shared" si="36"/>
        <v>18.600000000000001</v>
      </c>
      <c r="T27" s="688">
        <f>SUM(T14+T15+T16+T20+T26)</f>
        <v>0</v>
      </c>
      <c r="U27" s="661">
        <f>SUM(U14+U15+U16+U20+U26)</f>
        <v>0</v>
      </c>
      <c r="V27" s="442" t="str">
        <f t="shared" si="37"/>
        <v xml:space="preserve">    ---- </v>
      </c>
      <c r="W27" s="104">
        <v>44344.243023529998</v>
      </c>
      <c r="X27" s="615">
        <v>44610.229120639997</v>
      </c>
      <c r="Y27" s="442">
        <f t="shared" si="24"/>
        <v>0.6</v>
      </c>
      <c r="Z27" s="104">
        <f>SUM(Z14+Z15+Z16+Z20+Z26)</f>
        <v>10567.93</v>
      </c>
      <c r="AA27" s="615">
        <f>SUM(AA14+AA15+AA16+AA20+AA26)</f>
        <v>11050.650000000001</v>
      </c>
      <c r="AB27" s="442">
        <f t="shared" si="38"/>
        <v>4.5999999999999996</v>
      </c>
      <c r="AC27" s="104">
        <f>SUM(AC14+AC15+AC16+AC20+AC26)</f>
        <v>10060</v>
      </c>
      <c r="AD27" s="615">
        <f>SUM(AD14+AD15+AD16+AD20+AD26)</f>
        <v>10611</v>
      </c>
      <c r="AE27" s="442">
        <f t="shared" si="31"/>
        <v>5.5</v>
      </c>
      <c r="AF27" s="104">
        <f>SUM(AF14+AF15+AF16+AF20+AF26)</f>
        <v>0</v>
      </c>
      <c r="AG27" s="615">
        <f>SUM(AG14+AG15+AG16+AG20+AG26)</f>
        <v>0</v>
      </c>
      <c r="AH27" s="339" t="str">
        <f>IF(AF27=0, "    ---- ", IF(ABS(ROUND(100/AF27*AG27-100,1))&lt;999,ROUND(100/AF27*AG27-100,1),IF(ROUND(100/AF27*AG27-100,1)&gt;999,999,-999)))</f>
        <v xml:space="preserve">    ---- </v>
      </c>
      <c r="AI27" s="104">
        <f>SUM(AI14+AI15+AI16+AI20+AI26)</f>
        <v>6515.46</v>
      </c>
      <c r="AJ27" s="615">
        <f>SUM(AJ14+AJ15+AJ16+AJ20+AJ26)</f>
        <v>6784.3639999999996</v>
      </c>
      <c r="AK27" s="442">
        <f t="shared" si="25"/>
        <v>4.0999999999999996</v>
      </c>
      <c r="AL27" s="104">
        <f>SUM(AL14+AL15+AL16+AL20+AL26)</f>
        <v>34723</v>
      </c>
      <c r="AM27" s="615">
        <f>SUM(AM14+AM15+AM16+AM20+AM26)</f>
        <v>37141</v>
      </c>
      <c r="AN27" s="442">
        <f t="shared" si="32"/>
        <v>7</v>
      </c>
      <c r="AO27" s="443">
        <f t="shared" si="26"/>
        <v>143431.74891790998</v>
      </c>
      <c r="AP27" s="443">
        <f t="shared" si="27"/>
        <v>149918.39704684002</v>
      </c>
      <c r="AQ27" s="442">
        <f t="shared" si="28"/>
        <v>4.5</v>
      </c>
      <c r="AR27" s="493"/>
      <c r="AS27" s="493"/>
    </row>
    <row r="28" spans="1:46" s="494" customFormat="1" ht="20.100000000000001" customHeight="1" x14ac:dyDescent="0.35">
      <c r="A28" s="459" t="s">
        <v>202</v>
      </c>
      <c r="B28" s="196">
        <f>53.406+152.864+4.516</f>
        <v>210.786</v>
      </c>
      <c r="C28" s="445">
        <f>91.812+136.734+4.005</f>
        <v>232.55099999999999</v>
      </c>
      <c r="D28" s="442">
        <f>IF(B28=0, "    ---- ", IF(ABS(ROUND(100/B28*C28-100,1))&lt;999,ROUND(100/B28*C28-100,1),IF(ROUND(100/B28*C28-100,1)&gt;999,999,-999)))</f>
        <v>10.3</v>
      </c>
      <c r="E28" s="615">
        <v>85.3</v>
      </c>
      <c r="F28" s="615"/>
      <c r="G28" s="442">
        <f t="shared" si="33"/>
        <v>-100</v>
      </c>
      <c r="H28" s="196">
        <v>904.98299999999995</v>
      </c>
      <c r="I28" s="445">
        <v>1402.26</v>
      </c>
      <c r="J28" s="442">
        <f t="shared" si="29"/>
        <v>54.9</v>
      </c>
      <c r="K28" s="196">
        <v>1569.62461596</v>
      </c>
      <c r="L28" s="445">
        <v>1227.9555674800001</v>
      </c>
      <c r="M28" s="442">
        <f t="shared" si="40"/>
        <v>-21.8</v>
      </c>
      <c r="N28" s="196">
        <v>297.298</v>
      </c>
      <c r="O28" s="445">
        <v>231.53990099999999</v>
      </c>
      <c r="P28" s="442">
        <f t="shared" si="35"/>
        <v>-22.1</v>
      </c>
      <c r="Q28" s="104">
        <f>26.55+142.4+274.17+2.1</f>
        <v>445.22</v>
      </c>
      <c r="R28" s="615">
        <v>318.89999999999998</v>
      </c>
      <c r="S28" s="441">
        <f t="shared" si="36"/>
        <v>-28.4</v>
      </c>
      <c r="T28" s="688">
        <v>151.22838720999999</v>
      </c>
      <c r="U28" s="661">
        <v>161.35311759999999</v>
      </c>
      <c r="V28" s="442"/>
      <c r="W28" s="104">
        <v>7413.8467211200004</v>
      </c>
      <c r="X28" s="615">
        <v>3596.3576718600002</v>
      </c>
      <c r="Y28" s="442">
        <f t="shared" si="24"/>
        <v>-51.5</v>
      </c>
      <c r="Z28" s="104">
        <v>999</v>
      </c>
      <c r="AA28" s="615">
        <v>1266.76</v>
      </c>
      <c r="AB28" s="442">
        <f t="shared" si="38"/>
        <v>26.8</v>
      </c>
      <c r="AC28" s="104">
        <v>1451</v>
      </c>
      <c r="AD28" s="615">
        <f>59+35+1331+23</f>
        <v>1448</v>
      </c>
      <c r="AE28" s="442">
        <f t="shared" si="31"/>
        <v>-0.2</v>
      </c>
      <c r="AF28" s="104">
        <v>82.175164449999997</v>
      </c>
      <c r="AG28" s="615">
        <v>95.449366670000003</v>
      </c>
      <c r="AH28" s="442"/>
      <c r="AI28" s="104">
        <v>629.44299999999998</v>
      </c>
      <c r="AJ28" s="615">
        <v>1086.4490000000001</v>
      </c>
      <c r="AK28" s="442">
        <f t="shared" si="25"/>
        <v>72.599999999999994</v>
      </c>
      <c r="AL28" s="104">
        <f>2483+2746+22+396</f>
        <v>5647</v>
      </c>
      <c r="AM28" s="615">
        <f>482+5018+2826+44</f>
        <v>8370</v>
      </c>
      <c r="AN28" s="442">
        <f t="shared" si="32"/>
        <v>48.2</v>
      </c>
      <c r="AO28" s="443">
        <f t="shared" si="26"/>
        <v>19886.904888739999</v>
      </c>
      <c r="AP28" s="443">
        <f t="shared" si="27"/>
        <v>19437.575624609999</v>
      </c>
      <c r="AQ28" s="442">
        <f t="shared" si="28"/>
        <v>-2.2999999999999998</v>
      </c>
      <c r="AR28" s="493"/>
      <c r="AS28" s="493"/>
    </row>
    <row r="29" spans="1:46" s="494" customFormat="1" ht="20.100000000000001" customHeight="1" x14ac:dyDescent="0.35">
      <c r="A29" s="459" t="s">
        <v>203</v>
      </c>
      <c r="B29" s="196">
        <f>SUM(B27+B28)</f>
        <v>970.90699999999993</v>
      </c>
      <c r="C29" s="445">
        <f>SUM(C27+C28)</f>
        <v>1080.116</v>
      </c>
      <c r="D29" s="442">
        <f>IF(B29=0, "    ---- ", IF(ABS(ROUND(100/B29*C29-100,1))&lt;999,ROUND(100/B29*C29-100,1),IF(ROUND(100/B29*C29-100,1)&gt;999,999,-999)))</f>
        <v>11.2</v>
      </c>
      <c r="E29" s="445">
        <f>SUM(E27+E28)</f>
        <v>646.29999999999995</v>
      </c>
      <c r="F29" s="445"/>
      <c r="G29" s="442">
        <f>IF(E29=0, "    ---- ", IF(ABS(ROUND(100/E29*F29-100,1))&lt;999,ROUND(100/E29*F29-100,1),IF(ROUND(100/E29*F29-100,1)&gt;999,999,-999)))</f>
        <v>-100</v>
      </c>
      <c r="H29" s="196">
        <f>SUM(H27+H28)</f>
        <v>33791.249000000003</v>
      </c>
      <c r="I29" s="445">
        <f>SUM(I27+I28)</f>
        <v>35852.441679060008</v>
      </c>
      <c r="J29" s="442">
        <f>IF(H29=0, "    ---- ", IF(ABS(ROUND(100/H29*I29-100,1))&lt;999,ROUND(100/H29*I29-100,1),IF(ROUND(100/H29*I29-100,1)&gt;999,999,-999)))</f>
        <v>6.1</v>
      </c>
      <c r="K29" s="196">
        <v>2994.7515103400006</v>
      </c>
      <c r="L29" s="445">
        <v>3874.7031386200006</v>
      </c>
      <c r="M29" s="442">
        <f>IF(K29=0, "    ---- ", IF(ABS(ROUND(100/K29*L29-100,1))&lt;999,ROUND(100/K29*L29-100,1),IF(ROUND(100/K29*L29-100,1)&gt;999,999,-999)))</f>
        <v>29.4</v>
      </c>
      <c r="N29" s="196">
        <f>SUM(N27+N28)</f>
        <v>794.23</v>
      </c>
      <c r="O29" s="445">
        <f>SUM(O27+O28)</f>
        <v>713.89957700000002</v>
      </c>
      <c r="P29" s="442">
        <f>IF(N29=0, "    ---- ", IF(ABS(ROUND(100/N29*O29-100,1))&lt;999,ROUND(100/N29*O29-100,1),IF(ROUND(100/N29*O29-100,1)&gt;999,999,-999)))</f>
        <v>-10.1</v>
      </c>
      <c r="Q29" s="196">
        <f>SUM(Q27+Q28)</f>
        <v>1536.89</v>
      </c>
      <c r="R29" s="445">
        <f>SUM(R27+R28)</f>
        <v>1613.2000000000003</v>
      </c>
      <c r="S29" s="442">
        <f>IF(Q29=0, "    ---- ", IF(ABS(ROUND(100/Q29*R29-100,1))&lt;999,ROUND(100/Q29*R29-100,1),IF(ROUND(100/Q29*R29-100,1)&gt;999,999,-999)))</f>
        <v>5</v>
      </c>
      <c r="T29" s="196">
        <f>SUM(T27+T28)</f>
        <v>151.22838720999999</v>
      </c>
      <c r="U29" s="445">
        <f>SUM(U27+U28)</f>
        <v>161.35311759999999</v>
      </c>
      <c r="V29" s="442">
        <f>IF(T29=0, "    ---- ", IF(ABS(ROUND(100/T29*U29-100,1))&lt;999,ROUND(100/T29*U29-100,1),IF(ROUND(100/T29*U29-100,1)&gt;999,999,-999)))</f>
        <v>6.7</v>
      </c>
      <c r="W29" s="196">
        <v>51758.089744650002</v>
      </c>
      <c r="X29" s="445">
        <v>48206.586792499998</v>
      </c>
      <c r="Y29" s="442">
        <f>IF(W29=0, "    ---- ", IF(ABS(ROUND(100/W29*X29-100,1))&lt;999,ROUND(100/W29*X29-100,1),IF(ROUND(100/W29*X29-100,1)&gt;999,999,-999)))</f>
        <v>-6.9</v>
      </c>
      <c r="Z29" s="196">
        <f>SUM(Z27+Z28)</f>
        <v>11566.93</v>
      </c>
      <c r="AA29" s="445">
        <f>SUM(AA27+AA28)</f>
        <v>12317.410000000002</v>
      </c>
      <c r="AB29" s="442">
        <f>IF(Z29=0, "    ---- ", IF(ABS(ROUND(100/Z29*AA29-100,1))&lt;999,ROUND(100/Z29*AA29-100,1),IF(ROUND(100/Z29*AA29-100,1)&gt;999,999,-999)))</f>
        <v>6.5</v>
      </c>
      <c r="AC29" s="196">
        <f>SUM(AC27+AC28)</f>
        <v>11511</v>
      </c>
      <c r="AD29" s="445">
        <f>SUM(AD27+AD28)</f>
        <v>12059</v>
      </c>
      <c r="AE29" s="442">
        <f>IF(AC29=0, "    ---- ", IF(ABS(ROUND(100/AC29*AD29-100,1))&lt;999,ROUND(100/AC29*AD29-100,1),IF(ROUND(100/AC29*AD29-100,1)&gt;999,999,-999)))</f>
        <v>4.8</v>
      </c>
      <c r="AF29" s="196">
        <f>SUM(AF27+AF28)</f>
        <v>82.175164449999997</v>
      </c>
      <c r="AG29" s="445">
        <f>SUM(AG27+AG28)</f>
        <v>95.449366670000003</v>
      </c>
      <c r="AH29" s="442">
        <f>IF(AF29=0, "    ---- ", IF(ABS(ROUND(100/AF29*AG29-100,1))&lt;999,ROUND(100/AF29*AG29-100,1),IF(ROUND(100/AF29*AG29-100,1)&gt;999,999,-999)))</f>
        <v>16.2</v>
      </c>
      <c r="AI29" s="196">
        <f>SUM(AI27+AI28)</f>
        <v>7144.9030000000002</v>
      </c>
      <c r="AJ29" s="445">
        <f>SUM(AJ27+AJ28)</f>
        <v>7870.8130000000001</v>
      </c>
      <c r="AK29" s="442">
        <f>IF(AI29=0, "    ---- ", IF(ABS(ROUND(100/AI29*AJ29-100,1))&lt;999,ROUND(100/AI29*AJ29-100,1),IF(ROUND(100/AI29*AJ29-100,1)&gt;999,999,-999)))</f>
        <v>10.199999999999999</v>
      </c>
      <c r="AL29" s="196">
        <f>SUM(AL27+AL28)</f>
        <v>40370</v>
      </c>
      <c r="AM29" s="445">
        <f>SUM(AM27+AM28)</f>
        <v>45511</v>
      </c>
      <c r="AN29" s="442">
        <f>IF(AL29=0, "    ---- ", IF(ABS(ROUND(100/AL29*AM29-100,1))&lt;999,ROUND(100/AL29*AM29-100,1),IF(ROUND(100/AL29*AM29-100,1)&gt;999,999,-999)))</f>
        <v>12.7</v>
      </c>
      <c r="AO29" s="443">
        <f t="shared" si="26"/>
        <v>163318.65380665002</v>
      </c>
      <c r="AP29" s="443">
        <f t="shared" si="27"/>
        <v>169355.97267145</v>
      </c>
      <c r="AQ29" s="444">
        <f t="shared" si="28"/>
        <v>3.7</v>
      </c>
      <c r="AR29" s="493"/>
      <c r="AS29" s="493"/>
      <c r="AT29" s="495"/>
    </row>
    <row r="30" spans="1:46" s="465" customFormat="1" ht="20.100000000000001" customHeight="1" x14ac:dyDescent="0.35">
      <c r="A30" s="459"/>
      <c r="B30" s="613"/>
      <c r="C30" s="435"/>
      <c r="D30" s="445"/>
      <c r="E30" s="435"/>
      <c r="F30" s="435"/>
      <c r="G30" s="339"/>
      <c r="H30" s="613"/>
      <c r="I30" s="435"/>
      <c r="J30" s="445"/>
      <c r="K30" s="613"/>
      <c r="L30" s="435"/>
      <c r="M30" s="445"/>
      <c r="N30" s="613"/>
      <c r="O30" s="435"/>
      <c r="P30" s="445"/>
      <c r="Q30" s="196"/>
      <c r="R30" s="445"/>
      <c r="S30" s="435"/>
      <c r="T30" s="613"/>
      <c r="U30" s="435"/>
      <c r="V30" s="339"/>
      <c r="W30" s="613"/>
      <c r="X30" s="435"/>
      <c r="Y30" s="339"/>
      <c r="Z30" s="613"/>
      <c r="AA30" s="435"/>
      <c r="AB30" s="339"/>
      <c r="AC30" s="613"/>
      <c r="AD30" s="435"/>
      <c r="AE30" s="339"/>
      <c r="AF30" s="613"/>
      <c r="AG30" s="435"/>
      <c r="AH30" s="339"/>
      <c r="AI30" s="613"/>
      <c r="AJ30" s="435"/>
      <c r="AK30" s="339"/>
      <c r="AL30" s="613"/>
      <c r="AM30" s="435"/>
      <c r="AN30" s="339"/>
      <c r="AO30" s="437"/>
      <c r="AP30" s="437"/>
      <c r="AQ30" s="446"/>
      <c r="AR30" s="492"/>
      <c r="AS30" s="492"/>
    </row>
    <row r="31" spans="1:46" s="465" customFormat="1" ht="20.100000000000001" customHeight="1" x14ac:dyDescent="0.35">
      <c r="A31" s="457" t="s">
        <v>204</v>
      </c>
      <c r="B31" s="196"/>
      <c r="C31" s="445"/>
      <c r="D31" s="445"/>
      <c r="E31" s="445"/>
      <c r="F31" s="445"/>
      <c r="G31" s="339"/>
      <c r="H31" s="196"/>
      <c r="I31" s="445"/>
      <c r="J31" s="445"/>
      <c r="K31" s="196"/>
      <c r="L31" s="445"/>
      <c r="M31" s="445"/>
      <c r="N31" s="196"/>
      <c r="O31" s="445"/>
      <c r="P31" s="445"/>
      <c r="Q31" s="196"/>
      <c r="R31" s="445"/>
      <c r="S31" s="435"/>
      <c r="T31" s="196"/>
      <c r="U31" s="445"/>
      <c r="V31" s="339"/>
      <c r="W31" s="196"/>
      <c r="X31" s="445"/>
      <c r="Y31" s="339"/>
      <c r="Z31" s="196"/>
      <c r="AA31" s="445"/>
      <c r="AB31" s="339"/>
      <c r="AC31" s="196"/>
      <c r="AD31" s="445"/>
      <c r="AE31" s="339"/>
      <c r="AF31" s="196"/>
      <c r="AG31" s="445"/>
      <c r="AH31" s="339"/>
      <c r="AI31" s="196"/>
      <c r="AJ31" s="445"/>
      <c r="AK31" s="339"/>
      <c r="AL31" s="196"/>
      <c r="AM31" s="445"/>
      <c r="AN31" s="339"/>
      <c r="AO31" s="437"/>
      <c r="AP31" s="437"/>
      <c r="AQ31" s="446"/>
      <c r="AR31" s="492"/>
      <c r="AS31" s="492"/>
    </row>
    <row r="32" spans="1:46" s="465" customFormat="1" ht="20.100000000000001" customHeight="1" x14ac:dyDescent="0.35">
      <c r="A32" s="457" t="s">
        <v>205</v>
      </c>
      <c r="B32" s="196"/>
      <c r="C32" s="445"/>
      <c r="D32" s="339"/>
      <c r="E32" s="445"/>
      <c r="F32" s="445"/>
      <c r="G32" s="339"/>
      <c r="H32" s="196"/>
      <c r="I32" s="445"/>
      <c r="J32" s="339"/>
      <c r="K32" s="196"/>
      <c r="L32" s="445"/>
      <c r="M32" s="339"/>
      <c r="N32" s="196"/>
      <c r="O32" s="445"/>
      <c r="P32" s="339"/>
      <c r="Q32" s="196"/>
      <c r="R32" s="445"/>
      <c r="S32" s="435"/>
      <c r="T32" s="196"/>
      <c r="U32" s="445"/>
      <c r="V32" s="339"/>
      <c r="W32" s="196"/>
      <c r="X32" s="445"/>
      <c r="Y32" s="339"/>
      <c r="Z32" s="196"/>
      <c r="AA32" s="445"/>
      <c r="AB32" s="339"/>
      <c r="AC32" s="196"/>
      <c r="AD32" s="445"/>
      <c r="AE32" s="339"/>
      <c r="AF32" s="196"/>
      <c r="AG32" s="445"/>
      <c r="AH32" s="339"/>
      <c r="AI32" s="196"/>
      <c r="AJ32" s="445"/>
      <c r="AK32" s="339"/>
      <c r="AL32" s="196"/>
      <c r="AM32" s="445"/>
      <c r="AN32" s="339"/>
      <c r="AO32" s="437"/>
      <c r="AP32" s="437"/>
      <c r="AQ32" s="446"/>
      <c r="AR32" s="492"/>
      <c r="AS32" s="492"/>
    </row>
    <row r="33" spans="1:46" s="465" customFormat="1" ht="20.100000000000001" customHeight="1" x14ac:dyDescent="0.35">
      <c r="A33" s="459" t="s">
        <v>206</v>
      </c>
      <c r="B33" s="196"/>
      <c r="C33" s="445"/>
      <c r="D33" s="445"/>
      <c r="E33" s="445"/>
      <c r="F33" s="445"/>
      <c r="G33" s="339"/>
      <c r="H33" s="196">
        <v>22.242999999999999</v>
      </c>
      <c r="I33" s="445">
        <v>19.31040771</v>
      </c>
      <c r="J33" s="445">
        <f t="shared" ref="J33:J91" si="41">IF(H33=0, "    ---- ", IF(ABS(ROUND(100/H33*I33-100,1))&lt;999,ROUND(100/H33*I33-100,1),IF(ROUND(100/H33*I33-100,1)&gt;999,999,-999)))</f>
        <v>-13.2</v>
      </c>
      <c r="K33" s="196">
        <v>0</v>
      </c>
      <c r="L33" s="445">
        <v>0</v>
      </c>
      <c r="M33" s="445"/>
      <c r="N33" s="196"/>
      <c r="O33" s="445"/>
      <c r="P33" s="445"/>
      <c r="Q33" s="196"/>
      <c r="R33" s="445"/>
      <c r="S33" s="435"/>
      <c r="T33" s="196"/>
      <c r="U33" s="445"/>
      <c r="V33" s="339"/>
      <c r="W33" s="196"/>
      <c r="X33" s="445"/>
      <c r="Y33" s="339"/>
      <c r="Z33" s="196"/>
      <c r="AA33" s="445"/>
      <c r="AB33" s="339"/>
      <c r="AC33" s="196"/>
      <c r="AD33" s="445"/>
      <c r="AE33" s="339" t="str">
        <f t="shared" ref="AE33:AE42" si="42">IF(AC33=0, "    ---- ", IF(ABS(ROUND(100/AC33*AD33-100,1))&lt;999,ROUND(100/AC33*AD33-100,1),IF(ROUND(100/AC33*AD33-100,1)&gt;999,999,-999)))</f>
        <v xml:space="preserve">    ---- </v>
      </c>
      <c r="AF33" s="196"/>
      <c r="AG33" s="445"/>
      <c r="AH33" s="339"/>
      <c r="AI33" s="196"/>
      <c r="AJ33" s="445"/>
      <c r="AK33" s="339" t="str">
        <f t="shared" ref="AK33:AK91" si="43">IF(AI33=0, "    ---- ", IF(ABS(ROUND(100/AI33*AJ33-100,1))&lt;999,ROUND(100/AI33*AJ33-100,1),IF(ROUND(100/AI33*AJ33-100,1)&gt;999,999,-999)))</f>
        <v xml:space="preserve">    ---- </v>
      </c>
      <c r="AL33" s="196"/>
      <c r="AM33" s="445"/>
      <c r="AN33" s="339"/>
      <c r="AO33" s="443">
        <f t="shared" ref="AO33:AO46" si="44">B33+H33+K33+N33+Q33+T33+W33+E33+Z33+AC33+AF33+AI33+AL33</f>
        <v>22.242999999999999</v>
      </c>
      <c r="AP33" s="443">
        <f t="shared" ref="AP33:AP46" si="45">C33+I33+L33+O33+R33+U33+X33+F33+AA33+AD33+AG33+AJ33+AM33</f>
        <v>19.31040771</v>
      </c>
      <c r="AQ33" s="446">
        <f t="shared" ref="AQ33:AQ91" si="46">IF(AO33=0, "    ---- ", IF(ABS(ROUND(100/AO33*AP33-100,1))&lt;999,ROUND(100/AO33*AP33-100,1),IF(ROUND(100/AO33*AP33-100,1)&gt;999,999,-999)))</f>
        <v>-13.2</v>
      </c>
      <c r="AR33" s="492"/>
      <c r="AS33" s="492"/>
      <c r="AT33" s="496"/>
    </row>
    <row r="34" spans="1:46" s="465" customFormat="1" ht="20.100000000000001" customHeight="1" x14ac:dyDescent="0.35">
      <c r="A34" s="459" t="s">
        <v>207</v>
      </c>
      <c r="B34" s="196"/>
      <c r="C34" s="445"/>
      <c r="D34" s="445"/>
      <c r="E34" s="445">
        <v>0</v>
      </c>
      <c r="F34" s="445"/>
      <c r="G34" s="339" t="str">
        <f>IF(E34=0, "    ---- ", IF(ABS(ROUND(100/E34*F34-100,1))&lt;999,ROUND(100/E34*F34-100,1),IF(ROUND(100/E34*F34-100,1)&gt;999,999,-999)))</f>
        <v xml:space="preserve">    ---- </v>
      </c>
      <c r="H34" s="196">
        <v>27320.503000000001</v>
      </c>
      <c r="I34" s="445">
        <v>28099.357</v>
      </c>
      <c r="J34" s="445">
        <f t="shared" si="41"/>
        <v>2.9</v>
      </c>
      <c r="K34" s="196">
        <v>0</v>
      </c>
      <c r="L34" s="445">
        <v>0</v>
      </c>
      <c r="M34" s="445"/>
      <c r="N34" s="196"/>
      <c r="O34" s="445"/>
      <c r="P34" s="445"/>
      <c r="Q34" s="196">
        <v>978.62</v>
      </c>
      <c r="R34" s="445">
        <v>1171.2</v>
      </c>
      <c r="S34" s="435"/>
      <c r="T34" s="196"/>
      <c r="U34" s="445"/>
      <c r="V34" s="339"/>
      <c r="W34" s="196">
        <v>75916.486854329996</v>
      </c>
      <c r="X34" s="445">
        <v>82573.901610240006</v>
      </c>
      <c r="Y34" s="339">
        <f>IF(W34=0, "    ---- ", IF(ABS(ROUND(100/W34*X34-100,1))&lt;999,ROUND(100/W34*X34-100,1),IF(ROUND(100/W34*X34-100,1)&gt;999,999,-999)))</f>
        <v>8.8000000000000007</v>
      </c>
      <c r="Z34" s="196">
        <v>7994</v>
      </c>
      <c r="AA34" s="445">
        <v>8046.8019964900004</v>
      </c>
      <c r="AB34" s="339">
        <f t="shared" ref="AB34:AB91" si="47">IF(Z34=0, "    ---- ", IF(ABS(ROUND(100/Z34*AA34-100,1))&lt;999,ROUND(100/Z34*AA34-100,1),IF(ROUND(100/Z34*AA34-100,1)&gt;999,999,-999)))</f>
        <v>0.7</v>
      </c>
      <c r="AC34" s="196">
        <f>10797+5965</f>
        <v>16762</v>
      </c>
      <c r="AD34" s="445">
        <f>14525+7829</f>
        <v>22354</v>
      </c>
      <c r="AE34" s="339">
        <f t="shared" si="42"/>
        <v>33.4</v>
      </c>
      <c r="AF34" s="196"/>
      <c r="AG34" s="445"/>
      <c r="AH34" s="339"/>
      <c r="AI34" s="196">
        <v>4848.4359999999997</v>
      </c>
      <c r="AJ34" s="445">
        <v>5180.3909999999996</v>
      </c>
      <c r="AK34" s="339">
        <f t="shared" si="43"/>
        <v>6.8</v>
      </c>
      <c r="AL34" s="196">
        <v>19993</v>
      </c>
      <c r="AM34" s="445">
        <v>22105</v>
      </c>
      <c r="AN34" s="339">
        <f t="shared" ref="AN34:AN91" si="48">IF(AL34=0, "    ---- ", IF(ABS(ROUND(100/AL34*AM34-100,1))&lt;999,ROUND(100/AL34*AM34-100,1),IF(ROUND(100/AL34*AM34-100,1)&gt;999,999,-999)))</f>
        <v>10.6</v>
      </c>
      <c r="AO34" s="443">
        <f t="shared" si="44"/>
        <v>153813.04585432998</v>
      </c>
      <c r="AP34" s="443">
        <f t="shared" si="45"/>
        <v>169530.65160673001</v>
      </c>
      <c r="AQ34" s="446">
        <f t="shared" si="46"/>
        <v>10.199999999999999</v>
      </c>
      <c r="AR34" s="492"/>
      <c r="AS34" s="492"/>
      <c r="AT34" s="496"/>
    </row>
    <row r="35" spans="1:46" s="465" customFormat="1" ht="20.100000000000001" customHeight="1" x14ac:dyDescent="0.35">
      <c r="A35" s="459" t="s">
        <v>208</v>
      </c>
      <c r="B35" s="196">
        <f>SUM(B36+B38)</f>
        <v>0</v>
      </c>
      <c r="C35" s="445">
        <f>SUM(C36+C38)</f>
        <v>0</v>
      </c>
      <c r="D35" s="445"/>
      <c r="E35" s="445">
        <f>SUM(E36+E38)</f>
        <v>1451.7</v>
      </c>
      <c r="F35" s="445"/>
      <c r="G35" s="339">
        <f>IF(E35=0, "    ---- ", IF(ABS(ROUND(100/E35*F35-100,1))&lt;999,ROUND(100/E35*F35-100,1),IF(ROUND(100/E35*F35-100,1)&gt;999,999,-999)))</f>
        <v>-100</v>
      </c>
      <c r="H35" s="196">
        <f>SUM(H36+H38)</f>
        <v>99236.447000000015</v>
      </c>
      <c r="I35" s="445">
        <f>SUM(I36+I38)</f>
        <v>96789.022268519999</v>
      </c>
      <c r="J35" s="445">
        <f t="shared" si="41"/>
        <v>-2.5</v>
      </c>
      <c r="K35" s="196">
        <f>SUM(K36+K38)</f>
        <v>36.852952610000003</v>
      </c>
      <c r="L35" s="445">
        <v>472.08234469999996</v>
      </c>
      <c r="M35" s="445"/>
      <c r="N35" s="196">
        <f>SUM(N36+N38)</f>
        <v>202.68100000000001</v>
      </c>
      <c r="O35" s="445">
        <f>SUM(O36+O38)</f>
        <v>239.37287699999999</v>
      </c>
      <c r="P35" s="445"/>
      <c r="Q35" s="196">
        <f>SUM(Q36+Q38)</f>
        <v>5404.65</v>
      </c>
      <c r="R35" s="445">
        <f>SUM(R36+R38)</f>
        <v>5576</v>
      </c>
      <c r="S35" s="435">
        <f>IF(Q35=0, "    ---- ", IF(ABS(ROUND(100/Q35*R35-100,1))&lt;999,ROUND(100/Q35*R35-100,1),IF(ROUND(100/Q35*R35-100,1)&gt;999,999,-999)))</f>
        <v>3.2</v>
      </c>
      <c r="T35" s="196">
        <f>SUM(T36+T38)</f>
        <v>0</v>
      </c>
      <c r="U35" s="445">
        <f>SUM(U36+U38)</f>
        <v>0</v>
      </c>
      <c r="V35" s="339"/>
      <c r="W35" s="196">
        <v>248884.22748722997</v>
      </c>
      <c r="X35" s="445">
        <v>257935.07237168003</v>
      </c>
      <c r="Y35" s="339">
        <f>IF(W35=0, "    ---- ", IF(ABS(ROUND(100/W35*X35-100,1))&lt;999,ROUND(100/W35*X35-100,1),IF(ROUND(100/W35*X35-100,1)&gt;999,999,-999)))</f>
        <v>3.6</v>
      </c>
      <c r="Z35" s="196">
        <f>SUM(Z36+Z38)</f>
        <v>31807.794908870001</v>
      </c>
      <c r="AA35" s="445">
        <f>SUM(AA36+AA38)</f>
        <v>33731.308128819997</v>
      </c>
      <c r="AB35" s="339">
        <f t="shared" si="47"/>
        <v>6</v>
      </c>
      <c r="AC35" s="196">
        <f>SUM(AC36+AC38)</f>
        <v>20803</v>
      </c>
      <c r="AD35" s="445">
        <f>SUM(AD36+AD38)</f>
        <v>25987</v>
      </c>
      <c r="AE35" s="339">
        <f t="shared" si="42"/>
        <v>24.9</v>
      </c>
      <c r="AF35" s="196">
        <f>SUM(AF36+AF38)</f>
        <v>0</v>
      </c>
      <c r="AG35" s="445">
        <f>SUM(AG36+AG38)</f>
        <v>0</v>
      </c>
      <c r="AH35" s="339"/>
      <c r="AI35" s="196">
        <f>SUM(AI36+AI38)</f>
        <v>7783.0459999999994</v>
      </c>
      <c r="AJ35" s="445">
        <f>SUM(AJ36+AJ38)</f>
        <v>7701.7420000000002</v>
      </c>
      <c r="AK35" s="339">
        <f t="shared" si="43"/>
        <v>-1</v>
      </c>
      <c r="AL35" s="196">
        <f>SUM(AL36+AL38)</f>
        <v>133698</v>
      </c>
      <c r="AM35" s="445">
        <f>SUM(AM36+AM38)</f>
        <v>142584</v>
      </c>
      <c r="AN35" s="339">
        <f t="shared" si="48"/>
        <v>6.6</v>
      </c>
      <c r="AO35" s="443">
        <f t="shared" si="44"/>
        <v>549308.39934870997</v>
      </c>
      <c r="AP35" s="443">
        <f t="shared" si="45"/>
        <v>571015.59999072005</v>
      </c>
      <c r="AQ35" s="446">
        <f t="shared" si="46"/>
        <v>4</v>
      </c>
      <c r="AR35" s="492"/>
      <c r="AS35" s="492"/>
      <c r="AT35" s="496"/>
    </row>
    <row r="36" spans="1:46" s="465" customFormat="1" ht="20.100000000000001" customHeight="1" x14ac:dyDescent="0.35">
      <c r="A36" s="459" t="s">
        <v>209</v>
      </c>
      <c r="B36" s="196"/>
      <c r="C36" s="445"/>
      <c r="D36" s="339"/>
      <c r="E36" s="445">
        <v>95.5</v>
      </c>
      <c r="F36" s="445"/>
      <c r="G36" s="339">
        <f>IF(E36=0, "    ---- ", IF(ABS(ROUND(100/E36*F36-100,1))&lt;999,ROUND(100/E36*F36-100,1),IF(ROUND(100/E36*F36-100,1)&gt;999,999,-999)))</f>
        <v>-100</v>
      </c>
      <c r="H36" s="196">
        <v>71798.460000000006</v>
      </c>
      <c r="I36" s="445">
        <v>69889.913092050003</v>
      </c>
      <c r="J36" s="339">
        <f t="shared" si="41"/>
        <v>-2.7</v>
      </c>
      <c r="K36" s="196">
        <v>0</v>
      </c>
      <c r="L36" s="445">
        <v>0</v>
      </c>
      <c r="M36" s="339"/>
      <c r="N36" s="196">
        <v>202.68100000000001</v>
      </c>
      <c r="O36" s="445">
        <v>239.37287699999999</v>
      </c>
      <c r="P36" s="339"/>
      <c r="Q36" s="196"/>
      <c r="R36" s="445"/>
      <c r="S36" s="435" t="str">
        <f>IF(Q36=0, "    ---- ", IF(ABS(ROUND(100/Q36*R36-100,1))&lt;999,ROUND(100/Q36*R36-100,1),IF(ROUND(100/Q36*R36-100,1)&gt;999,999,-999)))</f>
        <v xml:space="preserve">    ---- </v>
      </c>
      <c r="T36" s="196"/>
      <c r="U36" s="445"/>
      <c r="V36" s="339"/>
      <c r="W36" s="196">
        <v>23373.706253080003</v>
      </c>
      <c r="X36" s="445">
        <v>21752.057581200002</v>
      </c>
      <c r="Y36" s="339">
        <f>IF(W36=0, "    ---- ", IF(ABS(ROUND(100/W36*X36-100,1))&lt;999,ROUND(100/W36*X36-100,1),IF(ROUND(100/W36*X36-100,1)&gt;999,999,-999)))</f>
        <v>-6.9</v>
      </c>
      <c r="Z36" s="196">
        <v>505.34588832999998</v>
      </c>
      <c r="AA36" s="445">
        <v>0</v>
      </c>
      <c r="AB36" s="339">
        <f t="shared" si="47"/>
        <v>-100</v>
      </c>
      <c r="AC36" s="196">
        <v>0</v>
      </c>
      <c r="AD36" s="445"/>
      <c r="AE36" s="339" t="str">
        <f t="shared" si="42"/>
        <v xml:space="preserve">    ---- </v>
      </c>
      <c r="AF36" s="196"/>
      <c r="AG36" s="445"/>
      <c r="AH36" s="339"/>
      <c r="AI36" s="196">
        <v>585.75800000000004</v>
      </c>
      <c r="AJ36" s="445">
        <v>309.35399999999998</v>
      </c>
      <c r="AK36" s="339">
        <f t="shared" si="43"/>
        <v>-47.2</v>
      </c>
      <c r="AL36" s="196">
        <v>13473</v>
      </c>
      <c r="AM36" s="445">
        <v>10071</v>
      </c>
      <c r="AN36" s="339">
        <f t="shared" si="48"/>
        <v>-25.3</v>
      </c>
      <c r="AO36" s="443">
        <f t="shared" si="44"/>
        <v>110034.45114141001</v>
      </c>
      <c r="AP36" s="443">
        <f t="shared" si="45"/>
        <v>102261.69755025001</v>
      </c>
      <c r="AQ36" s="446">
        <f t="shared" si="46"/>
        <v>-7.1</v>
      </c>
      <c r="AR36" s="492"/>
      <c r="AS36" s="492"/>
      <c r="AT36" s="496"/>
    </row>
    <row r="37" spans="1:46" s="465" customFormat="1" ht="20.100000000000001" customHeight="1" x14ac:dyDescent="0.35">
      <c r="A37" s="459" t="s">
        <v>192</v>
      </c>
      <c r="B37" s="196"/>
      <c r="C37" s="445"/>
      <c r="D37" s="445"/>
      <c r="E37" s="445"/>
      <c r="F37" s="445"/>
      <c r="G37" s="339"/>
      <c r="H37" s="196">
        <v>71798.460000000006</v>
      </c>
      <c r="I37" s="445">
        <v>69889.913092050003</v>
      </c>
      <c r="J37" s="445">
        <f t="shared" si="41"/>
        <v>-2.7</v>
      </c>
      <c r="K37" s="196">
        <v>0</v>
      </c>
      <c r="L37" s="445">
        <v>0</v>
      </c>
      <c r="M37" s="445"/>
      <c r="N37" s="196">
        <v>202.68100000000001</v>
      </c>
      <c r="O37" s="445">
        <v>239.37287699999999</v>
      </c>
      <c r="P37" s="445"/>
      <c r="Q37" s="196"/>
      <c r="R37" s="445"/>
      <c r="S37" s="435" t="str">
        <f>IF(Q37=0, "    ---- ", IF(ABS(ROUND(100/Q37*R37-100,1))&lt;999,ROUND(100/Q37*R37-100,1),IF(ROUND(100/Q37*R37-100,1)&gt;999,999,-999)))</f>
        <v xml:space="preserve">    ---- </v>
      </c>
      <c r="T37" s="196"/>
      <c r="U37" s="445"/>
      <c r="V37" s="339"/>
      <c r="W37" s="196">
        <v>23373.706253080003</v>
      </c>
      <c r="X37" s="445">
        <v>21752.057581200002</v>
      </c>
      <c r="Y37" s="339">
        <f>IF(W37=0, "    ---- ", IF(ABS(ROUND(100/W37*X37-100,1))&lt;999,ROUND(100/W37*X37-100,1),IF(ROUND(100/W37*X37-100,1)&gt;999,999,-999)))</f>
        <v>-6.9</v>
      </c>
      <c r="Z37" s="196">
        <v>505.34588832999998</v>
      </c>
      <c r="AA37" s="445">
        <v>0</v>
      </c>
      <c r="AB37" s="339">
        <f t="shared" si="47"/>
        <v>-100</v>
      </c>
      <c r="AC37" s="196"/>
      <c r="AD37" s="445"/>
      <c r="AE37" s="339" t="str">
        <f t="shared" si="42"/>
        <v xml:space="preserve">    ---- </v>
      </c>
      <c r="AF37" s="196"/>
      <c r="AG37" s="445"/>
      <c r="AH37" s="339"/>
      <c r="AI37" s="196">
        <v>34.499999999999318</v>
      </c>
      <c r="AJ37" s="445">
        <v>-8.4750354290008545E-13</v>
      </c>
      <c r="AK37" s="339">
        <f t="shared" si="43"/>
        <v>-100</v>
      </c>
      <c r="AL37" s="196">
        <v>13473</v>
      </c>
      <c r="AM37" s="445">
        <v>10071</v>
      </c>
      <c r="AN37" s="339">
        <f t="shared" si="48"/>
        <v>-25.3</v>
      </c>
      <c r="AO37" s="443">
        <f t="shared" si="44"/>
        <v>109387.69314141001</v>
      </c>
      <c r="AP37" s="443">
        <f t="shared" si="45"/>
        <v>101952.34355025001</v>
      </c>
      <c r="AQ37" s="446">
        <f t="shared" si="46"/>
        <v>-6.8</v>
      </c>
      <c r="AR37" s="492"/>
      <c r="AS37" s="492"/>
      <c r="AT37" s="496"/>
    </row>
    <row r="38" spans="1:46" s="465" customFormat="1" ht="20.100000000000001" customHeight="1" x14ac:dyDescent="0.35">
      <c r="A38" s="459" t="s">
        <v>210</v>
      </c>
      <c r="B38" s="196"/>
      <c r="C38" s="445"/>
      <c r="D38" s="445"/>
      <c r="E38" s="445">
        <v>1356.2</v>
      </c>
      <c r="F38" s="445"/>
      <c r="G38" s="339">
        <f>IF(E38=0, "    ---- ", IF(ABS(ROUND(100/E38*F38-100,1))&lt;999,ROUND(100/E38*F38-100,1),IF(ROUND(100/E38*F38-100,1)&gt;999,999,-999)))</f>
        <v>-100</v>
      </c>
      <c r="H38" s="196">
        <v>27437.987000000001</v>
      </c>
      <c r="I38" s="445">
        <v>26899.10917647</v>
      </c>
      <c r="J38" s="445"/>
      <c r="K38" s="196">
        <v>36.852952610000003</v>
      </c>
      <c r="L38" s="445">
        <v>472.08234469999996</v>
      </c>
      <c r="M38" s="445"/>
      <c r="N38" s="196"/>
      <c r="O38" s="445"/>
      <c r="P38" s="445"/>
      <c r="Q38" s="196">
        <v>5404.65</v>
      </c>
      <c r="R38" s="445">
        <v>5576</v>
      </c>
      <c r="S38" s="435">
        <f t="shared" ref="S38:S57" si="49">IF(Q38=0, "    ---- ", IF(ABS(ROUND(100/Q38*R38-100,1))&lt;999,ROUND(100/Q38*R38-100,1),IF(ROUND(100/Q38*R38-100,1)&gt;999,999,-999)))</f>
        <v>3.2</v>
      </c>
      <c r="T38" s="196"/>
      <c r="U38" s="445"/>
      <c r="V38" s="339"/>
      <c r="W38" s="196">
        <v>225510.52123414999</v>
      </c>
      <c r="X38" s="445">
        <v>236183.01479048003</v>
      </c>
      <c r="Y38" s="339">
        <f t="shared" ref="Y38:Y45" si="50">IF(W38=0, "    ---- ", IF(ABS(ROUND(100/W38*X38-100,1))&lt;999,ROUND(100/W38*X38-100,1),IF(ROUND(100/W38*X38-100,1)&gt;999,999,-999)))</f>
        <v>4.7</v>
      </c>
      <c r="Z38" s="196">
        <v>31302.44902054</v>
      </c>
      <c r="AA38" s="445">
        <v>33731.308128819997</v>
      </c>
      <c r="AB38" s="339">
        <f t="shared" si="47"/>
        <v>7.8</v>
      </c>
      <c r="AC38" s="196">
        <v>20803</v>
      </c>
      <c r="AD38" s="445">
        <v>25987</v>
      </c>
      <c r="AE38" s="339">
        <f t="shared" si="42"/>
        <v>24.9</v>
      </c>
      <c r="AF38" s="196"/>
      <c r="AG38" s="445"/>
      <c r="AH38" s="339"/>
      <c r="AI38" s="196">
        <v>7197.2879999999996</v>
      </c>
      <c r="AJ38" s="445">
        <v>7392.3879999999999</v>
      </c>
      <c r="AK38" s="339">
        <f t="shared" si="43"/>
        <v>2.7</v>
      </c>
      <c r="AL38" s="196">
        <f>91914+22330+5981</f>
        <v>120225</v>
      </c>
      <c r="AM38" s="445">
        <f>106658+21601+4254</f>
        <v>132513</v>
      </c>
      <c r="AN38" s="339">
        <f t="shared" si="48"/>
        <v>10.199999999999999</v>
      </c>
      <c r="AO38" s="443">
        <f t="shared" si="44"/>
        <v>439273.94820729998</v>
      </c>
      <c r="AP38" s="443">
        <f t="shared" si="45"/>
        <v>468753.90244046994</v>
      </c>
      <c r="AQ38" s="446">
        <f t="shared" si="46"/>
        <v>6.7</v>
      </c>
      <c r="AR38" s="492"/>
      <c r="AS38" s="492"/>
      <c r="AT38" s="496"/>
    </row>
    <row r="39" spans="1:46" s="465" customFormat="1" ht="20.100000000000001" customHeight="1" x14ac:dyDescent="0.35">
      <c r="A39" s="459" t="s">
        <v>211</v>
      </c>
      <c r="B39" s="196">
        <f>SUM(B40:B44)</f>
        <v>1286.3579999999999</v>
      </c>
      <c r="C39" s="445">
        <f>SUM(C40:C44)</f>
        <v>1370.2470000000001</v>
      </c>
      <c r="D39" s="445">
        <f>IF(B39=0, "    ---- ", IF(ABS(ROUND(100/B39*C39-100,1))&lt;999,ROUND(100/B39*C39-100,1),IF(ROUND(100/B39*C39-100,1)&gt;999,999,-999)))</f>
        <v>6.5</v>
      </c>
      <c r="E39" s="445">
        <f>SUM(E40:E44)</f>
        <v>338.6</v>
      </c>
      <c r="F39" s="445"/>
      <c r="G39" s="339">
        <f>IF(E39=0, "    ---- ", IF(ABS(ROUND(100/E39*F39-100,1))&lt;999,ROUND(100/E39*F39-100,1),IF(ROUND(100/E39*F39-100,1)&gt;999,999,-999)))</f>
        <v>-100</v>
      </c>
      <c r="H39" s="196">
        <f>SUM(H40:H44)</f>
        <v>71457.122999999992</v>
      </c>
      <c r="I39" s="445">
        <f>SUM(I40:I44)</f>
        <v>76348.478033420004</v>
      </c>
      <c r="J39" s="445">
        <f t="shared" si="41"/>
        <v>6.8</v>
      </c>
      <c r="K39" s="196">
        <f>SUM(K40:K44)</f>
        <v>6711.9017534599998</v>
      </c>
      <c r="L39" s="445">
        <v>6758.0713769500007</v>
      </c>
      <c r="M39" s="445">
        <f t="shared" ref="M39:M40" si="51">IF(K39=0, "    ---- ", IF(ABS(ROUND(100/K39*L39-100,1))&lt;999,ROUND(100/K39*L39-100,1),IF(ROUND(100/K39*L39-100,1)&gt;999,999,-999)))</f>
        <v>0.7</v>
      </c>
      <c r="N39" s="196">
        <f>SUM(N40:N44)</f>
        <v>992.57600000000002</v>
      </c>
      <c r="O39" s="445">
        <f>SUM(O40:O44)</f>
        <v>981.34282799999994</v>
      </c>
      <c r="P39" s="445">
        <f t="shared" ref="P39:P46" si="52">IF(N39=0, "    ---- ", IF(ABS(ROUND(100/N39*O39-100,1))&lt;999,ROUND(100/N39*O39-100,1),IF(ROUND(100/N39*O39-100,1)&gt;999,999,-999)))</f>
        <v>-1.1000000000000001</v>
      </c>
      <c r="Q39" s="196">
        <f>SUM(Q40:Q44)</f>
        <v>655.05999999999995</v>
      </c>
      <c r="R39" s="445">
        <f>SUM(R40:R44)</f>
        <v>873.6</v>
      </c>
      <c r="S39" s="435">
        <f t="shared" si="49"/>
        <v>33.4</v>
      </c>
      <c r="T39" s="196">
        <f>SUM(T40:T44)</f>
        <v>0</v>
      </c>
      <c r="U39" s="445">
        <f>SUM(U40:U44)</f>
        <v>0</v>
      </c>
      <c r="V39" s="339"/>
      <c r="W39" s="196">
        <v>257307.40388426004</v>
      </c>
      <c r="X39" s="445">
        <v>303650.87587990996</v>
      </c>
      <c r="Y39" s="339">
        <f t="shared" si="50"/>
        <v>18</v>
      </c>
      <c r="Z39" s="196">
        <f>SUM(Z40:Z44)</f>
        <v>13334.31656936</v>
      </c>
      <c r="AA39" s="445">
        <f>SUM(AA40:AA44)</f>
        <v>13996.004139459999</v>
      </c>
      <c r="AB39" s="339">
        <f t="shared" si="47"/>
        <v>5</v>
      </c>
      <c r="AC39" s="196">
        <f>SUM(AC40:AC44)</f>
        <v>59161</v>
      </c>
      <c r="AD39" s="445">
        <f>SUM(AD40:AD44)</f>
        <v>62002</v>
      </c>
      <c r="AE39" s="339">
        <f t="shared" si="42"/>
        <v>4.8</v>
      </c>
      <c r="AF39" s="196">
        <f>SUM(AF40:AF44)</f>
        <v>0</v>
      </c>
      <c r="AG39" s="445">
        <f>SUM(AG40:AG44)</f>
        <v>0</v>
      </c>
      <c r="AH39" s="339"/>
      <c r="AI39" s="196">
        <f>SUM(AI40:AI44)</f>
        <v>9291.0519999999997</v>
      </c>
      <c r="AJ39" s="445">
        <f>SUM(AJ40:AJ44)</f>
        <v>10408.291999999999</v>
      </c>
      <c r="AK39" s="339">
        <f t="shared" si="43"/>
        <v>12</v>
      </c>
      <c r="AL39" s="196">
        <f>SUM(AL40:AL44)</f>
        <v>43717</v>
      </c>
      <c r="AM39" s="445">
        <f>SUM(AM40:AM44)</f>
        <v>42728</v>
      </c>
      <c r="AN39" s="339">
        <f t="shared" si="48"/>
        <v>-2.2999999999999998</v>
      </c>
      <c r="AO39" s="443">
        <f t="shared" si="44"/>
        <v>464252.39120707999</v>
      </c>
      <c r="AP39" s="443">
        <f t="shared" si="45"/>
        <v>519116.91125773994</v>
      </c>
      <c r="AQ39" s="446">
        <f t="shared" si="46"/>
        <v>11.8</v>
      </c>
      <c r="AR39" s="492"/>
      <c r="AS39" s="492"/>
      <c r="AT39" s="496"/>
    </row>
    <row r="40" spans="1:46" s="465" customFormat="1" ht="20.100000000000001" customHeight="1" x14ac:dyDescent="0.35">
      <c r="A40" s="459" t="s">
        <v>212</v>
      </c>
      <c r="B40" s="196">
        <v>38.436999999999998</v>
      </c>
      <c r="C40" s="445">
        <v>45.851999999999997</v>
      </c>
      <c r="D40" s="339">
        <f>IF(B40=0, "    ---- ", IF(ABS(ROUND(100/B40*C40-100,1))&lt;999,ROUND(100/B40*C40-100,1),IF(ROUND(100/B40*C40-100,1)&gt;999,999,-999)))</f>
        <v>19.3</v>
      </c>
      <c r="E40" s="445">
        <v>237.7</v>
      </c>
      <c r="F40" s="445"/>
      <c r="G40" s="339">
        <f>IF(E40=0, "    ---- ", IF(ABS(ROUND(100/E40*F40-100,1))&lt;999,ROUND(100/E40*F40-100,1),IF(ROUND(100/E40*F40-100,1)&gt;999,999,-999)))</f>
        <v>-100</v>
      </c>
      <c r="H40" s="196">
        <v>6199.9129999999996</v>
      </c>
      <c r="I40" s="445">
        <v>12032.240401809999</v>
      </c>
      <c r="J40" s="339">
        <f t="shared" si="41"/>
        <v>94.1</v>
      </c>
      <c r="K40" s="196">
        <v>0</v>
      </c>
      <c r="L40" s="445">
        <v>0</v>
      </c>
      <c r="M40" s="339" t="str">
        <f t="shared" si="51"/>
        <v xml:space="preserve">    ---- </v>
      </c>
      <c r="N40" s="196">
        <v>139.749</v>
      </c>
      <c r="O40" s="445">
        <v>150.55504999999999</v>
      </c>
      <c r="P40" s="339">
        <f t="shared" si="52"/>
        <v>7.7</v>
      </c>
      <c r="Q40" s="196"/>
      <c r="R40" s="445">
        <v>10.6</v>
      </c>
      <c r="S40" s="435"/>
      <c r="T40" s="196"/>
      <c r="U40" s="445"/>
      <c r="V40" s="339"/>
      <c r="W40" s="196">
        <v>125694.97537378999</v>
      </c>
      <c r="X40" s="445">
        <v>168181.80179833999</v>
      </c>
      <c r="Y40" s="339">
        <f t="shared" si="50"/>
        <v>33.799999999999997</v>
      </c>
      <c r="Z40" s="196">
        <v>5493.6507392600006</v>
      </c>
      <c r="AA40" s="445">
        <v>6782.1161887799999</v>
      </c>
      <c r="AB40" s="339">
        <f t="shared" si="47"/>
        <v>23.5</v>
      </c>
      <c r="AC40" s="196">
        <v>36133</v>
      </c>
      <c r="AD40" s="445">
        <v>41469</v>
      </c>
      <c r="AE40" s="339">
        <f t="shared" si="42"/>
        <v>14.8</v>
      </c>
      <c r="AF40" s="196"/>
      <c r="AG40" s="445"/>
      <c r="AH40" s="339"/>
      <c r="AI40" s="196">
        <v>3115.7779999999998</v>
      </c>
      <c r="AJ40" s="445">
        <v>3621.0459999999998</v>
      </c>
      <c r="AK40" s="339">
        <f t="shared" si="43"/>
        <v>16.2</v>
      </c>
      <c r="AL40" s="196">
        <v>10650</v>
      </c>
      <c r="AM40" s="445">
        <v>17012</v>
      </c>
      <c r="AN40" s="339">
        <f t="shared" si="48"/>
        <v>59.7</v>
      </c>
      <c r="AO40" s="443">
        <f t="shared" si="44"/>
        <v>187703.20311304997</v>
      </c>
      <c r="AP40" s="443">
        <f t="shared" si="45"/>
        <v>249305.21143892998</v>
      </c>
      <c r="AQ40" s="446">
        <f t="shared" si="46"/>
        <v>32.799999999999997</v>
      </c>
      <c r="AR40" s="492"/>
      <c r="AS40" s="492"/>
      <c r="AT40" s="496"/>
    </row>
    <row r="41" spans="1:46" s="465" customFormat="1" ht="20.100000000000001" customHeight="1" x14ac:dyDescent="0.35">
      <c r="A41" s="459" t="s">
        <v>213</v>
      </c>
      <c r="B41" s="196">
        <v>1196.4860000000001</v>
      </c>
      <c r="C41" s="445">
        <v>1302.115</v>
      </c>
      <c r="D41" s="445">
        <f>IF(B41=0, "    ---- ", IF(ABS(ROUND(100/B41*C41-100,1))&lt;999,ROUND(100/B41*C41-100,1),IF(ROUND(100/B41*C41-100,1)&gt;999,999,-999)))</f>
        <v>8.8000000000000007</v>
      </c>
      <c r="E41" s="445">
        <v>71.8</v>
      </c>
      <c r="F41" s="445"/>
      <c r="G41" s="339">
        <f>IF(E41=0, "    ---- ", IF(ABS(ROUND(100/E41*F41-100,1))&lt;999,ROUND(100/E41*F41-100,1),IF(ROUND(100/E41*F41-100,1)&gt;999,999,-999)))</f>
        <v>-100</v>
      </c>
      <c r="H41" s="196">
        <v>62872.3</v>
      </c>
      <c r="I41" s="445">
        <v>59913.111839290003</v>
      </c>
      <c r="J41" s="445">
        <f t="shared" si="41"/>
        <v>-4.7</v>
      </c>
      <c r="K41" s="196">
        <v>6308.0884822399994</v>
      </c>
      <c r="L41" s="445">
        <v>6730.0926515500014</v>
      </c>
      <c r="M41" s="445">
        <f>IF(K41=0, "    ---- ", IF(ABS(ROUND(100/K41*L41-100,1))&lt;999,ROUND(100/K41*L41-100,1),IF(ROUND(100/K41*L41-100,1)&gt;999,999,-999)))</f>
        <v>6.7</v>
      </c>
      <c r="N41" s="196">
        <v>733.66099999999994</v>
      </c>
      <c r="O41" s="445">
        <v>625.39417000000003</v>
      </c>
      <c r="P41" s="445">
        <f>IF(N41=0, "    ---- ", IF(ABS(ROUND(100/N41*O41-100,1))&lt;999,ROUND(100/N41*O41-100,1),IF(ROUND(100/N41*O41-100,1)&gt;999,999,-999)))</f>
        <v>-14.8</v>
      </c>
      <c r="Q41" s="196">
        <v>632.05999999999995</v>
      </c>
      <c r="R41" s="445">
        <v>846.7</v>
      </c>
      <c r="S41" s="435">
        <f t="shared" si="49"/>
        <v>34</v>
      </c>
      <c r="T41" s="196"/>
      <c r="U41" s="445"/>
      <c r="V41" s="339"/>
      <c r="W41" s="196">
        <v>116786.39193657001</v>
      </c>
      <c r="X41" s="445">
        <v>116551.59640071001</v>
      </c>
      <c r="Y41" s="339">
        <f t="shared" si="50"/>
        <v>-0.2</v>
      </c>
      <c r="Z41" s="196">
        <v>7664.7865277199999</v>
      </c>
      <c r="AA41" s="445">
        <v>7061.9147136000001</v>
      </c>
      <c r="AB41" s="339">
        <f t="shared" si="47"/>
        <v>-7.9</v>
      </c>
      <c r="AC41" s="196">
        <v>19821</v>
      </c>
      <c r="AD41" s="445">
        <v>19843</v>
      </c>
      <c r="AE41" s="339">
        <f t="shared" si="42"/>
        <v>0.1</v>
      </c>
      <c r="AF41" s="196"/>
      <c r="AG41" s="445"/>
      <c r="AH41" s="339"/>
      <c r="AI41" s="196">
        <v>6030.0889999999999</v>
      </c>
      <c r="AJ41" s="445">
        <v>6446.2460000000001</v>
      </c>
      <c r="AK41" s="339">
        <f t="shared" si="43"/>
        <v>6.9</v>
      </c>
      <c r="AL41" s="196">
        <v>27474</v>
      </c>
      <c r="AM41" s="445">
        <v>23798</v>
      </c>
      <c r="AN41" s="339">
        <f t="shared" si="48"/>
        <v>-13.4</v>
      </c>
      <c r="AO41" s="443">
        <f t="shared" si="44"/>
        <v>249590.66294653001</v>
      </c>
      <c r="AP41" s="443">
        <f t="shared" si="45"/>
        <v>243118.17077515004</v>
      </c>
      <c r="AQ41" s="446">
        <f t="shared" si="46"/>
        <v>-2.6</v>
      </c>
      <c r="AR41" s="492"/>
      <c r="AS41" s="492"/>
      <c r="AT41" s="496"/>
    </row>
    <row r="42" spans="1:46" s="465" customFormat="1" ht="20.100000000000001" customHeight="1" x14ac:dyDescent="0.35">
      <c r="A42" s="459" t="s">
        <v>214</v>
      </c>
      <c r="B42" s="196"/>
      <c r="C42" s="445"/>
      <c r="D42" s="445"/>
      <c r="E42" s="445">
        <v>29</v>
      </c>
      <c r="F42" s="445"/>
      <c r="G42" s="339">
        <f>IF(E42=0, "    ---- ", IF(ABS(ROUND(100/E42*F42-100,1))&lt;999,ROUND(100/E42*F42-100,1),IF(ROUND(100/E42*F42-100,1)&gt;999,999,-999)))</f>
        <v>-100</v>
      </c>
      <c r="H42" s="196">
        <v>1956.056</v>
      </c>
      <c r="I42" s="445">
        <v>3711.0596628099997</v>
      </c>
      <c r="J42" s="445">
        <f t="shared" si="41"/>
        <v>89.7</v>
      </c>
      <c r="K42" s="196">
        <v>182.94478226999999</v>
      </c>
      <c r="L42" s="445">
        <v>-67.588517570000022</v>
      </c>
      <c r="M42" s="445"/>
      <c r="N42" s="196"/>
      <c r="O42" s="445"/>
      <c r="P42" s="445"/>
      <c r="Q42" s="196"/>
      <c r="R42" s="445"/>
      <c r="S42" s="435" t="str">
        <f t="shared" si="49"/>
        <v xml:space="preserve">    ---- </v>
      </c>
      <c r="T42" s="196"/>
      <c r="U42" s="445"/>
      <c r="V42" s="339"/>
      <c r="W42" s="196">
        <v>11972.119568239999</v>
      </c>
      <c r="X42" s="445">
        <v>15345.762179180001</v>
      </c>
      <c r="Y42" s="339">
        <f t="shared" si="50"/>
        <v>28.2</v>
      </c>
      <c r="Z42" s="196"/>
      <c r="AA42" s="445"/>
      <c r="AB42" s="339"/>
      <c r="AC42" s="196"/>
      <c r="AD42" s="445"/>
      <c r="AE42" s="339" t="str">
        <f t="shared" si="42"/>
        <v xml:space="preserve">    ---- </v>
      </c>
      <c r="AF42" s="196"/>
      <c r="AG42" s="445"/>
      <c r="AH42" s="339"/>
      <c r="AI42" s="196">
        <v>0</v>
      </c>
      <c r="AJ42" s="445">
        <v>0</v>
      </c>
      <c r="AK42" s="339"/>
      <c r="AL42" s="196"/>
      <c r="AM42" s="445"/>
      <c r="AN42" s="339" t="str">
        <f t="shared" si="48"/>
        <v xml:space="preserve">    ---- </v>
      </c>
      <c r="AO42" s="443">
        <f t="shared" si="44"/>
        <v>14140.120350509998</v>
      </c>
      <c r="AP42" s="443">
        <f t="shared" si="45"/>
        <v>18989.233324420002</v>
      </c>
      <c r="AQ42" s="446">
        <f t="shared" si="46"/>
        <v>34.299999999999997</v>
      </c>
      <c r="AR42" s="492"/>
      <c r="AS42" s="492"/>
      <c r="AT42" s="496"/>
    </row>
    <row r="43" spans="1:46" s="465" customFormat="1" ht="20.100000000000001" customHeight="1" x14ac:dyDescent="0.35">
      <c r="A43" s="459" t="s">
        <v>215</v>
      </c>
      <c r="B43" s="196">
        <v>0</v>
      </c>
      <c r="C43" s="445"/>
      <c r="D43" s="445" t="str">
        <f>IF(B43=0, "    ---- ", IF(ABS(ROUND(100/B43*C43-100,1))&lt;999,ROUND(100/B43*C43-100,1),IF(ROUND(100/B43*C43-100,1)&gt;999,999,-999)))</f>
        <v xml:space="preserve">    ---- </v>
      </c>
      <c r="E43" s="445">
        <v>0</v>
      </c>
      <c r="F43" s="445"/>
      <c r="G43" s="339"/>
      <c r="H43" s="196">
        <v>95.298000000000002</v>
      </c>
      <c r="I43" s="445">
        <v>126.23863011</v>
      </c>
      <c r="J43" s="445">
        <f t="shared" si="41"/>
        <v>32.5</v>
      </c>
      <c r="K43" s="196">
        <v>0</v>
      </c>
      <c r="L43" s="445">
        <v>9.2182890100000012</v>
      </c>
      <c r="M43" s="445"/>
      <c r="N43" s="196"/>
      <c r="O43" s="445"/>
      <c r="P43" s="445"/>
      <c r="Q43" s="196"/>
      <c r="R43" s="445"/>
      <c r="S43" s="435"/>
      <c r="T43" s="196"/>
      <c r="U43" s="445"/>
      <c r="V43" s="339"/>
      <c r="W43" s="196">
        <v>138.25156588999999</v>
      </c>
      <c r="X43" s="445">
        <v>2374.48546803</v>
      </c>
      <c r="Y43" s="339">
        <f t="shared" si="50"/>
        <v>999</v>
      </c>
      <c r="Z43" s="196">
        <v>6.6585953799999995</v>
      </c>
      <c r="AA43" s="445">
        <v>1.5112781499999999</v>
      </c>
      <c r="AB43" s="339">
        <f t="shared" si="47"/>
        <v>-77.3</v>
      </c>
      <c r="AC43" s="196">
        <v>911</v>
      </c>
      <c r="AD43" s="445">
        <v>-142</v>
      </c>
      <c r="AE43" s="339">
        <f>IF(AC43=0, "    ---- ", IF(ABS(ROUND(100/AC43*AD43-100,1))&lt;999,ROUND(100/AC43*AD43-100,1),IF(ROUND(100/AC43*AD43-100,1)&gt;999,999,-999)))</f>
        <v>-115.6</v>
      </c>
      <c r="AF43" s="196"/>
      <c r="AG43" s="445"/>
      <c r="AH43" s="339"/>
      <c r="AI43" s="196">
        <v>33.290999999999997</v>
      </c>
      <c r="AJ43" s="445">
        <v>76.424999999999997</v>
      </c>
      <c r="AK43" s="339">
        <f t="shared" si="43"/>
        <v>129.6</v>
      </c>
      <c r="AL43" s="196">
        <v>5593</v>
      </c>
      <c r="AM43" s="445">
        <v>1918</v>
      </c>
      <c r="AN43" s="339">
        <f t="shared" si="48"/>
        <v>-65.7</v>
      </c>
      <c r="AO43" s="443">
        <f t="shared" si="44"/>
        <v>6777.4991612699996</v>
      </c>
      <c r="AP43" s="443">
        <f t="shared" si="45"/>
        <v>4363.8786653000006</v>
      </c>
      <c r="AQ43" s="446">
        <f t="shared" si="46"/>
        <v>-35.6</v>
      </c>
      <c r="AR43" s="492"/>
      <c r="AS43" s="492"/>
      <c r="AT43" s="496"/>
    </row>
    <row r="44" spans="1:46" s="465" customFormat="1" ht="20.100000000000001" customHeight="1" x14ac:dyDescent="0.35">
      <c r="A44" s="459" t="s">
        <v>216</v>
      </c>
      <c r="B44" s="196">
        <v>51.435000000000002</v>
      </c>
      <c r="C44" s="445">
        <v>22.28</v>
      </c>
      <c r="D44" s="445">
        <f>IF(B44=0, "    ---- ", IF(ABS(ROUND(100/B44*C44-100,1))&lt;999,ROUND(100/B44*C44-100,1),IF(ROUND(100/B44*C44-100,1)&gt;999,999,-999)))</f>
        <v>-56.7</v>
      </c>
      <c r="E44" s="445">
        <v>0.1</v>
      </c>
      <c r="F44" s="445"/>
      <c r="G44" s="339"/>
      <c r="H44" s="196">
        <v>333.55599999999998</v>
      </c>
      <c r="I44" s="445">
        <v>565.82749940000008</v>
      </c>
      <c r="J44" s="445">
        <f t="shared" si="41"/>
        <v>69.599999999999994</v>
      </c>
      <c r="K44" s="196">
        <v>220.86848895000003</v>
      </c>
      <c r="L44" s="445">
        <v>86.348953960000003</v>
      </c>
      <c r="M44" s="445">
        <f t="shared" ref="M44:M46" si="53">IF(K44=0, "    ---- ", IF(ABS(ROUND(100/K44*L44-100,1))&lt;999,ROUND(100/K44*L44-100,1),IF(ROUND(100/K44*L44-100,1)&gt;999,999,-999)))</f>
        <v>-60.9</v>
      </c>
      <c r="N44" s="196">
        <v>119.166</v>
      </c>
      <c r="O44" s="445">
        <v>205.393608</v>
      </c>
      <c r="P44" s="445">
        <f t="shared" si="52"/>
        <v>72.400000000000006</v>
      </c>
      <c r="Q44" s="196">
        <f>2.8+20.2</f>
        <v>23</v>
      </c>
      <c r="R44" s="445">
        <v>16.3</v>
      </c>
      <c r="S44" s="435">
        <f t="shared" si="49"/>
        <v>-29.1</v>
      </c>
      <c r="T44" s="196"/>
      <c r="U44" s="445"/>
      <c r="V44" s="339"/>
      <c r="W44" s="196">
        <v>2715.6654397699999</v>
      </c>
      <c r="X44" s="445">
        <v>1197.23003365</v>
      </c>
      <c r="Y44" s="339">
        <f t="shared" si="50"/>
        <v>-55.9</v>
      </c>
      <c r="Z44" s="196">
        <v>169.220707</v>
      </c>
      <c r="AA44" s="445">
        <v>150.46195893000001</v>
      </c>
      <c r="AB44" s="339">
        <f t="shared" si="47"/>
        <v>-11.1</v>
      </c>
      <c r="AC44" s="196">
        <v>2296</v>
      </c>
      <c r="AD44" s="445">
        <v>832</v>
      </c>
      <c r="AE44" s="339">
        <f>IF(AC44=0, "    ---- ", IF(ABS(ROUND(100/AC44*AD44-100,1))&lt;999,ROUND(100/AC44*AD44-100,1),IF(ROUND(100/AC44*AD44-100,1)&gt;999,999,-999)))</f>
        <v>-63.8</v>
      </c>
      <c r="AF44" s="196"/>
      <c r="AG44" s="445"/>
      <c r="AH44" s="339"/>
      <c r="AI44" s="196">
        <v>111.89400000000001</v>
      </c>
      <c r="AJ44" s="445">
        <v>264.57499999999999</v>
      </c>
      <c r="AK44" s="339">
        <f t="shared" si="43"/>
        <v>136.5</v>
      </c>
      <c r="AL44" s="196"/>
      <c r="AM44" s="445"/>
      <c r="AN44" s="339" t="str">
        <f t="shared" si="48"/>
        <v xml:space="preserve">    ---- </v>
      </c>
      <c r="AO44" s="443">
        <f t="shared" si="44"/>
        <v>6040.9056357199997</v>
      </c>
      <c r="AP44" s="443">
        <f t="shared" si="45"/>
        <v>3340.4170539399997</v>
      </c>
      <c r="AQ44" s="446">
        <f t="shared" si="46"/>
        <v>-44.7</v>
      </c>
      <c r="AR44" s="492"/>
      <c r="AS44" s="492"/>
      <c r="AT44" s="496"/>
    </row>
    <row r="45" spans="1:46" s="465" customFormat="1" ht="20.100000000000001" customHeight="1" x14ac:dyDescent="0.35">
      <c r="A45" s="460" t="s">
        <v>217</v>
      </c>
      <c r="B45" s="196">
        <f>SUM(B33+B34+B35+B39)</f>
        <v>1286.3579999999999</v>
      </c>
      <c r="C45" s="445">
        <f>SUM(C33+C34+C35+C39)</f>
        <v>1370.2470000000001</v>
      </c>
      <c r="D45" s="339">
        <f>IF(B45=0, "    ---- ", IF(ABS(ROUND(100/B45*C45-100,1))&lt;999,ROUND(100/B45*C45-100,1),IF(ROUND(100/B45*C45-100,1)&gt;999,999,-999)))</f>
        <v>6.5</v>
      </c>
      <c r="E45" s="445">
        <f>SUM(E33+E34+E35+E39)</f>
        <v>1790.3000000000002</v>
      </c>
      <c r="F45" s="445"/>
      <c r="G45" s="339">
        <f>IF(E45=0, "    ---- ", IF(ABS(ROUND(100/E45*F45-100,1))&lt;999,ROUND(100/E45*F45-100,1),IF(ROUND(100/E45*F45-100,1)&gt;999,999,-999)))</f>
        <v>-100</v>
      </c>
      <c r="H45" s="196">
        <f>SUM(H33+H34+H35+H39)</f>
        <v>198036.31599999999</v>
      </c>
      <c r="I45" s="445">
        <f>SUM(I33+I34+I35+I39)</f>
        <v>201256.16770965001</v>
      </c>
      <c r="J45" s="339">
        <f t="shared" si="41"/>
        <v>1.6</v>
      </c>
      <c r="K45" s="196">
        <f>SUM(K33+K34+K35+K39)</f>
        <v>6748.7547060699999</v>
      </c>
      <c r="L45" s="445">
        <v>7230.153721650001</v>
      </c>
      <c r="M45" s="339">
        <f t="shared" si="53"/>
        <v>7.1</v>
      </c>
      <c r="N45" s="196">
        <f>SUM(N33+N34+N35+N39)</f>
        <v>1195.2570000000001</v>
      </c>
      <c r="O45" s="445">
        <f>SUM(O33+O34+O35+O39)</f>
        <v>1220.7157049999998</v>
      </c>
      <c r="P45" s="339">
        <f t="shared" si="52"/>
        <v>2.1</v>
      </c>
      <c r="Q45" s="196">
        <f>SUM(Q33+Q34+Q35+Q39)</f>
        <v>7038.33</v>
      </c>
      <c r="R45" s="445">
        <f>SUM(R33+R34+R35+R39)</f>
        <v>7620.8</v>
      </c>
      <c r="S45" s="435">
        <f t="shared" si="49"/>
        <v>8.3000000000000007</v>
      </c>
      <c r="T45" s="196">
        <f>SUM(T33+T34+T35+T39)</f>
        <v>0</v>
      </c>
      <c r="U45" s="445">
        <f>SUM(U33+U34+U35+U39)</f>
        <v>0</v>
      </c>
      <c r="V45" s="339"/>
      <c r="W45" s="196">
        <v>582108.11822582001</v>
      </c>
      <c r="X45" s="445">
        <v>644159.84986183001</v>
      </c>
      <c r="Y45" s="339">
        <f t="shared" si="50"/>
        <v>10.7</v>
      </c>
      <c r="Z45" s="196">
        <f>SUM(Z33+Z34+Z35+Z39)</f>
        <v>53136.111478229999</v>
      </c>
      <c r="AA45" s="445">
        <f>SUM(AA33+AA34+AA35+AA39)</f>
        <v>55774.114264769996</v>
      </c>
      <c r="AB45" s="339">
        <f t="shared" si="47"/>
        <v>5</v>
      </c>
      <c r="AC45" s="196">
        <f>SUM(AC33+AC34+AC35+AC39)</f>
        <v>96726</v>
      </c>
      <c r="AD45" s="445">
        <f>SUM(AD33+AD34+AD35+AD39)</f>
        <v>110343</v>
      </c>
      <c r="AE45" s="339">
        <f>IF(AC45=0, "    ---- ", IF(ABS(ROUND(100/AC45*AD45-100,1))&lt;999,ROUND(100/AC45*AD45-100,1),IF(ROUND(100/AC45*AD45-100,1)&gt;999,999,-999)))</f>
        <v>14.1</v>
      </c>
      <c r="AF45" s="196">
        <f>SUM(AF33+AF34+AF35+AF39)</f>
        <v>0</v>
      </c>
      <c r="AG45" s="445">
        <f>SUM(AG33+AG34+AG35+AG39)</f>
        <v>0</v>
      </c>
      <c r="AH45" s="339"/>
      <c r="AI45" s="196">
        <f>SUM(AI33+AI34+AI35+AI39)</f>
        <v>21922.534</v>
      </c>
      <c r="AJ45" s="445">
        <f>SUM(AJ33+AJ34+AJ35+AJ39)</f>
        <v>23290.424999999999</v>
      </c>
      <c r="AK45" s="339">
        <f t="shared" si="43"/>
        <v>6.2</v>
      </c>
      <c r="AL45" s="196">
        <f>SUM(AL33+AL34+AL35+AL39)</f>
        <v>197408</v>
      </c>
      <c r="AM45" s="445">
        <f>SUM(AM33+AM34+AM35+AM39)</f>
        <v>207417</v>
      </c>
      <c r="AN45" s="339">
        <f t="shared" si="48"/>
        <v>5.0999999999999996</v>
      </c>
      <c r="AO45" s="443">
        <f t="shared" si="44"/>
        <v>1167396.0794101199</v>
      </c>
      <c r="AP45" s="443">
        <f t="shared" si="45"/>
        <v>1259682.4732629</v>
      </c>
      <c r="AQ45" s="446">
        <f t="shared" si="46"/>
        <v>7.9</v>
      </c>
      <c r="AR45" s="492"/>
      <c r="AS45" s="492"/>
      <c r="AT45" s="496"/>
    </row>
    <row r="46" spans="1:46" s="465" customFormat="1" ht="20.100000000000001" customHeight="1" x14ac:dyDescent="0.35">
      <c r="A46" s="457" t="s">
        <v>336</v>
      </c>
      <c r="B46" s="196">
        <v>157.53100000000001</v>
      </c>
      <c r="C46" s="445">
        <v>205.65199999999999</v>
      </c>
      <c r="D46" s="339">
        <f>IF(B46=0, "    ---- ", IF(ABS(ROUND(100/B46*C46-100,1))&lt;999,ROUND(100/B46*C46-100,1),IF(ROUND(100/B46*C46-100,1)&gt;999,999,-999)))</f>
        <v>30.5</v>
      </c>
      <c r="E46" s="445"/>
      <c r="F46" s="445"/>
      <c r="G46" s="339"/>
      <c r="H46" s="196">
        <v>218.928</v>
      </c>
      <c r="I46" s="445">
        <v>264.57889319999998</v>
      </c>
      <c r="J46" s="339"/>
      <c r="K46" s="196">
        <v>519.98476527000003</v>
      </c>
      <c r="L46" s="445">
        <v>523.30382349000001</v>
      </c>
      <c r="M46" s="339">
        <f t="shared" si="53"/>
        <v>0.6</v>
      </c>
      <c r="N46" s="196">
        <v>53.145000000000003</v>
      </c>
      <c r="O46" s="445">
        <v>58.057814999999998</v>
      </c>
      <c r="P46" s="339">
        <f t="shared" si="52"/>
        <v>9.1999999999999993</v>
      </c>
      <c r="Q46" s="196">
        <v>504.66</v>
      </c>
      <c r="R46" s="445">
        <v>562.4</v>
      </c>
      <c r="S46" s="435"/>
      <c r="T46" s="196"/>
      <c r="U46" s="445"/>
      <c r="V46" s="339"/>
      <c r="W46" s="196"/>
      <c r="X46" s="445"/>
      <c r="Y46" s="339"/>
      <c r="Z46" s="196">
        <v>54.21</v>
      </c>
      <c r="AA46" s="445">
        <v>62.17</v>
      </c>
      <c r="AB46" s="339">
        <f t="shared" si="47"/>
        <v>14.7</v>
      </c>
      <c r="AC46" s="196"/>
      <c r="AD46" s="445"/>
      <c r="AE46" s="339"/>
      <c r="AF46" s="196"/>
      <c r="AG46" s="445"/>
      <c r="AH46" s="339"/>
      <c r="AI46" s="196"/>
      <c r="AJ46" s="445">
        <v>5.2619999999999996</v>
      </c>
      <c r="AK46" s="339" t="str">
        <f t="shared" si="43"/>
        <v xml:space="preserve">    ---- </v>
      </c>
      <c r="AL46" s="196">
        <v>20</v>
      </c>
      <c r="AM46" s="445">
        <v>4</v>
      </c>
      <c r="AN46" s="339"/>
      <c r="AO46" s="443">
        <f t="shared" si="44"/>
        <v>1528.4587652700002</v>
      </c>
      <c r="AP46" s="443">
        <f t="shared" si="45"/>
        <v>1685.4245316899999</v>
      </c>
      <c r="AQ46" s="446">
        <f t="shared" si="46"/>
        <v>10.3</v>
      </c>
      <c r="AR46" s="492"/>
      <c r="AS46" s="492"/>
      <c r="AT46" s="496"/>
    </row>
    <row r="47" spans="1:46" s="465" customFormat="1" ht="20.100000000000001" customHeight="1" x14ac:dyDescent="0.35">
      <c r="A47" s="457" t="s">
        <v>218</v>
      </c>
      <c r="B47" s="196"/>
      <c r="C47" s="445"/>
      <c r="D47" s="445"/>
      <c r="E47" s="445"/>
      <c r="F47" s="445"/>
      <c r="G47" s="339"/>
      <c r="H47" s="196"/>
      <c r="I47" s="445"/>
      <c r="J47" s="445"/>
      <c r="K47" s="196"/>
      <c r="L47" s="445"/>
      <c r="M47" s="445"/>
      <c r="N47" s="196"/>
      <c r="O47" s="445"/>
      <c r="P47" s="445"/>
      <c r="Q47" s="196"/>
      <c r="R47" s="445"/>
      <c r="S47" s="435"/>
      <c r="T47" s="196"/>
      <c r="U47" s="445"/>
      <c r="V47" s="339"/>
      <c r="W47" s="196"/>
      <c r="X47" s="445"/>
      <c r="Y47" s="339"/>
      <c r="Z47" s="196"/>
      <c r="AA47" s="445"/>
      <c r="AB47" s="339"/>
      <c r="AC47" s="196"/>
      <c r="AD47" s="445"/>
      <c r="AE47" s="339"/>
      <c r="AF47" s="196"/>
      <c r="AG47" s="445"/>
      <c r="AH47" s="339"/>
      <c r="AI47" s="196"/>
      <c r="AJ47" s="445"/>
      <c r="AK47" s="339"/>
      <c r="AL47" s="196"/>
      <c r="AM47" s="445"/>
      <c r="AN47" s="339"/>
      <c r="AO47" s="437"/>
      <c r="AP47" s="437"/>
      <c r="AQ47" s="446"/>
      <c r="AR47" s="492"/>
      <c r="AS47" s="492"/>
      <c r="AT47" s="496"/>
    </row>
    <row r="48" spans="1:46" s="465" customFormat="1" ht="20.100000000000001" customHeight="1" x14ac:dyDescent="0.35">
      <c r="A48" s="459" t="s">
        <v>219</v>
      </c>
      <c r="B48" s="196"/>
      <c r="C48" s="445"/>
      <c r="D48" s="445"/>
      <c r="E48" s="445"/>
      <c r="F48" s="445"/>
      <c r="G48" s="339"/>
      <c r="H48" s="196"/>
      <c r="I48" s="445"/>
      <c r="J48" s="445"/>
      <c r="K48" s="196"/>
      <c r="L48" s="445"/>
      <c r="M48" s="445"/>
      <c r="N48" s="196"/>
      <c r="O48" s="445"/>
      <c r="P48" s="445"/>
      <c r="Q48" s="196"/>
      <c r="R48" s="445"/>
      <c r="S48" s="435"/>
      <c r="T48" s="196"/>
      <c r="U48" s="445"/>
      <c r="V48" s="339"/>
      <c r="W48" s="196"/>
      <c r="X48" s="445"/>
      <c r="Y48" s="339"/>
      <c r="Z48" s="196"/>
      <c r="AA48" s="445"/>
      <c r="AB48" s="339"/>
      <c r="AC48" s="196"/>
      <c r="AD48" s="445"/>
      <c r="AE48" s="339"/>
      <c r="AF48" s="196"/>
      <c r="AG48" s="445"/>
      <c r="AH48" s="339"/>
      <c r="AI48" s="196"/>
      <c r="AJ48" s="445"/>
      <c r="AK48" s="339"/>
      <c r="AL48" s="196"/>
      <c r="AM48" s="445"/>
      <c r="AN48" s="339"/>
      <c r="AO48" s="443">
        <f t="shared" ref="AO48:AO62" si="54">B48+H48+K48+N48+Q48+T48+W48+E48+Z48+AC48+AF48+AI48+AL48</f>
        <v>0</v>
      </c>
      <c r="AP48" s="443">
        <f t="shared" ref="AP48:AP62" si="55">C48+I48+L48+O48+R48+U48+X48+F48+AA48+AD48+AG48+AJ48+AM48</f>
        <v>0</v>
      </c>
      <c r="AQ48" s="446" t="str">
        <f t="shared" si="46"/>
        <v xml:space="preserve">    ---- </v>
      </c>
      <c r="AR48" s="492"/>
      <c r="AS48" s="492"/>
      <c r="AT48" s="496"/>
    </row>
    <row r="49" spans="1:46" s="465" customFormat="1" ht="20.100000000000001" customHeight="1" x14ac:dyDescent="0.35">
      <c r="A49" s="459" t="s">
        <v>220</v>
      </c>
      <c r="B49" s="196"/>
      <c r="C49" s="445"/>
      <c r="D49" s="445"/>
      <c r="E49" s="445"/>
      <c r="F49" s="445"/>
      <c r="G49" s="339"/>
      <c r="H49" s="196"/>
      <c r="I49" s="445">
        <v>4034.8843331910002</v>
      </c>
      <c r="J49" s="445"/>
      <c r="K49" s="196"/>
      <c r="L49" s="445"/>
      <c r="M49" s="445"/>
      <c r="N49" s="196"/>
      <c r="O49" s="445"/>
      <c r="P49" s="445"/>
      <c r="Q49" s="196">
        <v>1539.33</v>
      </c>
      <c r="R49" s="445">
        <v>1771.1</v>
      </c>
      <c r="S49" s="435"/>
      <c r="T49" s="196"/>
      <c r="U49" s="445"/>
      <c r="V49" s="339"/>
      <c r="W49" s="196">
        <v>277.84917187999997</v>
      </c>
      <c r="X49" s="445">
        <v>302.03703087999997</v>
      </c>
      <c r="Y49" s="339">
        <f t="shared" ref="Y49:Y60" si="56">IF(W49=0, "    ---- ", IF(ABS(ROUND(100/W49*X49-100,1))&lt;999,ROUND(100/W49*X49-100,1),IF(ROUND(100/W49*X49-100,1)&gt;999,999,-999)))</f>
        <v>8.6999999999999993</v>
      </c>
      <c r="Z49" s="196"/>
      <c r="AA49" s="445">
        <v>0.01</v>
      </c>
      <c r="AB49" s="339" t="str">
        <f t="shared" si="47"/>
        <v xml:space="preserve">    ---- </v>
      </c>
      <c r="AC49" s="196"/>
      <c r="AD49" s="445"/>
      <c r="AE49" s="339"/>
      <c r="AF49" s="196"/>
      <c r="AG49" s="445"/>
      <c r="AH49" s="339"/>
      <c r="AI49" s="196"/>
      <c r="AJ49" s="445"/>
      <c r="AK49" s="339"/>
      <c r="AL49" s="196">
        <v>5204</v>
      </c>
      <c r="AM49" s="445">
        <v>6014</v>
      </c>
      <c r="AN49" s="339">
        <f t="shared" si="48"/>
        <v>15.6</v>
      </c>
      <c r="AO49" s="443">
        <f t="shared" si="54"/>
        <v>7021.1791718799996</v>
      </c>
      <c r="AP49" s="443">
        <f t="shared" si="55"/>
        <v>12122.031364071001</v>
      </c>
      <c r="AQ49" s="446">
        <f t="shared" si="46"/>
        <v>72.599999999999994</v>
      </c>
      <c r="AR49" s="492"/>
      <c r="AS49" s="492"/>
      <c r="AT49" s="496"/>
    </row>
    <row r="50" spans="1:46" s="465" customFormat="1" ht="20.100000000000001" customHeight="1" x14ac:dyDescent="0.35">
      <c r="A50" s="459" t="s">
        <v>221</v>
      </c>
      <c r="B50" s="196">
        <f>SUM(B51+B53)</f>
        <v>0</v>
      </c>
      <c r="C50" s="445">
        <f>SUM(C51+C53)</f>
        <v>0</v>
      </c>
      <c r="D50" s="445"/>
      <c r="E50" s="445">
        <f>SUM(E51+E53)</f>
        <v>0</v>
      </c>
      <c r="F50" s="445"/>
      <c r="G50" s="339"/>
      <c r="H50" s="196">
        <f>SUM(H51+H53)</f>
        <v>0</v>
      </c>
      <c r="I50" s="445">
        <f>SUM(I51+I53)</f>
        <v>0</v>
      </c>
      <c r="J50" s="445"/>
      <c r="K50" s="196">
        <f>SUM(K51+K53)</f>
        <v>0</v>
      </c>
      <c r="L50" s="445">
        <f>SUM(L51+L53)</f>
        <v>0</v>
      </c>
      <c r="M50" s="445"/>
      <c r="N50" s="196">
        <f>SUM(N51+N53)</f>
        <v>0</v>
      </c>
      <c r="O50" s="445">
        <f>SUM(O51+O53)</f>
        <v>0</v>
      </c>
      <c r="P50" s="445"/>
      <c r="Q50" s="196">
        <f>SUM(Q51+Q53)</f>
        <v>0</v>
      </c>
      <c r="R50" s="445">
        <f>SUM(R51+R53)</f>
        <v>0</v>
      </c>
      <c r="S50" s="435"/>
      <c r="T50" s="196">
        <f>SUM(T51+T53)</f>
        <v>0</v>
      </c>
      <c r="U50" s="445">
        <f>SUM(U51+U53)</f>
        <v>0</v>
      </c>
      <c r="V50" s="339"/>
      <c r="W50" s="196">
        <v>711.60308242999997</v>
      </c>
      <c r="X50" s="445">
        <v>746.87003001000005</v>
      </c>
      <c r="Y50" s="339">
        <f t="shared" si="56"/>
        <v>5</v>
      </c>
      <c r="Z50" s="196"/>
      <c r="AA50" s="445"/>
      <c r="AB50" s="339"/>
      <c r="AC50" s="196">
        <f>SUM(AC51+AC53)</f>
        <v>0</v>
      </c>
      <c r="AD50" s="445">
        <f>SUM(AD51+AD53)</f>
        <v>0</v>
      </c>
      <c r="AE50" s="339"/>
      <c r="AF50" s="196">
        <f>SUM(AF51+AF53)</f>
        <v>0</v>
      </c>
      <c r="AG50" s="445">
        <f>SUM(AG51+AG53)</f>
        <v>0</v>
      </c>
      <c r="AH50" s="339"/>
      <c r="AI50" s="196">
        <f>SUM(AI51+AI53)</f>
        <v>0</v>
      </c>
      <c r="AJ50" s="445">
        <f>SUM(AJ51+AJ53)</f>
        <v>0</v>
      </c>
      <c r="AK50" s="339"/>
      <c r="AL50" s="196">
        <f>SUM(AL51+AL53)</f>
        <v>357</v>
      </c>
      <c r="AM50" s="445">
        <f>SUM(AM51+AM53)</f>
        <v>1406</v>
      </c>
      <c r="AN50" s="339"/>
      <c r="AO50" s="443">
        <f t="shared" si="54"/>
        <v>1068.6030824300001</v>
      </c>
      <c r="AP50" s="443">
        <f t="shared" si="55"/>
        <v>2152.8700300099999</v>
      </c>
      <c r="AQ50" s="446">
        <f t="shared" si="46"/>
        <v>101.5</v>
      </c>
      <c r="AR50" s="492"/>
      <c r="AS50" s="492"/>
      <c r="AT50" s="496"/>
    </row>
    <row r="51" spans="1:46" s="465" customFormat="1" ht="20.100000000000001" customHeight="1" x14ac:dyDescent="0.35">
      <c r="A51" s="459" t="s">
        <v>222</v>
      </c>
      <c r="B51" s="196"/>
      <c r="C51" s="445"/>
      <c r="D51" s="339"/>
      <c r="E51" s="445"/>
      <c r="F51" s="445"/>
      <c r="G51" s="339"/>
      <c r="H51" s="196"/>
      <c r="I51" s="445"/>
      <c r="J51" s="339"/>
      <c r="K51" s="196"/>
      <c r="L51" s="445"/>
      <c r="M51" s="339"/>
      <c r="N51" s="196"/>
      <c r="O51" s="445"/>
      <c r="P51" s="339"/>
      <c r="Q51" s="196"/>
      <c r="R51" s="445"/>
      <c r="S51" s="435"/>
      <c r="T51" s="196"/>
      <c r="U51" s="445"/>
      <c r="V51" s="339"/>
      <c r="W51" s="196">
        <v>49.519078610000001</v>
      </c>
      <c r="X51" s="445">
        <v>73.51872834000001</v>
      </c>
      <c r="Y51" s="339">
        <f t="shared" si="56"/>
        <v>48.5</v>
      </c>
      <c r="Z51" s="196"/>
      <c r="AA51" s="445"/>
      <c r="AB51" s="339"/>
      <c r="AC51" s="196"/>
      <c r="AD51" s="445"/>
      <c r="AE51" s="339"/>
      <c r="AF51" s="196"/>
      <c r="AG51" s="445"/>
      <c r="AH51" s="339"/>
      <c r="AI51" s="196"/>
      <c r="AJ51" s="445"/>
      <c r="AK51" s="339"/>
      <c r="AL51" s="196"/>
      <c r="AM51" s="445"/>
      <c r="AN51" s="339"/>
      <c r="AO51" s="443">
        <f t="shared" si="54"/>
        <v>49.519078610000001</v>
      </c>
      <c r="AP51" s="443">
        <f t="shared" si="55"/>
        <v>73.51872834000001</v>
      </c>
      <c r="AQ51" s="446">
        <f t="shared" si="46"/>
        <v>48.5</v>
      </c>
      <c r="AR51" s="492"/>
      <c r="AS51" s="492"/>
      <c r="AT51" s="496"/>
    </row>
    <row r="52" spans="1:46" s="494" customFormat="1" ht="20.100000000000001" customHeight="1" x14ac:dyDescent="0.35">
      <c r="A52" s="459" t="s">
        <v>192</v>
      </c>
      <c r="B52" s="196"/>
      <c r="C52" s="445"/>
      <c r="D52" s="442"/>
      <c r="E52" s="445"/>
      <c r="F52" s="445"/>
      <c r="G52" s="442"/>
      <c r="H52" s="196"/>
      <c r="I52" s="445"/>
      <c r="J52" s="442"/>
      <c r="K52" s="196"/>
      <c r="L52" s="445"/>
      <c r="M52" s="442"/>
      <c r="N52" s="196"/>
      <c r="O52" s="445"/>
      <c r="P52" s="442"/>
      <c r="Q52" s="196"/>
      <c r="R52" s="445"/>
      <c r="S52" s="441"/>
      <c r="T52" s="196"/>
      <c r="U52" s="445"/>
      <c r="V52" s="442"/>
      <c r="W52" s="196">
        <v>49.519078610000001</v>
      </c>
      <c r="X52" s="445">
        <v>73.51872834000001</v>
      </c>
      <c r="Y52" s="442"/>
      <c r="Z52" s="196"/>
      <c r="AA52" s="445"/>
      <c r="AB52" s="442"/>
      <c r="AC52" s="196"/>
      <c r="AD52" s="445"/>
      <c r="AE52" s="442"/>
      <c r="AF52" s="196"/>
      <c r="AG52" s="445"/>
      <c r="AH52" s="442"/>
      <c r="AI52" s="196"/>
      <c r="AJ52" s="445"/>
      <c r="AK52" s="442"/>
      <c r="AL52" s="196"/>
      <c r="AM52" s="445"/>
      <c r="AN52" s="442"/>
      <c r="AO52" s="443">
        <f t="shared" si="54"/>
        <v>49.519078610000001</v>
      </c>
      <c r="AP52" s="443">
        <f t="shared" si="55"/>
        <v>73.51872834000001</v>
      </c>
      <c r="AQ52" s="444">
        <f t="shared" si="46"/>
        <v>48.5</v>
      </c>
      <c r="AR52" s="493"/>
      <c r="AS52" s="493"/>
      <c r="AT52" s="495"/>
    </row>
    <row r="53" spans="1:46" s="465" customFormat="1" ht="20.100000000000001" customHeight="1" x14ac:dyDescent="0.35">
      <c r="A53" s="459" t="s">
        <v>223</v>
      </c>
      <c r="B53" s="196"/>
      <c r="C53" s="445"/>
      <c r="D53" s="445"/>
      <c r="E53" s="445"/>
      <c r="F53" s="445"/>
      <c r="G53" s="339"/>
      <c r="H53" s="196"/>
      <c r="I53" s="445"/>
      <c r="J53" s="445"/>
      <c r="K53" s="196"/>
      <c r="L53" s="445"/>
      <c r="M53" s="445"/>
      <c r="N53" s="196"/>
      <c r="O53" s="445"/>
      <c r="P53" s="445"/>
      <c r="Q53" s="196"/>
      <c r="R53" s="445"/>
      <c r="S53" s="435"/>
      <c r="T53" s="196"/>
      <c r="U53" s="445"/>
      <c r="V53" s="339"/>
      <c r="W53" s="196">
        <v>662.08400382000002</v>
      </c>
      <c r="X53" s="445">
        <v>673.35130167</v>
      </c>
      <c r="Y53" s="339">
        <f t="shared" si="56"/>
        <v>1.7</v>
      </c>
      <c r="Z53" s="196"/>
      <c r="AA53" s="445"/>
      <c r="AB53" s="339"/>
      <c r="AC53" s="196"/>
      <c r="AD53" s="445"/>
      <c r="AE53" s="339"/>
      <c r="AF53" s="196"/>
      <c r="AG53" s="445"/>
      <c r="AH53" s="339"/>
      <c r="AI53" s="196"/>
      <c r="AJ53" s="445"/>
      <c r="AK53" s="339"/>
      <c r="AL53" s="196">
        <f>36+321</f>
        <v>357</v>
      </c>
      <c r="AM53" s="445">
        <f>941+465</f>
        <v>1406</v>
      </c>
      <c r="AN53" s="339"/>
      <c r="AO53" s="443">
        <f t="shared" si="54"/>
        <v>1019.08400382</v>
      </c>
      <c r="AP53" s="443">
        <f t="shared" si="55"/>
        <v>2079.3513016699999</v>
      </c>
      <c r="AQ53" s="446">
        <f t="shared" si="46"/>
        <v>104</v>
      </c>
      <c r="AR53" s="492"/>
      <c r="AS53" s="492"/>
      <c r="AT53" s="496"/>
    </row>
    <row r="54" spans="1:46" s="465" customFormat="1" ht="20.100000000000001" customHeight="1" x14ac:dyDescent="0.35">
      <c r="A54" s="459" t="s">
        <v>224</v>
      </c>
      <c r="B54" s="196">
        <f>SUM(B55:B59)</f>
        <v>22186.843999999997</v>
      </c>
      <c r="C54" s="445">
        <f>SUM(C55:C59)</f>
        <v>27529.055</v>
      </c>
      <c r="D54" s="445">
        <f>IF(B54=0, "    ---- ", IF(ABS(ROUND(100/B54*C54-100,1))&lt;999,ROUND(100/B54*C54-100,1),IF(ROUND(100/B54*C54-100,1)&gt;999,999,-999)))</f>
        <v>24.1</v>
      </c>
      <c r="E54" s="445">
        <f>SUM(E55:E59)</f>
        <v>5573.3</v>
      </c>
      <c r="F54" s="445"/>
      <c r="G54" s="339">
        <f>IF(E54=0, "    ---- ", IF(ABS(ROUND(100/E54*F54-100,1))&lt;999,ROUND(100/E54*F54-100,1),IF(ROUND(100/E54*F54-100,1)&gt;999,999,-999)))</f>
        <v>-100</v>
      </c>
      <c r="H54" s="196">
        <f>SUM(H55:H59)</f>
        <v>100331.92899999999</v>
      </c>
      <c r="I54" s="445">
        <f>SUM(I55:I59)</f>
        <v>127581.68571666998</v>
      </c>
      <c r="J54" s="445">
        <f t="shared" si="41"/>
        <v>27.2</v>
      </c>
      <c r="K54" s="196">
        <f>SUM(K55:K59)</f>
        <v>0</v>
      </c>
      <c r="L54" s="445">
        <f>SUM(L55:L59)</f>
        <v>0</v>
      </c>
      <c r="M54" s="445" t="str">
        <f>IF(K54=0, "    ---- ", IF(ABS(ROUND(100/K54*L54-100,1))&lt;999,ROUND(100/K54*L54-100,1),IF(ROUND(100/K54*L54-100,1)&gt;999,999,-999)))</f>
        <v xml:space="preserve">    ---- </v>
      </c>
      <c r="N54" s="196">
        <f>SUM(N55:N59)</f>
        <v>4512.9319999999998</v>
      </c>
      <c r="O54" s="445">
        <f>SUM(O55:O59)</f>
        <v>0</v>
      </c>
      <c r="P54" s="445">
        <f>IF(N54=0, "    ---- ", IF(ABS(ROUND(100/N54*O54-100,1))&lt;999,ROUND(100/N54*O54-100,1),IF(ROUND(100/N54*O54-100,1)&gt;999,999,-999)))</f>
        <v>-100</v>
      </c>
      <c r="Q54" s="196">
        <f>SUM(Q55:Q59)</f>
        <v>29989.590000000004</v>
      </c>
      <c r="R54" s="445">
        <f>SUM(R55:R59)</f>
        <v>38231</v>
      </c>
      <c r="S54" s="435">
        <f t="shared" si="49"/>
        <v>27.5</v>
      </c>
      <c r="T54" s="196">
        <f>SUM(T55:T59)</f>
        <v>0</v>
      </c>
      <c r="U54" s="445">
        <f>SUM(U55:U59)</f>
        <v>0</v>
      </c>
      <c r="V54" s="339"/>
      <c r="W54" s="196">
        <v>1022.3591655900001</v>
      </c>
      <c r="X54" s="445">
        <v>1107.0231783600002</v>
      </c>
      <c r="Y54" s="339">
        <f t="shared" si="56"/>
        <v>8.3000000000000007</v>
      </c>
      <c r="Z54" s="196">
        <f>SUM(Z55:Z59)</f>
        <v>85871.43</v>
      </c>
      <c r="AA54" s="445">
        <f>SUM(AA55:AA59)</f>
        <v>117827.81</v>
      </c>
      <c r="AB54" s="339">
        <f t="shared" si="47"/>
        <v>37.200000000000003</v>
      </c>
      <c r="AC54" s="196">
        <f>SUM(AC55:AC59)</f>
        <v>0</v>
      </c>
      <c r="AD54" s="445">
        <f>SUM(AD55:AD59)</f>
        <v>0</v>
      </c>
      <c r="AE54" s="339"/>
      <c r="AF54" s="196">
        <f>SUM(AF55:AF59)</f>
        <v>2702.6096319600001</v>
      </c>
      <c r="AG54" s="445">
        <f>SUM(AG55:AG59)</f>
        <v>3191.3599081399998</v>
      </c>
      <c r="AH54" s="339">
        <f>IF(AF54=0, "    ---- ", IF(ABS(ROUND(100/AF54*AG54-100,1))&lt;999,ROUND(100/AF54*AG54-100,1),IF(ROUND(100/AF54*AG54-100,1)&gt;999,999,-999)))</f>
        <v>18.100000000000001</v>
      </c>
      <c r="AI54" s="196">
        <f>SUM(AI55:AI59)</f>
        <v>39244.373999999996</v>
      </c>
      <c r="AJ54" s="445">
        <f>SUM(AJ55:AJ59)</f>
        <v>52210.942999999999</v>
      </c>
      <c r="AK54" s="339">
        <f t="shared" si="43"/>
        <v>33</v>
      </c>
      <c r="AL54" s="196">
        <f>SUM(AL55:AL59)</f>
        <v>120534</v>
      </c>
      <c r="AM54" s="445">
        <f>SUM(AM55:AM59)</f>
        <v>144143</v>
      </c>
      <c r="AN54" s="339">
        <f t="shared" si="48"/>
        <v>19.600000000000001</v>
      </c>
      <c r="AO54" s="443">
        <f t="shared" si="54"/>
        <v>411969.36779754993</v>
      </c>
      <c r="AP54" s="443">
        <f t="shared" si="55"/>
        <v>511821.87680316996</v>
      </c>
      <c r="AQ54" s="446">
        <f t="shared" si="46"/>
        <v>24.2</v>
      </c>
      <c r="AR54" s="492"/>
      <c r="AS54" s="492"/>
      <c r="AT54" s="496"/>
    </row>
    <row r="55" spans="1:46" s="465" customFormat="1" ht="20.100000000000001" customHeight="1" x14ac:dyDescent="0.35">
      <c r="A55" s="459" t="s">
        <v>225</v>
      </c>
      <c r="B55" s="196">
        <v>13910.962</v>
      </c>
      <c r="C55" s="445">
        <v>17537.593000000001</v>
      </c>
      <c r="D55" s="445">
        <f>IF(B55=0, "    ---- ", IF(ABS(ROUND(100/B55*C55-100,1))&lt;999,ROUND(100/B55*C55-100,1),IF(ROUND(100/B55*C55-100,1)&gt;999,999,-999)))</f>
        <v>26.1</v>
      </c>
      <c r="E55" s="445">
        <v>5563.3</v>
      </c>
      <c r="F55" s="445"/>
      <c r="G55" s="339">
        <f>IF(E55=0, "    ---- ", IF(ABS(ROUND(100/E55*F55-100,1))&lt;999,ROUND(100/E55*F55-100,1),IF(ROUND(100/E55*F55-100,1)&gt;999,999,-999)))</f>
        <v>-100</v>
      </c>
      <c r="H55" s="196">
        <v>57220.771999999997</v>
      </c>
      <c r="I55" s="445">
        <v>76114.433392748993</v>
      </c>
      <c r="J55" s="445">
        <f t="shared" si="41"/>
        <v>33</v>
      </c>
      <c r="K55" s="196"/>
      <c r="L55" s="445"/>
      <c r="M55" s="445" t="str">
        <f>IF(K55=0, "    ---- ", IF(ABS(ROUND(100/K55*L55-100,1))&lt;999,ROUND(100/K55*L55-100,1),IF(ROUND(100/K55*L55-100,1)&gt;999,999,-999)))</f>
        <v xml:space="preserve">    ---- </v>
      </c>
      <c r="N55" s="196">
        <f>4512.932-N59</f>
        <v>3111.2579999999998</v>
      </c>
      <c r="O55" s="445"/>
      <c r="P55" s="445">
        <f>IF(N55=0, "    ---- ", IF(ABS(ROUND(100/N55*O55-100,1))&lt;999,ROUND(100/N55*O55-100,1),IF(ROUND(100/N55*O55-100,1)&gt;999,999,-999)))</f>
        <v>-100</v>
      </c>
      <c r="Q55" s="196">
        <v>25583.06</v>
      </c>
      <c r="R55" s="445">
        <v>31468.5</v>
      </c>
      <c r="S55" s="435">
        <f t="shared" si="49"/>
        <v>23</v>
      </c>
      <c r="T55" s="196"/>
      <c r="U55" s="445"/>
      <c r="V55" s="339"/>
      <c r="W55" s="196">
        <v>551.16222350999999</v>
      </c>
      <c r="X55" s="445">
        <v>722.78919171000007</v>
      </c>
      <c r="Y55" s="339">
        <f t="shared" si="56"/>
        <v>31.1</v>
      </c>
      <c r="Z55" s="196">
        <v>50877.77</v>
      </c>
      <c r="AA55" s="445">
        <v>74094.289999999994</v>
      </c>
      <c r="AB55" s="339">
        <f t="shared" si="47"/>
        <v>45.6</v>
      </c>
      <c r="AC55" s="196"/>
      <c r="AD55" s="445"/>
      <c r="AE55" s="339"/>
      <c r="AF55" s="196">
        <v>2702.6096319600001</v>
      </c>
      <c r="AG55" s="445">
        <v>3191.3599081399998</v>
      </c>
      <c r="AH55" s="339">
        <f>IF(AF55=0, "    ---- ", IF(ABS(ROUND(100/AF55*AG55-100,1))&lt;999,ROUND(100/AF55*AG55-100,1),IF(ROUND(100/AF55*AG55-100,1)&gt;999,999,-999)))</f>
        <v>18.100000000000001</v>
      </c>
      <c r="AI55" s="196">
        <v>24108.366000000002</v>
      </c>
      <c r="AJ55" s="445">
        <v>33720.567000000003</v>
      </c>
      <c r="AK55" s="339">
        <f t="shared" si="43"/>
        <v>39.9</v>
      </c>
      <c r="AL55" s="196">
        <v>78702</v>
      </c>
      <c r="AM55" s="445">
        <v>101777</v>
      </c>
      <c r="AN55" s="339">
        <f t="shared" si="48"/>
        <v>29.3</v>
      </c>
      <c r="AO55" s="443">
        <f t="shared" si="54"/>
        <v>262331.25985546998</v>
      </c>
      <c r="AP55" s="443">
        <f t="shared" si="55"/>
        <v>338626.53249259898</v>
      </c>
      <c r="AQ55" s="446">
        <f t="shared" si="46"/>
        <v>29.1</v>
      </c>
      <c r="AR55" s="492"/>
      <c r="AS55" s="492"/>
      <c r="AT55" s="496"/>
    </row>
    <row r="56" spans="1:46" s="465" customFormat="1" ht="20.100000000000001" customHeight="1" x14ac:dyDescent="0.35">
      <c r="A56" s="459" t="s">
        <v>226</v>
      </c>
      <c r="B56" s="196">
        <v>8114.4480000000003</v>
      </c>
      <c r="C56" s="445">
        <v>9571.5509999999995</v>
      </c>
      <c r="D56" s="445">
        <f>IF(B56=0, "    ---- ", IF(ABS(ROUND(100/B56*C56-100,1))&lt;999,ROUND(100/B56*C56-100,1),IF(ROUND(100/B56*C56-100,1)&gt;999,999,-999)))</f>
        <v>18</v>
      </c>
      <c r="E56" s="445"/>
      <c r="F56" s="445"/>
      <c r="G56" s="339" t="str">
        <f>IF(E56=0, "    ---- ", IF(ABS(ROUND(100/E56*F56-100,1))&lt;999,ROUND(100/E56*F56-100,1),IF(ROUND(100/E56*F56-100,1)&gt;999,999,-999)))</f>
        <v xml:space="preserve">    ---- </v>
      </c>
      <c r="H56" s="196">
        <v>41727.671999999999</v>
      </c>
      <c r="I56" s="445">
        <v>50088.738276730997</v>
      </c>
      <c r="J56" s="445">
        <f t="shared" si="41"/>
        <v>20</v>
      </c>
      <c r="K56" s="196"/>
      <c r="L56" s="445"/>
      <c r="M56" s="445" t="str">
        <f>IF(K56=0, "    ---- ", IF(ABS(ROUND(100/K56*L56-100,1))&lt;999,ROUND(100/K56*L56-100,1),IF(ROUND(100/K56*L56-100,1)&gt;999,999,-999)))</f>
        <v xml:space="preserve">    ---- </v>
      </c>
      <c r="N56" s="196"/>
      <c r="O56" s="445"/>
      <c r="P56" s="445" t="str">
        <f>IF(N56=0, "    ---- ", IF(ABS(ROUND(100/N56*O56-100,1))&lt;999,ROUND(100/N56*O56-100,1),IF(ROUND(100/N56*O56-100,1)&gt;999,999,-999)))</f>
        <v xml:space="preserve">    ---- </v>
      </c>
      <c r="Q56" s="196">
        <v>4337.3100000000004</v>
      </c>
      <c r="R56" s="445">
        <v>6281.5</v>
      </c>
      <c r="S56" s="435">
        <f t="shared" si="49"/>
        <v>44.8</v>
      </c>
      <c r="T56" s="196"/>
      <c r="U56" s="445"/>
      <c r="V56" s="339"/>
      <c r="W56" s="196">
        <v>361.80977261000004</v>
      </c>
      <c r="X56" s="445">
        <v>285.01421730999999</v>
      </c>
      <c r="Y56" s="339">
        <f t="shared" si="56"/>
        <v>-21.2</v>
      </c>
      <c r="Z56" s="196">
        <v>34686.78</v>
      </c>
      <c r="AA56" s="445">
        <v>42708.03</v>
      </c>
      <c r="AB56" s="339">
        <f t="shared" si="47"/>
        <v>23.1</v>
      </c>
      <c r="AC56" s="196"/>
      <c r="AD56" s="445"/>
      <c r="AE56" s="339"/>
      <c r="AF56" s="196"/>
      <c r="AG56" s="445"/>
      <c r="AH56" s="339"/>
      <c r="AI56" s="196">
        <v>14910.785</v>
      </c>
      <c r="AJ56" s="445">
        <v>18306.481</v>
      </c>
      <c r="AK56" s="339">
        <f t="shared" si="43"/>
        <v>22.8</v>
      </c>
      <c r="AL56" s="196">
        <v>41594</v>
      </c>
      <c r="AM56" s="445">
        <v>41402</v>
      </c>
      <c r="AN56" s="339">
        <f t="shared" si="48"/>
        <v>-0.5</v>
      </c>
      <c r="AO56" s="443">
        <f t="shared" si="54"/>
        <v>145732.80477260999</v>
      </c>
      <c r="AP56" s="443">
        <f t="shared" si="55"/>
        <v>168643.314494041</v>
      </c>
      <c r="AQ56" s="446">
        <f t="shared" si="46"/>
        <v>15.7</v>
      </c>
      <c r="AR56" s="492"/>
      <c r="AS56" s="492"/>
      <c r="AT56" s="496"/>
    </row>
    <row r="57" spans="1:46" s="465" customFormat="1" ht="20.100000000000001" customHeight="1" x14ac:dyDescent="0.35">
      <c r="A57" s="459" t="s">
        <v>227</v>
      </c>
      <c r="B57" s="196"/>
      <c r="C57" s="445"/>
      <c r="D57" s="339"/>
      <c r="E57" s="445">
        <v>10</v>
      </c>
      <c r="F57" s="445"/>
      <c r="G57" s="339">
        <f>IF(E57=0, "    ---- ", IF(ABS(ROUND(100/E57*F57-100,1))&lt;999,ROUND(100/E57*F57-100,1),IF(ROUND(100/E57*F57-100,1)&gt;999,999,-999)))</f>
        <v>-100</v>
      </c>
      <c r="H57" s="196">
        <v>1383.4849999999999</v>
      </c>
      <c r="I57" s="445">
        <v>1378.5140471899999</v>
      </c>
      <c r="J57" s="339">
        <f t="shared" si="41"/>
        <v>-0.4</v>
      </c>
      <c r="K57" s="196"/>
      <c r="L57" s="445"/>
      <c r="M57" s="339"/>
      <c r="N57" s="196"/>
      <c r="O57" s="445"/>
      <c r="P57" s="339"/>
      <c r="Q57" s="196"/>
      <c r="R57" s="445"/>
      <c r="S57" s="339" t="str">
        <f t="shared" si="49"/>
        <v xml:space="preserve">    ---- </v>
      </c>
      <c r="T57" s="196"/>
      <c r="U57" s="445"/>
      <c r="V57" s="339"/>
      <c r="W57" s="196">
        <v>108.87898359</v>
      </c>
      <c r="X57" s="445">
        <v>92.489311279999995</v>
      </c>
      <c r="Y57" s="339">
        <f t="shared" si="56"/>
        <v>-15.1</v>
      </c>
      <c r="Z57" s="196"/>
      <c r="AA57" s="445"/>
      <c r="AB57" s="339"/>
      <c r="AC57" s="196"/>
      <c r="AD57" s="445"/>
      <c r="AE57" s="339"/>
      <c r="AF57" s="196"/>
      <c r="AG57" s="445"/>
      <c r="AH57" s="339"/>
      <c r="AI57" s="196"/>
      <c r="AJ57" s="445">
        <v>0</v>
      </c>
      <c r="AK57" s="339"/>
      <c r="AL57" s="196">
        <v>143</v>
      </c>
      <c r="AM57" s="445">
        <v>135</v>
      </c>
      <c r="AN57" s="339">
        <f t="shared" si="48"/>
        <v>-5.6</v>
      </c>
      <c r="AO57" s="443">
        <f t="shared" si="54"/>
        <v>1645.3639835899999</v>
      </c>
      <c r="AP57" s="443">
        <f t="shared" si="55"/>
        <v>1606.00335847</v>
      </c>
      <c r="AQ57" s="446">
        <f t="shared" si="46"/>
        <v>-2.4</v>
      </c>
      <c r="AR57" s="492"/>
      <c r="AS57" s="492"/>
      <c r="AT57" s="496"/>
    </row>
    <row r="58" spans="1:46" s="465" customFormat="1" ht="20.100000000000001" customHeight="1" x14ac:dyDescent="0.35">
      <c r="A58" s="459" t="s">
        <v>228</v>
      </c>
      <c r="B58" s="196">
        <v>-6.8460000000000001</v>
      </c>
      <c r="C58" s="445">
        <v>-90.51</v>
      </c>
      <c r="D58" s="339"/>
      <c r="E58" s="445"/>
      <c r="F58" s="445"/>
      <c r="G58" s="339"/>
      <c r="H58" s="196"/>
      <c r="I58" s="445"/>
      <c r="J58" s="339"/>
      <c r="K58" s="196"/>
      <c r="L58" s="445"/>
      <c r="M58" s="339"/>
      <c r="N58" s="196"/>
      <c r="O58" s="445"/>
      <c r="P58" s="339"/>
      <c r="Q58" s="196"/>
      <c r="R58" s="445"/>
      <c r="S58" s="339"/>
      <c r="T58" s="196"/>
      <c r="U58" s="445"/>
      <c r="V58" s="339"/>
      <c r="W58" s="196">
        <v>7.4217770000000002E-2</v>
      </c>
      <c r="X58" s="445">
        <v>6.7304580700000001</v>
      </c>
      <c r="Y58" s="339">
        <f t="shared" si="56"/>
        <v>999</v>
      </c>
      <c r="Z58" s="196">
        <v>-65.900000000000006</v>
      </c>
      <c r="AA58" s="445">
        <v>-47.15</v>
      </c>
      <c r="AB58" s="339">
        <f t="shared" si="47"/>
        <v>-28.5</v>
      </c>
      <c r="AC58" s="196"/>
      <c r="AD58" s="445"/>
      <c r="AE58" s="339"/>
      <c r="AF58" s="196"/>
      <c r="AG58" s="445"/>
      <c r="AH58" s="339"/>
      <c r="AI58" s="196"/>
      <c r="AJ58" s="445">
        <v>86.744</v>
      </c>
      <c r="AK58" s="339"/>
      <c r="AL58" s="196">
        <v>95</v>
      </c>
      <c r="AM58" s="445">
        <v>829</v>
      </c>
      <c r="AN58" s="339">
        <f t="shared" si="48"/>
        <v>772.6</v>
      </c>
      <c r="AO58" s="443">
        <f t="shared" si="54"/>
        <v>22.328217769999995</v>
      </c>
      <c r="AP58" s="443">
        <f t="shared" si="55"/>
        <v>784.81445807</v>
      </c>
      <c r="AQ58" s="446">
        <f t="shared" si="46"/>
        <v>999</v>
      </c>
      <c r="AR58" s="492"/>
      <c r="AS58" s="492"/>
      <c r="AT58" s="496"/>
    </row>
    <row r="59" spans="1:46" s="465" customFormat="1" ht="20.100000000000001" customHeight="1" x14ac:dyDescent="0.35">
      <c r="A59" s="459" t="s">
        <v>229</v>
      </c>
      <c r="B59" s="196">
        <f>69.919+98.361</f>
        <v>168.28</v>
      </c>
      <c r="C59" s="445">
        <f>229.351+281.07</f>
        <v>510.42099999999999</v>
      </c>
      <c r="D59" s="339">
        <f>IF(B59=0, "    ---- ", IF(ABS(ROUND(100/B59*C59-100,1))&lt;999,ROUND(100/B59*C59-100,1),IF(ROUND(100/B59*C59-100,1)&gt;999,999,-999)))</f>
        <v>203.3</v>
      </c>
      <c r="E59" s="445"/>
      <c r="F59" s="445"/>
      <c r="G59" s="339"/>
      <c r="H59" s="196"/>
      <c r="I59" s="445"/>
      <c r="J59" s="339"/>
      <c r="K59" s="196"/>
      <c r="L59" s="445"/>
      <c r="M59" s="339" t="str">
        <f>IF(K59=0, "    ---- ", IF(ABS(ROUND(100/K59*L59-100,1))&lt;999,ROUND(100/K59*L59-100,1),IF(ROUND(100/K59*L59-100,1)&gt;999,999,-999)))</f>
        <v xml:space="preserve">    ---- </v>
      </c>
      <c r="N59" s="196">
        <v>1401.674</v>
      </c>
      <c r="O59" s="445"/>
      <c r="P59" s="339">
        <f>IF(N59=0, "    ---- ", IF(ABS(ROUND(100/N59*O59-100,1))&lt;999,ROUND(100/N59*O59-100,1),IF(ROUND(100/N59*O59-100,1)&gt;999,999,-999)))</f>
        <v>-100</v>
      </c>
      <c r="Q59" s="196">
        <f>39.37+29.85</f>
        <v>69.22</v>
      </c>
      <c r="R59" s="445">
        <v>481</v>
      </c>
      <c r="S59" s="339">
        <f>IF(Q59=0, "    ---- ", IF(ABS(ROUND(100/Q59*R59-100,1))&lt;999,ROUND(100/Q59*R59-100,1),IF(ROUND(100/Q59*R59-100,1)&gt;999,999,-999)))</f>
        <v>594.9</v>
      </c>
      <c r="T59" s="196"/>
      <c r="U59" s="445"/>
      <c r="V59" s="339"/>
      <c r="W59" s="196">
        <v>0.43396810999999996</v>
      </c>
      <c r="X59" s="445">
        <v>-1E-8</v>
      </c>
      <c r="Y59" s="339">
        <f t="shared" si="56"/>
        <v>-100</v>
      </c>
      <c r="Z59" s="196">
        <v>372.78</v>
      </c>
      <c r="AA59" s="445">
        <v>1072.6400000000001</v>
      </c>
      <c r="AB59" s="339">
        <f t="shared" si="47"/>
        <v>187.7</v>
      </c>
      <c r="AC59" s="196"/>
      <c r="AD59" s="445"/>
      <c r="AE59" s="339"/>
      <c r="AF59" s="196"/>
      <c r="AG59" s="445"/>
      <c r="AH59" s="339"/>
      <c r="AI59" s="196">
        <v>225.22300000000001</v>
      </c>
      <c r="AJ59" s="445">
        <v>97.150999999999996</v>
      </c>
      <c r="AK59" s="339">
        <f t="shared" si="43"/>
        <v>-56.9</v>
      </c>
      <c r="AL59" s="196"/>
      <c r="AM59" s="445"/>
      <c r="AN59" s="339" t="str">
        <f t="shared" si="48"/>
        <v xml:space="preserve">    ---- </v>
      </c>
      <c r="AO59" s="443">
        <f t="shared" si="54"/>
        <v>2237.6109681100002</v>
      </c>
      <c r="AP59" s="443">
        <f t="shared" si="55"/>
        <v>2161.2119999900001</v>
      </c>
      <c r="AQ59" s="446">
        <f t="shared" si="46"/>
        <v>-3.4</v>
      </c>
      <c r="AR59" s="492"/>
      <c r="AS59" s="492"/>
      <c r="AT59" s="496"/>
    </row>
    <row r="60" spans="1:46" s="465" customFormat="1" ht="20.100000000000001" customHeight="1" x14ac:dyDescent="0.35">
      <c r="A60" s="460" t="s">
        <v>230</v>
      </c>
      <c r="B60" s="196">
        <f>SUM(B48+B49+B50+B54)</f>
        <v>22186.843999999997</v>
      </c>
      <c r="C60" s="445">
        <f>SUM(C48+C49+C50+C54)</f>
        <v>27529.055</v>
      </c>
      <c r="D60" s="339">
        <f>IF(B60=0, "    ---- ", IF(ABS(ROUND(100/B60*C60-100,1))&lt;999,ROUND(100/B60*C60-100,1),IF(ROUND(100/B60*C60-100,1)&gt;999,999,-999)))</f>
        <v>24.1</v>
      </c>
      <c r="E60" s="445">
        <f>SUM(E48+E49+E50+E54)</f>
        <v>5573.3</v>
      </c>
      <c r="F60" s="445"/>
      <c r="G60" s="339">
        <f>IF(E60=0, "    ---- ", IF(ABS(ROUND(100/E60*F60-100,1))&lt;999,ROUND(100/E60*F60-100,1),IF(ROUND(100/E60*F60-100,1)&gt;999,999,-999)))</f>
        <v>-100</v>
      </c>
      <c r="H60" s="196">
        <f>SUM(H48+H49+H50+H54)</f>
        <v>100331.92899999999</v>
      </c>
      <c r="I60" s="445">
        <f>SUM(I48+I49+I50+I54)</f>
        <v>131616.57004986098</v>
      </c>
      <c r="J60" s="339">
        <f t="shared" si="41"/>
        <v>31.2</v>
      </c>
      <c r="K60" s="196">
        <f>SUM(K48+K49+K50+K54)</f>
        <v>0</v>
      </c>
      <c r="L60" s="445">
        <f>SUM(L48+L49+L50+L54)</f>
        <v>0</v>
      </c>
      <c r="M60" s="339" t="str">
        <f>IF(K60=0, "    ---- ", IF(ABS(ROUND(100/K60*L60-100,1))&lt;999,ROUND(100/K60*L60-100,1),IF(ROUND(100/K60*L60-100,1)&gt;999,999,-999)))</f>
        <v xml:space="preserve">    ---- </v>
      </c>
      <c r="N60" s="196">
        <f>SUM(N48+N49+N50+N54)</f>
        <v>4512.9319999999998</v>
      </c>
      <c r="O60" s="445">
        <f>SUM(O48+O49+O50+O54)</f>
        <v>0</v>
      </c>
      <c r="P60" s="339">
        <f>IF(N60=0, "    ---- ", IF(ABS(ROUND(100/N60*O60-100,1))&lt;999,ROUND(100/N60*O60-100,1),IF(ROUND(100/N60*O60-100,1)&gt;999,999,-999)))</f>
        <v>-100</v>
      </c>
      <c r="Q60" s="196">
        <f>SUM(Q48+Q49+Q50+Q54)</f>
        <v>31528.920000000006</v>
      </c>
      <c r="R60" s="445">
        <f>SUM(R48+R49+R50+R54)</f>
        <v>40002.1</v>
      </c>
      <c r="S60" s="339">
        <f>IF(Q60=0, "    ---- ", IF(ABS(ROUND(100/Q60*R60-100,1))&lt;999,ROUND(100/Q60*R60-100,1),IF(ROUND(100/Q60*R60-100,1)&gt;999,999,-999)))</f>
        <v>26.9</v>
      </c>
      <c r="T60" s="196">
        <f>SUM(T48+T49+T50+T54)</f>
        <v>0</v>
      </c>
      <c r="U60" s="445">
        <f>SUM(U48+U49+U50+U54)</f>
        <v>0</v>
      </c>
      <c r="V60" s="339"/>
      <c r="W60" s="196">
        <v>2011.8114199000001</v>
      </c>
      <c r="X60" s="445">
        <v>2155.9302392500003</v>
      </c>
      <c r="Y60" s="339">
        <f t="shared" si="56"/>
        <v>7.2</v>
      </c>
      <c r="Z60" s="196">
        <f>SUM(Z48+Z49+Z50+Z54)</f>
        <v>85871.43</v>
      </c>
      <c r="AA60" s="445">
        <f>SUM(AA48+AA49+AA50+AA54)</f>
        <v>117827.81999999999</v>
      </c>
      <c r="AB60" s="339">
        <f t="shared" si="47"/>
        <v>37.200000000000003</v>
      </c>
      <c r="AC60" s="196">
        <f>SUM(AC48+AC49+AC50+AC54)</f>
        <v>0</v>
      </c>
      <c r="AD60" s="445">
        <f>SUM(AD48+AD49+AD50+AD54)</f>
        <v>0</v>
      </c>
      <c r="AE60" s="339"/>
      <c r="AF60" s="196">
        <f>SUM(AF48+AF49+AF50+AF54)</f>
        <v>2702.6096319600001</v>
      </c>
      <c r="AG60" s="445">
        <f>SUM(AG48+AG49+AG50+AG54)</f>
        <v>3191.3599081399998</v>
      </c>
      <c r="AH60" s="339">
        <f>IF(AF60=0, "    ---- ", IF(ABS(ROUND(100/AF60*AG60-100,1))&lt;999,ROUND(100/AF60*AG60-100,1),IF(ROUND(100/AF60*AG60-100,1)&gt;999,999,-999)))</f>
        <v>18.100000000000001</v>
      </c>
      <c r="AI60" s="196">
        <f>SUM(AI48+AI49+AI50+AI54)</f>
        <v>39244.373999999996</v>
      </c>
      <c r="AJ60" s="445">
        <f>SUM(AJ48+AJ49+AJ50+AJ54)</f>
        <v>52210.942999999999</v>
      </c>
      <c r="AK60" s="339">
        <f t="shared" si="43"/>
        <v>33</v>
      </c>
      <c r="AL60" s="196">
        <f>SUM(AL48+AL49+AL50+AL54)</f>
        <v>126095</v>
      </c>
      <c r="AM60" s="445">
        <f>SUM(AM48+AM49+AM50+AM54)</f>
        <v>151563</v>
      </c>
      <c r="AN60" s="339">
        <f t="shared" si="48"/>
        <v>20.2</v>
      </c>
      <c r="AO60" s="443">
        <f t="shared" si="54"/>
        <v>420059.15005185996</v>
      </c>
      <c r="AP60" s="443">
        <f t="shared" si="55"/>
        <v>526096.77819725091</v>
      </c>
      <c r="AQ60" s="446">
        <f t="shared" si="46"/>
        <v>25.2</v>
      </c>
      <c r="AR60" s="492"/>
      <c r="AS60" s="492"/>
      <c r="AT60" s="496"/>
    </row>
    <row r="61" spans="1:46" s="465" customFormat="1" ht="20.100000000000001" customHeight="1" x14ac:dyDescent="0.35">
      <c r="A61" s="457" t="s">
        <v>337</v>
      </c>
      <c r="B61" s="196"/>
      <c r="C61" s="445"/>
      <c r="D61" s="339"/>
      <c r="E61" s="445"/>
      <c r="F61" s="445"/>
      <c r="G61" s="339"/>
      <c r="H61" s="196"/>
      <c r="I61" s="445"/>
      <c r="J61" s="339"/>
      <c r="K61" s="196"/>
      <c r="L61" s="445"/>
      <c r="M61" s="339"/>
      <c r="N61" s="196"/>
      <c r="O61" s="445"/>
      <c r="P61" s="339"/>
      <c r="Q61" s="196"/>
      <c r="R61" s="445">
        <v>2.7</v>
      </c>
      <c r="S61" s="339"/>
      <c r="T61" s="196"/>
      <c r="U61" s="445"/>
      <c r="V61" s="339"/>
      <c r="W61" s="196"/>
      <c r="X61" s="445"/>
      <c r="Y61" s="339"/>
      <c r="Z61" s="196"/>
      <c r="AA61" s="445"/>
      <c r="AB61" s="339"/>
      <c r="AC61" s="196"/>
      <c r="AD61" s="445"/>
      <c r="AE61" s="339"/>
      <c r="AF61" s="196"/>
      <c r="AG61" s="445"/>
      <c r="AH61" s="339"/>
      <c r="AI61" s="196"/>
      <c r="AJ61" s="445"/>
      <c r="AK61" s="339"/>
      <c r="AL61" s="196"/>
      <c r="AM61" s="445"/>
      <c r="AN61" s="339"/>
      <c r="AO61" s="443">
        <f t="shared" si="54"/>
        <v>0</v>
      </c>
      <c r="AP61" s="443">
        <f t="shared" si="55"/>
        <v>2.7</v>
      </c>
      <c r="AQ61" s="446" t="str">
        <f t="shared" si="46"/>
        <v xml:space="preserve">    ---- </v>
      </c>
      <c r="AR61" s="492"/>
      <c r="AS61" s="492"/>
      <c r="AT61" s="496"/>
    </row>
    <row r="62" spans="1:46" s="465" customFormat="1" ht="20.100000000000001" customHeight="1" x14ac:dyDescent="0.35">
      <c r="A62" s="459" t="s">
        <v>231</v>
      </c>
      <c r="B62" s="196">
        <f>SUM(B45+B46+B60+B61)</f>
        <v>23630.732999999997</v>
      </c>
      <c r="C62" s="445">
        <f>SUM(C45+C46+C60+C61)</f>
        <v>29104.954000000002</v>
      </c>
      <c r="D62" s="339">
        <f>IF(B62=0, "    ---- ", IF(ABS(ROUND(100/B62*C62-100,1))&lt;999,ROUND(100/B62*C62-100,1),IF(ROUND(100/B62*C62-100,1)&gt;999,999,-999)))</f>
        <v>23.2</v>
      </c>
      <c r="E62" s="445">
        <f>SUM(E45+E46+E60+E61)</f>
        <v>7363.6</v>
      </c>
      <c r="F62" s="445"/>
      <c r="G62" s="339">
        <f>IF(E62=0, "    ---- ", IF(ABS(ROUND(100/E62*F62-100,1))&lt;999,ROUND(100/E62*F62-100,1),IF(ROUND(100/E62*F62-100,1)&gt;999,999,-999)))</f>
        <v>-100</v>
      </c>
      <c r="H62" s="196">
        <f>SUM(H45+H46+H60+H61)</f>
        <v>298587.17300000001</v>
      </c>
      <c r="I62" s="445">
        <f>SUM(I45+I46+I60+I61)</f>
        <v>333137.31665271102</v>
      </c>
      <c r="J62" s="339">
        <f t="shared" si="41"/>
        <v>11.6</v>
      </c>
      <c r="K62" s="196">
        <f>SUM(K45+K46+K60+K61)</f>
        <v>7268.7394713399999</v>
      </c>
      <c r="L62" s="445">
        <f>SUM(L45+L46+L60+L61)</f>
        <v>7753.4575451400015</v>
      </c>
      <c r="M62" s="339">
        <f>IF(K62=0, "    ---- ", IF(ABS(ROUND(100/K62*L62-100,1))&lt;999,ROUND(100/K62*L62-100,1),IF(ROUND(100/K62*L62-100,1)&gt;999,999,-999)))</f>
        <v>6.7</v>
      </c>
      <c r="N62" s="196">
        <f>SUM(N45+N46+N60+N61)</f>
        <v>5761.3339999999998</v>
      </c>
      <c r="O62" s="445">
        <f>SUM(O45+O46+O60+O61)</f>
        <v>1278.7735199999997</v>
      </c>
      <c r="P62" s="339">
        <f>IF(N62=0, "    ---- ", IF(ABS(ROUND(100/N62*O62-100,1))&lt;999,ROUND(100/N62*O62-100,1),IF(ROUND(100/N62*O62-100,1)&gt;999,999,-999)))</f>
        <v>-77.8</v>
      </c>
      <c r="Q62" s="196">
        <f>SUM(Q45+Q46+Q60+Q61)</f>
        <v>39071.910000000003</v>
      </c>
      <c r="R62" s="445">
        <f>SUM(R45+R46+R60+R61)</f>
        <v>48187.999999999993</v>
      </c>
      <c r="S62" s="339">
        <f>IF(Q62=0, "    ---- ", IF(ABS(ROUND(100/Q62*R62-100,1))&lt;999,ROUND(100/Q62*R62-100,1),IF(ROUND(100/Q62*R62-100,1)&gt;999,999,-999)))</f>
        <v>23.3</v>
      </c>
      <c r="T62" s="196">
        <f>SUM(T45+T46+T60+T61)</f>
        <v>0</v>
      </c>
      <c r="U62" s="445">
        <f>SUM(U45+U46+U60+U61)</f>
        <v>0</v>
      </c>
      <c r="V62" s="339"/>
      <c r="W62" s="196">
        <v>584119.92964572005</v>
      </c>
      <c r="X62" s="445">
        <v>646315.78010107996</v>
      </c>
      <c r="Y62" s="339">
        <f>IF(W62=0, "    ---- ", IF(ABS(ROUND(100/W62*X62-100,1))&lt;999,ROUND(100/W62*X62-100,1),IF(ROUND(100/W62*X62-100,1)&gt;999,999,-999)))</f>
        <v>10.6</v>
      </c>
      <c r="Z62" s="196">
        <f>SUM(Z45+Z46+Z60+Z61)</f>
        <v>139061.75147823</v>
      </c>
      <c r="AA62" s="445">
        <f>SUM(AA45+AA46+AA60+AA61)</f>
        <v>173664.10426476999</v>
      </c>
      <c r="AB62" s="339">
        <f t="shared" si="47"/>
        <v>24.9</v>
      </c>
      <c r="AC62" s="196">
        <f>SUM(AC45+AC46+AC60+AC61)</f>
        <v>96726</v>
      </c>
      <c r="AD62" s="445">
        <f>SUM(AD45+AD46+AD60+AD61)</f>
        <v>110343</v>
      </c>
      <c r="AE62" s="339">
        <f>IF(AC62=0, "    ---- ", IF(ABS(ROUND(100/AC62*AD62-100,1))&lt;999,ROUND(100/AC62*AD62-100,1),IF(ROUND(100/AC62*AD62-100,1)&gt;999,999,-999)))</f>
        <v>14.1</v>
      </c>
      <c r="AF62" s="196">
        <f>SUM(AF45+AF46+AF60+AF61)</f>
        <v>2702.6096319600001</v>
      </c>
      <c r="AG62" s="445">
        <f>SUM(AG45+AG46+AG60+AG61)</f>
        <v>3191.3599081399998</v>
      </c>
      <c r="AH62" s="339">
        <f>IF(AF62=0, "    ---- ", IF(ABS(ROUND(100/AF62*AG62-100,1))&lt;999,ROUND(100/AF62*AG62-100,1),IF(ROUND(100/AF62*AG62-100,1)&gt;999,999,-999)))</f>
        <v>18.100000000000001</v>
      </c>
      <c r="AI62" s="196">
        <f>SUM(AI45+AI46+AI60+AI61)</f>
        <v>61166.907999999996</v>
      </c>
      <c r="AJ62" s="445">
        <f>SUM(AJ45+AJ46+AJ60+AJ61)</f>
        <v>75506.63</v>
      </c>
      <c r="AK62" s="339">
        <f t="shared" si="43"/>
        <v>23.4</v>
      </c>
      <c r="AL62" s="196">
        <f>SUM(AL45+AL46+AL60+AL61)</f>
        <v>323523</v>
      </c>
      <c r="AM62" s="445">
        <f>SUM(AM45+AM46+AM60+AM61)</f>
        <v>358984</v>
      </c>
      <c r="AN62" s="339">
        <f t="shared" si="48"/>
        <v>11</v>
      </c>
      <c r="AO62" s="443">
        <f t="shared" si="54"/>
        <v>1588983.6882272502</v>
      </c>
      <c r="AP62" s="443">
        <f t="shared" si="55"/>
        <v>1787467.3759918408</v>
      </c>
      <c r="AQ62" s="446">
        <f t="shared" si="46"/>
        <v>12.5</v>
      </c>
      <c r="AR62" s="492"/>
      <c r="AS62" s="497"/>
      <c r="AT62" s="496"/>
    </row>
    <row r="63" spans="1:46" s="500" customFormat="1" ht="20.100000000000001" customHeight="1" x14ac:dyDescent="0.3">
      <c r="A63" s="457"/>
      <c r="B63" s="198"/>
      <c r="C63" s="439"/>
      <c r="D63" s="438"/>
      <c r="E63" s="439"/>
      <c r="F63" s="439"/>
      <c r="G63" s="438"/>
      <c r="H63" s="198"/>
      <c r="I63" s="439"/>
      <c r="J63" s="438"/>
      <c r="K63" s="198"/>
      <c r="L63" s="439"/>
      <c r="M63" s="438"/>
      <c r="N63" s="198"/>
      <c r="O63" s="439"/>
      <c r="P63" s="438"/>
      <c r="Q63" s="198"/>
      <c r="R63" s="439"/>
      <c r="S63" s="447"/>
      <c r="T63" s="198"/>
      <c r="U63" s="439"/>
      <c r="V63" s="438"/>
      <c r="W63" s="198"/>
      <c r="X63" s="439"/>
      <c r="Y63" s="438"/>
      <c r="Z63" s="198"/>
      <c r="AA63" s="439"/>
      <c r="AB63" s="438"/>
      <c r="AC63" s="198"/>
      <c r="AD63" s="439"/>
      <c r="AE63" s="438"/>
      <c r="AF63" s="198"/>
      <c r="AG63" s="439"/>
      <c r="AH63" s="438"/>
      <c r="AI63" s="198"/>
      <c r="AJ63" s="439"/>
      <c r="AK63" s="438"/>
      <c r="AL63" s="198"/>
      <c r="AM63" s="439"/>
      <c r="AN63" s="438"/>
      <c r="AO63" s="448"/>
      <c r="AP63" s="448"/>
      <c r="AQ63" s="449"/>
      <c r="AR63" s="498"/>
      <c r="AS63" s="498"/>
      <c r="AT63" s="499"/>
    </row>
    <row r="64" spans="1:46" s="500" customFormat="1" ht="20.100000000000001" customHeight="1" x14ac:dyDescent="0.3">
      <c r="A64" s="457" t="s">
        <v>232</v>
      </c>
      <c r="B64" s="198">
        <f>SUM(B29+B62)</f>
        <v>24601.639999999996</v>
      </c>
      <c r="C64" s="439">
        <f>SUM(C29+C62)</f>
        <v>30185.07</v>
      </c>
      <c r="D64" s="438">
        <f>IF(B64=0, "    ---- ", IF(ABS(ROUND(100/B64*C64-100,1))&lt;999,ROUND(100/B64*C64-100,1),IF(ROUND(100/B64*C64-100,1)&gt;999,999,-999)))</f>
        <v>22.7</v>
      </c>
      <c r="E64" s="439">
        <f>SUM(E29+E62)</f>
        <v>8009.9000000000005</v>
      </c>
      <c r="F64" s="439"/>
      <c r="G64" s="438">
        <f>IF(E64=0, "    ---- ", IF(ABS(ROUND(100/E64*F64-100,1))&lt;999,ROUND(100/E64*F64-100,1),IF(ROUND(100/E64*F64-100,1)&gt;999,999,-999)))</f>
        <v>-100</v>
      </c>
      <c r="H64" s="198">
        <f>SUM(H29+H62)</f>
        <v>332378.42200000002</v>
      </c>
      <c r="I64" s="439">
        <f>SUM(I29+I62)</f>
        <v>368989.75833177101</v>
      </c>
      <c r="J64" s="438">
        <f t="shared" si="41"/>
        <v>11</v>
      </c>
      <c r="K64" s="198">
        <f>SUM(K29+K62)</f>
        <v>10263.490981680001</v>
      </c>
      <c r="L64" s="439">
        <f>SUM(L29+L62)</f>
        <v>11628.160683760001</v>
      </c>
      <c r="M64" s="438">
        <f>IF(K64=0, "    ---- ", IF(ABS(ROUND(100/K64*L64-100,1))&lt;999,ROUND(100/K64*L64-100,1),IF(ROUND(100/K64*L64-100,1)&gt;999,999,-999)))</f>
        <v>13.3</v>
      </c>
      <c r="N64" s="198">
        <f>SUM(N29+N62)</f>
        <v>6555.5640000000003</v>
      </c>
      <c r="O64" s="439">
        <f>SUM(O29+O62)</f>
        <v>1992.6730969999999</v>
      </c>
      <c r="P64" s="438">
        <f>IF(N64=0, "    ---- ", IF(ABS(ROUND(100/N64*O64-100,1))&lt;999,ROUND(100/N64*O64-100,1),IF(ROUND(100/N64*O64-100,1)&gt;999,999,-999)))</f>
        <v>-69.599999999999994</v>
      </c>
      <c r="Q64" s="198">
        <f>SUM(Q29+Q62)</f>
        <v>40608.800000000003</v>
      </c>
      <c r="R64" s="439">
        <f>SUM(R29+R62)</f>
        <v>49801.19999999999</v>
      </c>
      <c r="S64" s="447">
        <f>IF(Q64=0, "    ---- ", IF(ABS(ROUND(100/Q64*R64-100,1))&lt;999,ROUND(100/Q64*R64-100,1),IF(ROUND(100/Q64*R64-100,1)&gt;999,999,-999)))</f>
        <v>22.6</v>
      </c>
      <c r="T64" s="198">
        <f>SUM(T29+T62)</f>
        <v>151.22838720999999</v>
      </c>
      <c r="U64" s="439">
        <f>SUM(U29+U62)</f>
        <v>161.35311759999999</v>
      </c>
      <c r="V64" s="438">
        <f>IF(T64=0, "    ---- ", IF(ABS(ROUND(100/T64*U64-100,1))&lt;999,ROUND(100/T64*U64-100,1),IF(ROUND(100/T64*U64-100,1)&gt;999,999,-999)))</f>
        <v>6.7</v>
      </c>
      <c r="W64" s="198">
        <v>635878.01939037</v>
      </c>
      <c r="X64" s="439">
        <v>694522.36689357995</v>
      </c>
      <c r="Y64" s="438">
        <f>IF(W64=0, "    ---- ", IF(ABS(ROUND(100/W64*X64-100,1))&lt;999,ROUND(100/W64*X64-100,1),IF(ROUND(100/W64*X64-100,1)&gt;999,999,-999)))</f>
        <v>9.1999999999999993</v>
      </c>
      <c r="Z64" s="198">
        <f>SUM(Z29+Z62)</f>
        <v>150628.68147822999</v>
      </c>
      <c r="AA64" s="439">
        <f>SUM(AA29+AA62)</f>
        <v>185981.51426477</v>
      </c>
      <c r="AB64" s="438">
        <f t="shared" si="47"/>
        <v>23.5</v>
      </c>
      <c r="AC64" s="198">
        <f>SUM(AC29+AC62)</f>
        <v>108237</v>
      </c>
      <c r="AD64" s="439">
        <f>SUM(AD29+AD62)</f>
        <v>122402</v>
      </c>
      <c r="AE64" s="438">
        <f>IF(AC64=0, "    ---- ", IF(ABS(ROUND(100/AC64*AD64-100,1))&lt;999,ROUND(100/AC64*AD64-100,1),IF(ROUND(100/AC64*AD64-100,1)&gt;999,999,-999)))</f>
        <v>13.1</v>
      </c>
      <c r="AF64" s="198">
        <f>SUM(AF29+AF62)</f>
        <v>2784.7847964100001</v>
      </c>
      <c r="AG64" s="439">
        <f>SUM(AG29+AG62)</f>
        <v>3286.8092748099998</v>
      </c>
      <c r="AH64" s="438">
        <f>IF(AF64=0, "    ---- ", IF(ABS(ROUND(100/AF64*AG64-100,1))&lt;999,ROUND(100/AF64*AG64-100,1),IF(ROUND(100/AF64*AG64-100,1)&gt;999,999,-999)))</f>
        <v>18</v>
      </c>
      <c r="AI64" s="198">
        <f>SUM(AI29+AI62)</f>
        <v>68311.811000000002</v>
      </c>
      <c r="AJ64" s="439">
        <f>SUM(AJ29+AJ62)</f>
        <v>83377.442999999999</v>
      </c>
      <c r="AK64" s="438">
        <f t="shared" si="43"/>
        <v>22.1</v>
      </c>
      <c r="AL64" s="198">
        <f>SUM(AL29+AL62)</f>
        <v>363893</v>
      </c>
      <c r="AM64" s="439">
        <f>SUM(AM29+AM62)</f>
        <v>404495</v>
      </c>
      <c r="AN64" s="438">
        <f t="shared" si="48"/>
        <v>11.2</v>
      </c>
      <c r="AO64" s="450">
        <f>B64+H64+K64+N64+Q64+T64+W64+E64+Z64+AC64+AF64+AI64+AL64</f>
        <v>1752302.3420339001</v>
      </c>
      <c r="AP64" s="450">
        <f>C64+I64+L64+O64+R64+U64+X64+F64+AA64+AD64+AG64+AJ64+AM64</f>
        <v>1956823.348663291</v>
      </c>
      <c r="AQ64" s="449">
        <f t="shared" si="46"/>
        <v>11.7</v>
      </c>
      <c r="AR64" s="498"/>
      <c r="AS64" s="498"/>
      <c r="AT64" s="496"/>
    </row>
    <row r="65" spans="1:46" s="465" customFormat="1" ht="20.100000000000001" customHeight="1" x14ac:dyDescent="0.35">
      <c r="A65" s="461"/>
      <c r="B65" s="196"/>
      <c r="C65" s="445"/>
      <c r="D65" s="339"/>
      <c r="E65" s="445"/>
      <c r="F65" s="445"/>
      <c r="G65" s="339"/>
      <c r="H65" s="196"/>
      <c r="I65" s="445"/>
      <c r="J65" s="339"/>
      <c r="K65" s="196"/>
      <c r="L65" s="445"/>
      <c r="M65" s="339"/>
      <c r="N65" s="196"/>
      <c r="O65" s="445"/>
      <c r="P65" s="339"/>
      <c r="Q65" s="196"/>
      <c r="R65" s="445"/>
      <c r="S65" s="435"/>
      <c r="T65" s="196"/>
      <c r="U65" s="445"/>
      <c r="V65" s="339"/>
      <c r="W65" s="196"/>
      <c r="X65" s="445"/>
      <c r="Y65" s="339"/>
      <c r="Z65" s="196"/>
      <c r="AA65" s="445"/>
      <c r="AB65" s="339"/>
      <c r="AC65" s="196"/>
      <c r="AD65" s="445"/>
      <c r="AE65" s="339"/>
      <c r="AF65" s="196"/>
      <c r="AG65" s="445"/>
      <c r="AH65" s="339"/>
      <c r="AI65" s="196"/>
      <c r="AJ65" s="445"/>
      <c r="AK65" s="339"/>
      <c r="AL65" s="196"/>
      <c r="AM65" s="445"/>
      <c r="AN65" s="339"/>
      <c r="AO65" s="437"/>
      <c r="AP65" s="437"/>
      <c r="AQ65" s="446"/>
      <c r="AR65" s="492"/>
      <c r="AS65" s="492"/>
      <c r="AT65" s="496"/>
    </row>
    <row r="66" spans="1:46" s="465" customFormat="1" ht="20.100000000000001" customHeight="1" x14ac:dyDescent="0.35">
      <c r="A66" s="457" t="s">
        <v>233</v>
      </c>
      <c r="B66" s="196"/>
      <c r="C66" s="445"/>
      <c r="D66" s="339"/>
      <c r="E66" s="445"/>
      <c r="F66" s="445"/>
      <c r="G66" s="339"/>
      <c r="H66" s="196"/>
      <c r="I66" s="445"/>
      <c r="J66" s="339"/>
      <c r="K66" s="196"/>
      <c r="L66" s="445"/>
      <c r="M66" s="339"/>
      <c r="N66" s="196"/>
      <c r="O66" s="445"/>
      <c r="P66" s="339"/>
      <c r="Q66" s="196"/>
      <c r="R66" s="445"/>
      <c r="S66" s="435"/>
      <c r="T66" s="196"/>
      <c r="U66" s="445"/>
      <c r="V66" s="339"/>
      <c r="W66" s="196"/>
      <c r="X66" s="445"/>
      <c r="Y66" s="339"/>
      <c r="Z66" s="196"/>
      <c r="AA66" s="445"/>
      <c r="AB66" s="339"/>
      <c r="AC66" s="196"/>
      <c r="AD66" s="445"/>
      <c r="AE66" s="339"/>
      <c r="AF66" s="196"/>
      <c r="AG66" s="445"/>
      <c r="AH66" s="339"/>
      <c r="AI66" s="196"/>
      <c r="AJ66" s="445"/>
      <c r="AK66" s="339"/>
      <c r="AL66" s="196"/>
      <c r="AM66" s="445"/>
      <c r="AN66" s="339"/>
      <c r="AO66" s="437"/>
      <c r="AP66" s="437"/>
      <c r="AQ66" s="446"/>
      <c r="AR66" s="492"/>
      <c r="AS66" s="492"/>
      <c r="AT66" s="496"/>
    </row>
    <row r="67" spans="1:46" s="465" customFormat="1" ht="20.100000000000001" customHeight="1" x14ac:dyDescent="0.35">
      <c r="A67" s="457"/>
      <c r="B67" s="196"/>
      <c r="C67" s="445"/>
      <c r="D67" s="339"/>
      <c r="E67" s="445"/>
      <c r="F67" s="445"/>
      <c r="G67" s="339"/>
      <c r="H67" s="196"/>
      <c r="I67" s="445"/>
      <c r="J67" s="339"/>
      <c r="K67" s="196"/>
      <c r="L67" s="445"/>
      <c r="M67" s="339"/>
      <c r="N67" s="196"/>
      <c r="O67" s="445"/>
      <c r="P67" s="339"/>
      <c r="Q67" s="196"/>
      <c r="R67" s="445"/>
      <c r="S67" s="435"/>
      <c r="T67" s="196"/>
      <c r="U67" s="445"/>
      <c r="V67" s="339"/>
      <c r="W67" s="196"/>
      <c r="X67" s="445"/>
      <c r="Y67" s="339"/>
      <c r="Z67" s="196"/>
      <c r="AA67" s="445"/>
      <c r="AB67" s="339"/>
      <c r="AC67" s="196"/>
      <c r="AD67" s="445"/>
      <c r="AE67" s="339"/>
      <c r="AF67" s="196"/>
      <c r="AG67" s="445"/>
      <c r="AH67" s="339"/>
      <c r="AI67" s="196"/>
      <c r="AJ67" s="445"/>
      <c r="AK67" s="339"/>
      <c r="AL67" s="196"/>
      <c r="AM67" s="445"/>
      <c r="AN67" s="339"/>
      <c r="AO67" s="437"/>
      <c r="AP67" s="437"/>
      <c r="AQ67" s="446"/>
      <c r="AR67" s="492"/>
      <c r="AS67" s="492"/>
      <c r="AT67" s="496"/>
    </row>
    <row r="68" spans="1:46" s="465" customFormat="1" ht="20.100000000000001" customHeight="1" x14ac:dyDescent="0.35">
      <c r="A68" s="459" t="s">
        <v>234</v>
      </c>
      <c r="B68" s="196">
        <v>406.16</v>
      </c>
      <c r="C68" s="445">
        <v>406.16</v>
      </c>
      <c r="D68" s="339">
        <f>IF(B68=0, "    ---- ", IF(ABS(ROUND(100/B68*C68-100,1))&lt;999,ROUND(100/B68*C68-100,1),IF(ROUND(100/B68*C68-100,1)&gt;999,999,-999)))</f>
        <v>0</v>
      </c>
      <c r="E68" s="445">
        <v>841.3</v>
      </c>
      <c r="F68" s="445"/>
      <c r="G68" s="339">
        <f>IF(E68=0, "    ---- ", IF(ABS(ROUND(100/E68*F68-100,1))&lt;999,ROUND(100/E68*F68-100,1),IF(ROUND(100/E68*F68-100,1)&gt;999,999,-999)))</f>
        <v>-100</v>
      </c>
      <c r="H68" s="196">
        <v>7657.0529999999999</v>
      </c>
      <c r="I68" s="445">
        <v>7657.0531522000001</v>
      </c>
      <c r="J68" s="339">
        <f t="shared" si="41"/>
        <v>0</v>
      </c>
      <c r="K68" s="196">
        <v>2452.057311</v>
      </c>
      <c r="L68" s="445">
        <v>2452.057311</v>
      </c>
      <c r="M68" s="339">
        <f>IF(K68=0, "    ---- ", IF(ABS(ROUND(100/K68*L68-100,1))&lt;999,ROUND(100/K68*L68-100,1),IF(ROUND(100/K68*L68-100,1)&gt;999,999,-999)))</f>
        <v>0</v>
      </c>
      <c r="N68" s="196">
        <v>210</v>
      </c>
      <c r="O68" s="445">
        <v>210</v>
      </c>
      <c r="P68" s="339">
        <f>IF(N68=0, "    ---- ", IF(ABS(ROUND(100/N68*O68-100,1))&lt;999,ROUND(100/N68*O68-100,1),IF(ROUND(100/N68*O68-100,1)&gt;999,999,-999)))</f>
        <v>0</v>
      </c>
      <c r="Q68" s="196">
        <v>121.67</v>
      </c>
      <c r="R68" s="445">
        <v>121.9</v>
      </c>
      <c r="S68" s="435">
        <f>IF(Q68=0, "    ---- ", IF(ABS(ROUND(100/Q68*R68-100,1))&lt;999,ROUND(100/Q68*R68-100,1),IF(ROUND(100/Q68*R68-100,1)&gt;999,999,-999)))</f>
        <v>0.2</v>
      </c>
      <c r="T68" s="196">
        <v>5</v>
      </c>
      <c r="U68" s="445">
        <v>5</v>
      </c>
      <c r="V68" s="339">
        <f>IF(T68=0, "    ---- ", IF(ABS(ROUND(100/T68*U68-100,1))&lt;999,ROUND(100/T68*U68-100,1),IF(ROUND(100/T68*U68-100,1)&gt;999,999,-999)))</f>
        <v>0</v>
      </c>
      <c r="W68" s="196">
        <v>17530.760513000001</v>
      </c>
      <c r="X68" s="445">
        <v>18971.261301999999</v>
      </c>
      <c r="Y68" s="339">
        <f t="shared" ref="Y68:Y79" si="57">IF(W68=0, "    ---- ", IF(ABS(ROUND(100/W68*X68-100,1))&lt;999,ROUND(100/W68*X68-100,1),IF(ROUND(100/W68*X68-100,1)&gt;999,999,-999)))</f>
        <v>8.1999999999999993</v>
      </c>
      <c r="Z68" s="196">
        <v>1126.76</v>
      </c>
      <c r="AA68" s="445">
        <v>1126.76</v>
      </c>
      <c r="AB68" s="339">
        <f t="shared" si="47"/>
        <v>0</v>
      </c>
      <c r="AC68" s="196">
        <v>1430</v>
      </c>
      <c r="AD68" s="445">
        <v>1430</v>
      </c>
      <c r="AE68" s="339">
        <f>IF(AC68=0, "    ---- ", IF(ABS(ROUND(100/AC68*AD68-100,1))&lt;999,ROUND(100/AC68*AD68-100,1),IF(ROUND(100/AC68*AD68-100,1)&gt;999,999,-999)))</f>
        <v>0</v>
      </c>
      <c r="AF68" s="196">
        <v>48.519831859999996</v>
      </c>
      <c r="AG68" s="445">
        <v>48.519831859999996</v>
      </c>
      <c r="AH68" s="339">
        <f>IF(AF68=0, "    ---- ", IF(ABS(ROUND(100/AF68*AG68-100,1))&lt;999,ROUND(100/AF68*AG68-100,1),IF(ROUND(100/AF68*AG68-100,1)&gt;999,999,-999)))</f>
        <v>0</v>
      </c>
      <c r="AI68" s="196">
        <v>4257.0320000000002</v>
      </c>
      <c r="AJ68" s="445">
        <v>4257.0320000000002</v>
      </c>
      <c r="AK68" s="339">
        <f t="shared" si="43"/>
        <v>0</v>
      </c>
      <c r="AL68" s="196">
        <v>13850</v>
      </c>
      <c r="AM68" s="445">
        <v>14361</v>
      </c>
      <c r="AN68" s="339">
        <f t="shared" si="48"/>
        <v>3.7</v>
      </c>
      <c r="AO68" s="443">
        <f t="shared" ref="AO68:AP71" si="58">B68+H68+K68+N68+Q68+T68+W68+E68+Z68+AC68+AF68+AI68+AL68</f>
        <v>49936.312655859998</v>
      </c>
      <c r="AP68" s="443">
        <f t="shared" si="58"/>
        <v>51046.743597059998</v>
      </c>
      <c r="AQ68" s="446">
        <f t="shared" si="46"/>
        <v>2.2000000000000002</v>
      </c>
      <c r="AR68" s="492"/>
      <c r="AS68" s="492"/>
      <c r="AT68" s="496"/>
    </row>
    <row r="69" spans="1:46" s="465" customFormat="1" ht="20.100000000000001" customHeight="1" x14ac:dyDescent="0.35">
      <c r="A69" s="459" t="s">
        <v>235</v>
      </c>
      <c r="B69" s="196">
        <v>571.59699999999998</v>
      </c>
      <c r="C69" s="445">
        <v>680.61</v>
      </c>
      <c r="D69" s="339">
        <f>IF(B69=0, "    ---- ", IF(ABS(ROUND(100/B69*C69-100,1))&lt;999,ROUND(100/B69*C69-100,1),IF(ROUND(100/B69*C69-100,1)&gt;999,999,-999)))</f>
        <v>19.100000000000001</v>
      </c>
      <c r="E69" s="445">
        <v>-240.1</v>
      </c>
      <c r="F69" s="445"/>
      <c r="G69" s="339">
        <f>IF(E69=0, "    ---- ", IF(ABS(ROUND(100/E69*F69-100,1))&lt;999,ROUND(100/E69*F69-100,1),IF(ROUND(100/E69*F69-100,1)&gt;999,999,-999)))</f>
        <v>-100</v>
      </c>
      <c r="H69" s="196">
        <v>14450.471</v>
      </c>
      <c r="I69" s="445">
        <v>17670.726993459997</v>
      </c>
      <c r="J69" s="339">
        <f t="shared" si="41"/>
        <v>22.3</v>
      </c>
      <c r="K69" s="196">
        <v>60.622274070000145</v>
      </c>
      <c r="L69" s="445">
        <v>538.90992704000189</v>
      </c>
      <c r="M69" s="339">
        <f>IF(K69=0, "    ---- ", IF(ABS(ROUND(100/K69*L69-100,1))&lt;999,ROUND(100/K69*L69-100,1),IF(ROUND(100/K69*L69-100,1)&gt;999,999,-999)))</f>
        <v>789</v>
      </c>
      <c r="N69" s="196">
        <v>425.79599999999999</v>
      </c>
      <c r="O69" s="445">
        <v>351.80221799999998</v>
      </c>
      <c r="P69" s="339">
        <f>IF(N69=0, "    ---- ", IF(ABS(ROUND(100/N69*O69-100,1))&lt;999,ROUND(100/N69*O69-100,1),IF(ROUND(100/N69*O69-100,1)&gt;999,999,-999)))</f>
        <v>-17.399999999999999</v>
      </c>
      <c r="Q69" s="196">
        <v>863.88</v>
      </c>
      <c r="R69" s="445">
        <v>1021.4</v>
      </c>
      <c r="S69" s="435">
        <f>IF(Q69=0, "    ---- ", IF(ABS(ROUND(100/Q69*R69-100,1))&lt;999,ROUND(100/Q69*R69-100,1),IF(ROUND(100/Q69*R69-100,1)&gt;999,999,-999)))</f>
        <v>18.2</v>
      </c>
      <c r="T69" s="196">
        <v>95.411134000000004</v>
      </c>
      <c r="U69" s="445">
        <v>106.68431285</v>
      </c>
      <c r="V69" s="339">
        <f>IF(T69=0, "    ---- ", IF(ABS(ROUND(100/T69*U69-100,1))&lt;999,ROUND(100/T69*U69-100,1),IF(ROUND(100/T69*U69-100,1)&gt;999,999,-999)))</f>
        <v>11.8</v>
      </c>
      <c r="W69" s="196">
        <v>21683.814800669999</v>
      </c>
      <c r="X69" s="445">
        <v>22417.714151669999</v>
      </c>
      <c r="Y69" s="339">
        <f t="shared" si="57"/>
        <v>3.4</v>
      </c>
      <c r="Z69" s="196">
        <v>7227.24</v>
      </c>
      <c r="AA69" s="445">
        <v>7911.71</v>
      </c>
      <c r="AB69" s="339">
        <f t="shared" si="47"/>
        <v>9.5</v>
      </c>
      <c r="AC69" s="196">
        <v>8579</v>
      </c>
      <c r="AD69" s="445">
        <v>9640</v>
      </c>
      <c r="AE69" s="339">
        <f>IF(AC69=0, "    ---- ", IF(ABS(ROUND(100/AC69*AD69-100,1))&lt;999,ROUND(100/AC69*AD69-100,1),IF(ROUND(100/AC69*AD69-100,1)&gt;999,999,-999)))</f>
        <v>12.4</v>
      </c>
      <c r="AF69" s="196">
        <v>24.583295319999898</v>
      </c>
      <c r="AG69" s="445">
        <v>39.237541339999702</v>
      </c>
      <c r="AH69" s="339">
        <f>IF(AF69=0, "    ---- ", IF(ABS(ROUND(100/AF69*AG69-100,1))&lt;999,ROUND(100/AF69*AG69-100,1),IF(ROUND(100/AF69*AG69-100,1)&gt;999,999,-999)))</f>
        <v>59.6</v>
      </c>
      <c r="AI69" s="196">
        <v>952.98199999999997</v>
      </c>
      <c r="AJ69" s="445">
        <v>1155.77</v>
      </c>
      <c r="AK69" s="339">
        <f t="shared" si="43"/>
        <v>21.3</v>
      </c>
      <c r="AL69" s="196">
        <v>12971</v>
      </c>
      <c r="AM69" s="445">
        <v>13540</v>
      </c>
      <c r="AN69" s="339">
        <f t="shared" si="48"/>
        <v>4.4000000000000004</v>
      </c>
      <c r="AO69" s="443">
        <f t="shared" si="58"/>
        <v>67666.297504059999</v>
      </c>
      <c r="AP69" s="443">
        <f t="shared" si="58"/>
        <v>75074.565144359993</v>
      </c>
      <c r="AQ69" s="446">
        <f t="shared" si="46"/>
        <v>10.9</v>
      </c>
      <c r="AR69" s="492"/>
      <c r="AS69" s="492"/>
      <c r="AT69" s="496"/>
    </row>
    <row r="70" spans="1:46" s="465" customFormat="1" ht="20.100000000000001" customHeight="1" x14ac:dyDescent="0.35">
      <c r="A70" s="459" t="s">
        <v>236</v>
      </c>
      <c r="B70" s="196">
        <v>8.0370000000000008</v>
      </c>
      <c r="C70" s="445"/>
      <c r="D70" s="339"/>
      <c r="E70" s="445"/>
      <c r="F70" s="445"/>
      <c r="G70" s="339" t="str">
        <f>IF(E70=0, "    ---- ", IF(ABS(ROUND(100/E70*F70-100,1))&lt;999,ROUND(100/E70*F70-100,1),IF(ROUND(100/E70*F70-100,1)&gt;999,999,-999)))</f>
        <v xml:space="preserve">    ---- </v>
      </c>
      <c r="H70" s="196">
        <v>715.149</v>
      </c>
      <c r="I70" s="445">
        <v>858.947</v>
      </c>
      <c r="J70" s="339">
        <f>IF(H70=0, "    ---- ", IF(ABS(ROUND(100/H70*I70-100,1))&lt;999,ROUND(100/H70*I70-100,1),IF(ROUND(100/H70*I70-100,1)&gt;999,999,-999)))</f>
        <v>20.100000000000001</v>
      </c>
      <c r="K70" s="196">
        <v>0</v>
      </c>
      <c r="L70" s="445">
        <v>0</v>
      </c>
      <c r="M70" s="339"/>
      <c r="N70" s="196"/>
      <c r="O70" s="445"/>
      <c r="P70" s="339"/>
      <c r="Q70" s="196">
        <v>37.96</v>
      </c>
      <c r="R70" s="445">
        <v>35.200000000000003</v>
      </c>
      <c r="S70" s="339">
        <f>IF(Q70=0, "    ---- ", IF(ABS(ROUND(100/Q70*R70-100,1))&lt;999,ROUND(100/Q70*R70-100,1),IF(ROUND(100/Q70*R70-100,1)&gt;999,999,-999)))</f>
        <v>-7.3</v>
      </c>
      <c r="T70" s="196"/>
      <c r="U70" s="445"/>
      <c r="V70" s="339"/>
      <c r="W70" s="196">
        <v>6066.9809249999998</v>
      </c>
      <c r="X70" s="445">
        <v>5912.5206330000001</v>
      </c>
      <c r="Y70" s="339">
        <f t="shared" si="57"/>
        <v>-2.5</v>
      </c>
      <c r="Z70" s="196">
        <v>39.74</v>
      </c>
      <c r="AA70" s="445">
        <v>90.86</v>
      </c>
      <c r="AB70" s="339">
        <f t="shared" si="47"/>
        <v>128.6</v>
      </c>
      <c r="AC70" s="196"/>
      <c r="AD70" s="445"/>
      <c r="AE70" s="339" t="str">
        <f>IF(AC70=0, "    ---- ", IF(ABS(ROUND(100/AC70*AD70-100,1))&lt;999,ROUND(100/AC70*AD70-100,1),IF(ROUND(100/AC70*AD70-100,1)&gt;999,999,-999)))</f>
        <v xml:space="preserve">    ---- </v>
      </c>
      <c r="AF70" s="196"/>
      <c r="AG70" s="445"/>
      <c r="AH70" s="339"/>
      <c r="AI70" s="196">
        <v>147.43299999999999</v>
      </c>
      <c r="AJ70" s="445">
        <v>186.66499999999999</v>
      </c>
      <c r="AK70" s="339">
        <f>IF(AI70=0, "    ---- ", IF(ABS(ROUND(100/AI70*AJ70-100,1))&lt;999,ROUND(100/AI70*AJ70-100,1),IF(ROUND(100/AI70*AJ70-100,1)&gt;999,999,-999)))</f>
        <v>26.6</v>
      </c>
      <c r="AL70" s="196">
        <v>436</v>
      </c>
      <c r="AM70" s="445">
        <v>485</v>
      </c>
      <c r="AN70" s="339">
        <f t="shared" si="48"/>
        <v>11.2</v>
      </c>
      <c r="AO70" s="443">
        <f t="shared" si="58"/>
        <v>7451.2999249999993</v>
      </c>
      <c r="AP70" s="443">
        <f t="shared" si="58"/>
        <v>7569.1926329999997</v>
      </c>
      <c r="AQ70" s="446">
        <f t="shared" si="46"/>
        <v>1.6</v>
      </c>
      <c r="AR70" s="492"/>
      <c r="AS70" s="492"/>
      <c r="AT70" s="496"/>
    </row>
    <row r="71" spans="1:46" s="465" customFormat="1" ht="20.100000000000001" customHeight="1" x14ac:dyDescent="0.35">
      <c r="A71" s="459" t="s">
        <v>237</v>
      </c>
      <c r="B71" s="196"/>
      <c r="C71" s="445"/>
      <c r="D71" s="339"/>
      <c r="E71" s="445"/>
      <c r="F71" s="445"/>
      <c r="G71" s="339"/>
      <c r="H71" s="196">
        <v>7000</v>
      </c>
      <c r="I71" s="445">
        <v>7000</v>
      </c>
      <c r="J71" s="339">
        <f t="shared" si="41"/>
        <v>0</v>
      </c>
      <c r="K71" s="196">
        <v>300</v>
      </c>
      <c r="L71" s="445">
        <v>550</v>
      </c>
      <c r="M71" s="339"/>
      <c r="N71" s="196"/>
      <c r="O71" s="445"/>
      <c r="P71" s="339"/>
      <c r="Q71" s="196">
        <v>299.89999999999998</v>
      </c>
      <c r="R71" s="445">
        <v>300.2</v>
      </c>
      <c r="S71" s="435"/>
      <c r="T71" s="196"/>
      <c r="U71" s="445"/>
      <c r="V71" s="339"/>
      <c r="W71" s="196">
        <v>5238.7843332799994</v>
      </c>
      <c r="X71" s="445">
        <v>4664.22323443</v>
      </c>
      <c r="Y71" s="339">
        <f t="shared" si="57"/>
        <v>-11</v>
      </c>
      <c r="Z71" s="196">
        <v>2830</v>
      </c>
      <c r="AA71" s="445">
        <v>2830</v>
      </c>
      <c r="AB71" s="339">
        <f t="shared" si="47"/>
        <v>0</v>
      </c>
      <c r="AC71" s="196">
        <v>1240</v>
      </c>
      <c r="AD71" s="445">
        <v>1240</v>
      </c>
      <c r="AE71" s="339">
        <f>IF(AC71=0, "    ---- ", IF(ABS(ROUND(100/AC71*AD71-100,1))&lt;999,ROUND(100/AC71*AD71-100,1),IF(ROUND(100/AC71*AD71-100,1)&gt;999,999,-999)))</f>
        <v>0</v>
      </c>
      <c r="AF71" s="196"/>
      <c r="AG71" s="445"/>
      <c r="AH71" s="339"/>
      <c r="AI71" s="196">
        <v>1000</v>
      </c>
      <c r="AJ71" s="445">
        <v>1000</v>
      </c>
      <c r="AK71" s="339">
        <f t="shared" si="43"/>
        <v>0</v>
      </c>
      <c r="AL71" s="196">
        <v>8960</v>
      </c>
      <c r="AM71" s="445">
        <v>11758</v>
      </c>
      <c r="AN71" s="339">
        <f t="shared" si="48"/>
        <v>31.2</v>
      </c>
      <c r="AO71" s="443">
        <f t="shared" si="58"/>
        <v>26868.684333279998</v>
      </c>
      <c r="AP71" s="443">
        <f t="shared" si="58"/>
        <v>29342.42323443</v>
      </c>
      <c r="AQ71" s="446">
        <f t="shared" si="46"/>
        <v>9.1999999999999993</v>
      </c>
      <c r="AR71" s="492"/>
      <c r="AT71" s="496"/>
    </row>
    <row r="72" spans="1:46" s="465" customFormat="1" ht="20.100000000000001" customHeight="1" x14ac:dyDescent="0.35">
      <c r="A72" s="459" t="s">
        <v>238</v>
      </c>
      <c r="B72" s="196"/>
      <c r="C72" s="445"/>
      <c r="D72" s="339"/>
      <c r="E72" s="445"/>
      <c r="F72" s="445"/>
      <c r="G72" s="339"/>
      <c r="H72" s="196"/>
      <c r="I72" s="445"/>
      <c r="J72" s="339"/>
      <c r="K72" s="196">
        <v>0</v>
      </c>
      <c r="L72" s="445"/>
      <c r="M72" s="339"/>
      <c r="N72" s="196"/>
      <c r="O72" s="445"/>
      <c r="P72" s="339"/>
      <c r="Q72" s="196"/>
      <c r="R72" s="445"/>
      <c r="S72" s="435"/>
      <c r="T72" s="196"/>
      <c r="U72" s="445"/>
      <c r="V72" s="339"/>
      <c r="W72" s="196">
        <v>0</v>
      </c>
      <c r="X72" s="445">
        <v>0</v>
      </c>
      <c r="Y72" s="339"/>
      <c r="Z72" s="196"/>
      <c r="AA72" s="445"/>
      <c r="AB72" s="339"/>
      <c r="AC72" s="196"/>
      <c r="AD72" s="445"/>
      <c r="AE72" s="339"/>
      <c r="AF72" s="196"/>
      <c r="AG72" s="445"/>
      <c r="AH72" s="339"/>
      <c r="AI72" s="196"/>
      <c r="AJ72" s="445"/>
      <c r="AK72" s="339"/>
      <c r="AL72" s="196"/>
      <c r="AM72" s="445"/>
      <c r="AN72" s="339"/>
      <c r="AO72" s="437"/>
      <c r="AP72" s="437"/>
      <c r="AQ72" s="446"/>
      <c r="AR72" s="492"/>
      <c r="AS72" s="492"/>
      <c r="AT72" s="496"/>
    </row>
    <row r="73" spans="1:46" s="465" customFormat="1" ht="20.100000000000001" customHeight="1" x14ac:dyDescent="0.35">
      <c r="A73" s="459" t="s">
        <v>395</v>
      </c>
      <c r="B73" s="196">
        <v>1116.77</v>
      </c>
      <c r="C73" s="445">
        <v>1219.9960000000001</v>
      </c>
      <c r="D73" s="339">
        <f>IF(B73=0, "    ---- ", IF(ABS(ROUND(100/B73*C73-100,1))&lt;999,ROUND(100/B73*C73-100,1),IF(ROUND(100/B73*C73-100,1)&gt;999,999,-999)))</f>
        <v>9.1999999999999993</v>
      </c>
      <c r="E73" s="445">
        <v>1665.5</v>
      </c>
      <c r="F73" s="445"/>
      <c r="G73" s="339">
        <f>IF(E73=0, "    ---- ", IF(ABS(ROUND(100/E73*F73-100,1))&lt;999,ROUND(100/E73*F73-100,1),IF(ROUND(100/E73*F73-100,1)&gt;999,999,-999)))</f>
        <v>-100</v>
      </c>
      <c r="H73" s="196">
        <v>189217.185</v>
      </c>
      <c r="I73" s="445">
        <v>188399.32238684999</v>
      </c>
      <c r="J73" s="339">
        <f t="shared" si="41"/>
        <v>-0.4</v>
      </c>
      <c r="K73" s="196">
        <v>6724.3441954</v>
      </c>
      <c r="L73" s="445">
        <v>7383.9423353099974</v>
      </c>
      <c r="M73" s="339">
        <f>IF(K73=0, "    ---- ", IF(ABS(ROUND(100/K73*L73-100,1))&lt;999,ROUND(100/K73*L73-100,1),IF(ROUND(100/K73*L73-100,1)&gt;999,999,-999)))</f>
        <v>9.8000000000000007</v>
      </c>
      <c r="N73" s="196">
        <v>1226.498</v>
      </c>
      <c r="O73" s="445">
        <v>1253.473446</v>
      </c>
      <c r="P73" s="339">
        <f>IF(N73=0, "    ---- ", IF(ABS(ROUND(100/N73*O73-100,1))&lt;999,ROUND(100/N73*O73-100,1),IF(ROUND(100/N73*O73-100,1)&gt;999,999,-999)))</f>
        <v>2.2000000000000002</v>
      </c>
      <c r="Q73" s="196">
        <v>7238.68</v>
      </c>
      <c r="R73" s="445">
        <v>7764.3</v>
      </c>
      <c r="S73" s="435">
        <f>IF(Q73=0, "    ---- ", IF(ABS(ROUND(100/Q73*R73-100,1))&lt;999,ROUND(100/Q73*R73-100,1),IF(ROUND(100/Q73*R73-100,1)&gt;999,999,-999)))</f>
        <v>7.3</v>
      </c>
      <c r="T73" s="196">
        <v>46.111784040000003</v>
      </c>
      <c r="U73" s="445">
        <v>44.909822679999998</v>
      </c>
      <c r="V73" s="339">
        <f>IF(T73=0, "    ---- ", IF(ABS(ROUND(100/T73*U73-100,1))&lt;999,ROUND(100/T73*U73-100,1),IF(ROUND(100/T73*U73-100,1)&gt;999,999,-999)))</f>
        <v>-2.6</v>
      </c>
      <c r="W73" s="196">
        <v>473589.43112008</v>
      </c>
      <c r="X73" s="445">
        <v>480819.96359488001</v>
      </c>
      <c r="Y73" s="339">
        <f t="shared" si="57"/>
        <v>1.5</v>
      </c>
      <c r="Z73" s="196">
        <v>47490.21000000005</v>
      </c>
      <c r="AA73" s="445">
        <v>48769.870999999999</v>
      </c>
      <c r="AB73" s="339">
        <f t="shared" si="47"/>
        <v>2.7</v>
      </c>
      <c r="AC73" s="196">
        <v>67952</v>
      </c>
      <c r="AD73" s="445">
        <v>71279</v>
      </c>
      <c r="AE73" s="339">
        <f>IF(AC73=0, "    ---- ", IF(ABS(ROUND(100/AC73*AD73-100,1))&lt;999,ROUND(100/AC73*AD73-100,1),IF(ROUND(100/AC73*AD73-100,1)&gt;999,999,-999)))</f>
        <v>4.9000000000000004</v>
      </c>
      <c r="AF73" s="196"/>
      <c r="AG73" s="445"/>
      <c r="AH73" s="339"/>
      <c r="AI73" s="196">
        <v>17778.103999999999</v>
      </c>
      <c r="AJ73" s="689">
        <v>18170.067999999999</v>
      </c>
      <c r="AK73" s="339">
        <f t="shared" si="43"/>
        <v>2.2000000000000002</v>
      </c>
      <c r="AL73" s="196">
        <v>172016</v>
      </c>
      <c r="AM73" s="445">
        <v>180440</v>
      </c>
      <c r="AN73" s="339">
        <f t="shared" si="48"/>
        <v>4.9000000000000004</v>
      </c>
      <c r="AO73" s="443">
        <f t="shared" ref="AO73:AP79" si="59">B73+H73+K73+N73+Q73+T73+W73+E73+Z73+AC73+AF73+AI73+AL73</f>
        <v>986060.83409952011</v>
      </c>
      <c r="AP73" s="443">
        <f t="shared" si="59"/>
        <v>1005544.84658572</v>
      </c>
      <c r="AQ73" s="446">
        <f t="shared" si="46"/>
        <v>2</v>
      </c>
      <c r="AR73" s="492"/>
      <c r="AS73" s="492"/>
      <c r="AT73" s="496"/>
    </row>
    <row r="74" spans="1:46" s="465" customFormat="1" ht="20.100000000000001" customHeight="1" x14ac:dyDescent="0.35">
      <c r="A74" s="459" t="s">
        <v>239</v>
      </c>
      <c r="B74" s="196">
        <v>26.600999999999999</v>
      </c>
      <c r="C74" s="445">
        <v>29.513000000000002</v>
      </c>
      <c r="D74" s="339">
        <f>IF(B74=0, "    ---- ", IF(ABS(ROUND(100/B74*C74-100,1))&lt;999,ROUND(100/B74*C74-100,1),IF(ROUND(100/B74*C74-100,1)&gt;999,999,-999)))</f>
        <v>10.9</v>
      </c>
      <c r="E74" s="445">
        <v>109.6</v>
      </c>
      <c r="F74" s="445"/>
      <c r="G74" s="339">
        <f>IF(E74=0, "    ---- ", IF(ABS(ROUND(100/E74*F74-100,1))&lt;999,ROUND(100/E74*F74-100,1),IF(ROUND(100/E74*F74-100,1)&gt;999,999,-999)))</f>
        <v>-100</v>
      </c>
      <c r="H74" s="196">
        <v>6972.27</v>
      </c>
      <c r="I74" s="445">
        <v>6354.1321672700005</v>
      </c>
      <c r="J74" s="339">
        <f t="shared" si="41"/>
        <v>-8.9</v>
      </c>
      <c r="K74" s="196">
        <v>0</v>
      </c>
      <c r="L74" s="445">
        <v>0</v>
      </c>
      <c r="M74" s="339" t="str">
        <f>IF(K74=0, "    ---- ", IF(ABS(ROUND(100/K74*L74-100,1))&lt;999,ROUND(100/K74*L74-100,1),IF(ROUND(100/K74*L74-100,1)&gt;999,999,-999)))</f>
        <v xml:space="preserve">    ---- </v>
      </c>
      <c r="N74" s="196">
        <v>7.64</v>
      </c>
      <c r="O74" s="445">
        <v>5.7917430000000003</v>
      </c>
      <c r="P74" s="339">
        <f>IF(N74=0, "    ---- ", IF(ABS(ROUND(100/N74*O74-100,1))&lt;999,ROUND(100/N74*O74-100,1),IF(ROUND(100/N74*O74-100,1)&gt;999,999,-999)))</f>
        <v>-24.2</v>
      </c>
      <c r="Q74" s="196">
        <v>285.45</v>
      </c>
      <c r="R74" s="445">
        <v>296</v>
      </c>
      <c r="S74" s="435">
        <f>IF(Q74=0, "    ---- ", IF(ABS(ROUND(100/Q74*R74-100,1))&lt;999,ROUND(100/Q74*R74-100,1),IF(ROUND(100/Q74*R74-100,1)&gt;999,999,-999)))</f>
        <v>3.7</v>
      </c>
      <c r="T74" s="196"/>
      <c r="U74" s="445"/>
      <c r="V74" s="339"/>
      <c r="W74" s="196">
        <v>35735.27259</v>
      </c>
      <c r="X74" s="445">
        <v>42715.335400999997</v>
      </c>
      <c r="Y74" s="339">
        <f t="shared" si="57"/>
        <v>19.5</v>
      </c>
      <c r="Z74" s="196">
        <v>2437.15</v>
      </c>
      <c r="AA74" s="445">
        <v>2547.25</v>
      </c>
      <c r="AB74" s="339">
        <f t="shared" si="47"/>
        <v>4.5</v>
      </c>
      <c r="AC74" s="196">
        <v>7228</v>
      </c>
      <c r="AD74" s="445">
        <v>7898</v>
      </c>
      <c r="AE74" s="339">
        <f>IF(AC74=0, "    ---- ", IF(ABS(ROUND(100/AC74*AD74-100,1))&lt;999,ROUND(100/AC74*AD74-100,1),IF(ROUND(100/AC74*AD74-100,1)&gt;999,999,-999)))</f>
        <v>9.3000000000000007</v>
      </c>
      <c r="AF74" s="196"/>
      <c r="AG74" s="445"/>
      <c r="AH74" s="339"/>
      <c r="AI74" s="196">
        <v>1294.7470000000001</v>
      </c>
      <c r="AJ74" s="689">
        <v>1157.4960000000001</v>
      </c>
      <c r="AK74" s="339">
        <f t="shared" si="43"/>
        <v>-10.6</v>
      </c>
      <c r="AL74" s="196">
        <v>8841</v>
      </c>
      <c r="AM74" s="445">
        <v>11975</v>
      </c>
      <c r="AN74" s="339">
        <f t="shared" si="48"/>
        <v>35.4</v>
      </c>
      <c r="AO74" s="443">
        <f t="shared" si="59"/>
        <v>62937.730590000006</v>
      </c>
      <c r="AP74" s="443">
        <f t="shared" si="59"/>
        <v>72978.518311269989</v>
      </c>
      <c r="AQ74" s="446">
        <f t="shared" si="46"/>
        <v>16</v>
      </c>
      <c r="AR74" s="492"/>
      <c r="AS74" s="492"/>
      <c r="AT74" s="496"/>
    </row>
    <row r="75" spans="1:46" s="465" customFormat="1" ht="20.100000000000001" customHeight="1" x14ac:dyDescent="0.35">
      <c r="A75" s="459" t="s">
        <v>240</v>
      </c>
      <c r="B75" s="196">
        <v>68.054000000000002</v>
      </c>
      <c r="C75" s="445">
        <v>60.634999999999998</v>
      </c>
      <c r="D75" s="339">
        <f>IF(B75=0, "    ---- ", IF(ABS(ROUND(100/B75*C75-100,1))&lt;999,ROUND(100/B75*C75-100,1),IF(ROUND(100/B75*C75-100,1)&gt;999,999,-999)))</f>
        <v>-10.9</v>
      </c>
      <c r="E75" s="445">
        <v>18.600000000000001</v>
      </c>
      <c r="F75" s="445"/>
      <c r="G75" s="339">
        <f>IF(E75=0, "    ---- ", IF(ABS(ROUND(100/E75*F75-100,1))&lt;999,ROUND(100/E75*F75-100,1),IF(ROUND(100/E75*F75-100,1)&gt;999,999,-999)))</f>
        <v>-100</v>
      </c>
      <c r="H75" s="196">
        <v>3292.319</v>
      </c>
      <c r="I75" s="445">
        <v>1822.0684933</v>
      </c>
      <c r="J75" s="339">
        <f t="shared" si="41"/>
        <v>-44.7</v>
      </c>
      <c r="K75" s="196">
        <v>23.240186480000013</v>
      </c>
      <c r="L75" s="445">
        <v>-3.7252902984619139E-15</v>
      </c>
      <c r="M75" s="339"/>
      <c r="N75" s="196">
        <v>3.9</v>
      </c>
      <c r="O75" s="445">
        <v>5.5</v>
      </c>
      <c r="P75" s="339"/>
      <c r="Q75" s="196">
        <v>2.27</v>
      </c>
      <c r="R75" s="445">
        <v>12.8</v>
      </c>
      <c r="S75" s="435">
        <f>IF(Q75=0, "    ---- ", IF(ABS(ROUND(100/Q75*R75-100,1))&lt;999,ROUND(100/Q75*R75-100,1),IF(ROUND(100/Q75*R75-100,1)&gt;999,999,-999)))</f>
        <v>463.9</v>
      </c>
      <c r="T75" s="196"/>
      <c r="U75" s="445"/>
      <c r="V75" s="339"/>
      <c r="W75" s="196">
        <v>47456.172450999999</v>
      </c>
      <c r="X75" s="445">
        <v>68620.313370999997</v>
      </c>
      <c r="Y75" s="339">
        <f t="shared" si="57"/>
        <v>44.6</v>
      </c>
      <c r="Z75" s="196">
        <v>1660.98</v>
      </c>
      <c r="AA75" s="445">
        <v>2934.54</v>
      </c>
      <c r="AB75" s="339">
        <f t="shared" si="47"/>
        <v>76.7</v>
      </c>
      <c r="AC75" s="196">
        <v>15433</v>
      </c>
      <c r="AD75" s="445">
        <v>18175</v>
      </c>
      <c r="AE75" s="339">
        <f>IF(AC75=0, "    ---- ", IF(ABS(ROUND(100/AC75*AD75-100,1))&lt;999,ROUND(100/AC75*AD75-100,1),IF(ROUND(100/AC75*AD75-100,1)&gt;999,999,-999)))</f>
        <v>17.8</v>
      </c>
      <c r="AF75" s="196"/>
      <c r="AG75" s="445"/>
      <c r="AH75" s="339"/>
      <c r="AI75" s="196">
        <v>2354.748</v>
      </c>
      <c r="AJ75" s="689">
        <v>2861.8960000000002</v>
      </c>
      <c r="AK75" s="339">
        <f t="shared" si="43"/>
        <v>21.5</v>
      </c>
      <c r="AL75" s="196">
        <v>8092</v>
      </c>
      <c r="AM75" s="445">
        <v>5692</v>
      </c>
      <c r="AN75" s="339">
        <f t="shared" si="48"/>
        <v>-29.7</v>
      </c>
      <c r="AO75" s="443">
        <f t="shared" si="59"/>
        <v>78405.28363748001</v>
      </c>
      <c r="AP75" s="443">
        <f t="shared" si="59"/>
        <v>100184.75286429998</v>
      </c>
      <c r="AQ75" s="446">
        <f t="shared" si="46"/>
        <v>27.8</v>
      </c>
      <c r="AR75" s="492"/>
      <c r="AS75" s="492"/>
      <c r="AT75" s="496"/>
    </row>
    <row r="76" spans="1:46" s="465" customFormat="1" ht="20.100000000000001" customHeight="1" x14ac:dyDescent="0.35">
      <c r="A76" s="459" t="s">
        <v>396</v>
      </c>
      <c r="B76" s="196">
        <v>17.111999999999998</v>
      </c>
      <c r="C76" s="445">
        <v>14.882999999999999</v>
      </c>
      <c r="D76" s="339">
        <f>IF(B76=0, "    ---- ", IF(ABS(ROUND(100/B76*C76-100,1))&lt;999,ROUND(100/B76*C76-100,1),IF(ROUND(100/B76*C76-100,1)&gt;999,999,-999)))</f>
        <v>-13</v>
      </c>
      <c r="E76" s="445">
        <v>13.9</v>
      </c>
      <c r="F76" s="445"/>
      <c r="G76" s="339">
        <f>IF(E76=0, "    ---- ", IF(ABS(ROUND(100/E76*F76-100,1))&lt;999,ROUND(100/E76*F76-100,1),IF(ROUND(100/E76*F76-100,1)&gt;999,999,-999)))</f>
        <v>-100</v>
      </c>
      <c r="H76" s="196"/>
      <c r="I76" s="445">
        <v>0</v>
      </c>
      <c r="J76" s="339" t="str">
        <f t="shared" si="41"/>
        <v xml:space="preserve">    ---- </v>
      </c>
      <c r="K76" s="196">
        <v>0</v>
      </c>
      <c r="L76" s="445">
        <v>0</v>
      </c>
      <c r="M76" s="339"/>
      <c r="N76" s="196"/>
      <c r="O76" s="445"/>
      <c r="P76" s="339"/>
      <c r="Q76" s="196">
        <v>0.9</v>
      </c>
      <c r="R76" s="445">
        <v>1.1000000000000001</v>
      </c>
      <c r="S76" s="435"/>
      <c r="T76" s="196"/>
      <c r="U76" s="445"/>
      <c r="V76" s="339"/>
      <c r="W76" s="196">
        <v>10119.882546000001</v>
      </c>
      <c r="X76" s="445">
        <v>30404.591854089998</v>
      </c>
      <c r="Y76" s="339">
        <f t="shared" si="57"/>
        <v>200.4</v>
      </c>
      <c r="Z76" s="196">
        <v>797.56</v>
      </c>
      <c r="AA76" s="445">
        <v>808.3</v>
      </c>
      <c r="AB76" s="339">
        <f t="shared" si="47"/>
        <v>1.3</v>
      </c>
      <c r="AC76" s="196">
        <v>1316</v>
      </c>
      <c r="AD76" s="445">
        <v>5388</v>
      </c>
      <c r="AE76" s="339"/>
      <c r="AF76" s="196"/>
      <c r="AG76" s="445"/>
      <c r="AH76" s="339"/>
      <c r="AI76" s="196">
        <v>280.15100000000001</v>
      </c>
      <c r="AJ76" s="690">
        <v>250.44800000000001</v>
      </c>
      <c r="AK76" s="339">
        <f t="shared" si="43"/>
        <v>-10.6</v>
      </c>
      <c r="AL76" s="196">
        <v>1993</v>
      </c>
      <c r="AM76" s="445">
        <v>2854</v>
      </c>
      <c r="AN76" s="339">
        <f t="shared" si="48"/>
        <v>43.2</v>
      </c>
      <c r="AO76" s="443">
        <f t="shared" si="59"/>
        <v>14538.505546</v>
      </c>
      <c r="AP76" s="443">
        <f t="shared" si="59"/>
        <v>39721.322854089995</v>
      </c>
      <c r="AQ76" s="446">
        <f t="shared" si="46"/>
        <v>173.2</v>
      </c>
      <c r="AR76" s="492"/>
      <c r="AS76" s="492"/>
      <c r="AT76" s="496"/>
    </row>
    <row r="77" spans="1:46" s="465" customFormat="1" ht="20.100000000000001" customHeight="1" x14ac:dyDescent="0.35">
      <c r="A77" s="459" t="s">
        <v>360</v>
      </c>
      <c r="B77" s="196">
        <v>57.82</v>
      </c>
      <c r="C77" s="445">
        <v>45.22</v>
      </c>
      <c r="D77" s="339">
        <f>IF(B77=0, "    ---- ", IF(ABS(ROUND(100/B77*C77-100,1))&lt;999,ROUND(100/B77*C77-100,1),IF(ROUND(100/B77*C77-100,1)&gt;999,999,-999)))</f>
        <v>-21.8</v>
      </c>
      <c r="E77" s="445"/>
      <c r="F77" s="445"/>
      <c r="G77" s="339"/>
      <c r="H77" s="196">
        <v>603.37</v>
      </c>
      <c r="I77" s="445">
        <v>495.41105729000003</v>
      </c>
      <c r="J77" s="339">
        <f t="shared" si="41"/>
        <v>-17.899999999999999</v>
      </c>
      <c r="K77" s="196">
        <v>0</v>
      </c>
      <c r="L77" s="445">
        <v>0</v>
      </c>
      <c r="M77" s="339" t="str">
        <f>IF(K77=0, "    ---- ", IF(ABS(ROUND(100/K77*L77-100,1))&lt;999,ROUND(100/K77*L77-100,1),IF(ROUND(100/K77*L77-100,1)&gt;999,999,-999)))</f>
        <v xml:space="preserve">    ---- </v>
      </c>
      <c r="N77" s="196">
        <v>32.613999999999997</v>
      </c>
      <c r="O77" s="445">
        <v>33.833385</v>
      </c>
      <c r="P77" s="339">
        <f>IF(N77=0, "    ---- ", IF(ABS(ROUND(100/N77*O77-100,1))&lt;999,ROUND(100/N77*O77-100,1),IF(ROUND(100/N77*O77-100,1)&gt;999,999,-999)))</f>
        <v>3.7</v>
      </c>
      <c r="Q77" s="196"/>
      <c r="R77" s="445"/>
      <c r="S77" s="435"/>
      <c r="T77" s="196"/>
      <c r="U77" s="445"/>
      <c r="V77" s="339"/>
      <c r="W77" s="196">
        <v>0</v>
      </c>
      <c r="X77" s="445">
        <v>0</v>
      </c>
      <c r="Y77" s="339"/>
      <c r="Z77" s="196"/>
      <c r="AA77" s="445"/>
      <c r="AB77" s="339"/>
      <c r="AC77" s="196">
        <v>380</v>
      </c>
      <c r="AD77" s="445">
        <v>366</v>
      </c>
      <c r="AE77" s="339"/>
      <c r="AF77" s="196"/>
      <c r="AG77" s="445"/>
      <c r="AH77" s="339"/>
      <c r="AI77" s="196"/>
      <c r="AJ77" s="445"/>
      <c r="AK77" s="339" t="str">
        <f t="shared" si="43"/>
        <v xml:space="preserve">    ---- </v>
      </c>
      <c r="AL77" s="196">
        <v>678</v>
      </c>
      <c r="AM77" s="445">
        <v>683</v>
      </c>
      <c r="AN77" s="339">
        <f t="shared" si="48"/>
        <v>0.7</v>
      </c>
      <c r="AO77" s="443">
        <f t="shared" si="59"/>
        <v>1751.8040000000001</v>
      </c>
      <c r="AP77" s="443">
        <f t="shared" si="59"/>
        <v>1623.4644422900001</v>
      </c>
      <c r="AQ77" s="446">
        <f t="shared" si="46"/>
        <v>-7.3</v>
      </c>
      <c r="AR77" s="492"/>
      <c r="AS77" s="492"/>
      <c r="AT77" s="496"/>
    </row>
    <row r="78" spans="1:46" s="465" customFormat="1" ht="20.100000000000001" customHeight="1" x14ac:dyDescent="0.35">
      <c r="A78" s="459" t="s">
        <v>241</v>
      </c>
      <c r="B78" s="196"/>
      <c r="C78" s="445"/>
      <c r="D78" s="339"/>
      <c r="E78" s="445">
        <v>0</v>
      </c>
      <c r="F78" s="445"/>
      <c r="G78" s="339"/>
      <c r="H78" s="196">
        <v>474.38600000000002</v>
      </c>
      <c r="I78" s="445">
        <v>2366.8364925199999</v>
      </c>
      <c r="J78" s="339"/>
      <c r="K78" s="196">
        <v>0</v>
      </c>
      <c r="L78" s="445"/>
      <c r="M78" s="339"/>
      <c r="N78" s="196"/>
      <c r="O78" s="445"/>
      <c r="P78" s="339"/>
      <c r="Q78" s="196">
        <v>-37.39</v>
      </c>
      <c r="R78" s="445">
        <v>46.1</v>
      </c>
      <c r="S78" s="435"/>
      <c r="T78" s="196"/>
      <c r="U78" s="445"/>
      <c r="V78" s="339"/>
      <c r="W78" s="196">
        <v>7039.6184519999997</v>
      </c>
      <c r="X78" s="445">
        <v>9379.3180470000007</v>
      </c>
      <c r="Y78" s="339"/>
      <c r="Z78" s="196"/>
      <c r="AA78" s="445"/>
      <c r="AB78" s="339"/>
      <c r="AC78" s="196">
        <v>3141</v>
      </c>
      <c r="AD78" s="445">
        <v>5751</v>
      </c>
      <c r="AE78" s="339"/>
      <c r="AF78" s="196"/>
      <c r="AG78" s="445"/>
      <c r="AH78" s="339"/>
      <c r="AI78" s="196">
        <v>-54.8118123799998</v>
      </c>
      <c r="AJ78" s="445">
        <v>548.41065495000021</v>
      </c>
      <c r="AK78" s="339"/>
      <c r="AL78" s="196">
        <v>1327</v>
      </c>
      <c r="AM78" s="445">
        <v>1981</v>
      </c>
      <c r="AN78" s="339"/>
      <c r="AO78" s="443">
        <f t="shared" si="59"/>
        <v>11889.80263962</v>
      </c>
      <c r="AP78" s="443">
        <f t="shared" si="59"/>
        <v>20072.665194469999</v>
      </c>
      <c r="AQ78" s="446">
        <f t="shared" si="46"/>
        <v>68.8</v>
      </c>
      <c r="AR78" s="492"/>
      <c r="AS78" s="492"/>
      <c r="AT78" s="496"/>
    </row>
    <row r="79" spans="1:46" s="465" customFormat="1" ht="20.100000000000001" customHeight="1" x14ac:dyDescent="0.35">
      <c r="A79" s="460" t="s">
        <v>242</v>
      </c>
      <c r="B79" s="196">
        <f>SUM(B73:B78)</f>
        <v>1286.3570000000002</v>
      </c>
      <c r="C79" s="445">
        <f>SUM(C73:C78)</f>
        <v>1370.2470000000001</v>
      </c>
      <c r="D79" s="339">
        <f>IF(B79=0, "    ---- ", IF(ABS(ROUND(100/B79*C79-100,1))&lt;999,ROUND(100/B79*C79-100,1),IF(ROUND(100/B79*C79-100,1)&gt;999,999,-999)))</f>
        <v>6.5</v>
      </c>
      <c r="E79" s="445">
        <f>SUM(E73:E78)</f>
        <v>1807.6</v>
      </c>
      <c r="F79" s="445"/>
      <c r="G79" s="339">
        <f>IF(E79=0, "    ---- ", IF(ABS(ROUND(100/E79*F79-100,1))&lt;999,ROUND(100/E79*F79-100,1),IF(ROUND(100/E79*F79-100,1)&gt;999,999,-999)))</f>
        <v>-100</v>
      </c>
      <c r="H79" s="196">
        <f>SUM(H73:H78)</f>
        <v>200559.52999999997</v>
      </c>
      <c r="I79" s="445">
        <f>SUM(I73:I78)</f>
        <v>199437.77059723</v>
      </c>
      <c r="J79" s="339">
        <f t="shared" si="41"/>
        <v>-0.6</v>
      </c>
      <c r="K79" s="196">
        <f>SUM(K73:K78)</f>
        <v>6747.5843818800004</v>
      </c>
      <c r="L79" s="445">
        <v>7383.9423353099974</v>
      </c>
      <c r="M79" s="339">
        <f>IF(K79=0, "    ---- ", IF(ABS(ROUND(100/K79*L79-100,1))&lt;999,ROUND(100/K79*L79-100,1),IF(ROUND(100/K79*L79-100,1)&gt;999,999,-999)))</f>
        <v>9.4</v>
      </c>
      <c r="N79" s="196">
        <f>SUM(N73:N78)</f>
        <v>1270.6520000000003</v>
      </c>
      <c r="O79" s="445">
        <f>SUM(O73:O78)</f>
        <v>1298.5985739999999</v>
      </c>
      <c r="P79" s="339">
        <f>IF(N79=0, "    ---- ", IF(ABS(ROUND(100/N79*O79-100,1))&lt;999,ROUND(100/N79*O79-100,1),IF(ROUND(100/N79*O79-100,1)&gt;999,999,-999)))</f>
        <v>2.2000000000000002</v>
      </c>
      <c r="Q79" s="196">
        <f>SUM(Q73:Q78)</f>
        <v>7489.91</v>
      </c>
      <c r="R79" s="445">
        <f>SUM(R73:R78)</f>
        <v>8120.3000000000011</v>
      </c>
      <c r="S79" s="435">
        <f>IF(Q79=0, "    ---- ", IF(ABS(ROUND(100/Q79*R79-100,1))&lt;999,ROUND(100/Q79*R79-100,1),IF(ROUND(100/Q79*R79-100,1)&gt;999,999,-999)))</f>
        <v>8.4</v>
      </c>
      <c r="T79" s="196">
        <f>SUM(T73:T78)</f>
        <v>46.111784040000003</v>
      </c>
      <c r="U79" s="445">
        <f>SUM(U73:U78)</f>
        <v>44.909822679999998</v>
      </c>
      <c r="V79" s="339">
        <f>IF(T79=0, "    ---- ", IF(ABS(ROUND(100/T79*U79-100,1))&lt;999,ROUND(100/T79*U79-100,1),IF(ROUND(100/T79*U79-100,1)&gt;999,999,-999)))</f>
        <v>-2.6</v>
      </c>
      <c r="W79" s="196">
        <v>573940.37715907989</v>
      </c>
      <c r="X79" s="445">
        <v>631939.52226797002</v>
      </c>
      <c r="Y79" s="339">
        <f t="shared" si="57"/>
        <v>10.1</v>
      </c>
      <c r="Z79" s="196">
        <f>SUM(Z73:Z78)</f>
        <v>52385.900000000052</v>
      </c>
      <c r="AA79" s="445">
        <f>SUM(AA73:AA78)</f>
        <v>55059.961000000003</v>
      </c>
      <c r="AB79" s="339">
        <f t="shared" si="47"/>
        <v>5.0999999999999996</v>
      </c>
      <c r="AC79" s="196">
        <f>SUM(AC73:AC78)</f>
        <v>95450</v>
      </c>
      <c r="AD79" s="445">
        <f>SUM(AD73:AD78)</f>
        <v>108857</v>
      </c>
      <c r="AE79" s="339">
        <f>IF(AC79=0, "    ---- ", IF(ABS(ROUND(100/AC79*AD79-100,1))&lt;999,ROUND(100/AC79*AD79-100,1),IF(ROUND(100/AC79*AD79-100,1)&gt;999,999,-999)))</f>
        <v>14</v>
      </c>
      <c r="AF79" s="196">
        <f>SUM(AF73:AF78)</f>
        <v>0</v>
      </c>
      <c r="AG79" s="445">
        <f>SUM(AG73:AG78)</f>
        <v>0</v>
      </c>
      <c r="AH79" s="339"/>
      <c r="AI79" s="196">
        <f>SUM(AI73:AI78)</f>
        <v>21652.938187619999</v>
      </c>
      <c r="AJ79" s="445">
        <f>SUM(AJ73:AJ78)</f>
        <v>22988.318654949999</v>
      </c>
      <c r="AK79" s="339">
        <f t="shared" si="43"/>
        <v>6.2</v>
      </c>
      <c r="AL79" s="196">
        <f>SUM(AL73:AL78)</f>
        <v>192947</v>
      </c>
      <c r="AM79" s="445">
        <f>SUM(AM73:AM78)</f>
        <v>203625</v>
      </c>
      <c r="AN79" s="339">
        <f t="shared" si="48"/>
        <v>5.5</v>
      </c>
      <c r="AO79" s="443">
        <f t="shared" si="59"/>
        <v>1155583.9605126199</v>
      </c>
      <c r="AP79" s="443">
        <f t="shared" si="59"/>
        <v>1240125.5702521401</v>
      </c>
      <c r="AQ79" s="446">
        <f t="shared" si="46"/>
        <v>7.3</v>
      </c>
      <c r="AR79" s="492"/>
      <c r="AS79" s="492"/>
      <c r="AT79" s="496"/>
    </row>
    <row r="80" spans="1:46" s="465" customFormat="1" ht="20.100000000000001" customHeight="1" x14ac:dyDescent="0.35">
      <c r="A80" s="459" t="s">
        <v>243</v>
      </c>
      <c r="B80" s="196"/>
      <c r="C80" s="445"/>
      <c r="D80" s="339"/>
      <c r="E80" s="445"/>
      <c r="F80" s="445"/>
      <c r="G80" s="339"/>
      <c r="H80" s="196"/>
      <c r="I80" s="445"/>
      <c r="J80" s="339"/>
      <c r="K80" s="196"/>
      <c r="L80" s="445"/>
      <c r="M80" s="339"/>
      <c r="N80" s="196"/>
      <c r="O80" s="445"/>
      <c r="P80" s="339"/>
      <c r="Q80" s="196"/>
      <c r="R80" s="445"/>
      <c r="S80" s="435"/>
      <c r="T80" s="196"/>
      <c r="U80" s="445"/>
      <c r="V80" s="339"/>
      <c r="W80" s="196"/>
      <c r="X80" s="445"/>
      <c r="Y80" s="339"/>
      <c r="Z80" s="196"/>
      <c r="AA80" s="445"/>
      <c r="AB80" s="339"/>
      <c r="AC80" s="196"/>
      <c r="AD80" s="445"/>
      <c r="AE80" s="339"/>
      <c r="AF80" s="196"/>
      <c r="AG80" s="445"/>
      <c r="AH80" s="339"/>
      <c r="AI80" s="196"/>
      <c r="AJ80" s="445"/>
      <c r="AK80" s="339"/>
      <c r="AL80" s="196"/>
      <c r="AM80" s="445"/>
      <c r="AN80" s="339"/>
      <c r="AO80" s="437"/>
      <c r="AP80" s="437"/>
      <c r="AQ80" s="446"/>
      <c r="AR80" s="492"/>
      <c r="AS80" s="492"/>
      <c r="AT80" s="496"/>
    </row>
    <row r="81" spans="1:46" s="465" customFormat="1" ht="20.100000000000001" customHeight="1" x14ac:dyDescent="0.35">
      <c r="A81" s="459" t="s">
        <v>397</v>
      </c>
      <c r="B81" s="196">
        <v>22122.434000000001</v>
      </c>
      <c r="C81" s="445">
        <v>27460.087</v>
      </c>
      <c r="D81" s="339">
        <f>IF(B81=0, "    ---- ", IF(ABS(ROUND(100/B81*C81-100,1))&lt;999,ROUND(100/B81*C81-100,1),IF(ROUND(100/B81*C81-100,1)&gt;999,999,-999)))</f>
        <v>24.1</v>
      </c>
      <c r="E81" s="445">
        <v>5554.2</v>
      </c>
      <c r="F81" s="445"/>
      <c r="G81" s="339">
        <f>IF(E81=0, "    ---- ", IF(ABS(ROUND(100/E81*F81-100,1))&lt;999,ROUND(100/E81*F81-100,1),IF(ROUND(100/E81*F81-100,1)&gt;999,999,-999)))</f>
        <v>-100</v>
      </c>
      <c r="H81" s="196">
        <v>99778.869000000006</v>
      </c>
      <c r="I81" s="445">
        <v>131087.64032699002</v>
      </c>
      <c r="J81" s="339">
        <f t="shared" si="41"/>
        <v>31.4</v>
      </c>
      <c r="K81" s="196"/>
      <c r="L81" s="445"/>
      <c r="M81" s="339" t="str">
        <f>IF(K81=0, "    ---- ", IF(ABS(ROUND(100/K81*L81-100,1))&lt;999,ROUND(100/K81*L81-100,1),IF(ROUND(100/K81*L81-100,1)&gt;999,999,-999)))</f>
        <v xml:space="preserve">    ---- </v>
      </c>
      <c r="N81" s="196">
        <v>4512.9319999999998</v>
      </c>
      <c r="O81" s="445"/>
      <c r="P81" s="339">
        <f>IF(N81=0, "    ---- ", IF(ABS(ROUND(100/N81*O81-100,1))&lt;999,ROUND(100/N81*O81-100,1),IF(ROUND(100/N81*O81-100,1)&gt;999,999,-999)))</f>
        <v>-100</v>
      </c>
      <c r="Q81" s="196">
        <v>31263.74</v>
      </c>
      <c r="R81" s="445">
        <v>39754.6</v>
      </c>
      <c r="S81" s="435">
        <f>IF(Q81=0, "    ---- ", IF(ABS(ROUND(100/Q81*R81-100,1))&lt;999,ROUND(100/Q81*R81-100,1),IF(ROUND(100/Q81*R81-100,1)&gt;999,999,-999)))</f>
        <v>27.2</v>
      </c>
      <c r="T81" s="196"/>
      <c r="U81" s="445"/>
      <c r="V81" s="339"/>
      <c r="W81" s="196">
        <v>1467.68164415</v>
      </c>
      <c r="X81" s="445">
        <v>1547.6827988399998</v>
      </c>
      <c r="Y81" s="339">
        <f t="shared" ref="Y81:Y91" si="60">IF(W81=0, "    ---- ", IF(ABS(ROUND(100/W81*X81-100,1))&lt;999,ROUND(100/W81*X81-100,1),IF(ROUND(100/W81*X81-100,1)&gt;999,999,-999)))</f>
        <v>5.5</v>
      </c>
      <c r="Z81" s="196">
        <v>85871.42</v>
      </c>
      <c r="AA81" s="445">
        <v>117827.82</v>
      </c>
      <c r="AB81" s="339">
        <f t="shared" si="47"/>
        <v>37.200000000000003</v>
      </c>
      <c r="AC81" s="196"/>
      <c r="AD81" s="445"/>
      <c r="AE81" s="339"/>
      <c r="AF81" s="196">
        <v>2702.2587809500001</v>
      </c>
      <c r="AG81" s="445">
        <v>3184.0991073800001</v>
      </c>
      <c r="AH81" s="339">
        <f>IF(AF81=0, "    ---- ", IF(ABS(ROUND(100/AF81*AG81-100,1))&lt;999,ROUND(100/AF81*AG81-100,1),IF(ROUND(100/AF81*AG81-100,1)&gt;999,999,-999)))</f>
        <v>17.8</v>
      </c>
      <c r="AI81" s="196">
        <v>38387.489000000001</v>
      </c>
      <c r="AJ81" s="445">
        <v>51797.900999999998</v>
      </c>
      <c r="AK81" s="339">
        <f t="shared" si="43"/>
        <v>34.9</v>
      </c>
      <c r="AL81" s="196">
        <v>124900</v>
      </c>
      <c r="AM81" s="445">
        <v>151404</v>
      </c>
      <c r="AN81" s="339">
        <f t="shared" si="48"/>
        <v>21.2</v>
      </c>
      <c r="AO81" s="443">
        <f t="shared" ref="AO81:AO89" si="61">B81+H81+K81+N81+Q81+T81+W81+E81+Z81+AC81+AF81+AI81+AL81</f>
        <v>416561.02442510007</v>
      </c>
      <c r="AP81" s="443">
        <f t="shared" ref="AP81:AP89" si="62">C81+I81+L81+O81+R81+U81+X81+F81+AA81+AD81+AG81+AJ81+AM81</f>
        <v>524063.83023321006</v>
      </c>
      <c r="AQ81" s="446">
        <f t="shared" si="46"/>
        <v>25.8</v>
      </c>
      <c r="AR81" s="492"/>
      <c r="AS81" s="492"/>
      <c r="AT81" s="496"/>
    </row>
    <row r="82" spans="1:46" s="465" customFormat="1" ht="20.100000000000001" customHeight="1" x14ac:dyDescent="0.35">
      <c r="A82" s="459" t="s">
        <v>398</v>
      </c>
      <c r="B82" s="196"/>
      <c r="C82" s="445"/>
      <c r="D82" s="339"/>
      <c r="E82" s="445"/>
      <c r="F82" s="445"/>
      <c r="G82" s="339"/>
      <c r="H82" s="196"/>
      <c r="I82" s="445"/>
      <c r="J82" s="339"/>
      <c r="K82" s="196"/>
      <c r="L82" s="445"/>
      <c r="M82" s="339"/>
      <c r="N82" s="196"/>
      <c r="O82" s="445"/>
      <c r="P82" s="339"/>
      <c r="Q82" s="196"/>
      <c r="R82" s="445"/>
      <c r="S82" s="339"/>
      <c r="T82" s="196"/>
      <c r="U82" s="445"/>
      <c r="V82" s="339"/>
      <c r="W82" s="196">
        <v>111.006501</v>
      </c>
      <c r="X82" s="445">
        <v>126.951956</v>
      </c>
      <c r="Y82" s="339"/>
      <c r="Z82" s="196"/>
      <c r="AA82" s="445"/>
      <c r="AB82" s="339"/>
      <c r="AC82" s="196"/>
      <c r="AD82" s="445"/>
      <c r="AE82" s="339"/>
      <c r="AF82" s="196"/>
      <c r="AG82" s="445"/>
      <c r="AH82" s="339"/>
      <c r="AI82" s="196">
        <v>0</v>
      </c>
      <c r="AJ82" s="445">
        <v>0</v>
      </c>
      <c r="AK82" s="339" t="str">
        <f t="shared" si="43"/>
        <v xml:space="preserve">    ---- </v>
      </c>
      <c r="AL82" s="196"/>
      <c r="AM82" s="445"/>
      <c r="AN82" s="339" t="str">
        <f t="shared" si="48"/>
        <v xml:space="preserve">    ---- </v>
      </c>
      <c r="AO82" s="443">
        <f t="shared" si="61"/>
        <v>111.006501</v>
      </c>
      <c r="AP82" s="443">
        <f t="shared" si="62"/>
        <v>126.951956</v>
      </c>
      <c r="AQ82" s="446">
        <f t="shared" si="46"/>
        <v>14.4</v>
      </c>
      <c r="AR82" s="492"/>
      <c r="AS82" s="492"/>
      <c r="AT82" s="496"/>
    </row>
    <row r="83" spans="1:46" s="465" customFormat="1" ht="20.100000000000001" customHeight="1" x14ac:dyDescent="0.35">
      <c r="A83" s="459" t="s">
        <v>399</v>
      </c>
      <c r="B83" s="614">
        <v>64.41</v>
      </c>
      <c r="C83" s="339">
        <v>68.968000000000004</v>
      </c>
      <c r="D83" s="339">
        <f>IF(B83=0, "    ---- ", IF(ABS(ROUND(100/B83*C83-100,1))&lt;999,ROUND(100/B83*C83-100,1),IF(ROUND(100/B83*C83-100,1)&gt;999,999,-999)))</f>
        <v>7.1</v>
      </c>
      <c r="E83" s="339">
        <v>19.100000000000001</v>
      </c>
      <c r="F83" s="339"/>
      <c r="G83" s="339">
        <f>IF(E83=0, "    ---- ", IF(ABS(ROUND(100/E83*F83-100,1))&lt;999,ROUND(100/E83*F83-100,1),IF(ROUND(100/E83*F83-100,1)&gt;999,999,-999)))</f>
        <v>-100</v>
      </c>
      <c r="H83" s="614">
        <v>553.05899999999997</v>
      </c>
      <c r="I83" s="339">
        <v>528.92972287999999</v>
      </c>
      <c r="J83" s="339">
        <f t="shared" si="41"/>
        <v>-4.4000000000000004</v>
      </c>
      <c r="K83" s="614"/>
      <c r="L83" s="339"/>
      <c r="M83" s="339"/>
      <c r="N83" s="614"/>
      <c r="O83" s="339"/>
      <c r="P83" s="339"/>
      <c r="Q83" s="614">
        <v>265.19</v>
      </c>
      <c r="R83" s="339">
        <v>247.5</v>
      </c>
      <c r="S83" s="339">
        <f>IF(Q83=0, "    ---- ", IF(ABS(ROUND(100/Q83*R83-100,1))&lt;999,ROUND(100/Q83*R83-100,1),IF(ROUND(100/Q83*R83-100,1)&gt;999,999,-999)))</f>
        <v>-6.7</v>
      </c>
      <c r="T83" s="614"/>
      <c r="U83" s="339"/>
      <c r="V83" s="339"/>
      <c r="W83" s="614">
        <v>428.31575800000002</v>
      </c>
      <c r="X83" s="339">
        <v>413.39116192</v>
      </c>
      <c r="Y83" s="339">
        <f t="shared" si="60"/>
        <v>-3.5</v>
      </c>
      <c r="Z83" s="614"/>
      <c r="AA83" s="339"/>
      <c r="AB83" s="339"/>
      <c r="AC83" s="614"/>
      <c r="AD83" s="339"/>
      <c r="AE83" s="339"/>
      <c r="AF83" s="614"/>
      <c r="AG83" s="339"/>
      <c r="AH83" s="339"/>
      <c r="AI83" s="614">
        <v>582.32399999999996</v>
      </c>
      <c r="AJ83" s="339">
        <v>696.43600000000004</v>
      </c>
      <c r="AK83" s="339">
        <f t="shared" si="43"/>
        <v>19.600000000000001</v>
      </c>
      <c r="AL83" s="614"/>
      <c r="AM83" s="339"/>
      <c r="AN83" s="339" t="str">
        <f t="shared" si="48"/>
        <v xml:space="preserve">    ---- </v>
      </c>
      <c r="AO83" s="443">
        <f t="shared" si="61"/>
        <v>1912.3987579999998</v>
      </c>
      <c r="AP83" s="443">
        <f t="shared" si="62"/>
        <v>1955.2248847999999</v>
      </c>
      <c r="AQ83" s="446">
        <f t="shared" si="46"/>
        <v>2.2000000000000002</v>
      </c>
      <c r="AR83" s="492"/>
      <c r="AS83" s="492"/>
      <c r="AT83" s="496"/>
    </row>
    <row r="84" spans="1:46" s="465" customFormat="1" ht="20.100000000000001" customHeight="1" x14ac:dyDescent="0.35">
      <c r="A84" s="459" t="s">
        <v>241</v>
      </c>
      <c r="B84" s="196"/>
      <c r="C84" s="445"/>
      <c r="D84" s="445"/>
      <c r="E84" s="445"/>
      <c r="F84" s="445"/>
      <c r="G84" s="339"/>
      <c r="H84" s="196"/>
      <c r="I84" s="445"/>
      <c r="J84" s="445"/>
      <c r="K84" s="196"/>
      <c r="L84" s="445"/>
      <c r="M84" s="445"/>
      <c r="N84" s="196"/>
      <c r="O84" s="445"/>
      <c r="P84" s="445"/>
      <c r="Q84" s="196"/>
      <c r="R84" s="445"/>
      <c r="S84" s="435"/>
      <c r="T84" s="196"/>
      <c r="U84" s="445"/>
      <c r="V84" s="339"/>
      <c r="W84" s="196">
        <v>-32.287334999999999</v>
      </c>
      <c r="X84" s="445">
        <v>84.892944</v>
      </c>
      <c r="Y84" s="339"/>
      <c r="Z84" s="196"/>
      <c r="AA84" s="445"/>
      <c r="AB84" s="339"/>
      <c r="AC84" s="196"/>
      <c r="AD84" s="445"/>
      <c r="AE84" s="339"/>
      <c r="AF84" s="196"/>
      <c r="AG84" s="445"/>
      <c r="AH84" s="445"/>
      <c r="AI84" s="196"/>
      <c r="AJ84" s="445"/>
      <c r="AK84" s="339"/>
      <c r="AL84" s="196"/>
      <c r="AM84" s="445"/>
      <c r="AN84" s="339"/>
      <c r="AO84" s="443">
        <f t="shared" si="61"/>
        <v>-32.287334999999999</v>
      </c>
      <c r="AP84" s="443">
        <f t="shared" si="62"/>
        <v>84.892944</v>
      </c>
      <c r="AQ84" s="446">
        <f t="shared" si="46"/>
        <v>-362.9</v>
      </c>
      <c r="AR84" s="492"/>
      <c r="AS84" s="492"/>
      <c r="AT84" s="496"/>
    </row>
    <row r="85" spans="1:46" s="465" customFormat="1" ht="20.100000000000001" customHeight="1" x14ac:dyDescent="0.35">
      <c r="A85" s="460" t="s">
        <v>244</v>
      </c>
      <c r="B85" s="196">
        <f>SUM(B81:B84)</f>
        <v>22186.844000000001</v>
      </c>
      <c r="C85" s="445">
        <f>SUM(C81:C84)</f>
        <v>27529.055</v>
      </c>
      <c r="D85" s="445">
        <f>IF(B85=0, "    ---- ", IF(ABS(ROUND(100/B85*C85-100,1))&lt;999,ROUND(100/B85*C85-100,1),IF(ROUND(100/B85*C85-100,1)&gt;999,999,-999)))</f>
        <v>24.1</v>
      </c>
      <c r="E85" s="445">
        <f>SUM(E81:E84)</f>
        <v>5573.3</v>
      </c>
      <c r="F85" s="445"/>
      <c r="G85" s="339">
        <f>IF(E85=0, "    ---- ", IF(ABS(ROUND(100/E85*F85-100,1))&lt;999,ROUND(100/E85*F85-100,1),IF(ROUND(100/E85*F85-100,1)&gt;999,999,-999)))</f>
        <v>-100</v>
      </c>
      <c r="H85" s="196">
        <f>SUM(H81:H84)</f>
        <v>100331.928</v>
      </c>
      <c r="I85" s="445">
        <f>SUM(I81:I84)</f>
        <v>131616.57004987003</v>
      </c>
      <c r="J85" s="445">
        <f t="shared" si="41"/>
        <v>31.2</v>
      </c>
      <c r="K85" s="196">
        <f>SUM(K81:K84)</f>
        <v>0</v>
      </c>
      <c r="L85" s="445">
        <v>244.13756746999999</v>
      </c>
      <c r="M85" s="445" t="str">
        <f>IF(K85=0, "    ---- ", IF(ABS(ROUND(100/K85*L85-100,1))&lt;999,ROUND(100/K85*L85-100,1),IF(ROUND(100/K85*L85-100,1)&gt;999,999,-999)))</f>
        <v xml:space="preserve">    ---- </v>
      </c>
      <c r="N85" s="196">
        <f>SUM(N81:N84)</f>
        <v>4512.9319999999998</v>
      </c>
      <c r="O85" s="445">
        <f>SUM(O81:O84)</f>
        <v>0</v>
      </c>
      <c r="P85" s="445">
        <f>IF(N85=0, "    ---- ", IF(ABS(ROUND(100/N85*O85-100,1))&lt;999,ROUND(100/N85*O85-100,1),IF(ROUND(100/N85*O85-100,1)&gt;999,999,-999)))</f>
        <v>-100</v>
      </c>
      <c r="Q85" s="196">
        <f>SUM(Q81:Q84)</f>
        <v>31528.93</v>
      </c>
      <c r="R85" s="445">
        <f>SUM(R81:R84)</f>
        <v>40002.1</v>
      </c>
      <c r="S85" s="435">
        <f>IF(Q85=0, "    ---- ", IF(ABS(ROUND(100/Q85*R85-100,1))&lt;999,ROUND(100/Q85*R85-100,1),IF(ROUND(100/Q85*R85-100,1)&gt;999,999,-999)))</f>
        <v>26.9</v>
      </c>
      <c r="T85" s="196">
        <f>SUM(T81:T84)</f>
        <v>0</v>
      </c>
      <c r="U85" s="445">
        <f>SUM(U81:U84)</f>
        <v>0</v>
      </c>
      <c r="V85" s="339"/>
      <c r="W85" s="196">
        <v>1974.7165681500001</v>
      </c>
      <c r="X85" s="445">
        <v>2172.9188607599999</v>
      </c>
      <c r="Y85" s="339">
        <f t="shared" si="60"/>
        <v>10</v>
      </c>
      <c r="Z85" s="196">
        <f>SUM(Z81:Z84)</f>
        <v>85871.42</v>
      </c>
      <c r="AA85" s="445">
        <f>SUM(AA81:AA84)</f>
        <v>117827.82</v>
      </c>
      <c r="AB85" s="339">
        <f t="shared" si="47"/>
        <v>37.200000000000003</v>
      </c>
      <c r="AC85" s="196">
        <f>SUM(AC81:AC84)</f>
        <v>0</v>
      </c>
      <c r="AD85" s="445">
        <f>SUM(AD81:AD84)</f>
        <v>0</v>
      </c>
      <c r="AE85" s="339"/>
      <c r="AF85" s="196">
        <f>SUM(AF81:AF84)</f>
        <v>2702.2587809500001</v>
      </c>
      <c r="AG85" s="445">
        <f>SUM(AG81:AG84)</f>
        <v>3184.0991073800001</v>
      </c>
      <c r="AH85" s="445">
        <f>IF(AF85=0, "    ---- ", IF(ABS(ROUND(100/AF85*AG85-100,1))&lt;999,ROUND(100/AF85*AG85-100,1),IF(ROUND(100/AF85*AG85-100,1)&gt;999,999,-999)))</f>
        <v>17.8</v>
      </c>
      <c r="AI85" s="196">
        <f>SUM(AI81:AI84)</f>
        <v>38969.813000000002</v>
      </c>
      <c r="AJ85" s="445">
        <f>SUM(AJ81:AJ84)</f>
        <v>52494.337</v>
      </c>
      <c r="AK85" s="339">
        <f t="shared" si="43"/>
        <v>34.700000000000003</v>
      </c>
      <c r="AL85" s="196">
        <f>SUM(AL81:AL84)</f>
        <v>124900</v>
      </c>
      <c r="AM85" s="445">
        <f>SUM(AM81:AM84)</f>
        <v>151404</v>
      </c>
      <c r="AN85" s="339">
        <f t="shared" si="48"/>
        <v>21.2</v>
      </c>
      <c r="AO85" s="443">
        <f t="shared" si="61"/>
        <v>418552.14234909997</v>
      </c>
      <c r="AP85" s="443">
        <f t="shared" si="62"/>
        <v>526475.03758548014</v>
      </c>
      <c r="AQ85" s="446">
        <f t="shared" si="46"/>
        <v>25.8</v>
      </c>
      <c r="AR85" s="492"/>
      <c r="AS85" s="492"/>
      <c r="AT85" s="496"/>
    </row>
    <row r="86" spans="1:46" s="465" customFormat="1" ht="20.100000000000001" customHeight="1" x14ac:dyDescent="0.35">
      <c r="A86" s="459" t="s">
        <v>245</v>
      </c>
      <c r="B86" s="196">
        <v>55.639000000000003</v>
      </c>
      <c r="C86" s="445">
        <v>55.145000000000003</v>
      </c>
      <c r="D86" s="339">
        <f>IF(B86=0, "    ---- ", IF(ABS(ROUND(100/B86*C86-100,1))&lt;999,ROUND(100/B86*C86-100,1),IF(ROUND(100/B86*C86-100,1)&gt;999,999,-999)))</f>
        <v>-0.9</v>
      </c>
      <c r="E86" s="445">
        <v>10.7</v>
      </c>
      <c r="F86" s="445"/>
      <c r="G86" s="339">
        <f>IF(E86=0, "    ---- ", IF(ABS(ROUND(100/E86*F86-100,1))&lt;999,ROUND(100/E86*F86-100,1),IF(ROUND(100/E86*F86-100,1)&gt;999,999,-999)))</f>
        <v>-100</v>
      </c>
      <c r="H86" s="196">
        <v>1077.8130000000001</v>
      </c>
      <c r="I86" s="445">
        <v>1970.8435600299999</v>
      </c>
      <c r="J86" s="339">
        <f t="shared" si="41"/>
        <v>82.9</v>
      </c>
      <c r="K86" s="196">
        <v>50.847670279999804</v>
      </c>
      <c r="L86" s="445">
        <v>363.23492614000003</v>
      </c>
      <c r="M86" s="339">
        <f>IF(K86=0, "    ---- ", IF(ABS(ROUND(100/K86*L86-100,1))&lt;999,ROUND(100/K86*L86-100,1),IF(ROUND(100/K86*L86-100,1)&gt;999,999,-999)))</f>
        <v>614.4</v>
      </c>
      <c r="N86" s="196"/>
      <c r="O86" s="445"/>
      <c r="P86" s="339" t="str">
        <f>IF(N86=0, "    ---- ", IF(ABS(ROUND(100/N86*O86-100,1))&lt;999,ROUND(100/N86*O86-100,1),IF(ROUND(100/N86*O86-100,1)&gt;999,999,-999)))</f>
        <v xml:space="preserve">    ---- </v>
      </c>
      <c r="Q86" s="196">
        <v>114.28</v>
      </c>
      <c r="R86" s="445">
        <v>64.8</v>
      </c>
      <c r="S86" s="339">
        <f>IF(Q86=0, "    ---- ", IF(ABS(ROUND(100/Q86*R86-100,1))&lt;999,ROUND(100/Q86*R86-100,1),IF(ROUND(100/Q86*R86-100,1)&gt;999,999,-999)))</f>
        <v>-43.3</v>
      </c>
      <c r="T86" s="196">
        <v>3.76374539</v>
      </c>
      <c r="U86" s="445">
        <v>3.7862060099999999</v>
      </c>
      <c r="V86" s="339">
        <f>IF(T86=0, "    ---- ", IF(ABS(ROUND(100/T86*U86-100,1))&lt;999,ROUND(100/T86*U86-100,1),IF(ROUND(100/T86*U86-100,1)&gt;999,999,-999)))</f>
        <v>0.6</v>
      </c>
      <c r="W86" s="196">
        <v>2342.88387917</v>
      </c>
      <c r="X86" s="445">
        <v>1845.0561370200001</v>
      </c>
      <c r="Y86" s="339">
        <f t="shared" si="60"/>
        <v>-21.2</v>
      </c>
      <c r="Z86" s="196">
        <v>543.54999999999995</v>
      </c>
      <c r="AA86" s="445">
        <v>531.88</v>
      </c>
      <c r="AB86" s="339">
        <f t="shared" si="47"/>
        <v>-2.1</v>
      </c>
      <c r="AC86" s="196">
        <f>891+579+68</f>
        <v>1538</v>
      </c>
      <c r="AD86" s="445">
        <f>873+304+58</f>
        <v>1235</v>
      </c>
      <c r="AE86" s="339">
        <f>IF(AC86=0, "    ---- ", IF(ABS(ROUND(100/AC86*AD86-100,1))&lt;999,ROUND(100/AC86*AD86-100,1),IF(ROUND(100/AC86*AD86-100,1)&gt;999,999,-999)))</f>
        <v>-19.7</v>
      </c>
      <c r="AF86" s="196"/>
      <c r="AG86" s="445"/>
      <c r="AH86" s="339"/>
      <c r="AI86" s="196">
        <v>714.81799999999998</v>
      </c>
      <c r="AJ86" s="445">
        <v>559.125</v>
      </c>
      <c r="AK86" s="339">
        <f t="shared" si="43"/>
        <v>-21.8</v>
      </c>
      <c r="AL86" s="196">
        <v>7</v>
      </c>
      <c r="AM86" s="445">
        <v>7</v>
      </c>
      <c r="AN86" s="339">
        <f t="shared" si="48"/>
        <v>0</v>
      </c>
      <c r="AO86" s="443">
        <f t="shared" si="61"/>
        <v>6459.2952948399998</v>
      </c>
      <c r="AP86" s="443">
        <f t="shared" si="62"/>
        <v>6635.8708292000001</v>
      </c>
      <c r="AQ86" s="446">
        <f t="shared" si="46"/>
        <v>2.7</v>
      </c>
      <c r="AR86" s="492"/>
      <c r="AS86" s="492"/>
      <c r="AT86" s="496"/>
    </row>
    <row r="87" spans="1:46" s="465" customFormat="1" ht="20.100000000000001" customHeight="1" x14ac:dyDescent="0.35">
      <c r="A87" s="459" t="s">
        <v>246</v>
      </c>
      <c r="B87" s="196"/>
      <c r="C87" s="445"/>
      <c r="D87" s="339"/>
      <c r="E87" s="445"/>
      <c r="F87" s="445"/>
      <c r="G87" s="339"/>
      <c r="H87" s="196"/>
      <c r="I87" s="445">
        <v>0</v>
      </c>
      <c r="J87" s="339"/>
      <c r="K87" s="196">
        <v>364.41251901999999</v>
      </c>
      <c r="L87" s="445">
        <v>96.701093919999977</v>
      </c>
      <c r="M87" s="339"/>
      <c r="N87" s="196"/>
      <c r="O87" s="445"/>
      <c r="P87" s="339"/>
      <c r="Q87" s="196"/>
      <c r="R87" s="445"/>
      <c r="S87" s="339"/>
      <c r="T87" s="196"/>
      <c r="U87" s="445"/>
      <c r="V87" s="339"/>
      <c r="W87" s="196">
        <v>0</v>
      </c>
      <c r="X87" s="445">
        <v>0</v>
      </c>
      <c r="Y87" s="339"/>
      <c r="Z87" s="196"/>
      <c r="AA87" s="445"/>
      <c r="AB87" s="339"/>
      <c r="AC87" s="196"/>
      <c r="AD87" s="445"/>
      <c r="AE87" s="339"/>
      <c r="AF87" s="196"/>
      <c r="AG87" s="445"/>
      <c r="AH87" s="339"/>
      <c r="AI87" s="196">
        <v>0</v>
      </c>
      <c r="AJ87" s="445">
        <v>5.2619999999999996</v>
      </c>
      <c r="AK87" s="339" t="str">
        <f t="shared" si="43"/>
        <v xml:space="preserve">    ---- </v>
      </c>
      <c r="AL87" s="196"/>
      <c r="AM87" s="445"/>
      <c r="AN87" s="339"/>
      <c r="AO87" s="443">
        <f t="shared" si="61"/>
        <v>364.41251901999999</v>
      </c>
      <c r="AP87" s="443">
        <f t="shared" si="62"/>
        <v>101.96309391999998</v>
      </c>
      <c r="AQ87" s="446">
        <f t="shared" si="46"/>
        <v>-72</v>
      </c>
      <c r="AR87" s="492"/>
      <c r="AS87" s="492"/>
      <c r="AT87" s="496"/>
    </row>
    <row r="88" spans="1:46" s="465" customFormat="1" ht="20.100000000000001" customHeight="1" x14ac:dyDescent="0.35">
      <c r="A88" s="459" t="s">
        <v>247</v>
      </c>
      <c r="B88" s="196">
        <v>59.323</v>
      </c>
      <c r="C88" s="445">
        <v>104.535</v>
      </c>
      <c r="D88" s="445">
        <f>IF(B88=0, "    ---- ", IF(ABS(ROUND(100/B88*C88-100,1))&lt;999,ROUND(100/B88*C88-100,1),IF(ROUND(100/B88*C88-100,1)&gt;999,999,-999)))</f>
        <v>76.2</v>
      </c>
      <c r="E88" s="445">
        <v>7</v>
      </c>
      <c r="F88" s="445"/>
      <c r="G88" s="339">
        <f>IF(E88=0, "    ---- ", IF(ABS(ROUND(100/E88*F88-100,1))&lt;999,ROUND(100/E88*F88-100,1),IF(ROUND(100/E88*F88-100,1)&gt;999,999,-999)))</f>
        <v>-100</v>
      </c>
      <c r="H88" s="196">
        <v>1198.8440000000001</v>
      </c>
      <c r="I88" s="445">
        <v>3415.6312426499971</v>
      </c>
      <c r="J88" s="445">
        <f t="shared" si="41"/>
        <v>184.9</v>
      </c>
      <c r="K88" s="196">
        <v>286.79351023999999</v>
      </c>
      <c r="L88" s="445">
        <v>-1.4775262499999999</v>
      </c>
      <c r="M88" s="445"/>
      <c r="N88" s="196">
        <v>117.43</v>
      </c>
      <c r="O88" s="445">
        <v>115.58744299999999</v>
      </c>
      <c r="P88" s="445"/>
      <c r="Q88" s="196">
        <v>169.16</v>
      </c>
      <c r="R88" s="445">
        <v>139.69999999999999</v>
      </c>
      <c r="S88" s="435">
        <f>IF(Q88=0, "    ---- ", IF(ABS(ROUND(100/Q88*R88-100,1))&lt;999,ROUND(100/Q88*R88-100,1),IF(ROUND(100/Q88*R88-100,1)&gt;999,999,-999)))</f>
        <v>-17.399999999999999</v>
      </c>
      <c r="T88" s="196">
        <v>0.94168580999999996</v>
      </c>
      <c r="U88" s="445">
        <v>0.97277608999999998</v>
      </c>
      <c r="V88" s="339">
        <f>IF(T88=0, "    ---- ", IF(ABS(ROUND(100/T88*U88-100,1))&lt;999,ROUND(100/T88*U88-100,1),IF(ROUND(100/T88*U88-100,1)&gt;999,999,-999)))</f>
        <v>3.3</v>
      </c>
      <c r="W88" s="196">
        <v>13085.65013622</v>
      </c>
      <c r="X88" s="445">
        <v>12438.31096762</v>
      </c>
      <c r="Y88" s="339">
        <f t="shared" si="60"/>
        <v>-4.9000000000000004</v>
      </c>
      <c r="Z88" s="196">
        <v>578.71</v>
      </c>
      <c r="AA88" s="445">
        <v>657.98</v>
      </c>
      <c r="AB88" s="339">
        <f t="shared" si="47"/>
        <v>13.7</v>
      </c>
      <c r="AC88" s="196"/>
      <c r="AD88" s="445"/>
      <c r="AE88" s="339" t="str">
        <f>IF(AC88=0, "    ---- ", IF(ABS(ROUND(100/AC88*AD88-100,1))&lt;999,ROUND(100/AC88*AD88-100,1),IF(ROUND(100/AC88*AD88-100,1)&gt;999,999,-999)))</f>
        <v xml:space="preserve">    ---- </v>
      </c>
      <c r="AF88" s="196">
        <v>9.0195672099999999</v>
      </c>
      <c r="AG88" s="445">
        <v>14.67467832</v>
      </c>
      <c r="AH88" s="339">
        <f>IF(AF88=0, "    ---- ", IF(ABS(ROUND(100/AF88*AG88-100,1))&lt;999,ROUND(100/AF88*AG88-100,1),IF(ROUND(100/AF88*AG88-100,1)&gt;999,999,-999)))</f>
        <v>62.7</v>
      </c>
      <c r="AI88" s="196">
        <v>723.42399999999998</v>
      </c>
      <c r="AJ88" s="445">
        <v>881.572</v>
      </c>
      <c r="AK88" s="339">
        <f t="shared" si="43"/>
        <v>21.9</v>
      </c>
      <c r="AL88" s="196">
        <v>10118</v>
      </c>
      <c r="AM88" s="445">
        <v>9631</v>
      </c>
      <c r="AN88" s="339">
        <f t="shared" si="48"/>
        <v>-4.8</v>
      </c>
      <c r="AO88" s="443">
        <f t="shared" si="61"/>
        <v>26354.295899479999</v>
      </c>
      <c r="AP88" s="443">
        <f t="shared" si="62"/>
        <v>27398.486581429996</v>
      </c>
      <c r="AQ88" s="446">
        <f t="shared" si="46"/>
        <v>4</v>
      </c>
      <c r="AR88" s="492"/>
      <c r="AS88" s="492"/>
      <c r="AT88" s="496"/>
    </row>
    <row r="89" spans="1:46" s="465" customFormat="1" ht="20.100000000000001" customHeight="1" x14ac:dyDescent="0.35">
      <c r="A89" s="459" t="s">
        <v>248</v>
      </c>
      <c r="B89" s="196">
        <v>35.72</v>
      </c>
      <c r="C89" s="445">
        <v>39.316000000000003</v>
      </c>
      <c r="D89" s="445">
        <f>IF(B89=0, "    ---- ", IF(ABS(ROUND(100/B89*C89-100,1))&lt;999,ROUND(100/B89*C89-100,1),IF(ROUND(100/B89*C89-100,1)&gt;999,999,-999)))</f>
        <v>10.1</v>
      </c>
      <c r="E89" s="445">
        <v>10</v>
      </c>
      <c r="F89" s="445"/>
      <c r="G89" s="339">
        <f>IF(E89=0, "    ---- ", IF(ABS(ROUND(100/E89*F89-100,1))&lt;999,ROUND(100/E89*F89-100,1),IF(ROUND(100/E89*F89-100,1)&gt;999,999,-999)))</f>
        <v>-100</v>
      </c>
      <c r="H89" s="196">
        <v>102.78</v>
      </c>
      <c r="I89" s="445">
        <v>221.16262409999999</v>
      </c>
      <c r="J89" s="445">
        <f t="shared" si="41"/>
        <v>115.2</v>
      </c>
      <c r="K89" s="196">
        <v>1.1733151899999998</v>
      </c>
      <c r="L89" s="445"/>
      <c r="M89" s="445">
        <f>IF(K89=0, "    ---- ", IF(ABS(ROUND(100/K89*L89-100,1))&lt;999,ROUND(100/K89*L89-100,1),IF(ROUND(100/K89*L89-100,1)&gt;999,999,-999)))</f>
        <v>-100</v>
      </c>
      <c r="N89" s="196">
        <v>18.754999999999999</v>
      </c>
      <c r="O89" s="445">
        <v>16.684861000000001</v>
      </c>
      <c r="P89" s="445">
        <f>IF(N89=0, "    ---- ", IF(ABS(ROUND(100/N89*O89-100,1))&lt;999,ROUND(100/N89*O89-100,1),IF(ROUND(100/N89*O89-100,1)&gt;999,999,-999)))</f>
        <v>-11</v>
      </c>
      <c r="Q89" s="196">
        <v>21</v>
      </c>
      <c r="R89" s="445">
        <v>30.9</v>
      </c>
      <c r="S89" s="339">
        <f>IF(Q89=0, "    ---- ", IF(ABS(ROUND(100/Q89*R89-100,1))&lt;999,ROUND(100/Q89*R89-100,1),IF(ROUND(100/Q89*R89-100,1)&gt;999,999,-999)))</f>
        <v>47.1</v>
      </c>
      <c r="T89" s="196"/>
      <c r="U89" s="445"/>
      <c r="V89" s="339" t="str">
        <f>IF(T89=0, "    ---- ", IF(ABS(ROUND(100/T89*U89-100,1))&lt;999,ROUND(100/T89*U89-100,1),IF(ROUND(100/T89*U89-100,1)&gt;999,999,-999)))</f>
        <v xml:space="preserve">    ---- </v>
      </c>
      <c r="W89" s="196">
        <v>81.032003379999992</v>
      </c>
      <c r="X89" s="445">
        <v>73.359974690000001</v>
      </c>
      <c r="Y89" s="339">
        <f t="shared" si="60"/>
        <v>-9.5</v>
      </c>
      <c r="Z89" s="196">
        <v>65.180000000000007</v>
      </c>
      <c r="AA89" s="445">
        <v>35.57</v>
      </c>
      <c r="AB89" s="339">
        <f t="shared" si="47"/>
        <v>-45.4</v>
      </c>
      <c r="AC89" s="196"/>
      <c r="AD89" s="445"/>
      <c r="AE89" s="339" t="str">
        <f>IF(AC89=0, "    ---- ", IF(ABS(ROUND(100/AC89*AD89-100,1))&lt;999,ROUND(100/AC89*AD89-100,1),IF(ROUND(100/AC89*AD89-100,1)&gt;999,999,-999)))</f>
        <v xml:space="preserve">    ---- </v>
      </c>
      <c r="AF89" s="196">
        <v>0.26263509000000002</v>
      </c>
      <c r="AG89" s="445">
        <v>0.27811429999999998</v>
      </c>
      <c r="AH89" s="339"/>
      <c r="AI89" s="196">
        <v>40.804000000000002</v>
      </c>
      <c r="AJ89" s="445">
        <v>36.026000000000003</v>
      </c>
      <c r="AK89" s="339">
        <f t="shared" si="43"/>
        <v>-11.7</v>
      </c>
      <c r="AL89" s="196">
        <v>140</v>
      </c>
      <c r="AM89" s="445">
        <v>169</v>
      </c>
      <c r="AN89" s="339">
        <f t="shared" si="48"/>
        <v>20.7</v>
      </c>
      <c r="AO89" s="443">
        <f t="shared" si="61"/>
        <v>516.70695366000007</v>
      </c>
      <c r="AP89" s="443">
        <f t="shared" si="62"/>
        <v>622.29757409000001</v>
      </c>
      <c r="AQ89" s="446">
        <f t="shared" si="46"/>
        <v>20.399999999999999</v>
      </c>
      <c r="AR89" s="492"/>
      <c r="AS89" s="492"/>
      <c r="AT89" s="496"/>
    </row>
    <row r="90" spans="1:46" s="465" customFormat="1" ht="20.100000000000001" customHeight="1" x14ac:dyDescent="0.35">
      <c r="A90" s="459"/>
      <c r="B90" s="196"/>
      <c r="C90" s="445"/>
      <c r="D90" s="339"/>
      <c r="E90" s="445"/>
      <c r="F90" s="445"/>
      <c r="G90" s="339"/>
      <c r="H90" s="196"/>
      <c r="I90" s="445"/>
      <c r="J90" s="339"/>
      <c r="K90" s="196"/>
      <c r="L90" s="445"/>
      <c r="M90" s="339"/>
      <c r="N90" s="196"/>
      <c r="O90" s="445"/>
      <c r="P90" s="339"/>
      <c r="Q90" s="196"/>
      <c r="R90" s="445"/>
      <c r="S90" s="339"/>
      <c r="T90" s="196"/>
      <c r="U90" s="445"/>
      <c r="V90" s="339"/>
      <c r="W90" s="196"/>
      <c r="X90" s="445"/>
      <c r="Y90" s="339"/>
      <c r="Z90" s="196"/>
      <c r="AA90" s="445"/>
      <c r="AB90" s="339"/>
      <c r="AC90" s="196"/>
      <c r="AD90" s="445"/>
      <c r="AE90" s="339"/>
      <c r="AF90" s="196"/>
      <c r="AG90" s="445"/>
      <c r="AH90" s="339"/>
      <c r="AI90" s="196"/>
      <c r="AJ90" s="445"/>
      <c r="AK90" s="339"/>
      <c r="AL90" s="196"/>
      <c r="AM90" s="445"/>
      <c r="AN90" s="339"/>
      <c r="AO90" s="437"/>
      <c r="AP90" s="437"/>
      <c r="AQ90" s="446"/>
      <c r="AR90" s="492"/>
      <c r="AS90" s="492"/>
      <c r="AT90" s="496"/>
    </row>
    <row r="91" spans="1:46" s="500" customFormat="1" ht="20.100000000000001" customHeight="1" x14ac:dyDescent="0.3">
      <c r="A91" s="462" t="s">
        <v>249</v>
      </c>
      <c r="B91" s="199">
        <f>SUM(B68+B69+B71+B79+B85+B86+B87+B88+B89)</f>
        <v>24601.640000000003</v>
      </c>
      <c r="C91" s="451">
        <f>SUM(C68+C69+C71+C79+C85+C86+C87+C88+C89)</f>
        <v>30185.067999999999</v>
      </c>
      <c r="D91" s="452">
        <f>IF(B91=0, "    ---- ", IF(ABS(ROUND(100/B91*C91-100,1))&lt;999,ROUND(100/B91*C91-100,1),IF(ROUND(100/B91*C91-100,1)&gt;999,999,-999)))</f>
        <v>22.7</v>
      </c>
      <c r="E91" s="451">
        <f>SUM(E68+E69+E71+E79+E85+E86+E87+E88+E89)</f>
        <v>8009.8</v>
      </c>
      <c r="F91" s="451"/>
      <c r="G91" s="452">
        <f>IF(E91=0, "    ---- ", IF(ABS(ROUND(100/E91*F91-100,1))&lt;999,ROUND(100/E91*F91-100,1),IF(ROUND(100/E91*F91-100,1)&gt;999,999,-999)))</f>
        <v>-100</v>
      </c>
      <c r="H91" s="199">
        <f>SUM(H68+H69+H71+H79+H85+H86+H87+H88+H89)</f>
        <v>332378.41899999999</v>
      </c>
      <c r="I91" s="451">
        <f>SUM(I68+I69+I71+I79+I85+I86+I87+I88+I89)</f>
        <v>368989.75821954</v>
      </c>
      <c r="J91" s="452">
        <f t="shared" si="41"/>
        <v>11</v>
      </c>
      <c r="K91" s="199">
        <f>SUM(K68+K69+K71+K79+K85+K86+K87+K88+K89)</f>
        <v>10263.490981680001</v>
      </c>
      <c r="L91" s="451">
        <f>SUM(L68+L69+L71+L79+L85+L86+L87+L88+L89)</f>
        <v>11627.505634629999</v>
      </c>
      <c r="M91" s="452">
        <f>IF(K91=0, "    ---- ", IF(ABS(ROUND(100/K91*L91-100,1))&lt;999,ROUND(100/K91*L91-100,1),IF(ROUND(100/K91*L91-100,1)&gt;999,999,-999)))</f>
        <v>13.3</v>
      </c>
      <c r="N91" s="199">
        <f>SUM(N68+N69+N71+N79+N85+N86+N87+N88+N89)</f>
        <v>6555.5650000000005</v>
      </c>
      <c r="O91" s="451">
        <f>SUM(O68+O69+O71+O79+O85+O86+O87+O88+O89)</f>
        <v>1992.6730959999998</v>
      </c>
      <c r="P91" s="452">
        <f>IF(N91=0, "    ---- ", IF(ABS(ROUND(100/N91*O91-100,1))&lt;999,ROUND(100/N91*O91-100,1),IF(ROUND(100/N91*O91-100,1)&gt;999,999,-999)))</f>
        <v>-69.599999999999994</v>
      </c>
      <c r="Q91" s="199">
        <f>SUM(Q68+Q69+Q71+Q79+Q85+Q86+Q87+Q88+Q89)</f>
        <v>40608.730000000003</v>
      </c>
      <c r="R91" s="451">
        <f>SUM(R68+R69+R71+R79+R85+R86+R87+R88+R89)</f>
        <v>49801.3</v>
      </c>
      <c r="S91" s="452">
        <f>IF(Q91=0, "    ---- ", IF(ABS(ROUND(100/Q91*R91-100,1))&lt;999,ROUND(100/Q91*R91-100,1),IF(ROUND(100/Q91*R91-100,1)&gt;999,999,-999)))</f>
        <v>22.6</v>
      </c>
      <c r="T91" s="199">
        <f>SUM(T68+T69+T71+T79+T85+T86+T87+T88+T89)</f>
        <v>151.22834924</v>
      </c>
      <c r="U91" s="451">
        <f>SUM(U68+U69+U71+U79+U85+U86+U87+U88+U89)</f>
        <v>161.35311762999999</v>
      </c>
      <c r="V91" s="452">
        <f>IF(T91=0, "    ---- ", IF(ABS(ROUND(100/T91*U91-100,1))&lt;999,ROUND(100/T91*U91-100,1),IF(ROUND(100/T91*U91-100,1)&gt;999,999,-999)))</f>
        <v>6.7</v>
      </c>
      <c r="W91" s="199">
        <v>635878.01939294999</v>
      </c>
      <c r="X91" s="451">
        <v>694522.36689616006</v>
      </c>
      <c r="Y91" s="452">
        <f t="shared" si="60"/>
        <v>9.1999999999999993</v>
      </c>
      <c r="Z91" s="199">
        <f>SUM(Z68+Z69+Z71+Z79+Z85+Z86+Z87+Z88+Z89)</f>
        <v>150628.76000000004</v>
      </c>
      <c r="AA91" s="451">
        <f>SUM(AA68+AA69+AA71+AA79+AA85+AA86+AA87+AA88+AA89)</f>
        <v>185981.68100000001</v>
      </c>
      <c r="AB91" s="452">
        <f t="shared" si="47"/>
        <v>23.5</v>
      </c>
      <c r="AC91" s="199">
        <f>SUM(AC68+AC69+AC71+AC79+AC85+AC86+AC87+AC88+AC89)</f>
        <v>108237</v>
      </c>
      <c r="AD91" s="451">
        <f>SUM(AD68+AD69+AD71+AD79+AD85+AD86+AD87+AD88+AD89)</f>
        <v>122402</v>
      </c>
      <c r="AE91" s="452">
        <f>IF(AC91=0, "    ---- ", IF(ABS(ROUND(100/AC91*AD91-100,1))&lt;999,ROUND(100/AC91*AD91-100,1),IF(ROUND(100/AC91*AD91-100,1)&gt;999,999,-999)))</f>
        <v>13.1</v>
      </c>
      <c r="AF91" s="199">
        <f>SUM(AF68+AF69+AF71+AF79+AF85+AF86+AF87+AF88+AF89)</f>
        <v>2784.6441104299997</v>
      </c>
      <c r="AG91" s="451">
        <f>SUM(AG68+AG69+AG71+AG79+AG85+AG86+AG87+AG88+AG89)</f>
        <v>3286.8092732</v>
      </c>
      <c r="AH91" s="452">
        <f>IF(AF91=0, "    ---- ", IF(ABS(ROUND(100/AF91*AG91-100,1))&lt;999,ROUND(100/AF91*AG91-100,1),IF(ROUND(100/AF91*AG91-100,1)&gt;999,999,-999)))</f>
        <v>18</v>
      </c>
      <c r="AI91" s="199">
        <f>SUM(AI68+AI69+AI71+AI79+AI85+AI86+AI87+AI88+AI89)</f>
        <v>68311.811187619998</v>
      </c>
      <c r="AJ91" s="451">
        <f>SUM(AJ68+AJ69+AJ71+AJ79+AJ85+AJ86+AJ87+AJ88+AJ89)</f>
        <v>83377.442654950006</v>
      </c>
      <c r="AK91" s="452">
        <f t="shared" si="43"/>
        <v>22.1</v>
      </c>
      <c r="AL91" s="199">
        <f>SUM(AL68+AL69+AL71+AL79+AL85+AL86+AL87+AL88+AL89)</f>
        <v>363893</v>
      </c>
      <c r="AM91" s="451">
        <f>SUM(AM68+AM69+AM71+AM79+AM85+AM86+AM87+AM88+AM89)</f>
        <v>404495</v>
      </c>
      <c r="AN91" s="452">
        <f t="shared" si="48"/>
        <v>11.2</v>
      </c>
      <c r="AO91" s="600">
        <f>B91+H91+K91+N91+Q91+T91+W91+E91+Z91+AC91+AF91+AI91+AL91</f>
        <v>1752302.1080219201</v>
      </c>
      <c r="AP91" s="600">
        <f>C91+I91+L91+O91+R91+U91+X91+F91+AA91+AD91+AG91+AJ91+AM91</f>
        <v>1956822.9578921103</v>
      </c>
      <c r="AQ91" s="453">
        <f t="shared" si="46"/>
        <v>11.7</v>
      </c>
      <c r="AR91" s="498"/>
      <c r="AS91" s="492"/>
      <c r="AT91" s="496"/>
    </row>
    <row r="92" spans="1:46" ht="18.75" customHeight="1" x14ac:dyDescent="0.35">
      <c r="A92" s="463" t="s">
        <v>250</v>
      </c>
      <c r="B92" s="463"/>
      <c r="W92" s="463"/>
      <c r="X92" s="465"/>
      <c r="AA92" s="466"/>
      <c r="AB92" s="466"/>
      <c r="AC92" s="466"/>
      <c r="AD92" s="466"/>
      <c r="AE92" s="466"/>
      <c r="AF92" s="466"/>
      <c r="AG92" s="466"/>
      <c r="AH92" s="466"/>
      <c r="AI92" s="463"/>
      <c r="AL92" s="463"/>
    </row>
    <row r="93" spans="1:46" ht="18.75" customHeight="1" x14ac:dyDescent="0.35">
      <c r="A93" s="463" t="s">
        <v>251</v>
      </c>
      <c r="W93" s="463"/>
      <c r="X93" s="465"/>
      <c r="AA93" s="466"/>
      <c r="AB93" s="466"/>
      <c r="AC93" s="466"/>
      <c r="AD93" s="466"/>
      <c r="AE93" s="466"/>
      <c r="AF93" s="466"/>
      <c r="AG93" s="466"/>
      <c r="AH93" s="466"/>
      <c r="AI93" s="463"/>
      <c r="AL93" s="463"/>
    </row>
    <row r="94" spans="1:46" s="467" customFormat="1" ht="18.75" customHeight="1" x14ac:dyDescent="0.35">
      <c r="A94" s="463" t="s">
        <v>252</v>
      </c>
      <c r="W94" s="463"/>
      <c r="X94" s="463"/>
      <c r="AB94" s="468"/>
      <c r="AC94" s="468"/>
      <c r="AD94" s="468"/>
      <c r="AE94" s="468"/>
      <c r="AF94" s="468"/>
      <c r="AG94" s="468"/>
      <c r="AH94" s="468"/>
      <c r="AR94" s="501"/>
      <c r="AS94" s="501"/>
    </row>
    <row r="95" spans="1:46" s="503" customFormat="1" ht="15.6" x14ac:dyDescent="0.3">
      <c r="W95" s="502"/>
      <c r="X95" s="502"/>
    </row>
    <row r="96" spans="1:46" x14ac:dyDescent="0.25">
      <c r="W96" s="465"/>
      <c r="X96" s="465"/>
    </row>
    <row r="97" spans="23:24" x14ac:dyDescent="0.25">
      <c r="W97" s="465"/>
      <c r="X97" s="465"/>
    </row>
    <row r="98" spans="23:24" x14ac:dyDescent="0.25">
      <c r="W98" s="465"/>
      <c r="X98" s="465"/>
    </row>
    <row r="99" spans="23:24" x14ac:dyDescent="0.25">
      <c r="W99" s="465"/>
      <c r="X99" s="465"/>
    </row>
    <row r="100" spans="23:24" x14ac:dyDescent="0.25">
      <c r="W100" s="465"/>
      <c r="X100" s="465"/>
    </row>
    <row r="101" spans="23:24" x14ac:dyDescent="0.25">
      <c r="W101" s="465"/>
      <c r="X101" s="465"/>
    </row>
    <row r="102" spans="23:24" x14ac:dyDescent="0.25">
      <c r="W102" s="465"/>
      <c r="X102" s="465"/>
    </row>
    <row r="103" spans="23:24" x14ac:dyDescent="0.25">
      <c r="W103" s="465"/>
      <c r="X103" s="465"/>
    </row>
    <row r="104" spans="23:24" x14ac:dyDescent="0.25">
      <c r="W104" s="465"/>
      <c r="X104" s="465"/>
    </row>
    <row r="105" spans="23:24" x14ac:dyDescent="0.25">
      <c r="W105" s="465"/>
      <c r="X105" s="465"/>
    </row>
    <row r="106" spans="23:24" x14ac:dyDescent="0.25">
      <c r="W106" s="465"/>
      <c r="X106" s="465"/>
    </row>
    <row r="107" spans="23:24" x14ac:dyDescent="0.25">
      <c r="W107" s="465"/>
      <c r="X107" s="465"/>
    </row>
    <row r="108" spans="23:24" x14ac:dyDescent="0.25">
      <c r="W108" s="465"/>
      <c r="X108" s="465"/>
    </row>
    <row r="109" spans="23:24" x14ac:dyDescent="0.25">
      <c r="W109" s="465"/>
      <c r="X109" s="465"/>
    </row>
    <row r="110" spans="23:24" x14ac:dyDescent="0.25">
      <c r="W110" s="465"/>
      <c r="X110" s="465"/>
    </row>
    <row r="111" spans="23:24" x14ac:dyDescent="0.25">
      <c r="W111" s="465"/>
      <c r="X111" s="465"/>
    </row>
    <row r="112" spans="23:24" x14ac:dyDescent="0.25">
      <c r="W112" s="465"/>
      <c r="X112" s="465"/>
    </row>
    <row r="113" spans="23:24" x14ac:dyDescent="0.25">
      <c r="W113" s="465"/>
      <c r="X113" s="465"/>
    </row>
  </sheetData>
  <mergeCells count="34">
    <mergeCell ref="BF5:BH5"/>
    <mergeCell ref="AC5:AE5"/>
    <mergeCell ref="AL5:AN5"/>
    <mergeCell ref="AO5:AQ5"/>
    <mergeCell ref="K6:M6"/>
    <mergeCell ref="N6:P6"/>
    <mergeCell ref="Q6:S6"/>
    <mergeCell ref="K5:M5"/>
    <mergeCell ref="N5:P5"/>
    <mergeCell ref="Q5:S5"/>
    <mergeCell ref="BF6:BH6"/>
    <mergeCell ref="AW6:AY6"/>
    <mergeCell ref="AI5:AK5"/>
    <mergeCell ref="B5:D5"/>
    <mergeCell ref="H5:J5"/>
    <mergeCell ref="AZ5:BB5"/>
    <mergeCell ref="BC5:BE5"/>
    <mergeCell ref="T6:V6"/>
    <mergeCell ref="W6:Y6"/>
    <mergeCell ref="Z6:AB6"/>
    <mergeCell ref="AC6:AE6"/>
    <mergeCell ref="AF6:AH6"/>
    <mergeCell ref="AZ6:BB6"/>
    <mergeCell ref="BC6:BE6"/>
    <mergeCell ref="AT5:AV5"/>
    <mergeCell ref="AW5:AY5"/>
    <mergeCell ref="B6:D6"/>
    <mergeCell ref="H6:J6"/>
    <mergeCell ref="E5:G5"/>
    <mergeCell ref="E6:G6"/>
    <mergeCell ref="AL6:AN6"/>
    <mergeCell ref="AO6:AQ6"/>
    <mergeCell ref="AT6:AV6"/>
    <mergeCell ref="AI6:AK6"/>
  </mergeCells>
  <conditionalFormatting sqref="K35">
    <cfRule type="expression" dxfId="167" priority="277">
      <formula>#REF! ="35≠36+38"</formula>
    </cfRule>
  </conditionalFormatting>
  <conditionalFormatting sqref="K39">
    <cfRule type="expression" dxfId="166" priority="278">
      <formula>#REF! ="39≠40+41+42+43+44"</formula>
    </cfRule>
  </conditionalFormatting>
  <conditionalFormatting sqref="K45">
    <cfRule type="expression" dxfId="165" priority="279">
      <formula>#REF! ="45≠33+34+35+39"</formula>
    </cfRule>
  </conditionalFormatting>
  <conditionalFormatting sqref="K50">
    <cfRule type="expression" dxfId="164" priority="280">
      <formula>#REF! ="50≠51+53"</formula>
    </cfRule>
  </conditionalFormatting>
  <conditionalFormatting sqref="K54">
    <cfRule type="expression" dxfId="163" priority="281">
      <formula>#REF! ="54≠55+56+57+58+59"</formula>
    </cfRule>
  </conditionalFormatting>
  <conditionalFormatting sqref="K60">
    <cfRule type="expression" dxfId="162" priority="282">
      <formula>#REF! ="60≠48+49+50+54"</formula>
    </cfRule>
  </conditionalFormatting>
  <conditionalFormatting sqref="K62">
    <cfRule type="expression" dxfId="161" priority="283">
      <formula>#REF! ="62≠45+46+60+61"</formula>
    </cfRule>
  </conditionalFormatting>
  <conditionalFormatting sqref="K64">
    <cfRule type="expression" dxfId="160" priority="284">
      <formula>#REF! ="64≠29+62"</formula>
    </cfRule>
  </conditionalFormatting>
  <conditionalFormatting sqref="K79">
    <cfRule type="expression" dxfId="159" priority="285">
      <formula>#REF! ="80≠73+74+75+76+77+78+79"</formula>
    </cfRule>
  </conditionalFormatting>
  <conditionalFormatting sqref="K85">
    <cfRule type="expression" dxfId="158" priority="286">
      <formula>#REF! ="88≠82+83+84+85+86+87"</formula>
    </cfRule>
  </conditionalFormatting>
  <conditionalFormatting sqref="K91">
    <cfRule type="expression" dxfId="157" priority="287">
      <formula>#REF! = "64≠94"</formula>
    </cfRule>
  </conditionalFormatting>
  <conditionalFormatting sqref="K91">
    <cfRule type="expression" dxfId="156" priority="288">
      <formula>#REF! = "94≠68+69+71+80+88+89+90+91+92"</formula>
    </cfRule>
  </conditionalFormatting>
  <conditionalFormatting sqref="T35">
    <cfRule type="expression" dxfId="155" priority="253">
      <formula>#REF! ="35≠36+38"</formula>
    </cfRule>
  </conditionalFormatting>
  <conditionalFormatting sqref="T39">
    <cfRule type="expression" dxfId="154" priority="254">
      <formula>#REF! ="39≠40+41+42+43+44"</formula>
    </cfRule>
  </conditionalFormatting>
  <conditionalFormatting sqref="T45">
    <cfRule type="expression" dxfId="153" priority="255">
      <formula>#REF! ="45≠33+34+35+39"</formula>
    </cfRule>
  </conditionalFormatting>
  <conditionalFormatting sqref="T50">
    <cfRule type="expression" dxfId="152" priority="256">
      <formula>#REF! ="50≠51+53"</formula>
    </cfRule>
  </conditionalFormatting>
  <conditionalFormatting sqref="T54">
    <cfRule type="expression" dxfId="151" priority="257">
      <formula>#REF! ="54≠55+56+57+58+59"</formula>
    </cfRule>
  </conditionalFormatting>
  <conditionalFormatting sqref="T60">
    <cfRule type="expression" dxfId="150" priority="258">
      <formula>#REF! ="60≠48+49+50+54"</formula>
    </cfRule>
  </conditionalFormatting>
  <conditionalFormatting sqref="T62">
    <cfRule type="expression" dxfId="149" priority="259">
      <formula>#REF! ="62≠45+46+60+61"</formula>
    </cfRule>
  </conditionalFormatting>
  <conditionalFormatting sqref="T64">
    <cfRule type="expression" dxfId="148" priority="260">
      <formula>#REF! ="64≠29+62"</formula>
    </cfRule>
  </conditionalFormatting>
  <conditionalFormatting sqref="T79">
    <cfRule type="expression" dxfId="147" priority="261">
      <formula>#REF! ="80≠73+74+75+76+77+78+79"</formula>
    </cfRule>
  </conditionalFormatting>
  <conditionalFormatting sqref="T85">
    <cfRule type="expression" dxfId="146" priority="262">
      <formula>#REF! ="88≠82+83+84+85+86+87"</formula>
    </cfRule>
  </conditionalFormatting>
  <conditionalFormatting sqref="T91">
    <cfRule type="expression" dxfId="145" priority="263">
      <formula>#REF! = "64≠94"</formula>
    </cfRule>
  </conditionalFormatting>
  <conditionalFormatting sqref="T91">
    <cfRule type="expression" dxfId="144" priority="264">
      <formula>#REF! = "94≠68+69+71+80+88+89+90+91+92"</formula>
    </cfRule>
  </conditionalFormatting>
  <conditionalFormatting sqref="AF35">
    <cfRule type="expression" dxfId="143" priority="229">
      <formula>#REF! ="35≠36+38"</formula>
    </cfRule>
  </conditionalFormatting>
  <conditionalFormatting sqref="AF39">
    <cfRule type="expression" dxfId="142" priority="230">
      <formula>#REF! ="39≠40+41+42+43+44"</formula>
    </cfRule>
  </conditionalFormatting>
  <conditionalFormatting sqref="AF45">
    <cfRule type="expression" dxfId="141" priority="231">
      <formula>#REF! ="45≠33+34+35+39"</formula>
    </cfRule>
  </conditionalFormatting>
  <conditionalFormatting sqref="AF50">
    <cfRule type="expression" dxfId="140" priority="232">
      <formula>#REF! ="50≠51+53"</formula>
    </cfRule>
  </conditionalFormatting>
  <conditionalFormatting sqref="AF54">
    <cfRule type="expression" dxfId="139" priority="233">
      <formula>#REF! ="54≠55+56+57+58+59"</formula>
    </cfRule>
  </conditionalFormatting>
  <conditionalFormatting sqref="AF60">
    <cfRule type="expression" dxfId="138" priority="234">
      <formula>#REF! ="60≠48+49+50+54"</formula>
    </cfRule>
  </conditionalFormatting>
  <conditionalFormatting sqref="AF62">
    <cfRule type="expression" dxfId="137" priority="235">
      <formula>#REF! ="62≠45+46+60+61"</formula>
    </cfRule>
  </conditionalFormatting>
  <conditionalFormatting sqref="AF64">
    <cfRule type="expression" dxfId="136" priority="236">
      <formula>#REF! ="64≠29+62"</formula>
    </cfRule>
  </conditionalFormatting>
  <conditionalFormatting sqref="AF79">
    <cfRule type="expression" dxfId="135" priority="237">
      <formula>#REF! ="80≠73+74+75+76+77+78+79"</formula>
    </cfRule>
  </conditionalFormatting>
  <conditionalFormatting sqref="AF85">
    <cfRule type="expression" dxfId="134" priority="238">
      <formula>#REF! ="88≠82+83+84+85+86+87"</formula>
    </cfRule>
  </conditionalFormatting>
  <conditionalFormatting sqref="AF91">
    <cfRule type="expression" dxfId="133" priority="239">
      <formula>#REF! = "64≠94"</formula>
    </cfRule>
  </conditionalFormatting>
  <conditionalFormatting sqref="AF91">
    <cfRule type="expression" dxfId="132" priority="240">
      <formula>#REF! = "94≠68+69+71+80+88+89+90+91+92"</formula>
    </cfRule>
  </conditionalFormatting>
  <conditionalFormatting sqref="AI35">
    <cfRule type="expression" dxfId="131" priority="205">
      <formula>#REF! ="35≠36+38"</formula>
    </cfRule>
  </conditionalFormatting>
  <conditionalFormatting sqref="AI39">
    <cfRule type="expression" dxfId="130" priority="206">
      <formula>#REF! ="39≠40+41+42+43+44"</formula>
    </cfRule>
  </conditionalFormatting>
  <conditionalFormatting sqref="AI45">
    <cfRule type="expression" dxfId="129" priority="207">
      <formula>#REF! ="45≠33+34+35+39"</formula>
    </cfRule>
  </conditionalFormatting>
  <conditionalFormatting sqref="AI50">
    <cfRule type="expression" dxfId="128" priority="208">
      <formula>#REF! ="50≠51+53"</formula>
    </cfRule>
  </conditionalFormatting>
  <conditionalFormatting sqref="AI54">
    <cfRule type="expression" dxfId="127" priority="209">
      <formula>#REF! ="54≠55+56+57+58+59"</formula>
    </cfRule>
  </conditionalFormatting>
  <conditionalFormatting sqref="AI60">
    <cfRule type="expression" dxfId="126" priority="210">
      <formula>#REF! ="60≠48+49+50+54"</formula>
    </cfRule>
  </conditionalFormatting>
  <conditionalFormatting sqref="AI62">
    <cfRule type="expression" dxfId="125" priority="211">
      <formula>#REF! ="62≠45+46+60+61"</formula>
    </cfRule>
  </conditionalFormatting>
  <conditionalFormatting sqref="AI64">
    <cfRule type="expression" dxfId="124" priority="212">
      <formula>#REF! ="64≠29+62"</formula>
    </cfRule>
  </conditionalFormatting>
  <conditionalFormatting sqref="AI79">
    <cfRule type="expression" dxfId="123" priority="213">
      <formula>#REF! ="80≠73+74+75+76+77+78+79"</formula>
    </cfRule>
  </conditionalFormatting>
  <conditionalFormatting sqref="AI85">
    <cfRule type="expression" dxfId="122" priority="214">
      <formula>#REF! ="88≠82+83+84+85+86+87"</formula>
    </cfRule>
  </conditionalFormatting>
  <conditionalFormatting sqref="AI91">
    <cfRule type="expression" dxfId="121" priority="215">
      <formula>#REF! = "64≠94"</formula>
    </cfRule>
  </conditionalFormatting>
  <conditionalFormatting sqref="AI91">
    <cfRule type="expression" dxfId="120" priority="216">
      <formula>#REF! = "94≠68+69+71+80+88+89+90+91+92"</formula>
    </cfRule>
  </conditionalFormatting>
  <conditionalFormatting sqref="Z35">
    <cfRule type="expression" dxfId="119" priority="181">
      <formula>#REF! ="35≠36+38"</formula>
    </cfRule>
  </conditionalFormatting>
  <conditionalFormatting sqref="Z39">
    <cfRule type="expression" dxfId="118" priority="182">
      <formula>#REF! ="39≠40+41+42+43+44"</formula>
    </cfRule>
  </conditionalFormatting>
  <conditionalFormatting sqref="Z45">
    <cfRule type="expression" dxfId="117" priority="183">
      <formula>#REF! ="45≠33+34+35+39"</formula>
    </cfRule>
  </conditionalFormatting>
  <conditionalFormatting sqref="Z50">
    <cfRule type="expression" dxfId="116" priority="184">
      <formula>#REF! ="50≠51+53"</formula>
    </cfRule>
  </conditionalFormatting>
  <conditionalFormatting sqref="Z54">
    <cfRule type="expression" dxfId="115" priority="185">
      <formula>#REF! ="54≠55+56+57+58+59"</formula>
    </cfRule>
  </conditionalFormatting>
  <conditionalFormatting sqref="Z60">
    <cfRule type="expression" dxfId="114" priority="186">
      <formula>#REF! ="60≠48+49+50+54"</formula>
    </cfRule>
  </conditionalFormatting>
  <conditionalFormatting sqref="Z62">
    <cfRule type="expression" dxfId="113" priority="187">
      <formula>#REF! ="62≠45+46+60+61"</formula>
    </cfRule>
  </conditionalFormatting>
  <conditionalFormatting sqref="Z64">
    <cfRule type="expression" dxfId="112" priority="188">
      <formula>#REF! ="64≠29+62"</formula>
    </cfRule>
  </conditionalFormatting>
  <conditionalFormatting sqref="Z79">
    <cfRule type="expression" dxfId="111" priority="189">
      <formula>#REF! ="80≠73+74+75+76+77+78+79"</formula>
    </cfRule>
  </conditionalFormatting>
  <conditionalFormatting sqref="Z85">
    <cfRule type="expression" dxfId="110" priority="190">
      <formula>#REF! ="88≠82+83+84+85+86+87"</formula>
    </cfRule>
  </conditionalFormatting>
  <conditionalFormatting sqref="Z91">
    <cfRule type="expression" dxfId="109" priority="191">
      <formula>#REF! = "64≠94"</formula>
    </cfRule>
  </conditionalFormatting>
  <conditionalFormatting sqref="Z91">
    <cfRule type="expression" dxfId="108" priority="192">
      <formula>#REF! = "94≠68+69+71+80+88+89+90+91+92"</formula>
    </cfRule>
  </conditionalFormatting>
  <conditionalFormatting sqref="W35">
    <cfRule type="expression" dxfId="107" priority="157">
      <formula>#REF! ="35≠36+38"</formula>
    </cfRule>
  </conditionalFormatting>
  <conditionalFormatting sqref="W39">
    <cfRule type="expression" dxfId="106" priority="158">
      <formula>#REF! ="39≠40+41+42+43+44"</formula>
    </cfRule>
  </conditionalFormatting>
  <conditionalFormatting sqref="W45">
    <cfRule type="expression" dxfId="105" priority="159">
      <formula>#REF! ="45≠33+34+35+39"</formula>
    </cfRule>
  </conditionalFormatting>
  <conditionalFormatting sqref="W50">
    <cfRule type="expression" dxfId="104" priority="160">
      <formula>#REF! ="50≠51+53"</formula>
    </cfRule>
  </conditionalFormatting>
  <conditionalFormatting sqref="W54">
    <cfRule type="expression" dxfId="103" priority="161">
      <formula>#REF! ="54≠55+56+57+58+59"</formula>
    </cfRule>
  </conditionalFormatting>
  <conditionalFormatting sqref="W60">
    <cfRule type="expression" dxfId="102" priority="162">
      <formula>#REF! ="60≠48+49+50+54"</formula>
    </cfRule>
  </conditionalFormatting>
  <conditionalFormatting sqref="W62">
    <cfRule type="expression" dxfId="101" priority="163">
      <formula>#REF! ="62≠45+46+60+61"</formula>
    </cfRule>
  </conditionalFormatting>
  <conditionalFormatting sqref="W64">
    <cfRule type="expression" dxfId="100" priority="164">
      <formula>#REF! ="64≠29+62"</formula>
    </cfRule>
  </conditionalFormatting>
  <conditionalFormatting sqref="W79">
    <cfRule type="expression" dxfId="99" priority="165">
      <formula>#REF! ="80≠73+74+75+76+77+78+79"</formula>
    </cfRule>
  </conditionalFormatting>
  <conditionalFormatting sqref="W85">
    <cfRule type="expression" dxfId="98" priority="166">
      <formula>#REF! ="88≠82+83+84+85+86+87"</formula>
    </cfRule>
  </conditionalFormatting>
  <conditionalFormatting sqref="W91">
    <cfRule type="expression" dxfId="97" priority="167">
      <formula>#REF! = "64≠94"</formula>
    </cfRule>
  </conditionalFormatting>
  <conditionalFormatting sqref="W91">
    <cfRule type="expression" dxfId="96" priority="168">
      <formula>#REF! = "94≠68+69+71+80+88+89+90+91+92"</formula>
    </cfRule>
  </conditionalFormatting>
  <conditionalFormatting sqref="AL35">
    <cfRule type="expression" dxfId="95" priority="145">
      <formula>#REF! ="35≠36+38"</formula>
    </cfRule>
  </conditionalFormatting>
  <conditionalFormatting sqref="AL39">
    <cfRule type="expression" dxfId="94" priority="146">
      <formula>#REF! ="39≠40+41+42+43+44"</formula>
    </cfRule>
  </conditionalFormatting>
  <conditionalFormatting sqref="AL45">
    <cfRule type="expression" dxfId="93" priority="147">
      <formula>#REF! ="45≠33+34+35+39"</formula>
    </cfRule>
  </conditionalFormatting>
  <conditionalFormatting sqref="AL50">
    <cfRule type="expression" dxfId="92" priority="148">
      <formula>#REF! ="50≠51+53"</formula>
    </cfRule>
  </conditionalFormatting>
  <conditionalFormatting sqref="AL54">
    <cfRule type="expression" dxfId="91" priority="149">
      <formula>#REF! ="54≠55+56+57+58+59"</formula>
    </cfRule>
  </conditionalFormatting>
  <conditionalFormatting sqref="AL60">
    <cfRule type="expression" dxfId="90" priority="150">
      <formula>#REF! ="60≠48+49+50+54"</formula>
    </cfRule>
  </conditionalFormatting>
  <conditionalFormatting sqref="AL62">
    <cfRule type="expression" dxfId="89" priority="151">
      <formula>#REF! ="62≠45+46+60+61"</formula>
    </cfRule>
  </conditionalFormatting>
  <conditionalFormatting sqref="AL64">
    <cfRule type="expression" dxfId="88" priority="152">
      <formula>#REF! ="64≠29+62"</formula>
    </cfRule>
  </conditionalFormatting>
  <conditionalFormatting sqref="AL79">
    <cfRule type="expression" dxfId="87" priority="153">
      <formula>#REF! ="80≠73+74+75+76+77+78+79"</formula>
    </cfRule>
  </conditionalFormatting>
  <conditionalFormatting sqref="AL85">
    <cfRule type="expression" dxfId="86" priority="154">
      <formula>#REF! ="88≠82+83+84+85+86+87"</formula>
    </cfRule>
  </conditionalFormatting>
  <conditionalFormatting sqref="AL91">
    <cfRule type="expression" dxfId="85" priority="155">
      <formula>#REF! = "64≠94"</formula>
    </cfRule>
  </conditionalFormatting>
  <conditionalFormatting sqref="AL91">
    <cfRule type="expression" dxfId="84" priority="156">
      <formula>#REF! = "94≠68+69+71+80+88+89+90+91+92"</formula>
    </cfRule>
  </conditionalFormatting>
  <conditionalFormatting sqref="N35">
    <cfRule type="expression" dxfId="83" priority="109">
      <formula>#REF! ="35≠36+38"</formula>
    </cfRule>
  </conditionalFormatting>
  <conditionalFormatting sqref="N39">
    <cfRule type="expression" dxfId="82" priority="110">
      <formula>#REF! ="39≠40+41+42+43+44"</formula>
    </cfRule>
  </conditionalFormatting>
  <conditionalFormatting sqref="N45">
    <cfRule type="expression" dxfId="81" priority="111">
      <formula>#REF! ="45≠33+34+35+39"</formula>
    </cfRule>
  </conditionalFormatting>
  <conditionalFormatting sqref="N50">
    <cfRule type="expression" dxfId="80" priority="112">
      <formula>#REF! ="50≠51+53"</formula>
    </cfRule>
  </conditionalFormatting>
  <conditionalFormatting sqref="N54">
    <cfRule type="expression" dxfId="79" priority="113">
      <formula>#REF! ="54≠55+56+57+58+59"</formula>
    </cfRule>
  </conditionalFormatting>
  <conditionalFormatting sqref="N60">
    <cfRule type="expression" dxfId="78" priority="114">
      <formula>#REF! ="60≠48+49+50+54"</formula>
    </cfRule>
  </conditionalFormatting>
  <conditionalFormatting sqref="N62">
    <cfRule type="expression" dxfId="77" priority="115">
      <formula>#REF! ="62≠45+46+60+61"</formula>
    </cfRule>
  </conditionalFormatting>
  <conditionalFormatting sqref="N64">
    <cfRule type="expression" dxfId="76" priority="116">
      <formula>#REF! ="64≠29+62"</formula>
    </cfRule>
  </conditionalFormatting>
  <conditionalFormatting sqref="N79">
    <cfRule type="expression" dxfId="75" priority="117">
      <formula>#REF! ="80≠73+74+75+76+77+78+79"</formula>
    </cfRule>
  </conditionalFormatting>
  <conditionalFormatting sqref="N85">
    <cfRule type="expression" dxfId="74" priority="118">
      <formula>#REF! ="88≠82+83+84+85+86+87"</formula>
    </cfRule>
  </conditionalFormatting>
  <conditionalFormatting sqref="N91">
    <cfRule type="expression" dxfId="73" priority="119">
      <formula>#REF! = "64≠94"</formula>
    </cfRule>
  </conditionalFormatting>
  <conditionalFormatting sqref="N91">
    <cfRule type="expression" dxfId="72" priority="120">
      <formula>#REF! = "94≠68+69+71+80+88+89+90+91+92"</formula>
    </cfRule>
  </conditionalFormatting>
  <conditionalFormatting sqref="AC35">
    <cfRule type="expression" dxfId="71" priority="85">
      <formula>#REF! ="35≠36+38"</formula>
    </cfRule>
  </conditionalFormatting>
  <conditionalFormatting sqref="AC39">
    <cfRule type="expression" dxfId="70" priority="86">
      <formula>#REF! ="39≠40+41+42+43+44"</formula>
    </cfRule>
  </conditionalFormatting>
  <conditionalFormatting sqref="AC45">
    <cfRule type="expression" dxfId="69" priority="87">
      <formula>#REF! ="45≠33+34+35+39"</formula>
    </cfRule>
  </conditionalFormatting>
  <conditionalFormatting sqref="AC50">
    <cfRule type="expression" dxfId="68" priority="88">
      <formula>#REF! ="50≠51+53"</formula>
    </cfRule>
  </conditionalFormatting>
  <conditionalFormatting sqref="AC54">
    <cfRule type="expression" dxfId="67" priority="89">
      <formula>#REF! ="54≠55+56+57+58+59"</formula>
    </cfRule>
  </conditionalFormatting>
  <conditionalFormatting sqref="AC60">
    <cfRule type="expression" dxfId="66" priority="90">
      <formula>#REF! ="60≠48+49+50+54"</formula>
    </cfRule>
  </conditionalFormatting>
  <conditionalFormatting sqref="AC62">
    <cfRule type="expression" dxfId="65" priority="91">
      <formula>#REF! ="62≠45+46+60+61"</formula>
    </cfRule>
  </conditionalFormatting>
  <conditionalFormatting sqref="AC64">
    <cfRule type="expression" dxfId="64" priority="92">
      <formula>#REF! ="64≠29+62"</formula>
    </cfRule>
  </conditionalFormatting>
  <conditionalFormatting sqref="AC79">
    <cfRule type="expression" dxfId="63" priority="93">
      <formula>#REF! ="80≠73+74+75+76+77+78+79"</formula>
    </cfRule>
  </conditionalFormatting>
  <conditionalFormatting sqref="AC85">
    <cfRule type="expression" dxfId="62" priority="94">
      <formula>#REF! ="88≠82+83+84+85+86+87"</formula>
    </cfRule>
  </conditionalFormatting>
  <conditionalFormatting sqref="AC91">
    <cfRule type="expression" dxfId="61" priority="95">
      <formula>#REF! = "64≠94"</formula>
    </cfRule>
  </conditionalFormatting>
  <conditionalFormatting sqref="AC91">
    <cfRule type="expression" dxfId="60" priority="96">
      <formula>#REF! = "94≠68+69+71+80+88+89+90+91+92"</formula>
    </cfRule>
  </conditionalFormatting>
  <conditionalFormatting sqref="B35">
    <cfRule type="expression" dxfId="59" priority="61">
      <formula>#REF! ="35≠36+38"</formula>
    </cfRule>
  </conditionalFormatting>
  <conditionalFormatting sqref="B39">
    <cfRule type="expression" dxfId="58" priority="62">
      <formula>#REF! ="39≠40+41+42+43+44"</formula>
    </cfRule>
  </conditionalFormatting>
  <conditionalFormatting sqref="B45">
    <cfRule type="expression" dxfId="57" priority="63">
      <formula>#REF! ="45≠33+34+35+39"</formula>
    </cfRule>
  </conditionalFormatting>
  <conditionalFormatting sqref="B50">
    <cfRule type="expression" dxfId="56" priority="64">
      <formula>#REF! ="50≠51+53"</formula>
    </cfRule>
  </conditionalFormatting>
  <conditionalFormatting sqref="B54">
    <cfRule type="expression" dxfId="55" priority="65">
      <formula>#REF! ="54≠55+56+57+58+59"</formula>
    </cfRule>
  </conditionalFormatting>
  <conditionalFormatting sqref="B60">
    <cfRule type="expression" dxfId="54" priority="66">
      <formula>#REF! ="60≠48+49+50+54"</formula>
    </cfRule>
  </conditionalFormatting>
  <conditionalFormatting sqref="B62">
    <cfRule type="expression" dxfId="53" priority="67">
      <formula>#REF! ="62≠45+46+60+61"</formula>
    </cfRule>
  </conditionalFormatting>
  <conditionalFormatting sqref="B64">
    <cfRule type="expression" dxfId="52" priority="68">
      <formula>#REF! ="64≠29+62"</formula>
    </cfRule>
  </conditionalFormatting>
  <conditionalFormatting sqref="B79">
    <cfRule type="expression" dxfId="51" priority="69">
      <formula>#REF! ="80≠73+74+75+76+77+78+79"</formula>
    </cfRule>
  </conditionalFormatting>
  <conditionalFormatting sqref="B85">
    <cfRule type="expression" dxfId="50" priority="70">
      <formula>#REF! ="88≠82+83+84+85+86+87"</formula>
    </cfRule>
  </conditionalFormatting>
  <conditionalFormatting sqref="B91">
    <cfRule type="expression" dxfId="49" priority="71">
      <formula>#REF! = "64≠94"</formula>
    </cfRule>
  </conditionalFormatting>
  <conditionalFormatting sqref="B91">
    <cfRule type="expression" dxfId="48" priority="72">
      <formula>#REF! = "94≠68+69+71+80+88+89+90+91+92"</formula>
    </cfRule>
  </conditionalFormatting>
  <conditionalFormatting sqref="H35">
    <cfRule type="expression" dxfId="47" priority="37">
      <formula>#REF! ="35≠36+38"</formula>
    </cfRule>
  </conditionalFormatting>
  <conditionalFormatting sqref="H39">
    <cfRule type="expression" dxfId="46" priority="38">
      <formula>#REF! ="39≠40+41+42+43+44"</formula>
    </cfRule>
  </conditionalFormatting>
  <conditionalFormatting sqref="H45">
    <cfRule type="expression" dxfId="45" priority="39">
      <formula>#REF! ="45≠33+34+35+39"</formula>
    </cfRule>
  </conditionalFormatting>
  <conditionalFormatting sqref="H50">
    <cfRule type="expression" dxfId="44" priority="40">
      <formula>#REF! ="50≠51+53"</formula>
    </cfRule>
  </conditionalFormatting>
  <conditionalFormatting sqref="H54">
    <cfRule type="expression" dxfId="43" priority="41">
      <formula>#REF! ="54≠55+56+57+58+59"</formula>
    </cfRule>
  </conditionalFormatting>
  <conditionalFormatting sqref="H60">
    <cfRule type="expression" dxfId="42" priority="42">
      <formula>#REF! ="60≠48+49+50+54"</formula>
    </cfRule>
  </conditionalFormatting>
  <conditionalFormatting sqref="H62">
    <cfRule type="expression" dxfId="41" priority="43">
      <formula>#REF! ="62≠45+46+60+61"</formula>
    </cfRule>
  </conditionalFormatting>
  <conditionalFormatting sqref="H64">
    <cfRule type="expression" dxfId="40" priority="44">
      <formula>#REF! ="64≠29+62"</formula>
    </cfRule>
  </conditionalFormatting>
  <conditionalFormatting sqref="H79">
    <cfRule type="expression" dxfId="39" priority="45">
      <formula>#REF! ="80≠73+74+75+76+77+78+79"</formula>
    </cfRule>
  </conditionalFormatting>
  <conditionalFormatting sqref="H85">
    <cfRule type="expression" dxfId="38" priority="46">
      <formula>#REF! ="88≠82+83+84+85+86+87"</formula>
    </cfRule>
  </conditionalFormatting>
  <conditionalFormatting sqref="H91">
    <cfRule type="expression" dxfId="37" priority="47">
      <formula>#REF! = "64≠94"</formula>
    </cfRule>
  </conditionalFormatting>
  <conditionalFormatting sqref="H91">
    <cfRule type="expression" dxfId="36" priority="48">
      <formula>#REF! = "94≠68+69+71+80+88+89+90+91+92"</formula>
    </cfRule>
  </conditionalFormatting>
  <conditionalFormatting sqref="Q35">
    <cfRule type="expression" dxfId="35" priority="13">
      <formula>#REF! ="35≠36+38"</formula>
    </cfRule>
  </conditionalFormatting>
  <conditionalFormatting sqref="Q39">
    <cfRule type="expression" dxfId="34" priority="14">
      <formula>#REF! ="39≠40+41+42+43+44"</formula>
    </cfRule>
  </conditionalFormatting>
  <conditionalFormatting sqref="Q45">
    <cfRule type="expression" dxfId="33" priority="15">
      <formula>#REF! ="45≠33+34+35+39"</formula>
    </cfRule>
  </conditionalFormatting>
  <conditionalFormatting sqref="Q50">
    <cfRule type="expression" dxfId="32" priority="16">
      <formula>#REF! ="50≠51+53"</formula>
    </cfRule>
  </conditionalFormatting>
  <conditionalFormatting sqref="Q54">
    <cfRule type="expression" dxfId="31" priority="17">
      <formula>#REF! ="54≠55+56+57+58+59"</formula>
    </cfRule>
  </conditionalFormatting>
  <conditionalFormatting sqref="Q60">
    <cfRule type="expression" dxfId="30" priority="18">
      <formula>#REF! ="60≠48+49+50+54"</formula>
    </cfRule>
  </conditionalFormatting>
  <conditionalFormatting sqref="Q62">
    <cfRule type="expression" dxfId="29" priority="19">
      <formula>#REF! ="62≠45+46+60+61"</formula>
    </cfRule>
  </conditionalFormatting>
  <conditionalFormatting sqref="Q64">
    <cfRule type="expression" dxfId="28" priority="20">
      <formula>#REF! ="64≠29+62"</formula>
    </cfRule>
  </conditionalFormatting>
  <conditionalFormatting sqref="Q79">
    <cfRule type="expression" dxfId="27" priority="21">
      <formula>#REF! ="80≠73+74+75+76+77+78+79"</formula>
    </cfRule>
  </conditionalFormatting>
  <conditionalFormatting sqref="Q85">
    <cfRule type="expression" dxfId="26" priority="22">
      <formula>#REF! ="88≠82+83+84+85+86+87"</formula>
    </cfRule>
  </conditionalFormatting>
  <conditionalFormatting sqref="Q91">
    <cfRule type="expression" dxfId="25" priority="23">
      <formula>#REF! = "64≠94"</formula>
    </cfRule>
  </conditionalFormatting>
  <conditionalFormatting sqref="Q91">
    <cfRule type="expression" dxfId="24" priority="24">
      <formula>#REF! = "94≠68+69+71+80+88+89+90+91+92"</formula>
    </cfRule>
  </conditionalFormatting>
  <conditionalFormatting sqref="E35">
    <cfRule type="expression" dxfId="23" priority="1">
      <formula>#REF! ="35≠36+38"</formula>
    </cfRule>
  </conditionalFormatting>
  <conditionalFormatting sqref="E39">
    <cfRule type="expression" dxfId="22" priority="2">
      <formula>#REF! ="39≠40+41+42+43+44"</formula>
    </cfRule>
  </conditionalFormatting>
  <conditionalFormatting sqref="E45">
    <cfRule type="expression" dxfId="21" priority="3">
      <formula>#REF! ="45≠33+34+35+39"</formula>
    </cfRule>
  </conditionalFormatting>
  <conditionalFormatting sqref="E50">
    <cfRule type="expression" dxfId="20" priority="4">
      <formula>#REF! ="50≠51+53"</formula>
    </cfRule>
  </conditionalFormatting>
  <conditionalFormatting sqref="E54">
    <cfRule type="expression" dxfId="19" priority="5">
      <formula>#REF! ="54≠55+56+57+58+59"</formula>
    </cfRule>
  </conditionalFormatting>
  <conditionalFormatting sqref="E60">
    <cfRule type="expression" dxfId="18" priority="6">
      <formula>#REF! ="60≠48+49+50+54"</formula>
    </cfRule>
  </conditionalFormatting>
  <conditionalFormatting sqref="E62">
    <cfRule type="expression" dxfId="17" priority="7">
      <formula>#REF! ="62≠45+46+60+61"</formula>
    </cfRule>
  </conditionalFormatting>
  <conditionalFormatting sqref="E64">
    <cfRule type="expression" dxfId="16" priority="8">
      <formula>#REF! ="64≠29+62"</formula>
    </cfRule>
  </conditionalFormatting>
  <conditionalFormatting sqref="E79">
    <cfRule type="expression" dxfId="15" priority="9">
      <formula>#REF! ="80≠73+74+75+76+77+78+79"</formula>
    </cfRule>
  </conditionalFormatting>
  <conditionalFormatting sqref="E85">
    <cfRule type="expression" dxfId="14" priority="10">
      <formula>#REF! ="88≠82+83+84+85+86+87"</formula>
    </cfRule>
  </conditionalFormatting>
  <conditionalFormatting sqref="E91">
    <cfRule type="expression" dxfId="13" priority="11">
      <formula>#REF! = "64≠94"</formula>
    </cfRule>
  </conditionalFormatting>
  <conditionalFormatting sqref="E91">
    <cfRule type="expression" dxfId="12" priority="12">
      <formula>#REF! = "94≠68+69+71+80+88+89+90+91+92"</formula>
    </cfRule>
  </conditionalFormatting>
  <conditionalFormatting sqref="F35 L35 U35 AG35 AJ35 AA35 X35 AM35 O35 AD35 C35 I35 R35">
    <cfRule type="expression" dxfId="11" priority="1232">
      <formula>#REF! ="35≠36+38"</formula>
    </cfRule>
  </conditionalFormatting>
  <conditionalFormatting sqref="F39 L39 U39 AG39 AJ39 AA39 X39 AM39 O39 AD39 C39 I39 R39">
    <cfRule type="expression" dxfId="10" priority="1233">
      <formula>#REF! ="39≠40+41+42+43+44"</formula>
    </cfRule>
  </conditionalFormatting>
  <conditionalFormatting sqref="F45 L45 U45 AG45 AJ45 AA45 X45 AM45 O45 AD45 C45 I45 R45">
    <cfRule type="expression" dxfId="9" priority="1234">
      <formula>#REF! ="45≠33+34+35+39"</formula>
    </cfRule>
  </conditionalFormatting>
  <conditionalFormatting sqref="F50 L50 U50 AG50 AJ50 AA50 X50 AM50 O50 AD50 C50 I50 R50">
    <cfRule type="expression" dxfId="8" priority="1235">
      <formula>#REF! ="50≠51+53"</formula>
    </cfRule>
  </conditionalFormatting>
  <conditionalFormatting sqref="F54 L54 U54 AG54 AJ54 AA54 X54 AM54 O54 AD54 C54 I54 R54">
    <cfRule type="expression" dxfId="7" priority="1236">
      <formula>#REF! ="54≠55+56+57+58+59"</formula>
    </cfRule>
  </conditionalFormatting>
  <conditionalFormatting sqref="F60 L60 U60 AG60 AJ60 AA60 X60 AM60 O60 AD60 C60 I60 R60">
    <cfRule type="expression" dxfId="6" priority="1237">
      <formula>#REF! ="60≠48+49+50+54"</formula>
    </cfRule>
  </conditionalFormatting>
  <conditionalFormatting sqref="F62 L62 U62 AG62 AJ62 AA62 X62 AM62 O62 AD62 C62 I62 R62">
    <cfRule type="expression" dxfId="5" priority="1238">
      <formula>#REF! ="62≠45+46+60+61"</formula>
    </cfRule>
  </conditionalFormatting>
  <conditionalFormatting sqref="F64 L64 U64 AG64 AJ64 AA64 X64 AM64 O64 AD64 C64 I64 R64">
    <cfRule type="expression" dxfId="4" priority="1239">
      <formula>#REF! ="64≠29+62"</formula>
    </cfRule>
  </conditionalFormatting>
  <conditionalFormatting sqref="F79 L79 U79 AG79 AJ79 AA79 X79 AM79 O79 AD79 C79 I79 R79">
    <cfRule type="expression" dxfId="3" priority="1240">
      <formula>#REF! ="80≠73+74+75+76+77+78+79"</formula>
    </cfRule>
  </conditionalFormatting>
  <conditionalFormatting sqref="F85 L85 U85 AG85 AJ85 AA85 X85 AM85 O85 AD85 C85 I85 R85">
    <cfRule type="expression" dxfId="2" priority="1241">
      <formula>#REF! ="88≠82+83+84+85+86+87"</formula>
    </cfRule>
  </conditionalFormatting>
  <conditionalFormatting sqref="F91 L91 U91 AG91 AJ91 AA91 X91 AM91 O91 AD91 C91 I91 R91">
    <cfRule type="expression" dxfId="1" priority="1242">
      <formula>#REF! = "64≠94"</formula>
    </cfRule>
  </conditionalFormatting>
  <conditionalFormatting sqref="F91 L91 U91 AG91 AJ91 AA91 X91 AM91 O91 AD91 C91 I91 R91">
    <cfRule type="expression" dxfId="0" priority="1243">
      <formula>#REF! = "94≠68+69+71+80+88+89+90+91+92"</formula>
    </cfRule>
  </conditionalFormatting>
  <hyperlinks>
    <hyperlink ref="B1" location="Innhold!A1" display="Tilbake"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9ECC-34D8-449C-A45F-BABDDACF2022}">
  <dimension ref="A1:AY18"/>
  <sheetViews>
    <sheetView showGridLines="0" zoomScale="70" zoomScaleNormal="70" workbookViewId="0">
      <pane xSplit="1" ySplit="8" topLeftCell="B9" activePane="bottomRight" state="frozen"/>
      <selection activeCell="B33" sqref="B33"/>
      <selection pane="topRight" activeCell="B33" sqref="B33"/>
      <selection pane="bottomLeft" activeCell="B33" sqref="B33"/>
      <selection pane="bottomRight" activeCell="A4" sqref="A4"/>
    </sheetView>
  </sheetViews>
  <sheetFormatPr baseColWidth="10" defaultColWidth="11.44140625" defaultRowHeight="13.2" x14ac:dyDescent="0.25"/>
  <cols>
    <col min="1" max="1" width="62" style="618" customWidth="1"/>
    <col min="2" max="37" width="11.6640625" style="618" customWidth="1"/>
    <col min="38" max="253" width="11.44140625" style="618"/>
    <col min="254" max="254" width="62" style="618" customWidth="1"/>
    <col min="255" max="290" width="11.6640625" style="618" customWidth="1"/>
    <col min="291" max="509" width="11.44140625" style="618"/>
    <col min="510" max="510" width="62" style="618" customWidth="1"/>
    <col min="511" max="546" width="11.6640625" style="618" customWidth="1"/>
    <col min="547" max="765" width="11.44140625" style="618"/>
    <col min="766" max="766" width="62" style="618" customWidth="1"/>
    <col min="767" max="802" width="11.6640625" style="618" customWidth="1"/>
    <col min="803" max="1021" width="11.44140625" style="618"/>
    <col min="1022" max="1022" width="62" style="618" customWidth="1"/>
    <col min="1023" max="1058" width="11.6640625" style="618" customWidth="1"/>
    <col min="1059" max="1277" width="11.44140625" style="618"/>
    <col min="1278" max="1278" width="62" style="618" customWidth="1"/>
    <col min="1279" max="1314" width="11.6640625" style="618" customWidth="1"/>
    <col min="1315" max="1533" width="11.44140625" style="618"/>
    <col min="1534" max="1534" width="62" style="618" customWidth="1"/>
    <col min="1535" max="1570" width="11.6640625" style="618" customWidth="1"/>
    <col min="1571" max="1789" width="11.44140625" style="618"/>
    <col min="1790" max="1790" width="62" style="618" customWidth="1"/>
    <col min="1791" max="1826" width="11.6640625" style="618" customWidth="1"/>
    <col min="1827" max="2045" width="11.44140625" style="618"/>
    <col min="2046" max="2046" width="62" style="618" customWidth="1"/>
    <col min="2047" max="2082" width="11.6640625" style="618" customWidth="1"/>
    <col min="2083" max="2301" width="11.44140625" style="618"/>
    <col min="2302" max="2302" width="62" style="618" customWidth="1"/>
    <col min="2303" max="2338" width="11.6640625" style="618" customWidth="1"/>
    <col min="2339" max="2557" width="11.44140625" style="618"/>
    <col min="2558" max="2558" width="62" style="618" customWidth="1"/>
    <col min="2559" max="2594" width="11.6640625" style="618" customWidth="1"/>
    <col min="2595" max="2813" width="11.44140625" style="618"/>
    <col min="2814" max="2814" width="62" style="618" customWidth="1"/>
    <col min="2815" max="2850" width="11.6640625" style="618" customWidth="1"/>
    <col min="2851" max="3069" width="11.44140625" style="618"/>
    <col min="3070" max="3070" width="62" style="618" customWidth="1"/>
    <col min="3071" max="3106" width="11.6640625" style="618" customWidth="1"/>
    <col min="3107" max="3325" width="11.44140625" style="618"/>
    <col min="3326" max="3326" width="62" style="618" customWidth="1"/>
    <col min="3327" max="3362" width="11.6640625" style="618" customWidth="1"/>
    <col min="3363" max="3581" width="11.44140625" style="618"/>
    <col min="3582" max="3582" width="62" style="618" customWidth="1"/>
    <col min="3583" max="3618" width="11.6640625" style="618" customWidth="1"/>
    <col min="3619" max="3837" width="11.44140625" style="618"/>
    <col min="3838" max="3838" width="62" style="618" customWidth="1"/>
    <col min="3839" max="3874" width="11.6640625" style="618" customWidth="1"/>
    <col min="3875" max="4093" width="11.44140625" style="618"/>
    <col min="4094" max="4094" width="62" style="618" customWidth="1"/>
    <col min="4095" max="4130" width="11.6640625" style="618" customWidth="1"/>
    <col min="4131" max="4349" width="11.44140625" style="618"/>
    <col min="4350" max="4350" width="62" style="618" customWidth="1"/>
    <col min="4351" max="4386" width="11.6640625" style="618" customWidth="1"/>
    <col min="4387" max="4605" width="11.44140625" style="618"/>
    <col min="4606" max="4606" width="62" style="618" customWidth="1"/>
    <col min="4607" max="4642" width="11.6640625" style="618" customWidth="1"/>
    <col min="4643" max="4861" width="11.44140625" style="618"/>
    <col min="4862" max="4862" width="62" style="618" customWidth="1"/>
    <col min="4863" max="4898" width="11.6640625" style="618" customWidth="1"/>
    <col min="4899" max="5117" width="11.44140625" style="618"/>
    <col min="5118" max="5118" width="62" style="618" customWidth="1"/>
    <col min="5119" max="5154" width="11.6640625" style="618" customWidth="1"/>
    <col min="5155" max="5373" width="11.44140625" style="618"/>
    <col min="5374" max="5374" width="62" style="618" customWidth="1"/>
    <col min="5375" max="5410" width="11.6640625" style="618" customWidth="1"/>
    <col min="5411" max="5629" width="11.44140625" style="618"/>
    <col min="5630" max="5630" width="62" style="618" customWidth="1"/>
    <col min="5631" max="5666" width="11.6640625" style="618" customWidth="1"/>
    <col min="5667" max="5885" width="11.44140625" style="618"/>
    <col min="5886" max="5886" width="62" style="618" customWidth="1"/>
    <col min="5887" max="5922" width="11.6640625" style="618" customWidth="1"/>
    <col min="5923" max="6141" width="11.44140625" style="618"/>
    <col min="6142" max="6142" width="62" style="618" customWidth="1"/>
    <col min="6143" max="6178" width="11.6640625" style="618" customWidth="1"/>
    <col min="6179" max="6397" width="11.44140625" style="618"/>
    <col min="6398" max="6398" width="62" style="618" customWidth="1"/>
    <col min="6399" max="6434" width="11.6640625" style="618" customWidth="1"/>
    <col min="6435" max="6653" width="11.44140625" style="618"/>
    <col min="6654" max="6654" width="62" style="618" customWidth="1"/>
    <col min="6655" max="6690" width="11.6640625" style="618" customWidth="1"/>
    <col min="6691" max="6909" width="11.44140625" style="618"/>
    <col min="6910" max="6910" width="62" style="618" customWidth="1"/>
    <col min="6911" max="6946" width="11.6640625" style="618" customWidth="1"/>
    <col min="6947" max="7165" width="11.44140625" style="618"/>
    <col min="7166" max="7166" width="62" style="618" customWidth="1"/>
    <col min="7167" max="7202" width="11.6640625" style="618" customWidth="1"/>
    <col min="7203" max="7421" width="11.44140625" style="618"/>
    <col min="7422" max="7422" width="62" style="618" customWidth="1"/>
    <col min="7423" max="7458" width="11.6640625" style="618" customWidth="1"/>
    <col min="7459" max="7677" width="11.44140625" style="618"/>
    <col min="7678" max="7678" width="62" style="618" customWidth="1"/>
    <col min="7679" max="7714" width="11.6640625" style="618" customWidth="1"/>
    <col min="7715" max="7933" width="11.44140625" style="618"/>
    <col min="7934" max="7934" width="62" style="618" customWidth="1"/>
    <col min="7935" max="7970" width="11.6640625" style="618" customWidth="1"/>
    <col min="7971" max="8189" width="11.44140625" style="618"/>
    <col min="8190" max="8190" width="62" style="618" customWidth="1"/>
    <col min="8191" max="8226" width="11.6640625" style="618" customWidth="1"/>
    <col min="8227" max="8445" width="11.44140625" style="618"/>
    <col min="8446" max="8446" width="62" style="618" customWidth="1"/>
    <col min="8447" max="8482" width="11.6640625" style="618" customWidth="1"/>
    <col min="8483" max="8701" width="11.44140625" style="618"/>
    <col min="8702" max="8702" width="62" style="618" customWidth="1"/>
    <col min="8703" max="8738" width="11.6640625" style="618" customWidth="1"/>
    <col min="8739" max="8957" width="11.44140625" style="618"/>
    <col min="8958" max="8958" width="62" style="618" customWidth="1"/>
    <col min="8959" max="8994" width="11.6640625" style="618" customWidth="1"/>
    <col min="8995" max="9213" width="11.44140625" style="618"/>
    <col min="9214" max="9214" width="62" style="618" customWidth="1"/>
    <col min="9215" max="9250" width="11.6640625" style="618" customWidth="1"/>
    <col min="9251" max="9469" width="11.44140625" style="618"/>
    <col min="9470" max="9470" width="62" style="618" customWidth="1"/>
    <col min="9471" max="9506" width="11.6640625" style="618" customWidth="1"/>
    <col min="9507" max="9725" width="11.44140625" style="618"/>
    <col min="9726" max="9726" width="62" style="618" customWidth="1"/>
    <col min="9727" max="9762" width="11.6640625" style="618" customWidth="1"/>
    <col min="9763" max="9981" width="11.44140625" style="618"/>
    <col min="9982" max="9982" width="62" style="618" customWidth="1"/>
    <col min="9983" max="10018" width="11.6640625" style="618" customWidth="1"/>
    <col min="10019" max="10237" width="11.44140625" style="618"/>
    <col min="10238" max="10238" width="62" style="618" customWidth="1"/>
    <col min="10239" max="10274" width="11.6640625" style="618" customWidth="1"/>
    <col min="10275" max="10493" width="11.44140625" style="618"/>
    <col min="10494" max="10494" width="62" style="618" customWidth="1"/>
    <col min="10495" max="10530" width="11.6640625" style="618" customWidth="1"/>
    <col min="10531" max="10749" width="11.44140625" style="618"/>
    <col min="10750" max="10750" width="62" style="618" customWidth="1"/>
    <col min="10751" max="10786" width="11.6640625" style="618" customWidth="1"/>
    <col min="10787" max="11005" width="11.44140625" style="618"/>
    <col min="11006" max="11006" width="62" style="618" customWidth="1"/>
    <col min="11007" max="11042" width="11.6640625" style="618" customWidth="1"/>
    <col min="11043" max="11261" width="11.44140625" style="618"/>
    <col min="11262" max="11262" width="62" style="618" customWidth="1"/>
    <col min="11263" max="11298" width="11.6640625" style="618" customWidth="1"/>
    <col min="11299" max="11517" width="11.44140625" style="618"/>
    <col min="11518" max="11518" width="62" style="618" customWidth="1"/>
    <col min="11519" max="11554" width="11.6640625" style="618" customWidth="1"/>
    <col min="11555" max="11773" width="11.44140625" style="618"/>
    <col min="11774" max="11774" width="62" style="618" customWidth="1"/>
    <col min="11775" max="11810" width="11.6640625" style="618" customWidth="1"/>
    <col min="11811" max="12029" width="11.44140625" style="618"/>
    <col min="12030" max="12030" width="62" style="618" customWidth="1"/>
    <col min="12031" max="12066" width="11.6640625" style="618" customWidth="1"/>
    <col min="12067" max="12285" width="11.44140625" style="618"/>
    <col min="12286" max="12286" width="62" style="618" customWidth="1"/>
    <col min="12287" max="12322" width="11.6640625" style="618" customWidth="1"/>
    <col min="12323" max="12541" width="11.44140625" style="618"/>
    <col min="12542" max="12542" width="62" style="618" customWidth="1"/>
    <col min="12543" max="12578" width="11.6640625" style="618" customWidth="1"/>
    <col min="12579" max="12797" width="11.44140625" style="618"/>
    <col min="12798" max="12798" width="62" style="618" customWidth="1"/>
    <col min="12799" max="12834" width="11.6640625" style="618" customWidth="1"/>
    <col min="12835" max="13053" width="11.44140625" style="618"/>
    <col min="13054" max="13054" width="62" style="618" customWidth="1"/>
    <col min="13055" max="13090" width="11.6640625" style="618" customWidth="1"/>
    <col min="13091" max="13309" width="11.44140625" style="618"/>
    <col min="13310" max="13310" width="62" style="618" customWidth="1"/>
    <col min="13311" max="13346" width="11.6640625" style="618" customWidth="1"/>
    <col min="13347" max="13565" width="11.44140625" style="618"/>
    <col min="13566" max="13566" width="62" style="618" customWidth="1"/>
    <col min="13567" max="13602" width="11.6640625" style="618" customWidth="1"/>
    <col min="13603" max="13821" width="11.44140625" style="618"/>
    <col min="13822" max="13822" width="62" style="618" customWidth="1"/>
    <col min="13823" max="13858" width="11.6640625" style="618" customWidth="1"/>
    <col min="13859" max="14077" width="11.44140625" style="618"/>
    <col min="14078" max="14078" width="62" style="618" customWidth="1"/>
    <col min="14079" max="14114" width="11.6640625" style="618" customWidth="1"/>
    <col min="14115" max="14333" width="11.44140625" style="618"/>
    <col min="14334" max="14334" width="62" style="618" customWidth="1"/>
    <col min="14335" max="14370" width="11.6640625" style="618" customWidth="1"/>
    <col min="14371" max="14589" width="11.44140625" style="618"/>
    <col min="14590" max="14590" width="62" style="618" customWidth="1"/>
    <col min="14591" max="14626" width="11.6640625" style="618" customWidth="1"/>
    <col min="14627" max="14845" width="11.44140625" style="618"/>
    <col min="14846" max="14846" width="62" style="618" customWidth="1"/>
    <col min="14847" max="14882" width="11.6640625" style="618" customWidth="1"/>
    <col min="14883" max="15101" width="11.44140625" style="618"/>
    <col min="15102" max="15102" width="62" style="618" customWidth="1"/>
    <col min="15103" max="15138" width="11.6640625" style="618" customWidth="1"/>
    <col min="15139" max="15357" width="11.44140625" style="618"/>
    <col min="15358" max="15358" width="62" style="618" customWidth="1"/>
    <col min="15359" max="15394" width="11.6640625" style="618" customWidth="1"/>
    <col min="15395" max="15613" width="11.44140625" style="618"/>
    <col min="15614" max="15614" width="62" style="618" customWidth="1"/>
    <col min="15615" max="15650" width="11.6640625" style="618" customWidth="1"/>
    <col min="15651" max="15869" width="11.44140625" style="618"/>
    <col min="15870" max="15870" width="62" style="618" customWidth="1"/>
    <col min="15871" max="15906" width="11.6640625" style="618" customWidth="1"/>
    <col min="15907" max="16125" width="11.44140625" style="618"/>
    <col min="16126" max="16126" width="62" style="618" customWidth="1"/>
    <col min="16127" max="16162" width="11.6640625" style="618" customWidth="1"/>
    <col min="16163" max="16384" width="11.44140625" style="618"/>
  </cols>
  <sheetData>
    <row r="1" spans="1:51" ht="20.399999999999999" x14ac:dyDescent="0.35">
      <c r="A1" s="616" t="s">
        <v>171</v>
      </c>
      <c r="B1" s="617" t="s">
        <v>52</v>
      </c>
    </row>
    <row r="2" spans="1:51" ht="20.399999999999999" x14ac:dyDescent="0.35">
      <c r="A2" s="616" t="s">
        <v>267</v>
      </c>
    </row>
    <row r="3" spans="1:51" ht="17.399999999999999" x14ac:dyDescent="0.3">
      <c r="A3" s="619" t="s">
        <v>335</v>
      </c>
    </row>
    <row r="4" spans="1:51" ht="17.399999999999999" x14ac:dyDescent="0.3">
      <c r="A4" s="620" t="s">
        <v>426</v>
      </c>
      <c r="B4" s="621"/>
      <c r="C4" s="622"/>
      <c r="D4" s="623"/>
      <c r="E4" s="621"/>
      <c r="F4" s="622"/>
      <c r="G4" s="623"/>
      <c r="H4" s="621"/>
      <c r="I4" s="622"/>
      <c r="J4" s="623"/>
      <c r="K4" s="622"/>
      <c r="L4" s="622"/>
      <c r="M4" s="623"/>
      <c r="N4" s="622"/>
      <c r="O4" s="622"/>
      <c r="P4" s="623"/>
      <c r="Q4" s="621"/>
      <c r="R4" s="622"/>
      <c r="S4" s="623"/>
      <c r="T4" s="621"/>
      <c r="U4" s="622"/>
      <c r="V4" s="623"/>
      <c r="W4" s="621"/>
      <c r="X4" s="622"/>
      <c r="Y4" s="623"/>
      <c r="Z4" s="621"/>
      <c r="AA4" s="622"/>
      <c r="AB4" s="623"/>
      <c r="AC4" s="621"/>
      <c r="AD4" s="622"/>
      <c r="AE4" s="623"/>
      <c r="AF4" s="621"/>
      <c r="AG4" s="622"/>
      <c r="AH4" s="623"/>
      <c r="AI4" s="621"/>
      <c r="AJ4" s="624"/>
      <c r="AK4" s="623"/>
      <c r="AL4" s="625"/>
      <c r="AM4" s="625"/>
      <c r="AN4" s="625"/>
      <c r="AO4" s="625"/>
      <c r="AP4" s="625"/>
      <c r="AQ4" s="625"/>
      <c r="AR4" s="625"/>
      <c r="AS4" s="625"/>
      <c r="AT4" s="625"/>
      <c r="AU4" s="625"/>
      <c r="AV4" s="625"/>
      <c r="AW4" s="625"/>
      <c r="AX4" s="625"/>
      <c r="AY4" s="625"/>
    </row>
    <row r="5" spans="1:51" ht="17.399999999999999" x14ac:dyDescent="0.3">
      <c r="A5" s="626"/>
      <c r="B5" s="749" t="s">
        <v>174</v>
      </c>
      <c r="C5" s="750"/>
      <c r="D5" s="751"/>
      <c r="E5" s="749" t="s">
        <v>175</v>
      </c>
      <c r="F5" s="750"/>
      <c r="G5" s="751"/>
      <c r="H5" s="749" t="s">
        <v>175</v>
      </c>
      <c r="I5" s="750"/>
      <c r="J5" s="751"/>
      <c r="K5" s="680"/>
      <c r="L5" s="680"/>
      <c r="M5" s="681"/>
      <c r="N5" s="749" t="s">
        <v>176</v>
      </c>
      <c r="O5" s="750"/>
      <c r="P5" s="751"/>
      <c r="Q5" s="749" t="s">
        <v>177</v>
      </c>
      <c r="R5" s="750"/>
      <c r="S5" s="751"/>
      <c r="T5" s="691" t="s">
        <v>178</v>
      </c>
      <c r="U5" s="680"/>
      <c r="V5" s="681"/>
      <c r="W5" s="691"/>
      <c r="X5" s="680"/>
      <c r="Y5" s="681"/>
      <c r="Z5" s="749" t="s">
        <v>179</v>
      </c>
      <c r="AA5" s="750"/>
      <c r="AB5" s="751"/>
      <c r="AC5" s="730" t="s">
        <v>68</v>
      </c>
      <c r="AD5" s="731"/>
      <c r="AE5" s="732"/>
      <c r="AF5" s="749" t="s">
        <v>73</v>
      </c>
      <c r="AG5" s="750"/>
      <c r="AH5" s="751"/>
      <c r="AI5" s="759" t="s">
        <v>285</v>
      </c>
      <c r="AJ5" s="760"/>
      <c r="AK5" s="761"/>
      <c r="AL5" s="672"/>
      <c r="AM5" s="672"/>
      <c r="AN5" s="755"/>
      <c r="AO5" s="755"/>
      <c r="AP5" s="755"/>
      <c r="AQ5" s="755"/>
      <c r="AR5" s="755"/>
      <c r="AS5" s="755"/>
      <c r="AT5" s="755"/>
      <c r="AU5" s="755"/>
      <c r="AV5" s="755"/>
      <c r="AW5" s="755"/>
      <c r="AX5" s="755"/>
      <c r="AY5" s="755"/>
    </row>
    <row r="6" spans="1:51" ht="17.399999999999999" x14ac:dyDescent="0.3">
      <c r="A6" s="628"/>
      <c r="B6" s="752" t="s">
        <v>180</v>
      </c>
      <c r="C6" s="753"/>
      <c r="D6" s="754"/>
      <c r="E6" s="752" t="s">
        <v>423</v>
      </c>
      <c r="F6" s="753"/>
      <c r="G6" s="754"/>
      <c r="H6" s="752" t="s">
        <v>181</v>
      </c>
      <c r="I6" s="753"/>
      <c r="J6" s="754"/>
      <c r="K6" s="752" t="s">
        <v>406</v>
      </c>
      <c r="L6" s="753"/>
      <c r="M6" s="754"/>
      <c r="N6" s="752" t="s">
        <v>181</v>
      </c>
      <c r="O6" s="753"/>
      <c r="P6" s="754"/>
      <c r="Q6" s="752" t="s">
        <v>182</v>
      </c>
      <c r="R6" s="753"/>
      <c r="S6" s="754"/>
      <c r="T6" s="752" t="s">
        <v>63</v>
      </c>
      <c r="U6" s="753"/>
      <c r="V6" s="754"/>
      <c r="W6" s="752" t="s">
        <v>66</v>
      </c>
      <c r="X6" s="753"/>
      <c r="Y6" s="754"/>
      <c r="Z6" s="752" t="s">
        <v>180</v>
      </c>
      <c r="AA6" s="753"/>
      <c r="AB6" s="754"/>
      <c r="AC6" s="733" t="s">
        <v>424</v>
      </c>
      <c r="AD6" s="734"/>
      <c r="AE6" s="735"/>
      <c r="AF6" s="752" t="s">
        <v>181</v>
      </c>
      <c r="AG6" s="753"/>
      <c r="AH6" s="754"/>
      <c r="AI6" s="756" t="s">
        <v>286</v>
      </c>
      <c r="AJ6" s="757"/>
      <c r="AK6" s="758"/>
      <c r="AL6" s="672"/>
      <c r="AM6" s="672"/>
      <c r="AN6" s="755"/>
      <c r="AO6" s="755"/>
      <c r="AP6" s="755"/>
      <c r="AQ6" s="755"/>
      <c r="AR6" s="755"/>
      <c r="AS6" s="755"/>
      <c r="AT6" s="755"/>
      <c r="AU6" s="755"/>
      <c r="AV6" s="755"/>
      <c r="AW6" s="755"/>
      <c r="AX6" s="755"/>
      <c r="AY6" s="755"/>
    </row>
    <row r="7" spans="1:51" ht="17.399999999999999" x14ac:dyDescent="0.3">
      <c r="A7" s="628"/>
      <c r="B7" s="629"/>
      <c r="C7" s="629"/>
      <c r="D7" s="630" t="s">
        <v>81</v>
      </c>
      <c r="E7" s="629"/>
      <c r="F7" s="629"/>
      <c r="G7" s="630" t="s">
        <v>81</v>
      </c>
      <c r="H7" s="629"/>
      <c r="I7" s="629"/>
      <c r="J7" s="630" t="s">
        <v>81</v>
      </c>
      <c r="K7" s="629"/>
      <c r="L7" s="629"/>
      <c r="M7" s="630" t="s">
        <v>81</v>
      </c>
      <c r="N7" s="629"/>
      <c r="O7" s="629"/>
      <c r="P7" s="630" t="s">
        <v>81</v>
      </c>
      <c r="Q7" s="629"/>
      <c r="R7" s="629"/>
      <c r="S7" s="630" t="s">
        <v>81</v>
      </c>
      <c r="T7" s="629"/>
      <c r="U7" s="629"/>
      <c r="V7" s="630" t="s">
        <v>81</v>
      </c>
      <c r="W7" s="692"/>
      <c r="X7" s="692"/>
      <c r="Y7" s="693" t="s">
        <v>81</v>
      </c>
      <c r="Z7" s="629"/>
      <c r="AA7" s="629"/>
      <c r="AB7" s="630" t="s">
        <v>81</v>
      </c>
      <c r="AC7" s="629"/>
      <c r="AD7" s="629"/>
      <c r="AE7" s="630" t="s">
        <v>81</v>
      </c>
      <c r="AF7" s="629"/>
      <c r="AG7" s="629"/>
      <c r="AH7" s="630" t="s">
        <v>81</v>
      </c>
      <c r="AI7" s="629"/>
      <c r="AJ7" s="629"/>
      <c r="AK7" s="630" t="s">
        <v>81</v>
      </c>
      <c r="AL7" s="672"/>
      <c r="AM7" s="672"/>
      <c r="AN7" s="627"/>
      <c r="AO7" s="627"/>
      <c r="AP7" s="627"/>
      <c r="AQ7" s="627"/>
      <c r="AR7" s="627"/>
      <c r="AS7" s="627"/>
      <c r="AT7" s="627"/>
      <c r="AU7" s="627"/>
      <c r="AV7" s="627"/>
      <c r="AW7" s="627"/>
      <c r="AX7" s="627"/>
      <c r="AY7" s="627"/>
    </row>
    <row r="8" spans="1:51" ht="16.2" x14ac:dyDescent="0.35">
      <c r="A8" s="631" t="s">
        <v>288</v>
      </c>
      <c r="B8" s="632">
        <v>2020</v>
      </c>
      <c r="C8" s="632">
        <v>2021</v>
      </c>
      <c r="D8" s="633" t="s">
        <v>83</v>
      </c>
      <c r="E8" s="632">
        <f>$B$8</f>
        <v>2020</v>
      </c>
      <c r="F8" s="632">
        <f>$C$8</f>
        <v>2021</v>
      </c>
      <c r="G8" s="633" t="s">
        <v>83</v>
      </c>
      <c r="H8" s="632">
        <f t="shared" ref="H8" si="0">$B$8</f>
        <v>2020</v>
      </c>
      <c r="I8" s="632">
        <f t="shared" ref="I8" si="1">$C$8</f>
        <v>2021</v>
      </c>
      <c r="J8" s="633" t="s">
        <v>83</v>
      </c>
      <c r="K8" s="632">
        <f t="shared" ref="K8" si="2">$B$8</f>
        <v>2020</v>
      </c>
      <c r="L8" s="632">
        <f t="shared" ref="L8" si="3">$C$8</f>
        <v>2021</v>
      </c>
      <c r="M8" s="633" t="s">
        <v>83</v>
      </c>
      <c r="N8" s="632">
        <f t="shared" ref="N8" si="4">$B$8</f>
        <v>2020</v>
      </c>
      <c r="O8" s="632">
        <f t="shared" ref="O8" si="5">$C$8</f>
        <v>2021</v>
      </c>
      <c r="P8" s="633" t="s">
        <v>83</v>
      </c>
      <c r="Q8" s="632">
        <f t="shared" ref="Q8" si="6">$B$8</f>
        <v>2020</v>
      </c>
      <c r="R8" s="632">
        <f t="shared" ref="R8" si="7">$C$8</f>
        <v>2021</v>
      </c>
      <c r="S8" s="633" t="s">
        <v>83</v>
      </c>
      <c r="T8" s="632">
        <f t="shared" ref="T8" si="8">$B$8</f>
        <v>2020</v>
      </c>
      <c r="U8" s="632">
        <f t="shared" ref="U8" si="9">$C$8</f>
        <v>2021</v>
      </c>
      <c r="V8" s="633" t="s">
        <v>83</v>
      </c>
      <c r="W8" s="632">
        <f t="shared" ref="W8" si="10">$B$8</f>
        <v>2020</v>
      </c>
      <c r="X8" s="632">
        <f t="shared" ref="X8" si="11">$C$8</f>
        <v>2021</v>
      </c>
      <c r="Y8" s="633" t="s">
        <v>83</v>
      </c>
      <c r="Z8" s="632">
        <f t="shared" ref="Z8" si="12">$B$8</f>
        <v>2020</v>
      </c>
      <c r="AA8" s="632">
        <f t="shared" ref="AA8" si="13">$C$8</f>
        <v>2021</v>
      </c>
      <c r="AB8" s="633" t="s">
        <v>83</v>
      </c>
      <c r="AC8" s="632">
        <f t="shared" ref="AC8" si="14">$B$8</f>
        <v>2020</v>
      </c>
      <c r="AD8" s="632">
        <f t="shared" ref="AD8" si="15">$C$8</f>
        <v>2021</v>
      </c>
      <c r="AE8" s="633" t="s">
        <v>83</v>
      </c>
      <c r="AF8" s="632">
        <f t="shared" ref="AF8" si="16">$B$8</f>
        <v>2020</v>
      </c>
      <c r="AG8" s="632">
        <f t="shared" ref="AG8" si="17">$C$8</f>
        <v>2021</v>
      </c>
      <c r="AH8" s="633" t="s">
        <v>83</v>
      </c>
      <c r="AI8" s="632">
        <f t="shared" ref="AI8" si="18">$B$8</f>
        <v>2020</v>
      </c>
      <c r="AJ8" s="632">
        <f t="shared" ref="AJ8" si="19">$C$8</f>
        <v>2021</v>
      </c>
      <c r="AK8" s="633" t="s">
        <v>83</v>
      </c>
      <c r="AL8" s="635"/>
      <c r="AM8" s="634"/>
      <c r="AN8" s="635"/>
      <c r="AO8" s="635"/>
      <c r="AP8" s="634"/>
      <c r="AQ8" s="635"/>
      <c r="AR8" s="635"/>
      <c r="AS8" s="634"/>
      <c r="AT8" s="635"/>
      <c r="AU8" s="635"/>
      <c r="AV8" s="634"/>
      <c r="AW8" s="635"/>
      <c r="AX8" s="635"/>
      <c r="AY8" s="634"/>
    </row>
    <row r="9" spans="1:51" s="592" customFormat="1" ht="18" x14ac:dyDescent="0.35">
      <c r="A9" s="636"/>
      <c r="B9" s="637"/>
      <c r="C9" s="637"/>
      <c r="D9" s="637"/>
      <c r="E9" s="593"/>
      <c r="F9" s="593"/>
      <c r="G9" s="656"/>
      <c r="H9" s="656"/>
      <c r="I9" s="656"/>
      <c r="J9" s="596"/>
      <c r="K9" s="656"/>
      <c r="L9" s="656"/>
      <c r="M9" s="656"/>
      <c r="N9" s="656"/>
      <c r="O9" s="656"/>
      <c r="P9" s="656"/>
      <c r="Q9" s="656"/>
      <c r="R9" s="656"/>
      <c r="S9" s="656"/>
      <c r="T9" s="656"/>
      <c r="U9" s="656"/>
      <c r="V9" s="656"/>
      <c r="W9" s="593"/>
      <c r="X9" s="593"/>
      <c r="Y9" s="656"/>
      <c r="Z9" s="656"/>
      <c r="AA9" s="656"/>
      <c r="AB9" s="656"/>
      <c r="AC9" s="665"/>
      <c r="AD9" s="665"/>
      <c r="AE9" s="656"/>
      <c r="AF9" s="656"/>
      <c r="AG9" s="656"/>
      <c r="AH9" s="656"/>
      <c r="AI9" s="637"/>
      <c r="AJ9" s="637"/>
      <c r="AK9" s="637"/>
    </row>
    <row r="10" spans="1:51" s="592" customFormat="1" ht="18" x14ac:dyDescent="0.35">
      <c r="A10" s="638" t="s">
        <v>407</v>
      </c>
      <c r="B10" s="656"/>
      <c r="C10" s="656"/>
      <c r="D10" s="596"/>
      <c r="E10" s="593"/>
      <c r="F10" s="593"/>
      <c r="G10" s="656"/>
      <c r="H10" s="656"/>
      <c r="I10" s="656"/>
      <c r="J10" s="596"/>
      <c r="K10" s="656"/>
      <c r="L10" s="656"/>
      <c r="M10" s="656"/>
      <c r="N10" s="656"/>
      <c r="O10" s="656"/>
      <c r="P10" s="656"/>
      <c r="Q10" s="656"/>
      <c r="R10" s="656"/>
      <c r="S10" s="656"/>
      <c r="T10" s="656"/>
      <c r="U10" s="656"/>
      <c r="V10" s="656"/>
      <c r="W10" s="593"/>
      <c r="X10" s="593"/>
      <c r="Y10" s="656"/>
      <c r="Z10" s="593"/>
      <c r="AA10" s="593"/>
      <c r="AB10" s="656"/>
      <c r="AC10" s="656"/>
      <c r="AD10" s="593"/>
      <c r="AE10" s="656"/>
      <c r="AF10" s="593"/>
      <c r="AG10" s="593"/>
      <c r="AH10" s="656"/>
      <c r="AI10" s="656"/>
      <c r="AJ10" s="656"/>
      <c r="AK10" s="657"/>
    </row>
    <row r="11" spans="1:51" ht="20.399999999999999" x14ac:dyDescent="0.35">
      <c r="A11" s="638" t="s">
        <v>408</v>
      </c>
      <c r="B11" s="656">
        <v>1.29</v>
      </c>
      <c r="C11" s="656">
        <v>1.49</v>
      </c>
      <c r="D11" s="597">
        <f>IF(B11=0, "    ---- ", IF(ABS(ROUND(100/B11*C11-100,1))&lt;999,ROUND(100/B11*C11-100,1),IF(ROUND(100/B11*C11-100,1)&gt;999,999,-999)))</f>
        <v>15.5</v>
      </c>
      <c r="E11" s="593">
        <v>1.1000000000000001</v>
      </c>
      <c r="F11" s="593"/>
      <c r="G11" s="656"/>
      <c r="H11" s="656">
        <v>1.02</v>
      </c>
      <c r="I11" s="656">
        <v>3.67</v>
      </c>
      <c r="J11" s="597">
        <f>IF(H11=0, "    ---- ", IF(ABS(ROUND(100/H11*I11-100,1))&lt;999,ROUND(100/H11*I11-100,1),IF(ROUND(100/H11*I11-100,1)&gt;999,999,-999)))</f>
        <v>259.8</v>
      </c>
      <c r="K11" s="656">
        <v>1.5</v>
      </c>
      <c r="L11" s="656">
        <v>1.69</v>
      </c>
      <c r="M11" s="656"/>
      <c r="N11" s="656"/>
      <c r="O11" s="656"/>
      <c r="P11" s="656"/>
      <c r="Q11" s="656">
        <v>1.71</v>
      </c>
      <c r="R11" s="656">
        <v>2.81</v>
      </c>
      <c r="S11" s="656"/>
      <c r="T11" s="656">
        <v>3.1641821479754695</v>
      </c>
      <c r="U11" s="656">
        <v>3.5199069775318614</v>
      </c>
      <c r="V11" s="656"/>
      <c r="W11" s="593">
        <v>3</v>
      </c>
      <c r="X11" s="593">
        <v>4.9000000000000004</v>
      </c>
      <c r="Y11" s="656"/>
      <c r="Z11" s="593">
        <v>8.67</v>
      </c>
      <c r="AA11" s="593">
        <v>5.81</v>
      </c>
      <c r="AB11" s="656"/>
      <c r="AC11" s="656">
        <v>1.29431072290409</v>
      </c>
      <c r="AD11" s="593">
        <v>4.4288527969126701</v>
      </c>
      <c r="AE11" s="656"/>
      <c r="AF11" s="593">
        <v>2.83</v>
      </c>
      <c r="AG11" s="593">
        <v>3.17</v>
      </c>
      <c r="AH11" s="656"/>
      <c r="AI11" s="657"/>
      <c r="AJ11" s="657"/>
      <c r="AK11" s="657" t="str">
        <f>IF(AI11=0, "    ---- ", IF(ABS(ROUND(100/AI11*AJ11-100,1))&lt;999,ROUND(100/AI11*AJ11-100,1),IF(ROUND(100/AI11*AJ11-100,1)&gt;999,999,-999)))</f>
        <v xml:space="preserve">    ---- </v>
      </c>
    </row>
    <row r="12" spans="1:51" ht="18" x14ac:dyDescent="0.35">
      <c r="A12" s="638" t="s">
        <v>409</v>
      </c>
      <c r="B12" s="656">
        <v>3.79</v>
      </c>
      <c r="C12" s="656">
        <v>0.81</v>
      </c>
      <c r="D12" s="597">
        <f>IF(B12=0, "    ---- ", IF(ABS(ROUND(100/B12*C12-100,1))&lt;999,ROUND(100/B12*C12-100,1),IF(ROUND(100/B12*C12-100,1)&gt;999,999,-999)))</f>
        <v>-78.599999999999994</v>
      </c>
      <c r="E12" s="593">
        <v>1</v>
      </c>
      <c r="F12" s="593"/>
      <c r="G12" s="656"/>
      <c r="H12" s="656">
        <v>-0.15</v>
      </c>
      <c r="I12" s="656">
        <v>3.24</v>
      </c>
      <c r="J12" s="597">
        <f>IF(H12=0, "    ---- ", IF(ABS(ROUND(100/H12*I12-100,1))&lt;999,ROUND(100/H12*I12-100,1),IF(ROUND(100/H12*I12-100,1)&gt;999,999,-999)))</f>
        <v>-999</v>
      </c>
      <c r="K12" s="656">
        <v>1.81</v>
      </c>
      <c r="L12" s="656">
        <v>0.95</v>
      </c>
      <c r="M12" s="656"/>
      <c r="N12" s="656"/>
      <c r="O12" s="656"/>
      <c r="P12" s="656"/>
      <c r="Q12" s="656">
        <v>1.43</v>
      </c>
      <c r="R12" s="656">
        <v>2.96</v>
      </c>
      <c r="S12" s="656"/>
      <c r="T12" s="656">
        <v>1.3974375502501024</v>
      </c>
      <c r="U12" s="656">
        <v>5.5843051024210055</v>
      </c>
      <c r="V12" s="656"/>
      <c r="W12" s="593">
        <v>3</v>
      </c>
      <c r="X12" s="593">
        <v>5.8</v>
      </c>
      <c r="Y12" s="656"/>
      <c r="Z12" s="593">
        <v>7.69</v>
      </c>
      <c r="AA12" s="593">
        <v>3.54</v>
      </c>
      <c r="AB12" s="656"/>
      <c r="AC12" s="656">
        <v>1.42805839118392</v>
      </c>
      <c r="AD12" s="593">
        <v>5.9483041100312199</v>
      </c>
      <c r="AE12" s="656"/>
      <c r="AF12" s="593">
        <v>4.12</v>
      </c>
      <c r="AG12" s="593">
        <v>2.3199999999999998</v>
      </c>
      <c r="AH12" s="656"/>
      <c r="AI12" s="657"/>
      <c r="AJ12" s="657"/>
      <c r="AK12" s="657" t="str">
        <f>IF(AI12=0, "    ---- ", IF(ABS(ROUND(100/AI12*AJ12-100,1))&lt;999,ROUND(100/AI12*AJ12-100,1),IF(ROUND(100/AI12*AJ12-100,1)&gt;999,999,-999)))</f>
        <v xml:space="preserve">    ---- </v>
      </c>
    </row>
    <row r="13" spans="1:51" ht="18" x14ac:dyDescent="0.35">
      <c r="A13" s="638"/>
      <c r="B13" s="656"/>
      <c r="C13" s="656"/>
      <c r="D13" s="596"/>
      <c r="E13" s="593"/>
      <c r="F13" s="593"/>
      <c r="G13" s="656"/>
      <c r="H13" s="656"/>
      <c r="I13" s="656"/>
      <c r="J13" s="596"/>
      <c r="K13" s="656"/>
      <c r="L13" s="656"/>
      <c r="M13" s="656"/>
      <c r="N13" s="656"/>
      <c r="O13" s="656"/>
      <c r="P13" s="656"/>
      <c r="Q13" s="656"/>
      <c r="R13" s="656"/>
      <c r="S13" s="656"/>
      <c r="T13" s="656"/>
      <c r="U13" s="656"/>
      <c r="V13" s="656"/>
      <c r="W13" s="593"/>
      <c r="X13" s="593"/>
      <c r="Y13" s="656"/>
      <c r="Z13" s="593"/>
      <c r="AA13" s="593"/>
      <c r="AB13" s="656"/>
      <c r="AC13" s="656"/>
      <c r="AD13" s="593"/>
      <c r="AE13" s="656"/>
      <c r="AF13" s="593"/>
      <c r="AG13" s="593"/>
      <c r="AH13" s="656"/>
      <c r="AI13" s="656"/>
      <c r="AJ13" s="656"/>
      <c r="AK13" s="656"/>
    </row>
    <row r="14" spans="1:51" ht="18" x14ac:dyDescent="0.35">
      <c r="A14" s="638" t="s">
        <v>410</v>
      </c>
      <c r="B14" s="656"/>
      <c r="C14" s="656"/>
      <c r="D14" s="597"/>
      <c r="E14" s="663">
        <v>52.4</v>
      </c>
      <c r="F14" s="663"/>
      <c r="G14" s="657">
        <f>IF(E14=0, "    ---- ", IF(ABS(ROUND(100/E14*F14-100,1))&lt;999,ROUND(100/E14*F14-100,1),IF(ROUND(100/E14*F14-100,1)&gt;999,999,-999)))</f>
        <v>-100</v>
      </c>
      <c r="H14" s="656">
        <v>24.91</v>
      </c>
      <c r="I14" s="656">
        <v>25.120999999999999</v>
      </c>
      <c r="J14" s="597">
        <f>IF(H14=0, "    ---- ", IF(ABS(ROUND(100/H14*I14-100,1))&lt;999,ROUND(100/H14*I14-100,1),IF(ROUND(100/H14*I14-100,1)&gt;999,999,-999)))</f>
        <v>0.8</v>
      </c>
      <c r="K14" s="656">
        <v>42.17</v>
      </c>
      <c r="L14" s="656">
        <v>47.95</v>
      </c>
      <c r="M14" s="657">
        <f>IF(K14=0, "    ---- ", IF(ABS(ROUND(100/K14*L14-100,1))&lt;999,ROUND(100/K14*L14-100,1),IF(ROUND(100/K14*L14-100,1)&gt;999,999,-999)))</f>
        <v>13.7</v>
      </c>
      <c r="N14" s="656">
        <v>50</v>
      </c>
      <c r="O14" s="656">
        <v>43.3</v>
      </c>
      <c r="P14" s="657">
        <f>IF(N14=0, "    ---- ", IF(ABS(ROUND(100/N14*O14-100,1))&lt;999,ROUND(100/N14*O14-100,1),IF(ROUND(100/N14*O14-100,1)&gt;999,999,-999)))</f>
        <v>-13.4</v>
      </c>
      <c r="Q14" s="656">
        <v>23.14</v>
      </c>
      <c r="R14" s="656">
        <v>20.25</v>
      </c>
      <c r="S14" s="657">
        <f>IF(Q14=0, "    ---- ", IF(ABS(ROUND(100/Q14*R14-100,1))&lt;999,ROUND(100/Q14*R14-100,1),IF(ROUND(100/Q14*R14-100,1)&gt;999,999,-999)))</f>
        <v>-12.5</v>
      </c>
      <c r="T14" s="656">
        <v>22.7</v>
      </c>
      <c r="U14" s="656">
        <v>27.824245126915386</v>
      </c>
      <c r="V14" s="657">
        <f>IF(T14=0, "    ---- ", IF(ABS(ROUND(100/T14*U14-100,1))&lt;999,ROUND(100/T14*U14-100,1),IF(ROUND(100/T14*U14-100,1)&gt;999,999,-999)))</f>
        <v>22.6</v>
      </c>
      <c r="W14" s="593">
        <v>39.4</v>
      </c>
      <c r="X14" s="593">
        <v>38.200000000000003</v>
      </c>
      <c r="Y14" s="657">
        <f>IF(W14=0, "    ---- ", IF(ABS(ROUND(100/W14*X14-100,1))&lt;999,ROUND(100/W14*X14-100,1),IF(ROUND(100/W14*X14-100,1)&gt;999,999,-999)))</f>
        <v>-3</v>
      </c>
      <c r="Z14" s="656">
        <f>(1430+8579+1240+7228+15433+1516)/(67952+1316+380)*100</f>
        <v>50.864346427750974</v>
      </c>
      <c r="AA14" s="656">
        <f>(1430+9640+1240+7898+18175+641)/(71279+5388+366)*100</f>
        <v>50.658808562564097</v>
      </c>
      <c r="AB14" s="657">
        <f>IF(Z14=0, "    ---- ", IF(ABS(ROUND(100/Z14*AA14-100,1))&lt;999,ROUND(100/Z14*AA14-100,1),IF(ROUND(100/Z14*AA14-100,1)&gt;999,999,-999)))</f>
        <v>-0.4</v>
      </c>
      <c r="AC14" s="656">
        <v>44.66249385568014</v>
      </c>
      <c r="AD14" s="593">
        <f>('[2]Tabell 6'!AJ68+'[2]Tabell 6'!AJ71+'[2]Tabell 6'!AJ74+'[2]Tabell 6'!AJ75+'[2]Tabell 6'!AJ78+353.934)/('[2]Tabell 6'!AJ79)*100</f>
        <v>44.2780040059965</v>
      </c>
      <c r="AE14" s="657">
        <f>IF(AC14=0, "    ---- ", IF(ABS(ROUND(100/AC14*AD14-100,1))&lt;999,ROUND(100/AC14*AD14-100,1),IF(ROUND(100/AC14*AD14-100,1)&gt;999,999,-999)))</f>
        <v>-0.9</v>
      </c>
      <c r="AF14" s="593">
        <v>27.9</v>
      </c>
      <c r="AG14" s="593">
        <v>26.8</v>
      </c>
      <c r="AH14" s="657">
        <f>IF(AF14=0, "    ---- ", IF(ABS(ROUND(100/AF14*AG14-100,1))&lt;999,ROUND(100/AF14*AG14-100,1),IF(ROUND(100/AF14*AG14-100,1)&gt;999,999,-999)))</f>
        <v>-3.9</v>
      </c>
      <c r="AI14" s="657"/>
      <c r="AJ14" s="657"/>
      <c r="AK14" s="657" t="str">
        <f>IF(AI14=0, "    ---- ", IF(ABS(ROUND(100/AI14*AJ14-100,1))&lt;999,ROUND(100/AI14*AJ14-100,1),IF(ROUND(100/AI14*AJ14-100,1)&gt;999,999,-999)))</f>
        <v xml:space="preserve">    ---- </v>
      </c>
    </row>
    <row r="15" spans="1:51" ht="18" x14ac:dyDescent="0.35">
      <c r="A15" s="638"/>
      <c r="B15" s="656"/>
      <c r="C15" s="656"/>
      <c r="D15" s="596"/>
      <c r="E15" s="593"/>
      <c r="F15" s="593"/>
      <c r="G15" s="656"/>
      <c r="H15" s="656"/>
      <c r="I15" s="656"/>
      <c r="J15" s="596"/>
      <c r="K15" s="656"/>
      <c r="L15" s="656"/>
      <c r="M15" s="656"/>
      <c r="N15" s="656"/>
      <c r="O15" s="656"/>
      <c r="P15" s="656"/>
      <c r="Q15" s="656"/>
      <c r="R15" s="656"/>
      <c r="S15" s="656"/>
      <c r="T15" s="656"/>
      <c r="U15" s="656"/>
      <c r="V15" s="656"/>
      <c r="W15" s="593"/>
      <c r="X15" s="593"/>
      <c r="Y15" s="656"/>
      <c r="Z15" s="593"/>
      <c r="AA15" s="593"/>
      <c r="AB15" s="656"/>
      <c r="AC15" s="656"/>
      <c r="AD15" s="593"/>
      <c r="AE15" s="656"/>
      <c r="AF15" s="593"/>
      <c r="AG15" s="593"/>
      <c r="AH15" s="656"/>
      <c r="AI15" s="656"/>
      <c r="AJ15" s="656"/>
      <c r="AK15" s="656"/>
    </row>
    <row r="16" spans="1:51" ht="18" x14ac:dyDescent="0.35">
      <c r="A16" s="638" t="s">
        <v>344</v>
      </c>
      <c r="B16" s="657">
        <v>68.054000000000002</v>
      </c>
      <c r="C16" s="657">
        <v>60.634999999999998</v>
      </c>
      <c r="D16" s="597">
        <f>IF(B16=0, "    ---- ", IF(ABS(ROUND(100/B16*C16-100,1))&lt;999,ROUND(100/B16*C16-100,1),IF(ROUND(100/B16*C16-100,1)&gt;999,999,-999)))</f>
        <v>-10.9</v>
      </c>
      <c r="E16" s="594">
        <v>19</v>
      </c>
      <c r="F16" s="594"/>
      <c r="G16" s="657"/>
      <c r="H16" s="657">
        <v>3292.319</v>
      </c>
      <c r="I16" s="657">
        <v>1822.068</v>
      </c>
      <c r="J16" s="597">
        <f>IF(H16=0, "    ---- ", IF(ABS(ROUND(100/H16*I16-100,1))&lt;999,ROUND(100/H16*I16-100,1),IF(ROUND(100/H16*I16-100,1)&gt;999,999,-999)))</f>
        <v>-44.7</v>
      </c>
      <c r="K16" s="657">
        <v>23</v>
      </c>
      <c r="L16" s="657">
        <v>0</v>
      </c>
      <c r="M16" s="657"/>
      <c r="N16" s="657"/>
      <c r="O16" s="657"/>
      <c r="P16" s="657"/>
      <c r="Q16" s="657">
        <v>2.2730000000000001</v>
      </c>
      <c r="R16" s="657">
        <v>12.8</v>
      </c>
      <c r="S16" s="657"/>
      <c r="T16" s="657">
        <v>47456.172450999999</v>
      </c>
      <c r="U16" s="657">
        <v>68620.313370999997</v>
      </c>
      <c r="V16" s="657"/>
      <c r="W16" s="594">
        <v>1661</v>
      </c>
      <c r="X16" s="594">
        <v>2935</v>
      </c>
      <c r="Y16" s="657"/>
      <c r="Z16" s="594">
        <v>15433</v>
      </c>
      <c r="AA16" s="594">
        <v>18175</v>
      </c>
      <c r="AB16" s="657"/>
      <c r="AC16" s="657">
        <v>2354.748</v>
      </c>
      <c r="AD16" s="445">
        <v>2861.8960000000002</v>
      </c>
      <c r="AE16" s="657"/>
      <c r="AF16" s="594">
        <v>8092</v>
      </c>
      <c r="AG16" s="594">
        <v>5692</v>
      </c>
      <c r="AH16" s="657"/>
      <c r="AI16" s="657">
        <f>B16+H16+K16+N16+Q16+T16+E16+W16+Z16+AC16+AF16</f>
        <v>78401.566451000006</v>
      </c>
      <c r="AJ16" s="657">
        <f>C16+I16+L16+O16+R16+U16+F16+X16+AA16+AD16+AG16</f>
        <v>100179.71237099999</v>
      </c>
      <c r="AK16" s="657">
        <f>IF(AI16=0, "    ---- ", IF(ABS(ROUND(100/AI16*AJ16-100,1))&lt;999,ROUND(100/AI16*AJ16-100,1),IF(ROUND(100/AI16*AJ16-100,1)&gt;999,999,-999)))</f>
        <v>27.8</v>
      </c>
    </row>
    <row r="17" spans="1:37" ht="18" x14ac:dyDescent="0.35">
      <c r="A17" s="638"/>
      <c r="B17" s="657"/>
      <c r="C17" s="657"/>
      <c r="D17" s="597"/>
      <c r="E17" s="594"/>
      <c r="F17" s="594"/>
      <c r="G17" s="657"/>
      <c r="H17" s="657"/>
      <c r="I17" s="657"/>
      <c r="J17" s="597"/>
      <c r="K17" s="657"/>
      <c r="L17" s="657"/>
      <c r="M17" s="657"/>
      <c r="N17" s="657"/>
      <c r="O17" s="657"/>
      <c r="P17" s="657"/>
      <c r="Q17" s="657"/>
      <c r="R17" s="657"/>
      <c r="S17" s="657"/>
      <c r="T17" s="657"/>
      <c r="U17" s="657"/>
      <c r="V17" s="657"/>
      <c r="W17" s="594"/>
      <c r="X17" s="594"/>
      <c r="Y17" s="657"/>
      <c r="Z17" s="594"/>
      <c r="AA17" s="594"/>
      <c r="AB17" s="657"/>
      <c r="AC17" s="657"/>
      <c r="AD17" s="594"/>
      <c r="AE17" s="657"/>
      <c r="AF17" s="594"/>
      <c r="AG17" s="594"/>
      <c r="AH17" s="657"/>
      <c r="AI17" s="657"/>
      <c r="AJ17" s="657"/>
      <c r="AK17" s="657"/>
    </row>
    <row r="18" spans="1:37" ht="18" x14ac:dyDescent="0.35">
      <c r="A18" s="639" t="s">
        <v>411</v>
      </c>
      <c r="B18" s="658"/>
      <c r="C18" s="658"/>
      <c r="D18" s="598"/>
      <c r="E18" s="595">
        <v>154</v>
      </c>
      <c r="F18" s="595"/>
      <c r="G18" s="658"/>
      <c r="H18" s="658">
        <v>9086.7749999999996</v>
      </c>
      <c r="I18" s="658">
        <v>4832.1800961500003</v>
      </c>
      <c r="J18" s="598">
        <f>IF(H18=0, "    ---- ", IF(ABS(ROUND(100/H18*I18-100,1))&lt;999,ROUND(100/H18*I18-100,1),IF(ROUND(100/H18*I18-100,1)&gt;999,999,-999)))</f>
        <v>-46.8</v>
      </c>
      <c r="K18" s="662">
        <v>1.6</v>
      </c>
      <c r="L18" s="662">
        <v>3.9</v>
      </c>
      <c r="M18" s="658"/>
      <c r="N18" s="658"/>
      <c r="O18" s="658"/>
      <c r="P18" s="658"/>
      <c r="Q18" s="658">
        <v>7.8109999999999999</v>
      </c>
      <c r="R18" s="658">
        <v>1.8</v>
      </c>
      <c r="S18" s="658"/>
      <c r="T18" s="658">
        <v>1329</v>
      </c>
      <c r="U18" s="658">
        <v>717.35900000000004</v>
      </c>
      <c r="V18" s="658"/>
      <c r="W18" s="595">
        <v>3388</v>
      </c>
      <c r="X18" s="595">
        <v>1426</v>
      </c>
      <c r="Y18" s="658"/>
      <c r="Z18" s="595">
        <v>1516</v>
      </c>
      <c r="AA18" s="595">
        <v>641</v>
      </c>
      <c r="AB18" s="658"/>
      <c r="AC18" s="658">
        <v>112.59399999999999</v>
      </c>
      <c r="AD18" s="595">
        <v>59.939</v>
      </c>
      <c r="AE18" s="658"/>
      <c r="AF18" s="595">
        <v>10476</v>
      </c>
      <c r="AG18" s="595">
        <v>4840</v>
      </c>
      <c r="AH18" s="658"/>
      <c r="AI18" s="658">
        <f>B18+H18+K18+N18+Q18+T18+E18+W18+Z18+AC18+AF18</f>
        <v>26071.78</v>
      </c>
      <c r="AJ18" s="658">
        <f>C18+I18+L18+O18+R18+U18+F18+X18+AA18+AD18+AG18</f>
        <v>12522.178096150001</v>
      </c>
      <c r="AK18" s="658">
        <f>IF(AI18=0, "    ---- ", IF(ABS(ROUND(100/AI18*AJ18-100,1))&lt;999,ROUND(100/AI18*AJ18-100,1),IF(ROUND(100/AI18*AJ18-100,1)&gt;999,999,-999)))</f>
        <v>-52</v>
      </c>
    </row>
  </sheetData>
  <protectedRanges>
    <protectedRange sqref="L9:L10" name="Område1_13_5_2"/>
    <protectedRange sqref="L11:L18" name="Område1_2_1_2_2"/>
    <protectedRange sqref="K9:K10" name="Område1_13_5_3"/>
    <protectedRange sqref="K11:K18" name="Område1_2_1_2_3"/>
    <protectedRange sqref="AC9:AD18" name="Område1_11_1_1_1"/>
    <protectedRange sqref="X9:X10" name="Område1_13_3_1_1"/>
    <protectedRange sqref="X11:X18" name="Område1_5_1_2_1"/>
    <protectedRange sqref="W9:W10" name="Område1_13_3_1_2"/>
    <protectedRange sqref="U11:U18" name="Område1_3_1_2_1"/>
    <protectedRange sqref="T9:T10" name="Område1_13_2_1_2"/>
    <protectedRange sqref="T11:T18" name="Område1_3_1_2_2"/>
    <protectedRange sqref="AG9:AG10" name="Område1_10_1_1_1_1"/>
    <protectedRange sqref="AF11:AF18" name="Område1_8_1_1_1"/>
    <protectedRange sqref="O9:O13 O15:O18" name="Område1_13_1_1_1"/>
    <protectedRange sqref="O14" name="Område1_4_1_2_1"/>
    <protectedRange sqref="N9:N13 N15:N18" name="Område1_13_1_1_2"/>
    <protectedRange sqref="N14" name="Område1_4_1_2_2"/>
    <protectedRange sqref="AA9:AA10" name="Område1_13_4_1_1"/>
    <protectedRange sqref="AA11:AA13 AA15:AA18" name="Område1_6_1_2_1"/>
    <protectedRange sqref="Z9:Z10" name="Område1_13_4_1_2"/>
    <protectedRange sqref="Z11:Z13 Z15:Z18" name="Område1_6_1_2_2"/>
    <protectedRange sqref="Z14:AA14" name="Område1_4_2_1_1"/>
    <protectedRange sqref="C9:C10 C17:C18" name="Område1_12_1_1_1"/>
    <protectedRange sqref="C11:C16" name="Område1_1_1_1_1_1"/>
    <protectedRange sqref="B9:B10 B17:B18" name="Område1_12_1_1_2"/>
    <protectedRange sqref="B11:B16" name="Område1_1_1_1_1_2"/>
    <protectedRange sqref="I9:I10" name="Område1_13_5_1_1_1"/>
    <protectedRange sqref="I11:I18" name="Område1_2_1_2_1_1_1"/>
    <protectedRange sqref="H9:H10" name="Område1_13_5_1_3"/>
    <protectedRange sqref="H11:H18" name="Område1_2_1_2_1_3"/>
    <protectedRange sqref="R9:R13 R15:R18" name="Område1_9_6_1_1"/>
    <protectedRange sqref="R14" name="Område1_4_2_6_1_1"/>
    <protectedRange sqref="Q9:Q13 Q15:Q18" name="Område1_9_6"/>
    <protectedRange sqref="Q14" name="Område1_4_2_6"/>
  </protectedRanges>
  <mergeCells count="29">
    <mergeCell ref="B5:D5"/>
    <mergeCell ref="H5:J5"/>
    <mergeCell ref="N5:P5"/>
    <mergeCell ref="E5:G5"/>
    <mergeCell ref="B6:D6"/>
    <mergeCell ref="H6:J6"/>
    <mergeCell ref="K6:M6"/>
    <mergeCell ref="N6:P6"/>
    <mergeCell ref="E6:G6"/>
    <mergeCell ref="AQ5:AS5"/>
    <mergeCell ref="AT5:AV5"/>
    <mergeCell ref="AW5:AY5"/>
    <mergeCell ref="AN5:AP5"/>
    <mergeCell ref="AF6:AH6"/>
    <mergeCell ref="AI6:AK6"/>
    <mergeCell ref="AF5:AH5"/>
    <mergeCell ref="AI5:AK5"/>
    <mergeCell ref="AN6:AP6"/>
    <mergeCell ref="AQ6:AS6"/>
    <mergeCell ref="AT6:AV6"/>
    <mergeCell ref="AW6:AY6"/>
    <mergeCell ref="Q5:S5"/>
    <mergeCell ref="W6:Y6"/>
    <mergeCell ref="Z6:AB6"/>
    <mergeCell ref="AC6:AE6"/>
    <mergeCell ref="T6:V6"/>
    <mergeCell ref="Z5:AB5"/>
    <mergeCell ref="AC5:AE5"/>
    <mergeCell ref="Q6:S6"/>
  </mergeCells>
  <hyperlinks>
    <hyperlink ref="B1" location="Innhold!A1" display="Tilbake" xr:uid="{10497701-2AA6-4565-8F01-4AFD14AEF8B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election activeCell="A4" sqref="A4"/>
    </sheetView>
  </sheetViews>
  <sheetFormatPr baseColWidth="10" defaultColWidth="11.44140625" defaultRowHeight="13.2" x14ac:dyDescent="0.25"/>
  <cols>
    <col min="1" max="1" width="66.33203125" style="1" customWidth="1"/>
    <col min="2" max="2" width="4.33203125" style="50" customWidth="1"/>
    <col min="3" max="3" width="105.33203125" style="1" customWidth="1"/>
    <col min="4" max="8" width="12.6640625" style="1" customWidth="1"/>
    <col min="9" max="257" width="11.44140625" style="1"/>
    <col min="258" max="258" width="2.6640625" style="1" customWidth="1"/>
    <col min="259" max="259" width="176.6640625" style="1" customWidth="1"/>
    <col min="260" max="260" width="11.44140625" style="1"/>
    <col min="261" max="261" width="176.6640625" style="1" customWidth="1"/>
    <col min="262" max="262" width="11.44140625" style="1"/>
    <col min="263" max="263" width="88.6640625" style="1" customWidth="1"/>
    <col min="264" max="513" width="11.44140625" style="1"/>
    <col min="514" max="514" width="2.6640625" style="1" customWidth="1"/>
    <col min="515" max="515" width="176.6640625" style="1" customWidth="1"/>
    <col min="516" max="516" width="11.44140625" style="1"/>
    <col min="517" max="517" width="176.6640625" style="1" customWidth="1"/>
    <col min="518" max="518" width="11.44140625" style="1"/>
    <col min="519" max="519" width="88.6640625" style="1" customWidth="1"/>
    <col min="520" max="769" width="11.44140625" style="1"/>
    <col min="770" max="770" width="2.6640625" style="1" customWidth="1"/>
    <col min="771" max="771" width="176.6640625" style="1" customWidth="1"/>
    <col min="772" max="772" width="11.44140625" style="1"/>
    <col min="773" max="773" width="176.6640625" style="1" customWidth="1"/>
    <col min="774" max="774" width="11.44140625" style="1"/>
    <col min="775" max="775" width="88.6640625" style="1" customWidth="1"/>
    <col min="776" max="1025" width="11.44140625" style="1"/>
    <col min="1026" max="1026" width="2.6640625" style="1" customWidth="1"/>
    <col min="1027" max="1027" width="176.6640625" style="1" customWidth="1"/>
    <col min="1028" max="1028" width="11.44140625" style="1"/>
    <col min="1029" max="1029" width="176.6640625" style="1" customWidth="1"/>
    <col min="1030" max="1030" width="11.44140625" style="1"/>
    <col min="1031" max="1031" width="88.6640625" style="1" customWidth="1"/>
    <col min="1032" max="1281" width="11.44140625" style="1"/>
    <col min="1282" max="1282" width="2.6640625" style="1" customWidth="1"/>
    <col min="1283" max="1283" width="176.6640625" style="1" customWidth="1"/>
    <col min="1284" max="1284" width="11.44140625" style="1"/>
    <col min="1285" max="1285" width="176.6640625" style="1" customWidth="1"/>
    <col min="1286" max="1286" width="11.44140625" style="1"/>
    <col min="1287" max="1287" width="88.6640625" style="1" customWidth="1"/>
    <col min="1288" max="1537" width="11.44140625" style="1"/>
    <col min="1538" max="1538" width="2.6640625" style="1" customWidth="1"/>
    <col min="1539" max="1539" width="176.6640625" style="1" customWidth="1"/>
    <col min="1540" max="1540" width="11.44140625" style="1"/>
    <col min="1541" max="1541" width="176.6640625" style="1" customWidth="1"/>
    <col min="1542" max="1542" width="11.44140625" style="1"/>
    <col min="1543" max="1543" width="88.6640625" style="1" customWidth="1"/>
    <col min="1544" max="1793" width="11.44140625" style="1"/>
    <col min="1794" max="1794" width="2.6640625" style="1" customWidth="1"/>
    <col min="1795" max="1795" width="176.6640625" style="1" customWidth="1"/>
    <col min="1796" max="1796" width="11.44140625" style="1"/>
    <col min="1797" max="1797" width="176.6640625" style="1" customWidth="1"/>
    <col min="1798" max="1798" width="11.44140625" style="1"/>
    <col min="1799" max="1799" width="88.6640625" style="1" customWidth="1"/>
    <col min="1800" max="2049" width="11.44140625" style="1"/>
    <col min="2050" max="2050" width="2.6640625" style="1" customWidth="1"/>
    <col min="2051" max="2051" width="176.6640625" style="1" customWidth="1"/>
    <col min="2052" max="2052" width="11.44140625" style="1"/>
    <col min="2053" max="2053" width="176.6640625" style="1" customWidth="1"/>
    <col min="2054" max="2054" width="11.44140625" style="1"/>
    <col min="2055" max="2055" width="88.6640625" style="1" customWidth="1"/>
    <col min="2056" max="2305" width="11.44140625" style="1"/>
    <col min="2306" max="2306" width="2.6640625" style="1" customWidth="1"/>
    <col min="2307" max="2307" width="176.6640625" style="1" customWidth="1"/>
    <col min="2308" max="2308" width="11.44140625" style="1"/>
    <col min="2309" max="2309" width="176.6640625" style="1" customWidth="1"/>
    <col min="2310" max="2310" width="11.44140625" style="1"/>
    <col min="2311" max="2311" width="88.6640625" style="1" customWidth="1"/>
    <col min="2312" max="2561" width="11.44140625" style="1"/>
    <col min="2562" max="2562" width="2.6640625" style="1" customWidth="1"/>
    <col min="2563" max="2563" width="176.6640625" style="1" customWidth="1"/>
    <col min="2564" max="2564" width="11.44140625" style="1"/>
    <col min="2565" max="2565" width="176.6640625" style="1" customWidth="1"/>
    <col min="2566" max="2566" width="11.44140625" style="1"/>
    <col min="2567" max="2567" width="88.6640625" style="1" customWidth="1"/>
    <col min="2568" max="2817" width="11.44140625" style="1"/>
    <col min="2818" max="2818" width="2.6640625" style="1" customWidth="1"/>
    <col min="2819" max="2819" width="176.6640625" style="1" customWidth="1"/>
    <col min="2820" max="2820" width="11.44140625" style="1"/>
    <col min="2821" max="2821" width="176.6640625" style="1" customWidth="1"/>
    <col min="2822" max="2822" width="11.44140625" style="1"/>
    <col min="2823" max="2823" width="88.6640625" style="1" customWidth="1"/>
    <col min="2824" max="3073" width="11.44140625" style="1"/>
    <col min="3074" max="3074" width="2.6640625" style="1" customWidth="1"/>
    <col min="3075" max="3075" width="176.6640625" style="1" customWidth="1"/>
    <col min="3076" max="3076" width="11.44140625" style="1"/>
    <col min="3077" max="3077" width="176.6640625" style="1" customWidth="1"/>
    <col min="3078" max="3078" width="11.44140625" style="1"/>
    <col min="3079" max="3079" width="88.6640625" style="1" customWidth="1"/>
    <col min="3080" max="3329" width="11.44140625" style="1"/>
    <col min="3330" max="3330" width="2.6640625" style="1" customWidth="1"/>
    <col min="3331" max="3331" width="176.6640625" style="1" customWidth="1"/>
    <col min="3332" max="3332" width="11.44140625" style="1"/>
    <col min="3333" max="3333" width="176.6640625" style="1" customWidth="1"/>
    <col min="3334" max="3334" width="11.44140625" style="1"/>
    <col min="3335" max="3335" width="88.6640625" style="1" customWidth="1"/>
    <col min="3336" max="3585" width="11.44140625" style="1"/>
    <col min="3586" max="3586" width="2.6640625" style="1" customWidth="1"/>
    <col min="3587" max="3587" width="176.6640625" style="1" customWidth="1"/>
    <col min="3588" max="3588" width="11.44140625" style="1"/>
    <col min="3589" max="3589" width="176.6640625" style="1" customWidth="1"/>
    <col min="3590" max="3590" width="11.44140625" style="1"/>
    <col min="3591" max="3591" width="88.6640625" style="1" customWidth="1"/>
    <col min="3592" max="3841" width="11.44140625" style="1"/>
    <col min="3842" max="3842" width="2.6640625" style="1" customWidth="1"/>
    <col min="3843" max="3843" width="176.6640625" style="1" customWidth="1"/>
    <col min="3844" max="3844" width="11.44140625" style="1"/>
    <col min="3845" max="3845" width="176.6640625" style="1" customWidth="1"/>
    <col min="3846" max="3846" width="11.44140625" style="1"/>
    <col min="3847" max="3847" width="88.6640625" style="1" customWidth="1"/>
    <col min="3848" max="4097" width="11.44140625" style="1"/>
    <col min="4098" max="4098" width="2.6640625" style="1" customWidth="1"/>
    <col min="4099" max="4099" width="176.6640625" style="1" customWidth="1"/>
    <col min="4100" max="4100" width="11.44140625" style="1"/>
    <col min="4101" max="4101" width="176.6640625" style="1" customWidth="1"/>
    <col min="4102" max="4102" width="11.44140625" style="1"/>
    <col min="4103" max="4103" width="88.6640625" style="1" customWidth="1"/>
    <col min="4104" max="4353" width="11.44140625" style="1"/>
    <col min="4354" max="4354" width="2.6640625" style="1" customWidth="1"/>
    <col min="4355" max="4355" width="176.6640625" style="1" customWidth="1"/>
    <col min="4356" max="4356" width="11.44140625" style="1"/>
    <col min="4357" max="4357" width="176.6640625" style="1" customWidth="1"/>
    <col min="4358" max="4358" width="11.44140625" style="1"/>
    <col min="4359" max="4359" width="88.6640625" style="1" customWidth="1"/>
    <col min="4360" max="4609" width="11.44140625" style="1"/>
    <col min="4610" max="4610" width="2.6640625" style="1" customWidth="1"/>
    <col min="4611" max="4611" width="176.6640625" style="1" customWidth="1"/>
    <col min="4612" max="4612" width="11.44140625" style="1"/>
    <col min="4613" max="4613" width="176.6640625" style="1" customWidth="1"/>
    <col min="4614" max="4614" width="11.44140625" style="1"/>
    <col min="4615" max="4615" width="88.6640625" style="1" customWidth="1"/>
    <col min="4616" max="4865" width="11.44140625" style="1"/>
    <col min="4866" max="4866" width="2.6640625" style="1" customWidth="1"/>
    <col min="4867" max="4867" width="176.6640625" style="1" customWidth="1"/>
    <col min="4868" max="4868" width="11.44140625" style="1"/>
    <col min="4869" max="4869" width="176.6640625" style="1" customWidth="1"/>
    <col min="4870" max="4870" width="11.44140625" style="1"/>
    <col min="4871" max="4871" width="88.6640625" style="1" customWidth="1"/>
    <col min="4872" max="5121" width="11.44140625" style="1"/>
    <col min="5122" max="5122" width="2.6640625" style="1" customWidth="1"/>
    <col min="5123" max="5123" width="176.6640625" style="1" customWidth="1"/>
    <col min="5124" max="5124" width="11.44140625" style="1"/>
    <col min="5125" max="5125" width="176.6640625" style="1" customWidth="1"/>
    <col min="5126" max="5126" width="11.44140625" style="1"/>
    <col min="5127" max="5127" width="88.6640625" style="1" customWidth="1"/>
    <col min="5128" max="5377" width="11.44140625" style="1"/>
    <col min="5378" max="5378" width="2.6640625" style="1" customWidth="1"/>
    <col min="5379" max="5379" width="176.6640625" style="1" customWidth="1"/>
    <col min="5380" max="5380" width="11.44140625" style="1"/>
    <col min="5381" max="5381" width="176.6640625" style="1" customWidth="1"/>
    <col min="5382" max="5382" width="11.44140625" style="1"/>
    <col min="5383" max="5383" width="88.6640625" style="1" customWidth="1"/>
    <col min="5384" max="5633" width="11.44140625" style="1"/>
    <col min="5634" max="5634" width="2.6640625" style="1" customWidth="1"/>
    <col min="5635" max="5635" width="176.6640625" style="1" customWidth="1"/>
    <col min="5636" max="5636" width="11.44140625" style="1"/>
    <col min="5637" max="5637" width="176.6640625" style="1" customWidth="1"/>
    <col min="5638" max="5638" width="11.44140625" style="1"/>
    <col min="5639" max="5639" width="88.6640625" style="1" customWidth="1"/>
    <col min="5640" max="5889" width="11.44140625" style="1"/>
    <col min="5890" max="5890" width="2.6640625" style="1" customWidth="1"/>
    <col min="5891" max="5891" width="176.6640625" style="1" customWidth="1"/>
    <col min="5892" max="5892" width="11.44140625" style="1"/>
    <col min="5893" max="5893" width="176.6640625" style="1" customWidth="1"/>
    <col min="5894" max="5894" width="11.44140625" style="1"/>
    <col min="5895" max="5895" width="88.6640625" style="1" customWidth="1"/>
    <col min="5896" max="6145" width="11.44140625" style="1"/>
    <col min="6146" max="6146" width="2.6640625" style="1" customWidth="1"/>
    <col min="6147" max="6147" width="176.6640625" style="1" customWidth="1"/>
    <col min="6148" max="6148" width="11.44140625" style="1"/>
    <col min="6149" max="6149" width="176.6640625" style="1" customWidth="1"/>
    <col min="6150" max="6150" width="11.44140625" style="1"/>
    <col min="6151" max="6151" width="88.6640625" style="1" customWidth="1"/>
    <col min="6152" max="6401" width="11.44140625" style="1"/>
    <col min="6402" max="6402" width="2.6640625" style="1" customWidth="1"/>
    <col min="6403" max="6403" width="176.6640625" style="1" customWidth="1"/>
    <col min="6404" max="6404" width="11.44140625" style="1"/>
    <col min="6405" max="6405" width="176.6640625" style="1" customWidth="1"/>
    <col min="6406" max="6406" width="11.44140625" style="1"/>
    <col min="6407" max="6407" width="88.6640625" style="1" customWidth="1"/>
    <col min="6408" max="6657" width="11.44140625" style="1"/>
    <col min="6658" max="6658" width="2.6640625" style="1" customWidth="1"/>
    <col min="6659" max="6659" width="176.6640625" style="1" customWidth="1"/>
    <col min="6660" max="6660" width="11.44140625" style="1"/>
    <col min="6661" max="6661" width="176.6640625" style="1" customWidth="1"/>
    <col min="6662" max="6662" width="11.44140625" style="1"/>
    <col min="6663" max="6663" width="88.6640625" style="1" customWidth="1"/>
    <col min="6664" max="6913" width="11.44140625" style="1"/>
    <col min="6914" max="6914" width="2.6640625" style="1" customWidth="1"/>
    <col min="6915" max="6915" width="176.6640625" style="1" customWidth="1"/>
    <col min="6916" max="6916" width="11.44140625" style="1"/>
    <col min="6917" max="6917" width="176.6640625" style="1" customWidth="1"/>
    <col min="6918" max="6918" width="11.44140625" style="1"/>
    <col min="6919" max="6919" width="88.6640625" style="1" customWidth="1"/>
    <col min="6920" max="7169" width="11.44140625" style="1"/>
    <col min="7170" max="7170" width="2.6640625" style="1" customWidth="1"/>
    <col min="7171" max="7171" width="176.6640625" style="1" customWidth="1"/>
    <col min="7172" max="7172" width="11.44140625" style="1"/>
    <col min="7173" max="7173" width="176.6640625" style="1" customWidth="1"/>
    <col min="7174" max="7174" width="11.44140625" style="1"/>
    <col min="7175" max="7175" width="88.6640625" style="1" customWidth="1"/>
    <col min="7176" max="7425" width="11.44140625" style="1"/>
    <col min="7426" max="7426" width="2.6640625" style="1" customWidth="1"/>
    <col min="7427" max="7427" width="176.6640625" style="1" customWidth="1"/>
    <col min="7428" max="7428" width="11.44140625" style="1"/>
    <col min="7429" max="7429" width="176.6640625" style="1" customWidth="1"/>
    <col min="7430" max="7430" width="11.44140625" style="1"/>
    <col min="7431" max="7431" width="88.6640625" style="1" customWidth="1"/>
    <col min="7432" max="7681" width="11.44140625" style="1"/>
    <col min="7682" max="7682" width="2.6640625" style="1" customWidth="1"/>
    <col min="7683" max="7683" width="176.6640625" style="1" customWidth="1"/>
    <col min="7684" max="7684" width="11.44140625" style="1"/>
    <col min="7685" max="7685" width="176.6640625" style="1" customWidth="1"/>
    <col min="7686" max="7686" width="11.44140625" style="1"/>
    <col min="7687" max="7687" width="88.6640625" style="1" customWidth="1"/>
    <col min="7688" max="7937" width="11.44140625" style="1"/>
    <col min="7938" max="7938" width="2.6640625" style="1" customWidth="1"/>
    <col min="7939" max="7939" width="176.6640625" style="1" customWidth="1"/>
    <col min="7940" max="7940" width="11.44140625" style="1"/>
    <col min="7941" max="7941" width="176.6640625" style="1" customWidth="1"/>
    <col min="7942" max="7942" width="11.44140625" style="1"/>
    <col min="7943" max="7943" width="88.6640625" style="1" customWidth="1"/>
    <col min="7944" max="8193" width="11.44140625" style="1"/>
    <col min="8194" max="8194" width="2.6640625" style="1" customWidth="1"/>
    <col min="8195" max="8195" width="176.6640625" style="1" customWidth="1"/>
    <col min="8196" max="8196" width="11.44140625" style="1"/>
    <col min="8197" max="8197" width="176.6640625" style="1" customWidth="1"/>
    <col min="8198" max="8198" width="11.44140625" style="1"/>
    <col min="8199" max="8199" width="88.6640625" style="1" customWidth="1"/>
    <col min="8200" max="8449" width="11.44140625" style="1"/>
    <col min="8450" max="8450" width="2.6640625" style="1" customWidth="1"/>
    <col min="8451" max="8451" width="176.6640625" style="1" customWidth="1"/>
    <col min="8452" max="8452" width="11.44140625" style="1"/>
    <col min="8453" max="8453" width="176.6640625" style="1" customWidth="1"/>
    <col min="8454" max="8454" width="11.44140625" style="1"/>
    <col min="8455" max="8455" width="88.6640625" style="1" customWidth="1"/>
    <col min="8456" max="8705" width="11.44140625" style="1"/>
    <col min="8706" max="8706" width="2.6640625" style="1" customWidth="1"/>
    <col min="8707" max="8707" width="176.6640625" style="1" customWidth="1"/>
    <col min="8708" max="8708" width="11.44140625" style="1"/>
    <col min="8709" max="8709" width="176.6640625" style="1" customWidth="1"/>
    <col min="8710" max="8710" width="11.44140625" style="1"/>
    <col min="8711" max="8711" width="88.6640625" style="1" customWidth="1"/>
    <col min="8712" max="8961" width="11.44140625" style="1"/>
    <col min="8962" max="8962" width="2.6640625" style="1" customWidth="1"/>
    <col min="8963" max="8963" width="176.6640625" style="1" customWidth="1"/>
    <col min="8964" max="8964" width="11.44140625" style="1"/>
    <col min="8965" max="8965" width="176.6640625" style="1" customWidth="1"/>
    <col min="8966" max="8966" width="11.44140625" style="1"/>
    <col min="8967" max="8967" width="88.6640625" style="1" customWidth="1"/>
    <col min="8968" max="9217" width="11.44140625" style="1"/>
    <col min="9218" max="9218" width="2.6640625" style="1" customWidth="1"/>
    <col min="9219" max="9219" width="176.6640625" style="1" customWidth="1"/>
    <col min="9220" max="9220" width="11.44140625" style="1"/>
    <col min="9221" max="9221" width="176.6640625" style="1" customWidth="1"/>
    <col min="9222" max="9222" width="11.44140625" style="1"/>
    <col min="9223" max="9223" width="88.6640625" style="1" customWidth="1"/>
    <col min="9224" max="9473" width="11.44140625" style="1"/>
    <col min="9474" max="9474" width="2.6640625" style="1" customWidth="1"/>
    <col min="9475" max="9475" width="176.6640625" style="1" customWidth="1"/>
    <col min="9476" max="9476" width="11.44140625" style="1"/>
    <col min="9477" max="9477" width="176.6640625" style="1" customWidth="1"/>
    <col min="9478" max="9478" width="11.44140625" style="1"/>
    <col min="9479" max="9479" width="88.6640625" style="1" customWidth="1"/>
    <col min="9480" max="9729" width="11.44140625" style="1"/>
    <col min="9730" max="9730" width="2.6640625" style="1" customWidth="1"/>
    <col min="9731" max="9731" width="176.6640625" style="1" customWidth="1"/>
    <col min="9732" max="9732" width="11.44140625" style="1"/>
    <col min="9733" max="9733" width="176.6640625" style="1" customWidth="1"/>
    <col min="9734" max="9734" width="11.44140625" style="1"/>
    <col min="9735" max="9735" width="88.6640625" style="1" customWidth="1"/>
    <col min="9736" max="9985" width="11.44140625" style="1"/>
    <col min="9986" max="9986" width="2.6640625" style="1" customWidth="1"/>
    <col min="9987" max="9987" width="176.6640625" style="1" customWidth="1"/>
    <col min="9988" max="9988" width="11.44140625" style="1"/>
    <col min="9989" max="9989" width="176.6640625" style="1" customWidth="1"/>
    <col min="9990" max="9990" width="11.44140625" style="1"/>
    <col min="9991" max="9991" width="88.6640625" style="1" customWidth="1"/>
    <col min="9992" max="10241" width="11.44140625" style="1"/>
    <col min="10242" max="10242" width="2.6640625" style="1" customWidth="1"/>
    <col min="10243" max="10243" width="176.6640625" style="1" customWidth="1"/>
    <col min="10244" max="10244" width="11.44140625" style="1"/>
    <col min="10245" max="10245" width="176.6640625" style="1" customWidth="1"/>
    <col min="10246" max="10246" width="11.44140625" style="1"/>
    <col min="10247" max="10247" width="88.6640625" style="1" customWidth="1"/>
    <col min="10248" max="10497" width="11.44140625" style="1"/>
    <col min="10498" max="10498" width="2.6640625" style="1" customWidth="1"/>
    <col min="10499" max="10499" width="176.6640625" style="1" customWidth="1"/>
    <col min="10500" max="10500" width="11.44140625" style="1"/>
    <col min="10501" max="10501" width="176.6640625" style="1" customWidth="1"/>
    <col min="10502" max="10502" width="11.44140625" style="1"/>
    <col min="10503" max="10503" width="88.6640625" style="1" customWidth="1"/>
    <col min="10504" max="10753" width="11.44140625" style="1"/>
    <col min="10754" max="10754" width="2.6640625" style="1" customWidth="1"/>
    <col min="10755" max="10755" width="176.6640625" style="1" customWidth="1"/>
    <col min="10756" max="10756" width="11.44140625" style="1"/>
    <col min="10757" max="10757" width="176.6640625" style="1" customWidth="1"/>
    <col min="10758" max="10758" width="11.44140625" style="1"/>
    <col min="10759" max="10759" width="88.6640625" style="1" customWidth="1"/>
    <col min="10760" max="11009" width="11.44140625" style="1"/>
    <col min="11010" max="11010" width="2.6640625" style="1" customWidth="1"/>
    <col min="11011" max="11011" width="176.6640625" style="1" customWidth="1"/>
    <col min="11012" max="11012" width="11.44140625" style="1"/>
    <col min="11013" max="11013" width="176.6640625" style="1" customWidth="1"/>
    <col min="11014" max="11014" width="11.44140625" style="1"/>
    <col min="11015" max="11015" width="88.6640625" style="1" customWidth="1"/>
    <col min="11016" max="11265" width="11.44140625" style="1"/>
    <col min="11266" max="11266" width="2.6640625" style="1" customWidth="1"/>
    <col min="11267" max="11267" width="176.6640625" style="1" customWidth="1"/>
    <col min="11268" max="11268" width="11.44140625" style="1"/>
    <col min="11269" max="11269" width="176.6640625" style="1" customWidth="1"/>
    <col min="11270" max="11270" width="11.44140625" style="1"/>
    <col min="11271" max="11271" width="88.6640625" style="1" customWidth="1"/>
    <col min="11272" max="11521" width="11.44140625" style="1"/>
    <col min="11522" max="11522" width="2.6640625" style="1" customWidth="1"/>
    <col min="11523" max="11523" width="176.6640625" style="1" customWidth="1"/>
    <col min="11524" max="11524" width="11.44140625" style="1"/>
    <col min="11525" max="11525" width="176.6640625" style="1" customWidth="1"/>
    <col min="11526" max="11526" width="11.44140625" style="1"/>
    <col min="11527" max="11527" width="88.6640625" style="1" customWidth="1"/>
    <col min="11528" max="11777" width="11.44140625" style="1"/>
    <col min="11778" max="11778" width="2.6640625" style="1" customWidth="1"/>
    <col min="11779" max="11779" width="176.6640625" style="1" customWidth="1"/>
    <col min="11780" max="11780" width="11.44140625" style="1"/>
    <col min="11781" max="11781" width="176.6640625" style="1" customWidth="1"/>
    <col min="11782" max="11782" width="11.44140625" style="1"/>
    <col min="11783" max="11783" width="88.6640625" style="1" customWidth="1"/>
    <col min="11784" max="12033" width="11.44140625" style="1"/>
    <col min="12034" max="12034" width="2.6640625" style="1" customWidth="1"/>
    <col min="12035" max="12035" width="176.6640625" style="1" customWidth="1"/>
    <col min="12036" max="12036" width="11.44140625" style="1"/>
    <col min="12037" max="12037" width="176.6640625" style="1" customWidth="1"/>
    <col min="12038" max="12038" width="11.44140625" style="1"/>
    <col min="12039" max="12039" width="88.6640625" style="1" customWidth="1"/>
    <col min="12040" max="12289" width="11.44140625" style="1"/>
    <col min="12290" max="12290" width="2.6640625" style="1" customWidth="1"/>
    <col min="12291" max="12291" width="176.6640625" style="1" customWidth="1"/>
    <col min="12292" max="12292" width="11.44140625" style="1"/>
    <col min="12293" max="12293" width="176.6640625" style="1" customWidth="1"/>
    <col min="12294" max="12294" width="11.44140625" style="1"/>
    <col min="12295" max="12295" width="88.6640625" style="1" customWidth="1"/>
    <col min="12296" max="12545" width="11.44140625" style="1"/>
    <col min="12546" max="12546" width="2.6640625" style="1" customWidth="1"/>
    <col min="12547" max="12547" width="176.6640625" style="1" customWidth="1"/>
    <col min="12548" max="12548" width="11.44140625" style="1"/>
    <col min="12549" max="12549" width="176.6640625" style="1" customWidth="1"/>
    <col min="12550" max="12550" width="11.44140625" style="1"/>
    <col min="12551" max="12551" width="88.6640625" style="1" customWidth="1"/>
    <col min="12552" max="12801" width="11.44140625" style="1"/>
    <col min="12802" max="12802" width="2.6640625" style="1" customWidth="1"/>
    <col min="12803" max="12803" width="176.6640625" style="1" customWidth="1"/>
    <col min="12804" max="12804" width="11.44140625" style="1"/>
    <col min="12805" max="12805" width="176.6640625" style="1" customWidth="1"/>
    <col min="12806" max="12806" width="11.44140625" style="1"/>
    <col min="12807" max="12807" width="88.6640625" style="1" customWidth="1"/>
    <col min="12808" max="13057" width="11.44140625" style="1"/>
    <col min="13058" max="13058" width="2.6640625" style="1" customWidth="1"/>
    <col min="13059" max="13059" width="176.6640625" style="1" customWidth="1"/>
    <col min="13060" max="13060" width="11.44140625" style="1"/>
    <col min="13061" max="13061" width="176.6640625" style="1" customWidth="1"/>
    <col min="13062" max="13062" width="11.44140625" style="1"/>
    <col min="13063" max="13063" width="88.6640625" style="1" customWidth="1"/>
    <col min="13064" max="13313" width="11.44140625" style="1"/>
    <col min="13314" max="13314" width="2.6640625" style="1" customWidth="1"/>
    <col min="13315" max="13315" width="176.6640625" style="1" customWidth="1"/>
    <col min="13316" max="13316" width="11.44140625" style="1"/>
    <col min="13317" max="13317" width="176.6640625" style="1" customWidth="1"/>
    <col min="13318" max="13318" width="11.44140625" style="1"/>
    <col min="13319" max="13319" width="88.6640625" style="1" customWidth="1"/>
    <col min="13320" max="13569" width="11.44140625" style="1"/>
    <col min="13570" max="13570" width="2.6640625" style="1" customWidth="1"/>
    <col min="13571" max="13571" width="176.6640625" style="1" customWidth="1"/>
    <col min="13572" max="13572" width="11.44140625" style="1"/>
    <col min="13573" max="13573" width="176.6640625" style="1" customWidth="1"/>
    <col min="13574" max="13574" width="11.44140625" style="1"/>
    <col min="13575" max="13575" width="88.6640625" style="1" customWidth="1"/>
    <col min="13576" max="13825" width="11.44140625" style="1"/>
    <col min="13826" max="13826" width="2.6640625" style="1" customWidth="1"/>
    <col min="13827" max="13827" width="176.6640625" style="1" customWidth="1"/>
    <col min="13828" max="13828" width="11.44140625" style="1"/>
    <col min="13829" max="13829" width="176.6640625" style="1" customWidth="1"/>
    <col min="13830" max="13830" width="11.44140625" style="1"/>
    <col min="13831" max="13831" width="88.6640625" style="1" customWidth="1"/>
    <col min="13832" max="14081" width="11.44140625" style="1"/>
    <col min="14082" max="14082" width="2.6640625" style="1" customWidth="1"/>
    <col min="14083" max="14083" width="176.6640625" style="1" customWidth="1"/>
    <col min="14084" max="14084" width="11.44140625" style="1"/>
    <col min="14085" max="14085" width="176.6640625" style="1" customWidth="1"/>
    <col min="14086" max="14086" width="11.44140625" style="1"/>
    <col min="14087" max="14087" width="88.6640625" style="1" customWidth="1"/>
    <col min="14088" max="14337" width="11.44140625" style="1"/>
    <col min="14338" max="14338" width="2.6640625" style="1" customWidth="1"/>
    <col min="14339" max="14339" width="176.6640625" style="1" customWidth="1"/>
    <col min="14340" max="14340" width="11.44140625" style="1"/>
    <col min="14341" max="14341" width="176.6640625" style="1" customWidth="1"/>
    <col min="14342" max="14342" width="11.44140625" style="1"/>
    <col min="14343" max="14343" width="88.6640625" style="1" customWidth="1"/>
    <col min="14344" max="14593" width="11.44140625" style="1"/>
    <col min="14594" max="14594" width="2.6640625" style="1" customWidth="1"/>
    <col min="14595" max="14595" width="176.6640625" style="1" customWidth="1"/>
    <col min="14596" max="14596" width="11.44140625" style="1"/>
    <col min="14597" max="14597" width="176.6640625" style="1" customWidth="1"/>
    <col min="14598" max="14598" width="11.44140625" style="1"/>
    <col min="14599" max="14599" width="88.6640625" style="1" customWidth="1"/>
    <col min="14600" max="14849" width="11.44140625" style="1"/>
    <col min="14850" max="14850" width="2.6640625" style="1" customWidth="1"/>
    <col min="14851" max="14851" width="176.6640625" style="1" customWidth="1"/>
    <col min="14852" max="14852" width="11.44140625" style="1"/>
    <col min="14853" max="14853" width="176.6640625" style="1" customWidth="1"/>
    <col min="14854" max="14854" width="11.44140625" style="1"/>
    <col min="14855" max="14855" width="88.6640625" style="1" customWidth="1"/>
    <col min="14856" max="15105" width="11.44140625" style="1"/>
    <col min="15106" max="15106" width="2.6640625" style="1" customWidth="1"/>
    <col min="15107" max="15107" width="176.6640625" style="1" customWidth="1"/>
    <col min="15108" max="15108" width="11.44140625" style="1"/>
    <col min="15109" max="15109" width="176.6640625" style="1" customWidth="1"/>
    <col min="15110" max="15110" width="11.44140625" style="1"/>
    <col min="15111" max="15111" width="88.6640625" style="1" customWidth="1"/>
    <col min="15112" max="15361" width="11.44140625" style="1"/>
    <col min="15362" max="15362" width="2.6640625" style="1" customWidth="1"/>
    <col min="15363" max="15363" width="176.6640625" style="1" customWidth="1"/>
    <col min="15364" max="15364" width="11.44140625" style="1"/>
    <col min="15365" max="15365" width="176.6640625" style="1" customWidth="1"/>
    <col min="15366" max="15366" width="11.44140625" style="1"/>
    <col min="15367" max="15367" width="88.6640625" style="1" customWidth="1"/>
    <col min="15368" max="15617" width="11.44140625" style="1"/>
    <col min="15618" max="15618" width="2.6640625" style="1" customWidth="1"/>
    <col min="15619" max="15619" width="176.6640625" style="1" customWidth="1"/>
    <col min="15620" max="15620" width="11.44140625" style="1"/>
    <col min="15621" max="15621" width="176.6640625" style="1" customWidth="1"/>
    <col min="15622" max="15622" width="11.44140625" style="1"/>
    <col min="15623" max="15623" width="88.6640625" style="1" customWidth="1"/>
    <col min="15624" max="15873" width="11.44140625" style="1"/>
    <col min="15874" max="15874" width="2.6640625" style="1" customWidth="1"/>
    <col min="15875" max="15875" width="176.6640625" style="1" customWidth="1"/>
    <col min="15876" max="15876" width="11.44140625" style="1"/>
    <col min="15877" max="15877" width="176.6640625" style="1" customWidth="1"/>
    <col min="15878" max="15878" width="11.44140625" style="1"/>
    <col min="15879" max="15879" width="88.6640625" style="1" customWidth="1"/>
    <col min="15880" max="16129" width="11.44140625" style="1"/>
    <col min="16130" max="16130" width="2.6640625" style="1" customWidth="1"/>
    <col min="16131" max="16131" width="176.6640625" style="1" customWidth="1"/>
    <col min="16132" max="16132" width="11.44140625" style="1"/>
    <col min="16133" max="16133" width="176.6640625" style="1" customWidth="1"/>
    <col min="16134" max="16134" width="11.44140625" style="1"/>
    <col min="16135" max="16135" width="88.6640625" style="1" customWidth="1"/>
    <col min="16136" max="16384" width="11.44140625" style="1"/>
  </cols>
  <sheetData>
    <row r="2" spans="1:17" x14ac:dyDescent="0.25">
      <c r="C2" s="331"/>
      <c r="D2" s="331"/>
      <c r="E2" s="331"/>
    </row>
    <row r="3" spans="1:17" x14ac:dyDescent="0.25">
      <c r="A3" s="43" t="s">
        <v>51</v>
      </c>
    </row>
    <row r="4" spans="1:17" x14ac:dyDescent="0.25">
      <c r="C4" s="331"/>
      <c r="D4" s="331"/>
      <c r="E4" s="331"/>
      <c r="F4" s="331"/>
      <c r="G4" s="331"/>
      <c r="H4" s="331"/>
      <c r="I4" s="331"/>
      <c r="J4" s="331"/>
      <c r="K4" s="331"/>
    </row>
    <row r="6" spans="1:17" ht="15.6" x14ac:dyDescent="0.3">
      <c r="C6" s="338" t="s">
        <v>16</v>
      </c>
      <c r="D6" s="3"/>
      <c r="E6" s="338"/>
    </row>
    <row r="7" spans="1:17" ht="18.75" customHeight="1" x14ac:dyDescent="0.25">
      <c r="C7" s="3"/>
      <c r="D7" s="3"/>
      <c r="E7" s="50"/>
    </row>
    <row r="8" spans="1:17" ht="15.6" x14ac:dyDescent="0.3">
      <c r="B8" s="332">
        <v>1</v>
      </c>
      <c r="C8" s="333" t="s">
        <v>349</v>
      </c>
      <c r="E8" s="342"/>
    </row>
    <row r="9" spans="1:17" ht="31.2" x14ac:dyDescent="0.25">
      <c r="B9" s="332">
        <v>2</v>
      </c>
      <c r="C9" s="335" t="s">
        <v>275</v>
      </c>
      <c r="E9" s="8"/>
      <c r="Q9" s="3"/>
    </row>
    <row r="10" spans="1:17" ht="46.8" x14ac:dyDescent="0.25">
      <c r="B10" s="332">
        <v>3</v>
      </c>
      <c r="C10" s="333" t="s">
        <v>276</v>
      </c>
      <c r="E10" s="8"/>
    </row>
    <row r="11" spans="1:17" ht="46.8" x14ac:dyDescent="0.25">
      <c r="B11" s="332">
        <v>4</v>
      </c>
      <c r="C11" s="335" t="s">
        <v>277</v>
      </c>
      <c r="E11" s="8"/>
    </row>
    <row r="12" spans="1:17" ht="31.2" x14ac:dyDescent="0.25">
      <c r="B12" s="332">
        <v>5</v>
      </c>
      <c r="C12" s="333" t="s">
        <v>21</v>
      </c>
      <c r="E12" s="3"/>
    </row>
    <row r="13" spans="1:17" ht="15.6" x14ac:dyDescent="0.25">
      <c r="B13" s="332">
        <v>6</v>
      </c>
      <c r="C13" s="333" t="s">
        <v>350</v>
      </c>
      <c r="E13" s="3"/>
    </row>
    <row r="14" spans="1:17" ht="15.6" x14ac:dyDescent="0.25">
      <c r="B14" s="332">
        <v>7</v>
      </c>
      <c r="C14" s="333" t="s">
        <v>17</v>
      </c>
    </row>
    <row r="15" spans="1:17" ht="18.75" customHeight="1" x14ac:dyDescent="0.25">
      <c r="B15" s="332">
        <v>8</v>
      </c>
      <c r="C15" s="333" t="s">
        <v>18</v>
      </c>
    </row>
    <row r="16" spans="1:17" ht="18.75" customHeight="1" x14ac:dyDescent="0.25">
      <c r="B16" s="332">
        <v>9</v>
      </c>
      <c r="C16" s="333" t="s">
        <v>22</v>
      </c>
    </row>
    <row r="17" spans="2:9" ht="62.4" x14ac:dyDescent="0.3">
      <c r="B17" s="332">
        <v>10</v>
      </c>
      <c r="C17" s="333" t="s">
        <v>359</v>
      </c>
      <c r="E17" s="338"/>
    </row>
    <row r="18" spans="2:9" ht="15.6" x14ac:dyDescent="0.25">
      <c r="B18" s="332">
        <v>11</v>
      </c>
      <c r="C18" s="333" t="s">
        <v>19</v>
      </c>
      <c r="E18" s="8"/>
    </row>
    <row r="19" spans="2:9" ht="15.6" x14ac:dyDescent="0.25">
      <c r="B19" s="332">
        <v>12</v>
      </c>
      <c r="C19" s="333" t="s">
        <v>279</v>
      </c>
      <c r="E19" s="8"/>
    </row>
    <row r="20" spans="2:9" ht="15.6" x14ac:dyDescent="0.25">
      <c r="B20" s="332">
        <v>13</v>
      </c>
      <c r="C20" s="333" t="s">
        <v>20</v>
      </c>
      <c r="E20" s="3"/>
    </row>
    <row r="21" spans="2:9" ht="46.8" x14ac:dyDescent="0.25">
      <c r="B21" s="332">
        <v>14</v>
      </c>
      <c r="C21" s="333" t="s">
        <v>280</v>
      </c>
      <c r="E21" s="343"/>
    </row>
    <row r="22" spans="2:9" ht="31.2" x14ac:dyDescent="0.25">
      <c r="B22" s="332">
        <v>15</v>
      </c>
      <c r="C22" s="335" t="s">
        <v>338</v>
      </c>
      <c r="E22" s="3"/>
    </row>
    <row r="23" spans="2:9" ht="15.6" x14ac:dyDescent="0.3">
      <c r="B23" s="332">
        <v>16</v>
      </c>
      <c r="C23" s="337" t="s">
        <v>278</v>
      </c>
      <c r="D23" s="336"/>
      <c r="E23" s="331"/>
      <c r="F23" s="336"/>
      <c r="G23" s="2"/>
      <c r="H23" s="2"/>
      <c r="I23" s="2"/>
    </row>
    <row r="24" spans="2:9" ht="18.75" customHeight="1" x14ac:dyDescent="0.3">
      <c r="B24" s="334">
        <v>17</v>
      </c>
      <c r="C24" s="337" t="s">
        <v>281</v>
      </c>
    </row>
    <row r="25" spans="2:9" ht="18.75" customHeight="1" x14ac:dyDescent="0.3">
      <c r="B25" s="694">
        <v>18</v>
      </c>
      <c r="C25" s="695" t="s">
        <v>427</v>
      </c>
    </row>
    <row r="26" spans="2:9" ht="18.75" customHeight="1" x14ac:dyDescent="0.3">
      <c r="B26" s="334"/>
      <c r="C26" s="355"/>
    </row>
    <row r="27" spans="2:9" ht="18.75" customHeight="1" x14ac:dyDescent="0.25">
      <c r="C27" s="340"/>
    </row>
    <row r="28" spans="2:9" ht="18.75" customHeight="1" x14ac:dyDescent="0.25">
      <c r="C28" s="340"/>
    </row>
    <row r="29" spans="2:9" ht="18.75" customHeight="1" x14ac:dyDescent="0.25">
      <c r="C29" s="340"/>
    </row>
    <row r="31" spans="2:9" ht="18.75" customHeight="1" x14ac:dyDescent="0.25"/>
    <row r="32" spans="2:9" ht="18.75" customHeight="1" x14ac:dyDescent="0.25"/>
    <row r="33" spans="1:14" ht="18.75" customHeight="1" x14ac:dyDescent="0.25"/>
    <row r="34" spans="1:14" ht="18.75" customHeight="1" x14ac:dyDescent="0.25"/>
    <row r="35" spans="1:14" ht="18.75" customHeight="1" x14ac:dyDescent="0.25"/>
    <row r="36" spans="1:14" ht="18.75" customHeight="1" x14ac:dyDescent="0.25"/>
    <row r="37" spans="1:14" ht="18.75" customHeight="1" x14ac:dyDescent="0.25">
      <c r="D37" s="3"/>
      <c r="E37" s="3"/>
      <c r="F37" s="3"/>
      <c r="G37" s="3"/>
      <c r="H37" s="3"/>
      <c r="I37" s="3"/>
      <c r="J37" s="3"/>
      <c r="K37" s="3"/>
      <c r="L37" s="3"/>
      <c r="M37" s="3"/>
      <c r="N37" s="3"/>
    </row>
    <row r="38" spans="1:14" ht="18.75" customHeight="1" x14ac:dyDescent="0.25">
      <c r="D38" s="3"/>
      <c r="E38" s="3"/>
      <c r="F38" s="3"/>
      <c r="G38" s="3"/>
      <c r="H38" s="3"/>
      <c r="I38" s="3"/>
      <c r="J38" s="3"/>
      <c r="K38" s="3"/>
      <c r="L38" s="3"/>
      <c r="M38" s="3"/>
      <c r="N38" s="3"/>
    </row>
    <row r="39" spans="1:14" ht="18.75" customHeight="1" x14ac:dyDescent="0.25">
      <c r="A39" s="4"/>
      <c r="D39" s="3"/>
      <c r="E39" s="3"/>
      <c r="F39" s="3"/>
      <c r="G39" s="3"/>
      <c r="H39" s="3"/>
      <c r="I39" s="3"/>
      <c r="J39" s="3"/>
      <c r="K39" s="3"/>
      <c r="L39" s="3"/>
      <c r="M39" s="3"/>
      <c r="N39" s="3"/>
    </row>
    <row r="40" spans="1:14" ht="18.75" customHeight="1" x14ac:dyDescent="0.25">
      <c r="A40" s="4"/>
      <c r="B40" s="8"/>
      <c r="D40" s="3"/>
      <c r="E40" s="3"/>
      <c r="F40" s="3"/>
      <c r="G40" s="3"/>
      <c r="H40" s="3"/>
      <c r="I40" s="3"/>
      <c r="J40" s="3"/>
      <c r="K40" s="3"/>
      <c r="L40" s="3"/>
      <c r="M40" s="3"/>
      <c r="N40" s="3"/>
    </row>
    <row r="41" spans="1:14" ht="18.75" customHeight="1" x14ac:dyDescent="0.25">
      <c r="A41" s="4"/>
      <c r="B41" s="8"/>
      <c r="D41" s="3"/>
      <c r="E41" s="3"/>
      <c r="F41" s="3"/>
      <c r="G41" s="3"/>
      <c r="H41" s="3"/>
      <c r="I41" s="3"/>
      <c r="J41" s="3"/>
      <c r="K41" s="3"/>
      <c r="L41" s="3"/>
      <c r="M41" s="3"/>
      <c r="N41" s="3"/>
    </row>
    <row r="42" spans="1:14" ht="18.75" customHeight="1" x14ac:dyDescent="0.25">
      <c r="A42" s="4"/>
      <c r="B42" s="8"/>
      <c r="C42" s="4"/>
      <c r="D42" s="3"/>
      <c r="E42" s="3"/>
      <c r="F42" s="3"/>
      <c r="G42" s="3"/>
      <c r="H42" s="3"/>
      <c r="I42" s="3"/>
      <c r="J42" s="3"/>
      <c r="K42" s="3"/>
      <c r="L42" s="3"/>
      <c r="M42" s="3"/>
      <c r="N42" s="3"/>
    </row>
    <row r="43" spans="1:14" ht="18.75" customHeight="1" x14ac:dyDescent="0.25">
      <c r="A43" s="4"/>
      <c r="B43" s="341"/>
      <c r="D43" s="3"/>
      <c r="E43" s="3"/>
      <c r="F43" s="3"/>
      <c r="G43" s="3"/>
      <c r="H43" s="3"/>
      <c r="I43" s="3"/>
      <c r="J43" s="3"/>
      <c r="K43" s="3"/>
      <c r="L43" s="3"/>
      <c r="M43" s="3"/>
      <c r="N43" s="3"/>
    </row>
    <row r="44" spans="1:14" ht="18.75" customHeight="1" x14ac:dyDescent="0.25">
      <c r="B44" s="8"/>
      <c r="D44" s="3"/>
      <c r="E44" s="3"/>
      <c r="F44" s="3"/>
      <c r="G44" s="3"/>
      <c r="H44" s="3"/>
      <c r="I44" s="3"/>
      <c r="J44" s="3"/>
      <c r="K44" s="3"/>
      <c r="L44" s="3"/>
      <c r="M44" s="3"/>
      <c r="N44" s="3"/>
    </row>
    <row r="45" spans="1:14" ht="18.75" customHeight="1" x14ac:dyDescent="0.25">
      <c r="B45" s="8"/>
      <c r="D45" s="3"/>
      <c r="E45" s="3"/>
      <c r="F45" s="3"/>
      <c r="G45" s="3"/>
      <c r="H45" s="3"/>
      <c r="I45" s="3"/>
      <c r="J45" s="3"/>
      <c r="K45" s="3"/>
      <c r="L45" s="3"/>
      <c r="M45" s="3"/>
      <c r="N45" s="3"/>
    </row>
    <row r="46" spans="1:14" ht="18.75" customHeight="1" x14ac:dyDescent="0.25">
      <c r="D46" s="3"/>
      <c r="E46" s="3"/>
      <c r="F46" s="3"/>
      <c r="G46" s="3"/>
      <c r="H46" s="3"/>
      <c r="I46" s="3"/>
      <c r="J46" s="3"/>
      <c r="K46" s="3"/>
      <c r="L46" s="3"/>
      <c r="M46" s="3"/>
      <c r="N46" s="3"/>
    </row>
    <row r="47" spans="1:14" ht="18.75" customHeight="1" x14ac:dyDescent="0.25">
      <c r="D47" s="3"/>
      <c r="E47" s="3"/>
      <c r="F47" s="3"/>
      <c r="G47" s="3"/>
      <c r="H47" s="3"/>
      <c r="I47" s="3"/>
      <c r="J47" s="3"/>
      <c r="K47" s="3"/>
      <c r="L47" s="3"/>
      <c r="M47" s="3"/>
      <c r="N47" s="3"/>
    </row>
    <row r="48" spans="1:14" ht="18.75" customHeight="1" x14ac:dyDescent="0.25">
      <c r="D48" s="3"/>
      <c r="E48" s="3"/>
      <c r="F48" s="3"/>
      <c r="G48" s="3"/>
      <c r="H48" s="3"/>
      <c r="I48" s="3"/>
      <c r="J48" s="3"/>
      <c r="K48" s="3"/>
      <c r="L48" s="3"/>
      <c r="M48" s="3"/>
      <c r="N48" s="3"/>
    </row>
    <row r="49" spans="4:14" ht="18.75" customHeight="1" x14ac:dyDescent="0.25">
      <c r="D49" s="3"/>
      <c r="E49" s="3"/>
      <c r="F49" s="3"/>
      <c r="G49" s="3"/>
      <c r="H49" s="3"/>
      <c r="I49" s="3"/>
      <c r="J49" s="3"/>
      <c r="K49" s="3"/>
      <c r="L49" s="3"/>
      <c r="M49" s="3"/>
      <c r="N49" s="3"/>
    </row>
    <row r="50" spans="4:14" ht="18.75" customHeight="1" x14ac:dyDescent="0.25">
      <c r="D50" s="331"/>
      <c r="E50" s="331"/>
      <c r="F50" s="331"/>
      <c r="G50" s="331"/>
      <c r="H50" s="331"/>
      <c r="I50" s="331"/>
      <c r="J50" s="331"/>
      <c r="K50" s="331"/>
      <c r="L50" s="331"/>
      <c r="M50" s="331"/>
      <c r="N50" s="331"/>
    </row>
    <row r="51" spans="4:14" ht="18.75" customHeight="1" x14ac:dyDescent="0.25"/>
    <row r="52" spans="4:14" ht="18.75" customHeight="1" x14ac:dyDescent="0.25"/>
    <row r="53" spans="4:14" ht="18.75" customHeight="1" x14ac:dyDescent="0.25"/>
    <row r="54" spans="4:14" ht="18.75" customHeight="1" x14ac:dyDescent="0.25"/>
    <row r="55" spans="4:14" ht="18.75" customHeight="1" x14ac:dyDescent="0.25"/>
    <row r="56" spans="4:14" ht="18.75" customHeight="1" x14ac:dyDescent="0.25"/>
    <row r="57" spans="4:14" ht="18.75" customHeight="1" x14ac:dyDescent="0.25"/>
    <row r="58" spans="4:14" ht="18.75" customHeight="1" x14ac:dyDescent="0.25"/>
    <row r="59" spans="4:14" ht="18.75" customHeight="1" x14ac:dyDescent="0.25"/>
    <row r="60" spans="4:14" ht="18.75" customHeight="1" x14ac:dyDescent="0.25"/>
    <row r="61" spans="4:14" ht="18.75" customHeight="1" x14ac:dyDescent="0.25"/>
    <row r="62" spans="4:14" ht="18.75" customHeight="1" x14ac:dyDescent="0.25"/>
    <row r="63" spans="4:14" ht="18.75" customHeight="1" x14ac:dyDescent="0.25"/>
    <row r="64" spans="4:14" ht="18.75" customHeight="1" x14ac:dyDescent="0.25"/>
    <row r="65" ht="18.75" customHeight="1" x14ac:dyDescent="0.25"/>
  </sheetData>
  <sortState xmlns:xlrd2="http://schemas.microsoft.com/office/spreadsheetml/2017/richdata2"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6"/>
  <sheetViews>
    <sheetView showGridLines="0" showZeros="0" zoomScale="70" zoomScaleNormal="70" workbookViewId="0">
      <pane xSplit="1" ySplit="7" topLeftCell="B8" activePane="bottomRight" state="frozen"/>
      <selection activeCell="B33" sqref="B33"/>
      <selection pane="topRight" activeCell="B33" sqref="B33"/>
      <selection pane="bottomLeft" activeCell="B33" sqref="B33"/>
      <selection pane="bottomRight" activeCell="A4" sqref="A4"/>
    </sheetView>
  </sheetViews>
  <sheetFormatPr baseColWidth="10" defaultColWidth="11.44140625" defaultRowHeight="13.2" x14ac:dyDescent="0.25"/>
  <cols>
    <col min="1" max="1" width="49" style="87" customWidth="1"/>
    <col min="2" max="3" width="15.6640625" style="87" customWidth="1"/>
    <col min="4" max="4" width="8.6640625" style="87" customWidth="1"/>
    <col min="5" max="5" width="9" style="87" bestFit="1" customWidth="1"/>
    <col min="6" max="6" width="4.6640625" style="87" customWidth="1"/>
    <col min="7" max="7" width="18.44140625" style="87" customWidth="1"/>
    <col min="8" max="8" width="17.6640625" style="87" customWidth="1"/>
    <col min="9" max="9" width="8.6640625" style="87" customWidth="1"/>
    <col min="10" max="10" width="9" style="87" bestFit="1" customWidth="1"/>
    <col min="11" max="11" width="13.44140625" style="87" hidden="1" customWidth="1"/>
    <col min="12" max="12" width="14.6640625" style="188" hidden="1" customWidth="1"/>
    <col min="13" max="13" width="13.6640625" style="188" hidden="1" customWidth="1"/>
    <col min="14" max="15" width="15.6640625" style="188" hidden="1" customWidth="1"/>
    <col min="16" max="16" width="11.44140625" style="87" hidden="1" customWidth="1"/>
    <col min="17" max="19" width="11.44140625" style="87" customWidth="1"/>
    <col min="20" max="16384" width="11.44140625" style="87"/>
  </cols>
  <sheetData>
    <row r="1" spans="1:16" ht="20.399999999999999" x14ac:dyDescent="0.35">
      <c r="A1" s="80" t="s">
        <v>77</v>
      </c>
      <c r="B1" s="73" t="s">
        <v>52</v>
      </c>
      <c r="C1" s="74"/>
      <c r="D1" s="74"/>
      <c r="E1" s="74"/>
      <c r="F1" s="74"/>
      <c r="G1" s="74"/>
      <c r="H1" s="74"/>
      <c r="I1" s="74"/>
      <c r="J1" s="74"/>
      <c r="K1" s="74"/>
    </row>
    <row r="2" spans="1:16" ht="20.399999999999999" x14ac:dyDescent="0.35">
      <c r="A2" s="80" t="s">
        <v>78</v>
      </c>
      <c r="B2" s="74"/>
      <c r="C2" s="74"/>
      <c r="D2" s="74"/>
      <c r="E2" s="74"/>
      <c r="F2" s="74"/>
      <c r="G2" s="74"/>
      <c r="H2" s="74"/>
      <c r="I2" s="74"/>
      <c r="J2" s="74"/>
      <c r="K2" s="74"/>
    </row>
    <row r="3" spans="1:16" ht="18" x14ac:dyDescent="0.35">
      <c r="A3" s="704" t="s">
        <v>79</v>
      </c>
      <c r="B3" s="704"/>
      <c r="C3" s="74"/>
      <c r="D3" s="74"/>
      <c r="E3" s="74"/>
      <c r="F3" s="74"/>
      <c r="G3" s="74"/>
      <c r="H3" s="74"/>
      <c r="I3" s="74"/>
      <c r="J3" s="74"/>
      <c r="K3" s="74"/>
    </row>
    <row r="4" spans="1:16" ht="18" x14ac:dyDescent="0.35">
      <c r="A4" s="82" t="s">
        <v>426</v>
      </c>
      <c r="B4" s="83"/>
      <c r="C4" s="84"/>
      <c r="D4" s="84"/>
      <c r="E4" s="85"/>
      <c r="F4" s="86"/>
      <c r="G4" s="83"/>
      <c r="H4" s="84"/>
      <c r="I4" s="84"/>
      <c r="J4" s="85"/>
      <c r="K4" s="112"/>
      <c r="L4" s="211"/>
      <c r="M4" s="212"/>
      <c r="N4" s="213"/>
      <c r="O4" s="212"/>
    </row>
    <row r="5" spans="1:16" ht="20.399999999999999" x14ac:dyDescent="0.35">
      <c r="A5" s="88"/>
      <c r="B5" s="705" t="s">
        <v>80</v>
      </c>
      <c r="C5" s="706"/>
      <c r="D5" s="706"/>
      <c r="E5" s="707"/>
      <c r="F5" s="90"/>
      <c r="G5" s="705" t="s">
        <v>393</v>
      </c>
      <c r="H5" s="706"/>
      <c r="I5" s="706"/>
      <c r="J5" s="707"/>
      <c r="K5" s="89"/>
      <c r="L5" s="708" t="s">
        <v>135</v>
      </c>
      <c r="M5" s="703"/>
      <c r="N5" s="702" t="s">
        <v>136</v>
      </c>
      <c r="O5" s="703"/>
    </row>
    <row r="6" spans="1:16" ht="17.399999999999999" x14ac:dyDescent="0.3">
      <c r="A6" s="91"/>
      <c r="B6" s="92"/>
      <c r="C6" s="93"/>
      <c r="D6" s="93" t="s">
        <v>81</v>
      </c>
      <c r="E6" s="94" t="s">
        <v>29</v>
      </c>
      <c r="F6" s="95"/>
      <c r="G6" s="92"/>
      <c r="H6" s="93"/>
      <c r="I6" s="93" t="s">
        <v>81</v>
      </c>
      <c r="J6" s="94" t="s">
        <v>29</v>
      </c>
      <c r="K6" s="100"/>
      <c r="L6" s="214"/>
      <c r="M6" s="215"/>
      <c r="N6" s="216"/>
      <c r="O6" s="215"/>
    </row>
    <row r="7" spans="1:16" ht="16.2" x14ac:dyDescent="0.35">
      <c r="A7" s="96" t="s">
        <v>82</v>
      </c>
      <c r="B7" s="97">
        <v>2020</v>
      </c>
      <c r="C7" s="97">
        <v>2021</v>
      </c>
      <c r="D7" s="98" t="s">
        <v>83</v>
      </c>
      <c r="E7" s="99" t="s">
        <v>30</v>
      </c>
      <c r="F7" s="95"/>
      <c r="G7" s="97">
        <v>2020</v>
      </c>
      <c r="H7" s="97">
        <v>2021</v>
      </c>
      <c r="I7" s="98" t="s">
        <v>83</v>
      </c>
      <c r="J7" s="99" t="s">
        <v>30</v>
      </c>
      <c r="K7" s="100"/>
      <c r="L7" s="217">
        <v>2015</v>
      </c>
      <c r="M7" s="218">
        <v>2016</v>
      </c>
      <c r="N7" s="219">
        <v>2015</v>
      </c>
      <c r="O7" s="218">
        <v>2016</v>
      </c>
      <c r="P7" s="87" t="s">
        <v>139</v>
      </c>
    </row>
    <row r="8" spans="1:16" ht="18" x14ac:dyDescent="0.35">
      <c r="A8" s="101" t="s">
        <v>0</v>
      </c>
      <c r="B8" s="129"/>
      <c r="C8" s="103"/>
      <c r="D8" s="104"/>
      <c r="E8" s="407"/>
      <c r="F8" s="177"/>
      <c r="G8" s="129"/>
      <c r="H8" s="129"/>
      <c r="I8" s="103"/>
      <c r="J8" s="407"/>
      <c r="K8" s="139"/>
      <c r="L8" s="220" t="s">
        <v>0</v>
      </c>
      <c r="M8" s="221"/>
      <c r="N8" s="222"/>
      <c r="O8" s="221"/>
      <c r="P8" s="87" t="s">
        <v>147</v>
      </c>
    </row>
    <row r="9" spans="1:16" ht="18" x14ac:dyDescent="0.35">
      <c r="A9" s="193" t="s">
        <v>419</v>
      </c>
      <c r="B9" s="177">
        <f>'Codan Forsikring'!B7+'Codan Forsikring'!B22+'Codan Forsikring'!B36+'Codan Forsikring'!B47+'Codan Forsikring'!B66+'Codan Forsikring'!B134</f>
        <v>0</v>
      </c>
      <c r="C9" s="177">
        <f>'Codan Forsikring'!C7+'Codan Forsikring'!C22+'Codan Forsikring'!C36+'Codan Forsikring'!C47+'Codan Forsikring'!C66+'Codan Forsikring'!C134</f>
        <v>73022</v>
      </c>
      <c r="D9" s="104" t="str">
        <f t="shared" ref="D9" si="0">IF(B9=0, "    ---- ", IF(ABS(ROUND(100/B9*C9-100,1))&lt;999,ROUND(100/B9*C9-100,1),IF(ROUND(100/B9*C9-100,1)&gt;999,999,-999)))</f>
        <v xml:space="preserve">    ---- </v>
      </c>
      <c r="E9" s="407">
        <f t="shared" ref="E9" si="1">100/C$34*C9</f>
        <v>0.11438761274299793</v>
      </c>
      <c r="F9" s="103"/>
      <c r="G9" s="177">
        <f>'Codan Forsikring'!B10+'Codan Forsikring'!B29+'Codan Forsikring'!B37+'Codan Forsikring'!B87+'Codan Forsikring'!B135</f>
        <v>0</v>
      </c>
      <c r="H9" s="177">
        <f>'Codan Forsikring'!C10+'Codan Forsikring'!C29+'Codan Forsikring'!C37+'Codan Forsikring'!C87+'Codan Forsikring'!C135</f>
        <v>0</v>
      </c>
      <c r="I9" s="104"/>
      <c r="J9" s="407">
        <f>100/H$34*H9</f>
        <v>0</v>
      </c>
      <c r="K9" s="139"/>
      <c r="L9" s="220"/>
      <c r="M9" s="221"/>
      <c r="N9" s="223"/>
      <c r="O9" s="221"/>
    </row>
    <row r="10" spans="1:16" ht="18" x14ac:dyDescent="0.35">
      <c r="A10" s="193" t="s">
        <v>84</v>
      </c>
      <c r="B10" s="177">
        <f>'Danica Pensjonsforsikring'!B7+'Danica Pensjonsforsikring'!B22+'Danica Pensjonsforsikring'!B36+'Danica Pensjonsforsikring'!B47+'Danica Pensjonsforsikring'!B66+'Danica Pensjonsforsikring'!B134</f>
        <v>322886.59299999999</v>
      </c>
      <c r="C10" s="177">
        <f>'Danica Pensjonsforsikring'!C7+'Danica Pensjonsforsikring'!C22+'Danica Pensjonsforsikring'!C36+'Danica Pensjonsforsikring'!C47+'Danica Pensjonsforsikring'!C66+'Danica Pensjonsforsikring'!C134</f>
        <v>325384.08600000001</v>
      </c>
      <c r="D10" s="104">
        <f t="shared" ref="D10:D33" si="2">IF(B10=0, "    ---- ", IF(ABS(ROUND(100/B10*C10-100,1))&lt;999,ROUND(100/B10*C10-100,1),IF(ROUND(100/B10*C10-100,1)&gt;999,999,-999)))</f>
        <v>0.8</v>
      </c>
      <c r="E10" s="407">
        <f t="shared" ref="E10:E32" si="3">100/C$34*C10</f>
        <v>0.50970815400978242</v>
      </c>
      <c r="F10" s="103"/>
      <c r="G10" s="177">
        <f>'Danica Pensjonsforsikring'!B10+'Danica Pensjonsforsikring'!B29+'Danica Pensjonsforsikring'!B37+'Danica Pensjonsforsikring'!B87+'Danica Pensjonsforsikring'!B135</f>
        <v>1286357.608</v>
      </c>
      <c r="H10" s="177">
        <f>'Danica Pensjonsforsikring'!C10+'Danica Pensjonsforsikring'!C29+'Danica Pensjonsforsikring'!C37+'Danica Pensjonsforsikring'!C87+'Danica Pensjonsforsikring'!C135</f>
        <v>1370247.2149999999</v>
      </c>
      <c r="I10" s="104">
        <f t="shared" ref="I10:I30" si="4">IF(G10=0, "    ---- ", IF(ABS(ROUND(100/G10*H10-100,1))&lt;999,ROUND(100/G10*H10-100,1),IF(ROUND(100/G10*H10-100,1)&gt;999,999,-999)))</f>
        <v>6.5</v>
      </c>
      <c r="J10" s="407">
        <f>100/H$34*H10</f>
        <v>0.12107127362019185</v>
      </c>
      <c r="K10" s="207" t="s">
        <v>143</v>
      </c>
      <c r="L10" s="223" t="e">
        <f ca="1">INDIRECT("'" &amp;#REF! &amp; "'!" &amp; $P$7)</f>
        <v>#REF!</v>
      </c>
      <c r="M10" s="221" t="e">
        <f ca="1">INDIRECT("'" &amp;#REF! &amp; "'!" &amp; $P$8)</f>
        <v>#REF!</v>
      </c>
      <c r="N10" s="223" t="e">
        <f ca="1">INDIRECT("'" &amp;#REF! &amp; "'!" &amp; $P$10)</f>
        <v>#REF!</v>
      </c>
      <c r="O10" s="221" t="e">
        <f ca="1">INDIRECT("'" &amp;#REF! &amp; "'!" &amp; $P$12)</f>
        <v>#REF!</v>
      </c>
      <c r="P10" s="87" t="s">
        <v>151</v>
      </c>
    </row>
    <row r="11" spans="1:16" ht="18" x14ac:dyDescent="0.35">
      <c r="A11" s="108" t="s">
        <v>415</v>
      </c>
      <c r="B11" s="177">
        <f>'DNB Bedriftspensjon'!B7+'DNB Bedriftspensjon'!B22+'DNB Bedriftspensjon'!B36+'DNB Bedriftspensjon'!B47+'DNB Bedriftspensjon'!B66+'DNB Bedriftspensjon'!B134</f>
        <v>74436</v>
      </c>
      <c r="C11" s="177">
        <f>'DNB Bedriftspensjon'!C7+'DNB Bedriftspensjon'!C22+'DNB Bedriftspensjon'!C36+'DNB Bedriftspensjon'!C47+'DNB Bedriftspensjon'!C66+'DNB Bedriftspensjon'!C134</f>
        <v>0</v>
      </c>
      <c r="D11" s="104">
        <f>IF(B11=0, "    ---- ", IF(ABS(ROUND(100/B11*C11-100,1))&lt;999,ROUND(100/B11*C11-100,1),IF(ROUND(100/B11*C11-100,1)&gt;999,999,-999)))</f>
        <v>-100</v>
      </c>
      <c r="E11" s="407">
        <f t="shared" si="3"/>
        <v>0</v>
      </c>
      <c r="F11" s="103"/>
      <c r="G11" s="177">
        <f>'DNB Bedriftspensjon'!B10+'DNB Bedriftspensjon'!B29+'DNB Bedriftspensjon'!B37+'DNB Bedriftspensjon'!B87+'DNB Bedriftspensjon'!B135</f>
        <v>1789003</v>
      </c>
      <c r="H11" s="177">
        <f>'DNB Bedriftspensjon'!C10+'DNB Bedriftspensjon'!C29+'DNB Bedriftspensjon'!C37+'DNB Bedriftspensjon'!C87+'DNB Bedriftspensjon'!C135</f>
        <v>0</v>
      </c>
      <c r="I11" s="104">
        <f t="shared" si="4"/>
        <v>-100</v>
      </c>
      <c r="J11" s="407">
        <f>100/H$34*H11</f>
        <v>0</v>
      </c>
      <c r="K11" s="139"/>
      <c r="L11" s="223">
        <f ca="1">INDIRECT("'" &amp; $A23 &amp; "'!" &amp; $P$7)</f>
        <v>0</v>
      </c>
      <c r="M11" s="221">
        <f ca="1">INDIRECT("'" &amp; $A23 &amp; "'!" &amp; $P$8)</f>
        <v>0</v>
      </c>
      <c r="N11" s="223">
        <f ca="1">INDIRECT("'" &amp; $A23 &amp; "'!" &amp; $P$10)</f>
        <v>0</v>
      </c>
      <c r="O11" s="221">
        <f ca="1">INDIRECT("'" &amp; $A23 &amp; "'!" &amp; $P$12)</f>
        <v>0</v>
      </c>
    </row>
    <row r="12" spans="1:16" ht="18" x14ac:dyDescent="0.35">
      <c r="A12" s="193" t="s">
        <v>85</v>
      </c>
      <c r="B12" s="177">
        <f>'DNB Livsforsikring'!B7+'DNB Livsforsikring'!B22+'DNB Livsforsikring'!B36+'DNB Livsforsikring'!B47+'DNB Livsforsikring'!B66+'DNB Livsforsikring'!B134</f>
        <v>2544846.8470000001</v>
      </c>
      <c r="C12" s="177">
        <f>'DNB Livsforsikring'!C7+'DNB Livsforsikring'!C22+'DNB Livsforsikring'!C36+'DNB Livsforsikring'!C47+'DNB Livsforsikring'!C66+'DNB Livsforsikring'!C134</f>
        <v>2650494.3509999998</v>
      </c>
      <c r="D12" s="104">
        <f t="shared" si="2"/>
        <v>4.2</v>
      </c>
      <c r="E12" s="407">
        <f t="shared" si="3"/>
        <v>4.1519503902891124</v>
      </c>
      <c r="F12" s="103"/>
      <c r="G12" s="177">
        <f>'DNB Livsforsikring'!B10+'DNB Livsforsikring'!B29+'DNB Livsforsikring'!B37+'DNB Livsforsikring'!B87+'DNB Livsforsikring'!B135</f>
        <v>194797622</v>
      </c>
      <c r="H12" s="177">
        <f>'DNB Livsforsikring'!C10+'DNB Livsforsikring'!C29+'DNB Livsforsikring'!C37+'DNB Livsforsikring'!C87+'DNB Livsforsikring'!C135</f>
        <v>194803582.38699999</v>
      </c>
      <c r="I12" s="104">
        <f t="shared" si="4"/>
        <v>0</v>
      </c>
      <c r="J12" s="407">
        <f>100/H$34*H12</f>
        <v>17.212308528844606</v>
      </c>
      <c r="K12" s="208" t="s">
        <v>144</v>
      </c>
      <c r="L12" s="223">
        <f ca="1">INDIRECT("'" &amp; $A10 &amp; "'!" &amp; $P$7)</f>
        <v>0</v>
      </c>
      <c r="M12" s="221">
        <f ca="1">INDIRECT("'" &amp; $A10 &amp; "'!" &amp; $P$8)</f>
        <v>0</v>
      </c>
      <c r="N12" s="223">
        <f ca="1">INDIRECT("'" &amp; $A10 &amp; "'!" &amp; $P$10)</f>
        <v>0</v>
      </c>
      <c r="O12" s="221">
        <f ca="1">INDIRECT("'" &amp; $A10 &amp; "'!" &amp; $P$12)</f>
        <v>0</v>
      </c>
      <c r="P12" s="87" t="s">
        <v>156</v>
      </c>
    </row>
    <row r="13" spans="1:16" ht="18" x14ac:dyDescent="0.35">
      <c r="A13" s="193" t="s">
        <v>86</v>
      </c>
      <c r="B13" s="177">
        <f>'Eika Forsikring AS'!B7+'Eika Forsikring AS'!B22+'Eika Forsikring AS'!B36+'Eika Forsikring AS'!B47+'Eika Forsikring AS'!B66+'Eika Forsikring AS'!B134</f>
        <v>269700</v>
      </c>
      <c r="C13" s="177">
        <f>'Eika Forsikring AS'!C7+'Eika Forsikring AS'!C22+'Eika Forsikring AS'!C36+'Eika Forsikring AS'!C47+'Eika Forsikring AS'!C66+'Eika Forsikring AS'!C134</f>
        <v>291419</v>
      </c>
      <c r="D13" s="104">
        <f t="shared" si="2"/>
        <v>8.1</v>
      </c>
      <c r="E13" s="407">
        <f t="shared" si="3"/>
        <v>0.45650247484253664</v>
      </c>
      <c r="F13" s="103"/>
      <c r="G13" s="177">
        <f>'Eika Forsikring AS'!B10+'Eika Forsikring AS'!B29+'Eika Forsikring AS'!B37+'Eika Forsikring AS'!B87+'Eika Forsikring AS'!B135</f>
        <v>0</v>
      </c>
      <c r="H13" s="177">
        <f>'Eika Forsikring AS'!C10+'Eika Forsikring AS'!C29+'Eika Forsikring AS'!C37+'Eika Forsikring AS'!C87+'Eika Forsikring AS'!C135</f>
        <v>0</v>
      </c>
      <c r="I13" s="104"/>
      <c r="J13" s="407">
        <f>100/H$34*H13</f>
        <v>0</v>
      </c>
      <c r="K13" s="87" t="s">
        <v>137</v>
      </c>
      <c r="L13" s="223">
        <f ca="1">INDIRECT("'" &amp; $A12 &amp; "'!" &amp; $P$7)</f>
        <v>0</v>
      </c>
      <c r="M13" s="221">
        <f ca="1">INDIRECT("'" &amp; $A12 &amp; "'!" &amp; $P$8)</f>
        <v>0</v>
      </c>
      <c r="N13" s="223">
        <f ca="1">INDIRECT("'" &amp; $A12 &amp; "'!" &amp; $P$10)</f>
        <v>0</v>
      </c>
      <c r="O13" s="221">
        <f ca="1">INDIRECT("'" &amp; $A12 &amp; "'!" &amp; $P$12)</f>
        <v>0</v>
      </c>
    </row>
    <row r="14" spans="1:16" ht="18" x14ac:dyDescent="0.35">
      <c r="A14" s="193" t="s">
        <v>420</v>
      </c>
      <c r="B14" s="177">
        <f>'Euro Accident'!B7+'Euro Accident'!B22+'Euro Accident'!B36+'Euro Accident'!B47+'Euro Accident'!B66+'Euro Accident'!B134</f>
        <v>0</v>
      </c>
      <c r="C14" s="177">
        <f>'Euro Accident'!C7+'Euro Accident'!C22+'Euro Accident'!C36+'Euro Accident'!C47+'Euro Accident'!C66+'Euro Accident'!C134</f>
        <v>10359.611999999999</v>
      </c>
      <c r="D14" s="104" t="str">
        <f t="shared" ref="D14" si="5">IF(B14=0, "    ---- ", IF(ABS(ROUND(100/B14*C14-100,1))&lt;999,ROUND(100/B14*C14-100,1),IF(ROUND(100/B14*C14-100,1)&gt;999,999,-999)))</f>
        <v xml:space="preserve">    ---- </v>
      </c>
      <c r="E14" s="407">
        <f t="shared" si="3"/>
        <v>1.6228140637393033E-2</v>
      </c>
      <c r="F14" s="103"/>
      <c r="G14" s="177">
        <f>'Euro Accident'!B10+'Euro Accident'!B29+'Euro Accident'!B37+'Euro Accident'!B87+'Euro Accident'!B135</f>
        <v>0</v>
      </c>
      <c r="H14" s="177">
        <f>'Euro Accident'!C10+'Euro Accident'!C29+'Euro Accident'!C37+'Euro Accident'!C87+'Euro Accident'!C135</f>
        <v>0</v>
      </c>
      <c r="I14" s="104"/>
      <c r="J14" s="407"/>
      <c r="L14" s="223"/>
      <c r="M14" s="221"/>
      <c r="N14" s="223"/>
      <c r="O14" s="221"/>
    </row>
    <row r="15" spans="1:16" ht="18" x14ac:dyDescent="0.35">
      <c r="A15" s="108" t="s">
        <v>400</v>
      </c>
      <c r="B15" s="177">
        <f>'Fremtind Livsforsikring'!B7+'Fremtind Livsforsikring'!B22+'Fremtind Livsforsikring'!B36+'Fremtind Livsforsikring'!B47+'Fremtind Livsforsikring'!B66+'Fremtind Livsforsikring'!B134</f>
        <v>2205150</v>
      </c>
      <c r="C15" s="177">
        <f>'Fremtind Livsforsikring'!C7+'Fremtind Livsforsikring'!C22+'Fremtind Livsforsikring'!C36+'Fremtind Livsforsikring'!C47+'Fremtind Livsforsikring'!C66+'Fremtind Livsforsikring'!C134</f>
        <v>2307250.8282099999</v>
      </c>
      <c r="D15" s="104">
        <f t="shared" si="2"/>
        <v>4.5999999999999996</v>
      </c>
      <c r="E15" s="407">
        <f t="shared" si="3"/>
        <v>3.6142657587884019</v>
      </c>
      <c r="F15" s="103"/>
      <c r="G15" s="177">
        <f>'Fremtind Livsforsikring'!B10+'Fremtind Livsforsikring'!B29+'Fremtind Livsforsikring'!B37+'Fremtind Livsforsikring'!B87+'Fremtind Livsforsikring'!B135</f>
        <v>3675280</v>
      </c>
      <c r="H15" s="177">
        <f>'Fremtind Livsforsikring'!C10+'Fremtind Livsforsikring'!C29+'Fremtind Livsforsikring'!C37+'Fremtind Livsforsikring'!C87+'Fremtind Livsforsikring'!C135</f>
        <v>4152805.49841</v>
      </c>
      <c r="I15" s="104">
        <f t="shared" si="4"/>
        <v>13</v>
      </c>
      <c r="J15" s="407">
        <f t="shared" ref="J15:J33" si="6">100/H$34*H15</f>
        <v>0.36693046720728739</v>
      </c>
      <c r="K15" s="87" t="s">
        <v>145</v>
      </c>
      <c r="L15" s="223">
        <f ca="1">INDIRECT("'" &amp; $A13 &amp; "'!" &amp; $P$7)</f>
        <v>0</v>
      </c>
      <c r="M15" s="221">
        <f ca="1">INDIRECT("'" &amp; $A13 &amp; "'!" &amp; $P$8)</f>
        <v>0</v>
      </c>
      <c r="N15" s="223">
        <f ca="1">INDIRECT("'" &amp; $A13 &amp; "'!" &amp; $P$10)</f>
        <v>0</v>
      </c>
      <c r="O15" s="221">
        <f ca="1">INDIRECT("'" &amp; $A13 &amp; "'!" &amp; $P$12)</f>
        <v>0</v>
      </c>
    </row>
    <row r="16" spans="1:16" ht="18" x14ac:dyDescent="0.35">
      <c r="A16" s="193" t="s">
        <v>87</v>
      </c>
      <c r="B16" s="178">
        <f>'Frende Livsforsikring'!B7+'Frende Livsforsikring'!B22+'Frende Livsforsikring'!B36+'Frende Livsforsikring'!B47+'Frende Livsforsikring'!B66+'Frende Livsforsikring'!B134</f>
        <v>504078</v>
      </c>
      <c r="C16" s="178">
        <f>'Frende Livsforsikring'!C7+'Frende Livsforsikring'!C22+'Frende Livsforsikring'!C36+'Frende Livsforsikring'!C47+'Frende Livsforsikring'!C66+'Frende Livsforsikring'!C134</f>
        <v>459364</v>
      </c>
      <c r="D16" s="104">
        <f t="shared" si="2"/>
        <v>-8.9</v>
      </c>
      <c r="E16" s="407">
        <f t="shared" si="3"/>
        <v>0.71958521185498203</v>
      </c>
      <c r="F16" s="103"/>
      <c r="G16" s="177">
        <f>'Frende Livsforsikring'!B10+'Frende Livsforsikring'!B29+'Frende Livsforsikring'!B37+'Frende Livsforsikring'!B87+'Frende Livsforsikring'!B135</f>
        <v>1031868</v>
      </c>
      <c r="H16" s="177">
        <f>'Frende Livsforsikring'!C10+'Frende Livsforsikring'!C29+'Frende Livsforsikring'!C37+'Frende Livsforsikring'!C87+'Frende Livsforsikring'!C135</f>
        <v>1050664</v>
      </c>
      <c r="I16" s="104">
        <f t="shared" si="4"/>
        <v>1.8</v>
      </c>
      <c r="J16" s="407">
        <f t="shared" si="6"/>
        <v>9.2833780090467305E-2</v>
      </c>
      <c r="L16" s="223"/>
      <c r="M16" s="221"/>
      <c r="N16" s="223"/>
      <c r="O16" s="221"/>
    </row>
    <row r="17" spans="1:18" ht="18" x14ac:dyDescent="0.35">
      <c r="A17" s="193" t="s">
        <v>88</v>
      </c>
      <c r="B17" s="177">
        <f>'Frende Skadeforsikring'!B7+'Frende Skadeforsikring'!B22+'Frende Skadeforsikring'!B36+'Frende Skadeforsikring'!B47+'Frende Skadeforsikring'!B66+'Frende Skadeforsikring'!B134</f>
        <v>3713.2633999999998</v>
      </c>
      <c r="C17" s="177">
        <f>'Frende Skadeforsikring'!C7+'Frende Skadeforsikring'!C22+'Frende Skadeforsikring'!C36+'Frende Skadeforsikring'!C47+'Frende Skadeforsikring'!C66+'Frende Skadeforsikring'!C134</f>
        <v>5330.2790000000005</v>
      </c>
      <c r="D17" s="104">
        <f t="shared" si="2"/>
        <v>43.5</v>
      </c>
      <c r="E17" s="407">
        <f t="shared" si="3"/>
        <v>8.3497834907854378E-3</v>
      </c>
      <c r="F17" s="103"/>
      <c r="G17" s="177">
        <f>'Frende Skadeforsikring'!B10+'Frende Skadeforsikring'!B29+'Frende Skadeforsikring'!B37+'Frende Skadeforsikring'!B87+'Frende Skadeforsikring'!B135</f>
        <v>0</v>
      </c>
      <c r="H17" s="177">
        <f>'Frende Skadeforsikring'!C10+'Frende Skadeforsikring'!C29+'Frende Skadeforsikring'!C37+'Frende Skadeforsikring'!C87+'Frende Skadeforsikring'!C135</f>
        <v>0</v>
      </c>
      <c r="I17" s="104"/>
      <c r="J17" s="407">
        <f t="shared" si="6"/>
        <v>0</v>
      </c>
      <c r="K17" s="87" t="s">
        <v>138</v>
      </c>
      <c r="L17" s="223">
        <f t="shared" ref="L17:L33" ca="1" si="7">INDIRECT("'" &amp; $A16 &amp; "'!" &amp; $P$7)</f>
        <v>0</v>
      </c>
      <c r="M17" s="221">
        <f t="shared" ref="M17:M33" ca="1" si="8">INDIRECT("'" &amp; $A16 &amp; "'!" &amp; $P$8)</f>
        <v>0</v>
      </c>
      <c r="N17" s="223">
        <f t="shared" ref="N17:N33" ca="1" si="9">INDIRECT("'" &amp; $A16 &amp; "'!" &amp; $P$10)</f>
        <v>0</v>
      </c>
      <c r="O17" s="221">
        <f t="shared" ref="O17:O33" ca="1" si="10">INDIRECT("'" &amp; $A16 &amp; "'!" &amp; $P$12)</f>
        <v>0</v>
      </c>
    </row>
    <row r="18" spans="1:18" ht="18" x14ac:dyDescent="0.35">
      <c r="A18" s="193" t="s">
        <v>89</v>
      </c>
      <c r="B18" s="177">
        <f>'Gjensidige Forsikring'!B7+'Gjensidige Forsikring'!B22+'Gjensidige Forsikring'!B36+'Gjensidige Forsikring'!B47+'Gjensidige Forsikring'!B66+'Gjensidige Forsikring'!B134</f>
        <v>1445145</v>
      </c>
      <c r="C18" s="177">
        <f>'Gjensidige Forsikring'!C7+'Gjensidige Forsikring'!C22+'Gjensidige Forsikring'!C36+'Gjensidige Forsikring'!C47+'Gjensidige Forsikring'!C66+'Gjensidige Forsikring'!C134</f>
        <v>1671885.9509999999</v>
      </c>
      <c r="D18" s="104">
        <f t="shared" si="2"/>
        <v>15.7</v>
      </c>
      <c r="E18" s="407">
        <f t="shared" si="3"/>
        <v>2.6189784272335292</v>
      </c>
      <c r="F18" s="103"/>
      <c r="G18" s="177">
        <f>'Gjensidige Forsikring'!B10+'Gjensidige Forsikring'!B29+'Gjensidige Forsikring'!B37+'Gjensidige Forsikring'!B87+'Gjensidige Forsikring'!B135</f>
        <v>0</v>
      </c>
      <c r="H18" s="177">
        <f>'Gjensidige Forsikring'!C10+'Gjensidige Forsikring'!C29+'Gjensidige Forsikring'!C37+'Gjensidige Forsikring'!C87+'Gjensidige Forsikring'!C135</f>
        <v>0</v>
      </c>
      <c r="I18" s="104"/>
      <c r="J18" s="407">
        <f t="shared" si="6"/>
        <v>0</v>
      </c>
      <c r="K18" s="87" t="s">
        <v>146</v>
      </c>
      <c r="L18" s="223">
        <f t="shared" ca="1" si="7"/>
        <v>0</v>
      </c>
      <c r="M18" s="221">
        <f t="shared" ca="1" si="8"/>
        <v>0</v>
      </c>
      <c r="N18" s="223">
        <f t="shared" ca="1" si="9"/>
        <v>0</v>
      </c>
      <c r="O18" s="221">
        <f t="shared" ca="1" si="10"/>
        <v>0</v>
      </c>
    </row>
    <row r="19" spans="1:18" ht="18" x14ac:dyDescent="0.35">
      <c r="A19" s="193" t="s">
        <v>90</v>
      </c>
      <c r="B19" s="177">
        <f>'Gjensidige Pensjon'!B7+'Gjensidige Pensjon'!B22+'Gjensidige Pensjon'!B36+'Gjensidige Pensjon'!B47+'Gjensidige Pensjon'!B66+'Gjensidige Pensjon'!B134</f>
        <v>509282</v>
      </c>
      <c r="C19" s="177">
        <f>'Gjensidige Pensjon'!C7+'Gjensidige Pensjon'!C22+'Gjensidige Pensjon'!C36+'Gjensidige Pensjon'!C47+'Gjensidige Pensjon'!C66+'Gjensidige Pensjon'!C134</f>
        <v>556509.5</v>
      </c>
      <c r="D19" s="104">
        <f t="shared" si="2"/>
        <v>9.3000000000000007</v>
      </c>
      <c r="E19" s="407">
        <f t="shared" si="3"/>
        <v>0.87176184127796286</v>
      </c>
      <c r="F19" s="103"/>
      <c r="G19" s="177">
        <f>'Gjensidige Pensjon'!B10+'Gjensidige Pensjon'!B29+'Gjensidige Pensjon'!B37+'Gjensidige Pensjon'!B87+'Gjensidige Pensjon'!B135</f>
        <v>7488988</v>
      </c>
      <c r="H19" s="177">
        <f>'Gjensidige Pensjon'!C10+'Gjensidige Pensjon'!C29+'Gjensidige Pensjon'!C37+'Gjensidige Pensjon'!C87+'Gjensidige Pensjon'!C135</f>
        <v>8107520.2000000002</v>
      </c>
      <c r="I19" s="104">
        <f t="shared" si="4"/>
        <v>8.3000000000000007</v>
      </c>
      <c r="J19" s="407">
        <f t="shared" si="6"/>
        <v>0.71635817666334956</v>
      </c>
      <c r="K19" s="87" t="s">
        <v>139</v>
      </c>
      <c r="L19" s="223">
        <f t="shared" ca="1" si="7"/>
        <v>0</v>
      </c>
      <c r="M19" s="221">
        <f t="shared" ca="1" si="8"/>
        <v>0</v>
      </c>
      <c r="N19" s="223">
        <f t="shared" ca="1" si="9"/>
        <v>0</v>
      </c>
      <c r="O19" s="221">
        <f t="shared" ca="1" si="10"/>
        <v>0</v>
      </c>
    </row>
    <row r="20" spans="1:18" ht="18" x14ac:dyDescent="0.35">
      <c r="A20" s="193" t="s">
        <v>91</v>
      </c>
      <c r="B20" s="177">
        <f>'Handelsbanken Liv'!B7+'Handelsbanken Liv'!B22+'Handelsbanken Liv'!B36+'Handelsbanken Liv'!B47+'Handelsbanken Liv'!B66+'Handelsbanken Liv'!B134</f>
        <v>26171.04192</v>
      </c>
      <c r="C20" s="177">
        <f>'Handelsbanken Liv'!C7+'Handelsbanken Liv'!C22+'Handelsbanken Liv'!C36+'Handelsbanken Liv'!C47+'Handelsbanken Liv'!C66+'Handelsbanken Liv'!C134</f>
        <v>26025.308660000002</v>
      </c>
      <c r="D20" s="104">
        <f t="shared" si="2"/>
        <v>-0.6</v>
      </c>
      <c r="E20" s="407">
        <f t="shared" si="3"/>
        <v>4.0768164779341434E-2</v>
      </c>
      <c r="F20" s="103"/>
      <c r="G20" s="177">
        <f>'Handelsbanken Liv'!B10+'Handelsbanken Liv'!B29+'Handelsbanken Liv'!B37+'Handelsbanken Liv'!B87+'Handelsbanken Liv'!B135</f>
        <v>21581.57877081968</v>
      </c>
      <c r="H20" s="177">
        <f>'Handelsbanken Liv'!C10+'Handelsbanken Liv'!C29+'Handelsbanken Liv'!C37+'Handelsbanken Liv'!C87+'Handelsbanken Liv'!C135</f>
        <v>21229.507515466838</v>
      </c>
      <c r="I20" s="104">
        <f t="shared" si="4"/>
        <v>-1.6</v>
      </c>
      <c r="J20" s="407">
        <f t="shared" si="6"/>
        <v>1.875780870116204E-3</v>
      </c>
      <c r="K20" s="87" t="s">
        <v>147</v>
      </c>
      <c r="L20" s="223">
        <f t="shared" ca="1" si="7"/>
        <v>0</v>
      </c>
      <c r="M20" s="221">
        <f t="shared" ca="1" si="8"/>
        <v>0</v>
      </c>
      <c r="N20" s="223">
        <f t="shared" ca="1" si="9"/>
        <v>0</v>
      </c>
      <c r="O20" s="221">
        <f t="shared" ca="1" si="10"/>
        <v>0</v>
      </c>
    </row>
    <row r="21" spans="1:18" ht="18" x14ac:dyDescent="0.35">
      <c r="A21" s="193" t="s">
        <v>92</v>
      </c>
      <c r="B21" s="177">
        <f>'If Skadeforsikring NUF'!B7+'If Skadeforsikring NUF'!B22+'If Skadeforsikring NUF'!B36+'If Skadeforsikring NUF'!B47+'If Skadeforsikring NUF'!B66+'If Skadeforsikring NUF'!B134</f>
        <v>396241.54700000002</v>
      </c>
      <c r="C21" s="177">
        <f>'If Skadeforsikring NUF'!C7+'If Skadeforsikring NUF'!C22+'If Skadeforsikring NUF'!C36+'If Skadeforsikring NUF'!C47+'If Skadeforsikring NUF'!C66+'If Skadeforsikring NUF'!C134</f>
        <v>416726.04218554404</v>
      </c>
      <c r="D21" s="104">
        <f t="shared" si="2"/>
        <v>5.2</v>
      </c>
      <c r="E21" s="407">
        <f t="shared" si="3"/>
        <v>0.65279363936131884</v>
      </c>
      <c r="F21" s="103"/>
      <c r="G21" s="177">
        <f>'If Skadeforsikring NUF'!B10+'If Skadeforsikring NUF'!B29+'If Skadeforsikring NUF'!B37+'If Skadeforsikring NUF'!B87+'If Skadeforsikring NUF'!B135</f>
        <v>0</v>
      </c>
      <c r="H21" s="177">
        <f>'If Skadeforsikring NUF'!C10+'If Skadeforsikring NUF'!C29+'If Skadeforsikring NUF'!C37+'If Skadeforsikring NUF'!C87+'If Skadeforsikring NUF'!C135</f>
        <v>0</v>
      </c>
      <c r="I21" s="104"/>
      <c r="J21" s="407">
        <f t="shared" si="6"/>
        <v>0</v>
      </c>
      <c r="K21" s="139"/>
      <c r="L21" s="223">
        <f t="shared" ca="1" si="7"/>
        <v>0</v>
      </c>
      <c r="M21" s="221">
        <f t="shared" ca="1" si="8"/>
        <v>0</v>
      </c>
      <c r="N21" s="223">
        <f t="shared" ca="1" si="9"/>
        <v>0</v>
      </c>
      <c r="O21" s="221">
        <f t="shared" ca="1" si="10"/>
        <v>0</v>
      </c>
    </row>
    <row r="22" spans="1:18" ht="18" x14ac:dyDescent="0.35">
      <c r="A22" s="193" t="s">
        <v>405</v>
      </c>
      <c r="B22" s="177">
        <f>Insr!B7+Insr!B22+Insr!B36+Insr!B47+Insr!B66+Insr!B134</f>
        <v>11145.35382794882</v>
      </c>
      <c r="C22" s="177">
        <f>Insr!C7+Insr!C22+Insr!C36+Insr!C47+Insr!C66+Insr!C134</f>
        <v>0</v>
      </c>
      <c r="D22" s="104">
        <f t="shared" si="2"/>
        <v>-100</v>
      </c>
      <c r="E22" s="407">
        <f t="shared" si="3"/>
        <v>0</v>
      </c>
      <c r="F22" s="103"/>
      <c r="G22" s="177">
        <f>Insr!B10+Insr!B29+Insr!B37+Insr!B87+Insr!B135</f>
        <v>0</v>
      </c>
      <c r="H22" s="177">
        <f>Insr!C10+Insr!C29+Insr!C37+Insr!C87+Insr!C135</f>
        <v>0</v>
      </c>
      <c r="I22" s="104"/>
      <c r="J22" s="407">
        <f t="shared" si="6"/>
        <v>0</v>
      </c>
      <c r="K22" s="139"/>
      <c r="L22" s="223">
        <f t="shared" ca="1" si="7"/>
        <v>0</v>
      </c>
      <c r="M22" s="221">
        <f t="shared" ca="1" si="8"/>
        <v>0</v>
      </c>
      <c r="N22" s="223">
        <f t="shared" ca="1" si="9"/>
        <v>0</v>
      </c>
      <c r="O22" s="221">
        <f t="shared" ca="1" si="10"/>
        <v>0</v>
      </c>
    </row>
    <row r="23" spans="1:18" ht="18" x14ac:dyDescent="0.35">
      <c r="A23" s="193" t="s">
        <v>63</v>
      </c>
      <c r="B23" s="177">
        <f>KLP!B7+KLP!B22+KLP!B36+KLP!B47+KLP!B66+KLP!B134</f>
        <v>26170501.342770003</v>
      </c>
      <c r="C23" s="177">
        <f>KLP!C7+KLP!C22+KLP!C36+KLP!C47+KLP!C66+KLP!C134</f>
        <v>41046577.107529998</v>
      </c>
      <c r="D23" s="104">
        <f t="shared" si="2"/>
        <v>56.8</v>
      </c>
      <c r="E23" s="407">
        <f t="shared" si="3"/>
        <v>64.298704042641191</v>
      </c>
      <c r="F23" s="103"/>
      <c r="G23" s="177">
        <f>KLP!B10+KLP!B29+KLP!B37+KLP!B87+KLP!B135</f>
        <v>526463021.72196001</v>
      </c>
      <c r="H23" s="177">
        <f>KLP!C10+KLP!C29+KLP!C37+KLP!C87+KLP!C135</f>
        <v>563319210.35183001</v>
      </c>
      <c r="I23" s="104">
        <f t="shared" si="4"/>
        <v>7</v>
      </c>
      <c r="J23" s="407">
        <f t="shared" si="6"/>
        <v>49.773335428393359</v>
      </c>
      <c r="K23" s="139"/>
      <c r="L23" s="223">
        <f t="shared" ca="1" si="7"/>
        <v>0</v>
      </c>
      <c r="M23" s="221">
        <f t="shared" ca="1" si="8"/>
        <v>0</v>
      </c>
      <c r="N23" s="223">
        <f t="shared" ca="1" si="9"/>
        <v>0</v>
      </c>
      <c r="O23" s="221">
        <f t="shared" ca="1" si="10"/>
        <v>0</v>
      </c>
    </row>
    <row r="24" spans="1:18" ht="18" x14ac:dyDescent="0.35">
      <c r="A24" s="108" t="s">
        <v>93</v>
      </c>
      <c r="B24" s="177">
        <f>'KLP Skadeforsikring AS'!B7+'KLP Skadeforsikring AS'!B22+'KLP Skadeforsikring AS'!B36+'KLP Skadeforsikring AS'!B47+'KLP Skadeforsikring AS'!B66+'KLP Skadeforsikring AS'!B134</f>
        <v>185388.55200000003</v>
      </c>
      <c r="C24" s="177">
        <f>'KLP Skadeforsikring AS'!C7+'KLP Skadeforsikring AS'!C22+'KLP Skadeforsikring AS'!C36+'KLP Skadeforsikring AS'!C47+'KLP Skadeforsikring AS'!C66+'KLP Skadeforsikring AS'!C134</f>
        <v>233574.45626000001</v>
      </c>
      <c r="D24" s="104">
        <f t="shared" si="2"/>
        <v>26</v>
      </c>
      <c r="E24" s="407">
        <f t="shared" si="3"/>
        <v>0.36589006668298851</v>
      </c>
      <c r="F24" s="103"/>
      <c r="G24" s="177">
        <f>'KLP Skadeforsikring AS'!B10+'KLP Skadeforsikring AS'!B29+'KLP Skadeforsikring AS'!B37+'KLP Skadeforsikring AS'!B87+'KLP Skadeforsikring AS'!B135</f>
        <v>51937.368000000002</v>
      </c>
      <c r="H24" s="177">
        <f>'KLP Skadeforsikring AS'!C10+'KLP Skadeforsikring AS'!C29+'KLP Skadeforsikring AS'!C37+'KLP Skadeforsikring AS'!C87+'KLP Skadeforsikring AS'!C135</f>
        <v>69834.292576000007</v>
      </c>
      <c r="I24" s="104">
        <f t="shared" si="4"/>
        <v>34.5</v>
      </c>
      <c r="J24" s="407">
        <f t="shared" si="6"/>
        <v>6.1703659397997247E-3</v>
      </c>
      <c r="K24" s="139"/>
      <c r="L24" s="223">
        <f ca="1">INDIRECT("'" &amp; $A11 &amp; "'!" &amp; $P$7)</f>
        <v>0</v>
      </c>
      <c r="M24" s="221">
        <f ca="1">INDIRECT("'" &amp; $A11 &amp; "'!" &amp; $P$8)</f>
        <v>0</v>
      </c>
      <c r="N24" s="223">
        <f ca="1">INDIRECT("'" &amp; $A11 &amp; "'!" &amp; $P$10)</f>
        <v>0</v>
      </c>
      <c r="O24" s="221">
        <f ca="1">INDIRECT("'" &amp; $A11 &amp; "'!" &amp; $P$12)</f>
        <v>0</v>
      </c>
    </row>
    <row r="25" spans="1:18" ht="18" x14ac:dyDescent="0.35">
      <c r="A25" s="108" t="s">
        <v>412</v>
      </c>
      <c r="B25" s="177">
        <f>'Landkreditt Forsikring'!B7+'Landkreditt Forsikring'!B22+'Landkreditt Forsikring'!B36+'Landkreditt Forsikring'!B47+'Landkreditt Forsikring'!B66+'Landkreditt Forsikring'!B134</f>
        <v>38656</v>
      </c>
      <c r="C25" s="177">
        <f>'Landkreditt Forsikring'!C7+'Landkreditt Forsikring'!C22+'Landkreditt Forsikring'!C36+'Landkreditt Forsikring'!C47+'Landkreditt Forsikring'!C66+'Landkreditt Forsikring'!C134</f>
        <v>41337</v>
      </c>
      <c r="D25" s="104">
        <f t="shared" si="2"/>
        <v>6.9</v>
      </c>
      <c r="E25" s="407">
        <f t="shared" si="3"/>
        <v>6.4753646133457105E-2</v>
      </c>
      <c r="F25" s="103"/>
      <c r="G25" s="177">
        <f>'Landkreditt Forsikring'!B10+'Landkreditt Forsikring'!B29+'Landkreditt Forsikring'!B37+'Landkreditt Forsikring'!B87+'Landkreditt Forsikring'!B135</f>
        <v>0</v>
      </c>
      <c r="H25" s="177">
        <f>'Landkreditt Forsikring'!C10+'Landkreditt Forsikring'!C29+'Landkreditt Forsikring'!C37+'Landkreditt Forsikring'!C87+'Landkreditt Forsikring'!C135</f>
        <v>0</v>
      </c>
      <c r="I25" s="104"/>
      <c r="J25" s="407">
        <f t="shared" si="6"/>
        <v>0</v>
      </c>
      <c r="K25" s="139"/>
      <c r="L25" s="223">
        <f t="shared" ca="1" si="7"/>
        <v>0</v>
      </c>
      <c r="M25" s="221">
        <f t="shared" ca="1" si="8"/>
        <v>0</v>
      </c>
      <c r="N25" s="223">
        <f t="shared" ca="1" si="9"/>
        <v>0</v>
      </c>
      <c r="O25" s="221">
        <f t="shared" ca="1" si="10"/>
        <v>0</v>
      </c>
    </row>
    <row r="26" spans="1:18" ht="18" x14ac:dyDescent="0.35">
      <c r="A26" s="108" t="s">
        <v>94</v>
      </c>
      <c r="B26" s="177">
        <f>'Nordea Liv '!B7+'Nordea Liv '!B22+'Nordea Liv '!B36+'Nordea Liv '!B47+'Nordea Liv '!B66+'Nordea Liv '!B134</f>
        <v>1190396.8958108251</v>
      </c>
      <c r="C26" s="177">
        <f>'Nordea Liv '!C7+'Nordea Liv '!C22+'Nordea Liv '!C36+'Nordea Liv '!C47+'Nordea Liv '!C66+'Nordea Liv '!C134</f>
        <v>1318287.2052763819</v>
      </c>
      <c r="D26" s="104">
        <f t="shared" si="2"/>
        <v>10.7</v>
      </c>
      <c r="E26" s="407">
        <f t="shared" si="3"/>
        <v>2.0650725304867543</v>
      </c>
      <c r="F26" s="103"/>
      <c r="G26" s="178">
        <f>'Nordea Liv '!B10+'Nordea Liv '!B29+'Nordea Liv '!B37+'Nordea Liv '!B87+'Nordea Liv '!B135</f>
        <v>52385900.000052795</v>
      </c>
      <c r="H26" s="178">
        <f>'Nordea Liv '!C10+'Nordea Liv '!C29+'Nordea Liv '!C37+'Nordea Liv '!C87+'Nordea Liv '!C135</f>
        <v>55059961.000022039</v>
      </c>
      <c r="I26" s="104">
        <f t="shared" si="4"/>
        <v>5.0999999999999996</v>
      </c>
      <c r="J26" s="407">
        <f t="shared" si="6"/>
        <v>4.864946653988099</v>
      </c>
      <c r="K26" s="139"/>
      <c r="L26" s="223">
        <f t="shared" ca="1" si="7"/>
        <v>0</v>
      </c>
      <c r="M26" s="221">
        <f t="shared" ca="1" si="8"/>
        <v>0</v>
      </c>
      <c r="N26" s="223">
        <f t="shared" ca="1" si="9"/>
        <v>0</v>
      </c>
      <c r="O26" s="221">
        <f t="shared" ca="1" si="10"/>
        <v>0</v>
      </c>
    </row>
    <row r="27" spans="1:18" ht="18" x14ac:dyDescent="0.35">
      <c r="A27" s="108" t="s">
        <v>95</v>
      </c>
      <c r="B27" s="177">
        <f>'Oslo Pensjonsforsikring'!B7+'Oslo Pensjonsforsikring'!B22+'Oslo Pensjonsforsikring'!B36+'Oslo Pensjonsforsikring'!B47+'Oslo Pensjonsforsikring'!B66+'Oslo Pensjonsforsikring'!B134</f>
        <v>2473460</v>
      </c>
      <c r="C27" s="177">
        <f>'Oslo Pensjonsforsikring'!C7+'Oslo Pensjonsforsikring'!C22+'Oslo Pensjonsforsikring'!C36+'Oslo Pensjonsforsikring'!C47+'Oslo Pensjonsforsikring'!C66+'Oslo Pensjonsforsikring'!C134</f>
        <v>6050567</v>
      </c>
      <c r="D27" s="104">
        <f t="shared" si="2"/>
        <v>144.6</v>
      </c>
      <c r="E27" s="407">
        <f t="shared" si="3"/>
        <v>9.4781013238690086</v>
      </c>
      <c r="F27" s="103"/>
      <c r="G27" s="177">
        <f>'Oslo Pensjonsforsikring'!B10+'Oslo Pensjonsforsikring'!B29+'Oslo Pensjonsforsikring'!B37+'Oslo Pensjonsforsikring'!B87+'Oslo Pensjonsforsikring'!B135</f>
        <v>80017880</v>
      </c>
      <c r="H27" s="177">
        <f>'Oslo Pensjonsforsikring'!C10+'Oslo Pensjonsforsikring'!C29+'Oslo Pensjonsforsikring'!C37+'Oslo Pensjonsforsikring'!C87+'Oslo Pensjonsforsikring'!C135</f>
        <v>90681751</v>
      </c>
      <c r="I27" s="104">
        <f t="shared" si="4"/>
        <v>13.3</v>
      </c>
      <c r="J27" s="407">
        <f t="shared" si="6"/>
        <v>8.012390003419279</v>
      </c>
      <c r="K27" s="139"/>
      <c r="L27" s="223">
        <f t="shared" ca="1" si="7"/>
        <v>0</v>
      </c>
      <c r="M27" s="221">
        <f t="shared" ca="1" si="8"/>
        <v>0</v>
      </c>
      <c r="N27" s="223">
        <f t="shared" ca="1" si="9"/>
        <v>0</v>
      </c>
      <c r="O27" s="221">
        <f t="shared" ca="1" si="10"/>
        <v>0</v>
      </c>
    </row>
    <row r="28" spans="1:18" ht="18" x14ac:dyDescent="0.35">
      <c r="A28" s="108" t="s">
        <v>362</v>
      </c>
      <c r="B28" s="177">
        <f>'Protector Forsikring'!B7+'Protector Forsikring'!B22+'Protector Forsikring'!B36+'Protector Forsikring'!B47+'Protector Forsikring'!B66+'Protector Forsikring'!B134</f>
        <v>287049.49045636802</v>
      </c>
      <c r="C28" s="177">
        <f>'Protector Forsikring'!C7+'Protector Forsikring'!C22+'Protector Forsikring'!C36+'Protector Forsikring'!C47+'Protector Forsikring'!C66+'Protector Forsikring'!C134</f>
        <v>313745.28546748857</v>
      </c>
      <c r="D28" s="104">
        <f t="shared" si="2"/>
        <v>9.3000000000000007</v>
      </c>
      <c r="E28" s="407">
        <f t="shared" si="3"/>
        <v>0.49147618818981154</v>
      </c>
      <c r="F28" s="103"/>
      <c r="G28" s="177">
        <f>'Protector Forsikring'!B10+'Protector Forsikring'!B29+'Protector Forsikring'!B37+'Protector Forsikring'!B87+'Protector Forsikring'!B135</f>
        <v>0</v>
      </c>
      <c r="H28" s="177">
        <f>'Protector Forsikring'!C10+'Protector Forsikring'!C29+'Protector Forsikring'!C37+'Protector Forsikring'!C87+'Protector Forsikring'!C135</f>
        <v>0</v>
      </c>
      <c r="I28" s="104"/>
      <c r="J28" s="407">
        <f t="shared" si="6"/>
        <v>0</v>
      </c>
      <c r="K28" s="139"/>
      <c r="L28" s="223">
        <f t="shared" ca="1" si="7"/>
        <v>0</v>
      </c>
      <c r="M28" s="221">
        <f t="shared" ca="1" si="8"/>
        <v>0</v>
      </c>
      <c r="N28" s="223">
        <f t="shared" ca="1" si="9"/>
        <v>0</v>
      </c>
      <c r="O28" s="221">
        <f t="shared" ca="1" si="10"/>
        <v>0</v>
      </c>
    </row>
    <row r="29" spans="1:18" ht="18" x14ac:dyDescent="0.35">
      <c r="A29" s="193" t="s">
        <v>425</v>
      </c>
      <c r="B29" s="177">
        <f>'Sparebank 1'!B7+'Sparebank 1'!B22+'Sparebank 1'!B36+'Sparebank 1'!B47+'Sparebank 1'!B66+'Sparebank 1'!B134</f>
        <v>566972.15151</v>
      </c>
      <c r="C29" s="177">
        <f>'Sparebank 1'!C7+'Sparebank 1'!C22+'Sparebank 1'!C36+'Sparebank 1'!C47+'Sparebank 1'!C66+'Sparebank 1'!C134</f>
        <v>631024.44908000005</v>
      </c>
      <c r="D29" s="104">
        <f t="shared" si="2"/>
        <v>11.3</v>
      </c>
      <c r="E29" s="407">
        <f t="shared" si="3"/>
        <v>0.98848813114851219</v>
      </c>
      <c r="F29" s="103"/>
      <c r="G29" s="177">
        <f>'Sparebank 1'!B10+'Sparebank 1'!B29+'Sparebank 1'!B37+'Sparebank 1'!B87+'Sparebank 1'!B135</f>
        <v>19350549.066980001</v>
      </c>
      <c r="H29" s="177">
        <f>'Sparebank 1'!C10+'Sparebank 1'!C29+'Sparebank 1'!C37+'Sparebank 1'!C87+'Sparebank 1'!C135</f>
        <v>19914575.502730001</v>
      </c>
      <c r="I29" s="104">
        <f t="shared" si="4"/>
        <v>2.9</v>
      </c>
      <c r="J29" s="407">
        <f t="shared" si="6"/>
        <v>1.7595970955657034</v>
      </c>
      <c r="K29" s="139"/>
      <c r="L29" s="223">
        <f t="shared" ca="1" si="7"/>
        <v>0</v>
      </c>
      <c r="M29" s="221">
        <f t="shared" ca="1" si="8"/>
        <v>0</v>
      </c>
      <c r="N29" s="223">
        <f t="shared" ca="1" si="9"/>
        <v>0</v>
      </c>
      <c r="O29" s="221">
        <f t="shared" ca="1" si="10"/>
        <v>0</v>
      </c>
    </row>
    <row r="30" spans="1:18" ht="18" x14ac:dyDescent="0.35">
      <c r="A30" s="108" t="s">
        <v>96</v>
      </c>
      <c r="B30" s="177">
        <f>'Storebrand Livsforsikring'!B7+'Storebrand Livsforsikring'!B22+'Storebrand Livsforsikring'!B36+'Storebrand Livsforsikring'!B47+'Storebrand Livsforsikring'!B66+'Storebrand Livsforsikring'!B134</f>
        <v>4218437.4960000003</v>
      </c>
      <c r="C30" s="177">
        <f>'Storebrand Livsforsikring'!C7+'Storebrand Livsforsikring'!C22+'Storebrand Livsforsikring'!C36+'Storebrand Livsforsikring'!C47+'Storebrand Livsforsikring'!C66+'Storebrand Livsforsikring'!C134</f>
        <v>4839592.9589999998</v>
      </c>
      <c r="D30" s="104">
        <f t="shared" si="2"/>
        <v>14.7</v>
      </c>
      <c r="E30" s="407">
        <f t="shared" si="3"/>
        <v>7.5811328808829037</v>
      </c>
      <c r="F30" s="103"/>
      <c r="G30" s="177">
        <f>'Storebrand Livsforsikring'!B10+'Storebrand Livsforsikring'!B29+'Storebrand Livsforsikring'!B37+'Storebrand Livsforsikring'!B87+'Storebrand Livsforsikring'!B135</f>
        <v>182050617.75099999</v>
      </c>
      <c r="H30" s="177">
        <f>'Storebrand Livsforsikring'!C10+'Storebrand Livsforsikring'!C29+'Storebrand Livsforsikring'!C37+'Storebrand Livsforsikring'!C87+'Storebrand Livsforsikring'!C135</f>
        <v>193217678.72999999</v>
      </c>
      <c r="I30" s="104">
        <f t="shared" si="4"/>
        <v>6.1</v>
      </c>
      <c r="J30" s="407">
        <f t="shared" si="6"/>
        <v>17.07218244539775</v>
      </c>
      <c r="K30" s="139"/>
      <c r="L30" s="223" t="e">
        <f t="shared" ca="1" si="7"/>
        <v>#REF!</v>
      </c>
      <c r="M30" s="221" t="e">
        <f t="shared" ca="1" si="8"/>
        <v>#REF!</v>
      </c>
      <c r="N30" s="223" t="e">
        <f t="shared" ca="1" si="9"/>
        <v>#REF!</v>
      </c>
      <c r="O30" s="221" t="e">
        <f t="shared" ca="1" si="10"/>
        <v>#REF!</v>
      </c>
    </row>
    <row r="31" spans="1:18" ht="18" x14ac:dyDescent="0.35">
      <c r="A31" s="108" t="s">
        <v>97</v>
      </c>
      <c r="B31" s="177">
        <f>'Telenor Forsikring'!B7+'Telenor Forsikring'!B22+'Telenor Forsikring'!B36+'Telenor Forsikring'!B47+'Telenor Forsikring'!B66+'Telenor Forsikring'!B134</f>
        <v>0</v>
      </c>
      <c r="C31" s="177">
        <f>'Telenor Forsikring'!C7+'Telenor Forsikring'!C22+'Telenor Forsikring'!C36+'Telenor Forsikring'!C47+'Telenor Forsikring'!C66+'Telenor Forsikring'!C134</f>
        <v>1014</v>
      </c>
      <c r="D31" s="104" t="str">
        <f t="shared" si="2"/>
        <v xml:space="preserve">    ---- </v>
      </c>
      <c r="E31" s="407">
        <f t="shared" si="3"/>
        <v>1.5884122500260181E-3</v>
      </c>
      <c r="F31" s="103"/>
      <c r="G31" s="177">
        <f>'Telenor Forsikring'!B10+'Telenor Forsikring'!B29+'Telenor Forsikring'!B37+'Telenor Forsikring'!B87+'Telenor Forsikring'!B135</f>
        <v>0</v>
      </c>
      <c r="H31" s="177">
        <f>'Telenor Forsikring'!C10+'Telenor Forsikring'!C29+'Telenor Forsikring'!C37+'Telenor Forsikring'!C87+'Telenor Forsikring'!C135</f>
        <v>0</v>
      </c>
      <c r="I31" s="104"/>
      <c r="J31" s="407">
        <f t="shared" si="6"/>
        <v>0</v>
      </c>
      <c r="K31" s="139"/>
      <c r="L31" s="223">
        <f t="shared" ca="1" si="7"/>
        <v>0</v>
      </c>
      <c r="M31" s="221">
        <f t="shared" ca="1" si="8"/>
        <v>0</v>
      </c>
      <c r="N31" s="223">
        <f t="shared" ca="1" si="9"/>
        <v>0</v>
      </c>
      <c r="O31" s="221">
        <f t="shared" ca="1" si="10"/>
        <v>0</v>
      </c>
      <c r="R31" s="664"/>
    </row>
    <row r="32" spans="1:18" ht="18" x14ac:dyDescent="0.35">
      <c r="A32" s="108" t="s">
        <v>98</v>
      </c>
      <c r="B32" s="177">
        <f>'Tryg Forsikring'!B7+'Tryg Forsikring'!B22+'Tryg Forsikring'!B36+'Tryg Forsikring'!B47+'Tryg Forsikring'!B66+'Tryg Forsikring'!B134</f>
        <v>574050.93926000001</v>
      </c>
      <c r="C32" s="177">
        <f>'Tryg Forsikring'!C7+'Tryg Forsikring'!C22+'Tryg Forsikring'!C36+'Tryg Forsikring'!C47+'Tryg Forsikring'!C66+'Tryg Forsikring'!C134</f>
        <v>566035.48</v>
      </c>
      <c r="D32" s="104">
        <f t="shared" si="2"/>
        <v>-1.4</v>
      </c>
      <c r="E32" s="407">
        <f t="shared" si="3"/>
        <v>0.88668411280212733</v>
      </c>
      <c r="F32" s="103"/>
      <c r="I32" s="104"/>
      <c r="J32" s="407">
        <f t="shared" si="6"/>
        <v>0</v>
      </c>
      <c r="K32" s="207"/>
      <c r="L32" s="223">
        <f t="shared" ca="1" si="7"/>
        <v>0</v>
      </c>
      <c r="M32" s="221">
        <f t="shared" ca="1" si="8"/>
        <v>0</v>
      </c>
      <c r="N32" s="223">
        <f t="shared" ca="1" si="9"/>
        <v>0</v>
      </c>
      <c r="O32" s="221">
        <f t="shared" ca="1" si="10"/>
        <v>0</v>
      </c>
    </row>
    <row r="33" spans="1:21" ht="18" x14ac:dyDescent="0.35">
      <c r="A33" s="193" t="s">
        <v>416</v>
      </c>
      <c r="B33" s="177">
        <f>'WaterCircle F'!B7+'WaterCircle F'!B22+'WaterCircle F'!B36+'WaterCircle F'!B47+'WaterCircle F'!B66+'WaterCircle F'!B136</f>
        <v>1151</v>
      </c>
      <c r="C33" s="177">
        <f>'WaterCircle F'!C7+'WaterCircle F'!C22+'WaterCircle F'!C36+'WaterCircle F'!C47+'WaterCircle F'!C66+'WaterCircle F'!C136</f>
        <v>1806</v>
      </c>
      <c r="D33" s="104">
        <f t="shared" si="2"/>
        <v>56.9</v>
      </c>
      <c r="E33" s="407">
        <f t="shared" ref="E33" si="11">100/C$34*C33</f>
        <v>2.8290656050759255E-3</v>
      </c>
      <c r="F33" s="193"/>
      <c r="G33" s="103">
        <f>'WaterCircle F'!B10+'WaterCircle F'!B29+'WaterCircle F'!B37+'WaterCircle F'!B87+'WaterCircle F'!B135</f>
        <v>0</v>
      </c>
      <c r="H33" s="103">
        <f>'WaterCircle F'!C10+'WaterCircle F'!C29+'WaterCircle F'!C37+'WaterCircle F'!C87+'WaterCircle F'!C135</f>
        <v>0</v>
      </c>
      <c r="I33" s="104"/>
      <c r="J33" s="407">
        <f t="shared" si="6"/>
        <v>0</v>
      </c>
      <c r="K33" s="207"/>
      <c r="L33" s="223">
        <f t="shared" ca="1" si="7"/>
        <v>0</v>
      </c>
      <c r="M33" s="221">
        <f t="shared" ca="1" si="8"/>
        <v>0</v>
      </c>
      <c r="N33" s="223">
        <f t="shared" ca="1" si="9"/>
        <v>0</v>
      </c>
      <c r="O33" s="221">
        <f t="shared" ca="1" si="10"/>
        <v>0</v>
      </c>
    </row>
    <row r="34" spans="1:21" s="111" customFormat="1" ht="18" x14ac:dyDescent="0.35">
      <c r="A34" s="137" t="s">
        <v>99</v>
      </c>
      <c r="B34" s="179">
        <f>SUM(B9:B33)</f>
        <v>44018859.513955139</v>
      </c>
      <c r="C34" s="700">
        <f>SUM(C9:C33)</f>
        <v>63837331.900669411</v>
      </c>
      <c r="D34" s="104">
        <f t="shared" ref="D34" si="12">IF(B34=0, "    ---- ", IF(ABS(ROUND(100/B34*C34-100,1))&lt;999,ROUND(100/B34*C34-100,1),IF(ROUND(100/B34*C34-100,1)&gt;999,999,-999)))</f>
        <v>45</v>
      </c>
      <c r="E34" s="408">
        <f>SUM(E10:E32)</f>
        <v>99.882783321651942</v>
      </c>
      <c r="F34" s="109"/>
      <c r="G34" s="179">
        <f>SUM(G9:G33)</f>
        <v>1070410606.0947638</v>
      </c>
      <c r="H34" s="179">
        <f>SUM(H9:H33)</f>
        <v>1131769059.6850834</v>
      </c>
      <c r="I34" s="104">
        <f t="shared" ref="I34" si="13">IF(G34=0, "    ---- ", IF(ABS(ROUND(100/G34*H34-100,1))&lt;999,ROUND(100/G34*H34-100,1),IF(ROUND(100/G34*H34-100,1)&gt;999,999,-999)))</f>
        <v>5.7</v>
      </c>
      <c r="J34" s="408">
        <f>SUM(J10:J33)</f>
        <v>100</v>
      </c>
      <c r="K34" s="209"/>
      <c r="L34" s="223" t="e">
        <f ca="1">SUM(L10:L33)</f>
        <v>#REF!</v>
      </c>
      <c r="M34" s="221" t="e">
        <f ca="1">SUM(M10:M33)</f>
        <v>#REF!</v>
      </c>
      <c r="N34" s="223" t="e">
        <f ca="1">SUM(N10:N33)</f>
        <v>#REF!</v>
      </c>
      <c r="O34" s="221" t="e">
        <f ca="1">SUM(O10:O33)</f>
        <v>#REF!</v>
      </c>
      <c r="U34" s="205"/>
    </row>
    <row r="35" spans="1:21" ht="18" x14ac:dyDescent="0.35">
      <c r="A35" s="86"/>
      <c r="B35" s="177"/>
      <c r="C35" s="139"/>
      <c r="D35" s="104"/>
      <c r="E35" s="407"/>
      <c r="F35" s="103"/>
      <c r="G35" s="177"/>
      <c r="H35" s="103"/>
      <c r="I35" s="104"/>
      <c r="J35" s="407"/>
      <c r="K35" s="207"/>
      <c r="L35" s="220" t="s">
        <v>1</v>
      </c>
      <c r="M35" s="221"/>
      <c r="N35" s="223"/>
      <c r="O35" s="221"/>
    </row>
    <row r="36" spans="1:21" ht="18" x14ac:dyDescent="0.35">
      <c r="A36" s="101" t="s">
        <v>1</v>
      </c>
      <c r="B36" s="177"/>
      <c r="C36" s="139"/>
      <c r="D36" s="104"/>
      <c r="E36" s="407"/>
      <c r="F36" s="103"/>
      <c r="G36" s="177"/>
      <c r="H36" s="103"/>
      <c r="I36" s="104"/>
      <c r="J36" s="407"/>
      <c r="K36" s="207"/>
      <c r="L36" s="224">
        <v>2015</v>
      </c>
      <c r="M36" s="225">
        <v>2016</v>
      </c>
      <c r="N36" s="224">
        <v>2015</v>
      </c>
      <c r="O36" s="225">
        <v>2016</v>
      </c>
      <c r="P36" s="87" t="s">
        <v>152</v>
      </c>
    </row>
    <row r="37" spans="1:21" ht="18" x14ac:dyDescent="0.35">
      <c r="A37" s="107" t="s">
        <v>84</v>
      </c>
      <c r="B37" s="130">
        <f>'Danica Pensjonsforsikring'!F7+'Danica Pensjonsforsikring'!F22+'Danica Pensjonsforsikring'!F66+'Danica Pensjonsforsikring'!F134</f>
        <v>1560697.9480000001</v>
      </c>
      <c r="C37" s="130">
        <f>'Danica Pensjonsforsikring'!G7+'Danica Pensjonsforsikring'!G22+'Danica Pensjonsforsikring'!G66+'Danica Pensjonsforsikring'!G134</f>
        <v>1727762.4669999999</v>
      </c>
      <c r="D37" s="104">
        <f t="shared" ref="D37:D47" si="14">IF(B37=0, "    ---- ", IF(ABS(ROUND(100/B37*C37-100,1))&lt;999,ROUND(100/B37*C37-100,1),IF(ROUND(100/B37*C37-100,1)&gt;999,999,-999)))</f>
        <v>10.7</v>
      </c>
      <c r="E37" s="407">
        <f t="shared" ref="E37:E46" si="15">100/C$47*C37</f>
        <v>4.2985947413113381</v>
      </c>
      <c r="F37" s="103"/>
      <c r="G37" s="177">
        <f>'Danica Pensjonsforsikring'!F10+'Danica Pensjonsforsikring'!F29+'Danica Pensjonsforsikring'!F87+'Danica Pensjonsforsikring'!F135</f>
        <v>22186843.857000001</v>
      </c>
      <c r="H37" s="177">
        <f>'Danica Pensjonsforsikring'!G10+'Danica Pensjonsforsikring'!G29+'Danica Pensjonsforsikring'!G87+'Danica Pensjonsforsikring'!G135</f>
        <v>27529054.677000001</v>
      </c>
      <c r="I37" s="104">
        <f t="shared" ref="I37:I47" si="16">IF(G37=0, "    ---- ", IF(ABS(ROUND(100/G37*H37-100,1))&lt;999,ROUND(100/G37*H37-100,1),IF(ROUND(100/G37*H37-100,1)&gt;999,999,-999)))</f>
        <v>24.1</v>
      </c>
      <c r="J37" s="407">
        <f t="shared" ref="J37:J46" si="17">100/H$47*H37</f>
        <v>5.2313086005883003</v>
      </c>
      <c r="K37" s="207" t="s">
        <v>140</v>
      </c>
      <c r="L37" s="223">
        <f t="shared" ref="L37:L46" ca="1" si="18">INDIRECT("'" &amp; $A37 &amp; "'!" &amp; $P$36)</f>
        <v>0</v>
      </c>
      <c r="M37" s="221">
        <f t="shared" ref="M37:M46" ca="1" si="19">INDIRECT("'" &amp; $A37 &amp; "'!" &amp; $P$37)</f>
        <v>0</v>
      </c>
      <c r="N37" s="223">
        <f t="shared" ref="N37:N46" ca="1" si="20">INDIRECT("'" &amp; $A37 &amp; "'!" &amp; $P$39)</f>
        <v>0</v>
      </c>
      <c r="O37" s="221">
        <f ca="1">INDIRECT("'"&amp;$A37&amp;"'!"&amp;$P$40)</f>
        <v>0</v>
      </c>
      <c r="P37" s="87" t="s">
        <v>154</v>
      </c>
    </row>
    <row r="38" spans="1:21" ht="18" x14ac:dyDescent="0.35">
      <c r="A38" s="107" t="s">
        <v>415</v>
      </c>
      <c r="B38" s="130">
        <f>'DNB Bedriftspensjon'!F7+'DNB Bedriftspensjon'!F22+'DNB Bedriftspensjon'!F66+'DNB Bedriftspensjon'!F134</f>
        <v>471105</v>
      </c>
      <c r="C38" s="130">
        <f>'DNB Bedriftspensjon'!G7+'DNB Bedriftspensjon'!G22+'DNB Bedriftspensjon'!G66+'DNB Bedriftspensjon'!G134</f>
        <v>0</v>
      </c>
      <c r="D38" s="104">
        <f>IF(B38=0, "    ---- ", IF(ABS(ROUND(100/B38*C38-100,1))&lt;999,ROUND(100/B38*C38-100,1),IF(ROUND(100/B38*C38-100,1)&gt;999,999,-999)))</f>
        <v>-100</v>
      </c>
      <c r="E38" s="407">
        <f t="shared" si="15"/>
        <v>0</v>
      </c>
      <c r="F38" s="103"/>
      <c r="G38" s="177">
        <f>'DNB Bedriftspensjon'!F10+'DNB Bedriftspensjon'!F29+'DNB Bedriftspensjon'!F87+'DNB Bedriftspensjon'!F135</f>
        <v>5573307</v>
      </c>
      <c r="H38" s="177">
        <f>'DNB Bedriftspensjon'!G10+'DNB Bedriftspensjon'!G29+'DNB Bedriftspensjon'!G87+'DNB Bedriftspensjon'!G135</f>
        <v>0</v>
      </c>
      <c r="I38" s="104">
        <f>IF(G38=0, "    ---- ", IF(ABS(ROUND(100/G38*H38-100,1))&lt;999,ROUND(100/G38*H38-100,1),IF(ROUND(100/G38*H38-100,1)&gt;999,999,-999)))</f>
        <v>-100</v>
      </c>
      <c r="J38" s="407">
        <f t="shared" si="17"/>
        <v>0</v>
      </c>
      <c r="K38" s="87" t="s">
        <v>150</v>
      </c>
      <c r="L38" s="223">
        <f ca="1">INDIRECT("'" &amp; $A38 &amp; "'!" &amp; $P$36)</f>
        <v>0</v>
      </c>
      <c r="M38" s="221">
        <f ca="1">INDIRECT("'" &amp; $A38 &amp; "'!" &amp; $P$37)</f>
        <v>0</v>
      </c>
      <c r="N38" s="223">
        <f t="shared" ca="1" si="20"/>
        <v>0</v>
      </c>
      <c r="O38" s="221">
        <f ca="1">INDIRECT("'"&amp;$A38&amp;"'!"&amp;$P$40)</f>
        <v>0</v>
      </c>
    </row>
    <row r="39" spans="1:21" ht="18" x14ac:dyDescent="0.35">
      <c r="A39" s="86" t="s">
        <v>85</v>
      </c>
      <c r="B39" s="130">
        <f>'DNB Livsforsikring'!F7+'DNB Livsforsikring'!F22+'DNB Livsforsikring'!F66+'DNB Livsforsikring'!F134</f>
        <v>7401471.0010000002</v>
      </c>
      <c r="C39" s="130">
        <f>'DNB Livsforsikring'!G7+'DNB Livsforsikring'!G22+'DNB Livsforsikring'!G66+'DNB Livsforsikring'!G134</f>
        <v>8603889.4309999999</v>
      </c>
      <c r="D39" s="104">
        <f t="shared" si="14"/>
        <v>16.2</v>
      </c>
      <c r="E39" s="407">
        <f t="shared" si="15"/>
        <v>21.406087103593045</v>
      </c>
      <c r="F39" s="103"/>
      <c r="G39" s="177">
        <f>'DNB Livsforsikring'!F10+'DNB Livsforsikring'!F29+'DNB Livsforsikring'!F87+'DNB Livsforsikring'!F135</f>
        <v>100331927.579</v>
      </c>
      <c r="H39" s="177">
        <f>'DNB Livsforsikring'!G10+'DNB Livsforsikring'!G29+'DNB Livsforsikring'!G87+'DNB Livsforsikring'!G135</f>
        <v>131616569.77000001</v>
      </c>
      <c r="I39" s="104">
        <f t="shared" si="16"/>
        <v>31.2</v>
      </c>
      <c r="J39" s="407">
        <f t="shared" si="17"/>
        <v>25.010916702235409</v>
      </c>
      <c r="K39" s="87" t="s">
        <v>148</v>
      </c>
      <c r="L39" s="223">
        <f t="shared" ca="1" si="18"/>
        <v>0</v>
      </c>
      <c r="M39" s="221">
        <f t="shared" ca="1" si="19"/>
        <v>0</v>
      </c>
      <c r="N39" s="223">
        <f t="shared" ca="1" si="20"/>
        <v>0</v>
      </c>
      <c r="O39" s="221">
        <f ca="1">INDIRECT("'"&amp;$A39&amp;"'!"&amp;$P$40)</f>
        <v>0</v>
      </c>
      <c r="P39" s="87" t="s">
        <v>153</v>
      </c>
    </row>
    <row r="40" spans="1:21" ht="18" x14ac:dyDescent="0.35">
      <c r="A40" s="107" t="s">
        <v>87</v>
      </c>
      <c r="B40" s="130">
        <f>'Frende Livsforsikring'!F7+'Frende Livsforsikring'!F22+'Frende Livsforsikring'!F66+'Frende Livsforsikring'!F134</f>
        <v>322819</v>
      </c>
      <c r="C40" s="130">
        <f>'Frende Livsforsikring'!G7+'Frende Livsforsikring'!G22+'Frende Livsforsikring'!G66+'Frende Livsforsikring'!G134</f>
        <v>0</v>
      </c>
      <c r="D40" s="104">
        <f t="shared" si="14"/>
        <v>-100</v>
      </c>
      <c r="E40" s="407">
        <f t="shared" si="15"/>
        <v>0</v>
      </c>
      <c r="F40" s="103"/>
      <c r="G40" s="177">
        <f>'Frende Livsforsikring'!F10+'Frende Livsforsikring'!F29+'Frende Livsforsikring'!F87+'Frende Livsforsikring'!F135</f>
        <v>4512931</v>
      </c>
      <c r="H40" s="177">
        <f>'Frende Livsforsikring'!G10+'Frende Livsforsikring'!G29+'Frende Livsforsikring'!G87+'Frende Livsforsikring'!G135</f>
        <v>0</v>
      </c>
      <c r="I40" s="104">
        <f t="shared" si="16"/>
        <v>-100</v>
      </c>
      <c r="J40" s="407">
        <f t="shared" si="17"/>
        <v>0</v>
      </c>
      <c r="K40" s="87" t="s">
        <v>141</v>
      </c>
      <c r="L40" s="223">
        <f t="shared" ca="1" si="18"/>
        <v>0</v>
      </c>
      <c r="M40" s="221">
        <f t="shared" ca="1" si="19"/>
        <v>0</v>
      </c>
      <c r="N40" s="223">
        <f t="shared" ca="1" si="20"/>
        <v>0</v>
      </c>
      <c r="O40" s="221">
        <f t="shared" ref="O40:O46" ca="1" si="21">INDIRECT("'"&amp;$A40&amp;"'!"&amp;$P$40)</f>
        <v>0</v>
      </c>
      <c r="P40" s="87" t="s">
        <v>155</v>
      </c>
    </row>
    <row r="41" spans="1:21" ht="18" x14ac:dyDescent="0.35">
      <c r="A41" s="107" t="s">
        <v>90</v>
      </c>
      <c r="B41" s="130">
        <f>'Gjensidige Pensjon'!F7+'Gjensidige Pensjon'!F22+'Gjensidige Pensjon'!F66+'Gjensidige Pensjon'!F134</f>
        <v>2361569</v>
      </c>
      <c r="C41" s="130">
        <f>'Gjensidige Pensjon'!G7+'Gjensidige Pensjon'!G22+'Gjensidige Pensjon'!G66+'Gjensidige Pensjon'!G134</f>
        <v>2707157.7600000002</v>
      </c>
      <c r="D41" s="104">
        <f t="shared" si="14"/>
        <v>14.6</v>
      </c>
      <c r="E41" s="407">
        <f t="shared" si="15"/>
        <v>6.7352858586180782</v>
      </c>
      <c r="F41" s="103"/>
      <c r="G41" s="177">
        <f>'Gjensidige Pensjon'!F10+'Gjensidige Pensjon'!F29+'Gjensidige Pensjon'!F87+'Gjensidige Pensjon'!F135</f>
        <v>31527597</v>
      </c>
      <c r="H41" s="177">
        <f>'Gjensidige Pensjon'!G10+'Gjensidige Pensjon'!G29+'Gjensidige Pensjon'!G87+'Gjensidige Pensjon'!G135</f>
        <v>40002105.299999997</v>
      </c>
      <c r="I41" s="104">
        <f t="shared" si="16"/>
        <v>26.9</v>
      </c>
      <c r="J41" s="407">
        <f t="shared" si="17"/>
        <v>7.6015453473730918</v>
      </c>
      <c r="K41" s="87" t="s">
        <v>149</v>
      </c>
      <c r="L41" s="223">
        <f t="shared" ca="1" si="18"/>
        <v>0</v>
      </c>
      <c r="M41" s="221">
        <f t="shared" ca="1" si="19"/>
        <v>0</v>
      </c>
      <c r="N41" s="223">
        <f t="shared" ca="1" si="20"/>
        <v>0</v>
      </c>
      <c r="O41" s="221">
        <f t="shared" ca="1" si="21"/>
        <v>0</v>
      </c>
    </row>
    <row r="42" spans="1:21" ht="18" x14ac:dyDescent="0.35">
      <c r="A42" s="107" t="s">
        <v>63</v>
      </c>
      <c r="B42" s="130">
        <f>KLP!F7+KLP!F22+KLP!F66+KLP!F134</f>
        <v>63880.035000000003</v>
      </c>
      <c r="C42" s="130">
        <f>KLP!G7+KLP!G22+KLP!G66+KLP!G134</f>
        <v>116273.039</v>
      </c>
      <c r="D42" s="104">
        <f t="shared" si="14"/>
        <v>82</v>
      </c>
      <c r="E42" s="407">
        <f t="shared" si="15"/>
        <v>0.28928205326136891</v>
      </c>
      <c r="F42" s="103"/>
      <c r="G42" s="177">
        <f>KLP!F10+KLP!F29+KLP!F87+KLP!F135</f>
        <v>1974716.5681499999</v>
      </c>
      <c r="H42" s="177">
        <f>KLP!G10+KLP!G29+KLP!G87+KLP!G135</f>
        <v>2172918.8607600001</v>
      </c>
      <c r="I42" s="104">
        <f t="shared" si="16"/>
        <v>10</v>
      </c>
      <c r="J42" s="407">
        <f t="shared" si="17"/>
        <v>0.41291679856233515</v>
      </c>
      <c r="K42" s="87" t="s">
        <v>142</v>
      </c>
      <c r="L42" s="223">
        <f t="shared" ca="1" si="18"/>
        <v>0</v>
      </c>
      <c r="M42" s="221">
        <f t="shared" ca="1" si="19"/>
        <v>0</v>
      </c>
      <c r="N42" s="223">
        <f t="shared" ca="1" si="20"/>
        <v>0</v>
      </c>
      <c r="O42" s="221">
        <f t="shared" ca="1" si="21"/>
        <v>0</v>
      </c>
    </row>
    <row r="43" spans="1:21" ht="18" x14ac:dyDescent="0.35">
      <c r="A43" s="107" t="s">
        <v>94</v>
      </c>
      <c r="B43" s="130">
        <f>'Nordea Liv '!F7+'Nordea Liv '!F22+'Nordea Liv '!F66+'Nordea Liv '!F134</f>
        <v>8686801.6131100003</v>
      </c>
      <c r="C43" s="130">
        <f>'Nordea Liv '!G7+'Nordea Liv '!G22+'Nordea Liv '!G66+'Nordea Liv '!G134</f>
        <v>13080796.69379</v>
      </c>
      <c r="D43" s="104">
        <f t="shared" si="14"/>
        <v>50.6</v>
      </c>
      <c r="E43" s="407">
        <f t="shared" si="15"/>
        <v>32.544429546337888</v>
      </c>
      <c r="F43" s="103"/>
      <c r="G43" s="177">
        <f>'Nordea Liv '!F10+'Nordea Liv '!F29+'Nordea Liv '!F87+'Nordea Liv '!F135</f>
        <v>85871420</v>
      </c>
      <c r="H43" s="177">
        <f>'Nordea Liv '!G10+'Nordea Liv '!G29+'Nordea Liv '!G87+'Nordea Liv '!G135</f>
        <v>117827820</v>
      </c>
      <c r="I43" s="104">
        <f t="shared" si="16"/>
        <v>37.200000000000003</v>
      </c>
      <c r="J43" s="407">
        <f t="shared" si="17"/>
        <v>22.390659446419544</v>
      </c>
      <c r="K43" s="207"/>
      <c r="L43" s="223">
        <f t="shared" ca="1" si="18"/>
        <v>0</v>
      </c>
      <c r="M43" s="221">
        <f t="shared" ca="1" si="19"/>
        <v>0</v>
      </c>
      <c r="N43" s="223">
        <f t="shared" ca="1" si="20"/>
        <v>0</v>
      </c>
      <c r="O43" s="221">
        <f t="shared" ca="1" si="21"/>
        <v>0</v>
      </c>
    </row>
    <row r="44" spans="1:21" ht="18" x14ac:dyDescent="0.35">
      <c r="A44" s="107" t="s">
        <v>72</v>
      </c>
      <c r="B44" s="130">
        <f>'SHB Liv'!F7+'SHB Liv'!F22+'SHB Liv'!F66+'SHB Liv'!F134</f>
        <v>94921.636709999992</v>
      </c>
      <c r="C44" s="130">
        <f>'SHB Liv'!G7+'SHB Liv'!G22+'SHB Liv'!G66+'SHB Liv'!G134</f>
        <v>118580.72222</v>
      </c>
      <c r="D44" s="104">
        <f t="shared" si="14"/>
        <v>24.9</v>
      </c>
      <c r="E44" s="407">
        <f t="shared" si="15"/>
        <v>0.29502346456273176</v>
      </c>
      <c r="F44" s="103"/>
      <c r="G44" s="177">
        <f>'SHB Liv'!F10+'SHB Liv'!F29+'SHB Liv'!F87+'SHB Liv'!F135</f>
        <v>2702258.38057</v>
      </c>
      <c r="H44" s="177">
        <f>'SHB Liv'!G10+'SHB Liv'!G29+'SHB Liv'!G87+'SHB Liv'!G135</f>
        <v>3184098.7069999999</v>
      </c>
      <c r="I44" s="104">
        <f t="shared" si="16"/>
        <v>17.8</v>
      </c>
      <c r="J44" s="407">
        <f t="shared" si="17"/>
        <v>0.60506992145167249</v>
      </c>
      <c r="K44" s="207"/>
      <c r="L44" s="223">
        <f t="shared" ca="1" si="18"/>
        <v>0</v>
      </c>
      <c r="M44" s="221">
        <f t="shared" ca="1" si="19"/>
        <v>0</v>
      </c>
      <c r="N44" s="223">
        <f t="shared" ca="1" si="20"/>
        <v>0</v>
      </c>
      <c r="O44" s="221">
        <f t="shared" ca="1" si="21"/>
        <v>0</v>
      </c>
    </row>
    <row r="45" spans="1:21" ht="18" x14ac:dyDescent="0.35">
      <c r="A45" s="86" t="s">
        <v>425</v>
      </c>
      <c r="B45" s="130">
        <f>'Sparebank 1'!F7+'Sparebank 1'!F22+'Sparebank 1'!F66+'Sparebank 1'!F134</f>
        <v>3483755.89176</v>
      </c>
      <c r="C45" s="130">
        <f>'Sparebank 1'!G7+'Sparebank 1'!G22+'Sparebank 1'!G66+'Sparebank 1'!G134</f>
        <v>4053690.9884699997</v>
      </c>
      <c r="D45" s="104">
        <f t="shared" si="14"/>
        <v>16.399999999999999</v>
      </c>
      <c r="E45" s="407">
        <f t="shared" si="15"/>
        <v>10.085399526124966</v>
      </c>
      <c r="F45" s="103"/>
      <c r="G45" s="177">
        <f>'Sparebank 1'!F10+'Sparebank 1'!F29+'Sparebank 1'!F87+'Sparebank 1'!F135</f>
        <v>38969813.00011</v>
      </c>
      <c r="H45" s="177">
        <f>'Sparebank 1'!G10+'Sparebank 1'!G29+'Sparebank 1'!G87+'Sparebank 1'!G135</f>
        <v>52494337.715269998</v>
      </c>
      <c r="I45" s="104">
        <f t="shared" si="16"/>
        <v>34.700000000000003</v>
      </c>
      <c r="J45" s="407">
        <f t="shared" si="17"/>
        <v>9.9754271839023065</v>
      </c>
      <c r="K45" s="139"/>
      <c r="L45" s="223" t="e">
        <f t="shared" ca="1" si="18"/>
        <v>#REF!</v>
      </c>
      <c r="M45" s="221" t="e">
        <f t="shared" ca="1" si="19"/>
        <v>#REF!</v>
      </c>
      <c r="N45" s="223" t="e">
        <f t="shared" ca="1" si="20"/>
        <v>#REF!</v>
      </c>
      <c r="O45" s="221" t="e">
        <f t="shared" ca="1" si="21"/>
        <v>#REF!</v>
      </c>
    </row>
    <row r="46" spans="1:21" ht="18" x14ac:dyDescent="0.35">
      <c r="A46" s="86" t="s">
        <v>96</v>
      </c>
      <c r="B46" s="130">
        <f>'Storebrand Livsforsikring'!F7+'Storebrand Livsforsikring'!F22+'Storebrand Livsforsikring'!F66+'Storebrand Livsforsikring'!F134</f>
        <v>9460443.0969999991</v>
      </c>
      <c r="C46" s="130">
        <f>'Storebrand Livsforsikring'!G7+'Storebrand Livsforsikring'!G22+'Storebrand Livsforsikring'!G66+'Storebrand Livsforsikring'!G134</f>
        <v>9785506.8489999995</v>
      </c>
      <c r="D46" s="104">
        <f t="shared" si="14"/>
        <v>3.4</v>
      </c>
      <c r="E46" s="407">
        <f t="shared" si="15"/>
        <v>24.345897706190584</v>
      </c>
      <c r="F46" s="103"/>
      <c r="G46" s="177">
        <f>'Storebrand Livsforsikring'!F10+'Storebrand Livsforsikring'!F29+'Storebrand Livsforsikring'!F87+'Storebrand Livsforsikring'!F135</f>
        <v>124862260.38600001</v>
      </c>
      <c r="H46" s="177">
        <f>'Storebrand Livsforsikring'!G10+'Storebrand Livsforsikring'!G29+'Storebrand Livsforsikring'!G87+'Storebrand Livsforsikring'!G135</f>
        <v>151409583.368</v>
      </c>
      <c r="I46" s="104">
        <f t="shared" si="16"/>
        <v>21.3</v>
      </c>
      <c r="J46" s="407">
        <f t="shared" si="17"/>
        <v>28.77215599946733</v>
      </c>
      <c r="K46" s="139"/>
      <c r="L46" s="223">
        <f t="shared" ca="1" si="18"/>
        <v>0</v>
      </c>
      <c r="M46" s="221">
        <f t="shared" ca="1" si="19"/>
        <v>0</v>
      </c>
      <c r="N46" s="223">
        <f t="shared" ca="1" si="20"/>
        <v>0</v>
      </c>
      <c r="O46" s="221">
        <f t="shared" ca="1" si="21"/>
        <v>0</v>
      </c>
    </row>
    <row r="47" spans="1:21" s="111" customFormat="1" ht="18" x14ac:dyDescent="0.35">
      <c r="A47" s="101" t="s">
        <v>100</v>
      </c>
      <c r="B47" s="242">
        <f>SUM(B37:B46)</f>
        <v>33907464.222580001</v>
      </c>
      <c r="C47" s="242">
        <f>SUM(C37:C46)</f>
        <v>40193657.950479999</v>
      </c>
      <c r="D47" s="104">
        <f t="shared" si="14"/>
        <v>18.5</v>
      </c>
      <c r="E47" s="408">
        <f>SUM(E37:E46)</f>
        <v>100</v>
      </c>
      <c r="F47" s="109"/>
      <c r="G47" s="179">
        <f>SUM(G37:G46)</f>
        <v>418513074.77083004</v>
      </c>
      <c r="H47" s="179">
        <f>SUM(H37:H46)</f>
        <v>526236488.39803004</v>
      </c>
      <c r="I47" s="104">
        <f t="shared" si="16"/>
        <v>25.7</v>
      </c>
      <c r="J47" s="408">
        <f>SUM(J37:J46)</f>
        <v>100</v>
      </c>
      <c r="K47" s="139"/>
      <c r="L47" s="223" t="e">
        <f ca="1">SUM(L37:L46)</f>
        <v>#REF!</v>
      </c>
      <c r="M47" s="221" t="e">
        <f ca="1">SUM(M37:M46)</f>
        <v>#REF!</v>
      </c>
      <c r="N47" s="223" t="e">
        <f ca="1">SUM(N37:N46)</f>
        <v>#REF!</v>
      </c>
      <c r="O47" s="221" t="e">
        <f ca="1">SUM(O37:O46)</f>
        <v>#REF!</v>
      </c>
    </row>
    <row r="48" spans="1:21" ht="18" x14ac:dyDescent="0.35">
      <c r="A48" s="101"/>
      <c r="B48" s="130"/>
      <c r="C48" s="109"/>
      <c r="D48" s="110"/>
      <c r="E48" s="407"/>
      <c r="F48" s="109"/>
      <c r="G48" s="179"/>
      <c r="H48" s="109"/>
      <c r="I48" s="110"/>
      <c r="J48" s="408"/>
      <c r="K48" s="139"/>
      <c r="L48" s="220" t="s">
        <v>101</v>
      </c>
      <c r="M48" s="226"/>
      <c r="N48" s="227"/>
      <c r="O48" s="226"/>
    </row>
    <row r="49" spans="1:20" ht="18" x14ac:dyDescent="0.35">
      <c r="A49" s="86"/>
      <c r="B49" s="130"/>
      <c r="C49" s="103"/>
      <c r="D49" s="104"/>
      <c r="E49" s="407"/>
      <c r="F49" s="103"/>
      <c r="G49" s="177"/>
      <c r="H49" s="103"/>
      <c r="I49" s="104"/>
      <c r="J49" s="407"/>
      <c r="K49" s="139"/>
      <c r="L49" s="224">
        <v>2015</v>
      </c>
      <c r="M49" s="225">
        <v>2016</v>
      </c>
      <c r="N49" s="224">
        <v>2015</v>
      </c>
      <c r="O49" s="225">
        <v>2016</v>
      </c>
    </row>
    <row r="50" spans="1:20" ht="18" x14ac:dyDescent="0.35">
      <c r="A50" s="101" t="s">
        <v>101</v>
      </c>
      <c r="B50" s="130"/>
      <c r="C50" s="103"/>
      <c r="D50" s="104"/>
      <c r="E50" s="407"/>
      <c r="F50" s="103"/>
      <c r="G50" s="177"/>
      <c r="H50" s="103"/>
      <c r="I50" s="104"/>
      <c r="J50" s="407"/>
      <c r="K50" s="139"/>
      <c r="L50" s="223"/>
      <c r="M50" s="221"/>
      <c r="N50" s="223"/>
      <c r="O50" s="221"/>
      <c r="P50" s="207"/>
      <c r="Q50" s="207"/>
      <c r="R50" s="207"/>
      <c r="S50" s="182"/>
      <c r="T50" s="139"/>
    </row>
    <row r="51" spans="1:20" ht="18" x14ac:dyDescent="0.35">
      <c r="A51" s="86" t="s">
        <v>419</v>
      </c>
      <c r="B51" s="130">
        <f>B9</f>
        <v>0</v>
      </c>
      <c r="C51" s="130">
        <f>C9</f>
        <v>73022</v>
      </c>
      <c r="D51" s="104" t="str">
        <f t="shared" ref="D51" si="22">IF(B51=0, "    ---- ", IF(ABS(ROUND(100/B51*C51-100,1))&lt;999,ROUND(100/B51*C51-100,1),IF(ROUND(100/B51*C51-100,1)&gt;999,999,-999)))</f>
        <v xml:space="preserve">    ---- </v>
      </c>
      <c r="E51" s="407">
        <f t="shared" ref="E51" si="23">100/C$77*C51</f>
        <v>7.0192545610189824E-2</v>
      </c>
      <c r="F51" s="103"/>
      <c r="G51" s="177">
        <f>G9</f>
        <v>0</v>
      </c>
      <c r="H51" s="177">
        <f>H9</f>
        <v>0</v>
      </c>
      <c r="I51" s="104"/>
      <c r="J51" s="407">
        <f t="shared" ref="J51" si="24">100/H$77*H51</f>
        <v>0</v>
      </c>
      <c r="K51" s="139"/>
      <c r="L51" s="223" t="e">
        <f ca="1">L10</f>
        <v>#REF!</v>
      </c>
      <c r="M51" s="228" t="e">
        <f ca="1">M10</f>
        <v>#REF!</v>
      </c>
      <c r="N51" s="223" t="e">
        <f ca="1">N10</f>
        <v>#REF!</v>
      </c>
      <c r="O51" s="228" t="e">
        <f ca="1">O10</f>
        <v>#REF!</v>
      </c>
      <c r="P51" s="207"/>
      <c r="Q51" s="207"/>
      <c r="R51" s="207"/>
      <c r="S51" s="182"/>
      <c r="T51" s="139"/>
    </row>
    <row r="52" spans="1:20" ht="18" x14ac:dyDescent="0.35">
      <c r="A52" s="107" t="s">
        <v>84</v>
      </c>
      <c r="B52" s="130">
        <f>B10+B37</f>
        <v>1883584.5410000002</v>
      </c>
      <c r="C52" s="103">
        <f>C10+C37</f>
        <v>2053146.5529999998</v>
      </c>
      <c r="D52" s="104">
        <f t="shared" ref="D52:D76" si="25">IF(B52=0, "    ---- ", IF(ABS(ROUND(100/B52*C52-100,1))&lt;999,ROUND(100/B52*C52-100,1),IF(ROUND(100/B52*C52-100,1)&gt;999,999,-999)))</f>
        <v>9</v>
      </c>
      <c r="E52" s="407">
        <f t="shared" ref="E52:E75" si="26">100/C$77*C52</f>
        <v>1.9735912884590467</v>
      </c>
      <c r="F52" s="103"/>
      <c r="G52" s="177">
        <f>G10+G37</f>
        <v>23473201.465</v>
      </c>
      <c r="H52" s="177">
        <f>H10+H37</f>
        <v>28899301.892000001</v>
      </c>
      <c r="I52" s="104">
        <f t="shared" ref="I52:I73" si="27">IF(G52=0, "    ---- ", IF(ABS(ROUND(100/G52*H52-100,1))&lt;999,ROUND(100/G52*H52-100,1),IF(ROUND(100/G52*H52-100,1)&gt;999,999,-999)))</f>
        <v>23.1</v>
      </c>
      <c r="J52" s="407">
        <f t="shared" ref="J52:J75" si="28">100/H$77*H52</f>
        <v>1.7430159944525903</v>
      </c>
      <c r="K52" s="139"/>
      <c r="L52" s="223">
        <f ca="1">L12+L37</f>
        <v>0</v>
      </c>
      <c r="M52" s="221">
        <f ca="1">M12+M37</f>
        <v>0</v>
      </c>
      <c r="N52" s="223">
        <f ca="1">N12+N37</f>
        <v>0</v>
      </c>
      <c r="O52" s="221">
        <f ca="1">O12+O37</f>
        <v>0</v>
      </c>
      <c r="P52" s="207"/>
      <c r="Q52" s="207"/>
      <c r="R52" s="207"/>
      <c r="S52" s="182"/>
      <c r="T52" s="139"/>
    </row>
    <row r="53" spans="1:20" ht="18" x14ac:dyDescent="0.35">
      <c r="A53" s="86" t="s">
        <v>415</v>
      </c>
      <c r="B53" s="103">
        <f>B11+B38</f>
        <v>545541</v>
      </c>
      <c r="C53" s="103">
        <f>+C11+C38</f>
        <v>0</v>
      </c>
      <c r="D53" s="104">
        <f>IF(B53=0, "    ---- ", IF(ABS(ROUND(100/B53*C53-100,1))&lt;999,ROUND(100/B53*C53-100,1),IF(ROUND(100/B53*C53-100,1)&gt;999,999,-999)))</f>
        <v>-100</v>
      </c>
      <c r="E53" s="407">
        <f t="shared" si="26"/>
        <v>0</v>
      </c>
      <c r="F53" s="103"/>
      <c r="G53" s="177">
        <f>G11+G38</f>
        <v>7362310</v>
      </c>
      <c r="H53" s="177">
        <f>H11+H38</f>
        <v>0</v>
      </c>
      <c r="I53" s="104">
        <f>IF(G53=0, "    ---- ", IF(ABS(ROUND(100/G53*H53-100,1))&lt;999,ROUND(100/G53*H53-100,1),IF(ROUND(100/G53*H53-100,1)&gt;999,999,-999)))</f>
        <v>-100</v>
      </c>
      <c r="J53" s="407">
        <f t="shared" si="28"/>
        <v>0</v>
      </c>
      <c r="K53" s="139"/>
      <c r="L53" s="223">
        <f ca="1">L24+L38</f>
        <v>0</v>
      </c>
      <c r="M53" s="221">
        <f ca="1">+M24+M38</f>
        <v>0</v>
      </c>
      <c r="N53" s="223">
        <f ca="1">N24+N38</f>
        <v>0</v>
      </c>
      <c r="O53" s="221">
        <f ca="1">O24+O38</f>
        <v>0</v>
      </c>
      <c r="P53" s="207"/>
      <c r="Q53" s="207"/>
      <c r="R53" s="207"/>
      <c r="S53" s="182"/>
      <c r="T53" s="139"/>
    </row>
    <row r="54" spans="1:20" ht="18" x14ac:dyDescent="0.35">
      <c r="A54" s="86" t="s">
        <v>85</v>
      </c>
      <c r="B54" s="130">
        <f>B12+B39</f>
        <v>9946317.8480000012</v>
      </c>
      <c r="C54" s="103">
        <f>+C12+C39</f>
        <v>11254383.782</v>
      </c>
      <c r="D54" s="104">
        <f t="shared" si="25"/>
        <v>13.2</v>
      </c>
      <c r="E54" s="407">
        <f t="shared" si="26"/>
        <v>10.818299237662837</v>
      </c>
      <c r="F54" s="103"/>
      <c r="G54" s="177">
        <f>+G12+G39</f>
        <v>295129549.579</v>
      </c>
      <c r="H54" s="177">
        <f>+H12+H39</f>
        <v>326420152.15700001</v>
      </c>
      <c r="I54" s="104">
        <f t="shared" si="27"/>
        <v>10.6</v>
      </c>
      <c r="J54" s="407">
        <f t="shared" si="28"/>
        <v>19.687518689813032</v>
      </c>
      <c r="K54" s="139"/>
      <c r="L54" s="223">
        <f ca="1">L13+L39</f>
        <v>0</v>
      </c>
      <c r="M54" s="221">
        <f ca="1">+M13+M39</f>
        <v>0</v>
      </c>
      <c r="N54" s="223">
        <f ca="1">+N13+N39</f>
        <v>0</v>
      </c>
      <c r="O54" s="221">
        <f ca="1">+O13+O39</f>
        <v>0</v>
      </c>
      <c r="P54" s="207"/>
      <c r="Q54" s="207"/>
      <c r="R54" s="207"/>
      <c r="S54" s="182"/>
      <c r="T54" s="139"/>
    </row>
    <row r="55" spans="1:20" ht="18" x14ac:dyDescent="0.35">
      <c r="A55" s="86" t="s">
        <v>86</v>
      </c>
      <c r="B55" s="130">
        <f t="shared" ref="B55:C57" si="29">B13</f>
        <v>269700</v>
      </c>
      <c r="C55" s="103">
        <f t="shared" si="29"/>
        <v>291419</v>
      </c>
      <c r="D55" s="104">
        <f t="shared" si="25"/>
        <v>8.1</v>
      </c>
      <c r="E55" s="407">
        <f t="shared" si="26"/>
        <v>0.28012710483382963</v>
      </c>
      <c r="F55" s="103"/>
      <c r="G55" s="177">
        <f t="shared" ref="G55:H57" si="30">G13</f>
        <v>0</v>
      </c>
      <c r="H55" s="177">
        <f t="shared" si="30"/>
        <v>0</v>
      </c>
      <c r="I55" s="104"/>
      <c r="J55" s="407">
        <f t="shared" si="28"/>
        <v>0</v>
      </c>
      <c r="K55" s="139"/>
      <c r="L55" s="223">
        <f ca="1">L15</f>
        <v>0</v>
      </c>
      <c r="M55" s="221">
        <f ca="1">M15</f>
        <v>0</v>
      </c>
      <c r="N55" s="223">
        <f ca="1">N15</f>
        <v>0</v>
      </c>
      <c r="O55" s="221">
        <f ca="1">+O15+O40</f>
        <v>0</v>
      </c>
      <c r="P55" s="207"/>
      <c r="Q55" s="207"/>
      <c r="R55" s="207"/>
      <c r="S55" s="182"/>
      <c r="T55" s="139"/>
    </row>
    <row r="56" spans="1:20" ht="18" x14ac:dyDescent="0.35">
      <c r="A56" s="86" t="s">
        <v>420</v>
      </c>
      <c r="B56" s="130">
        <f t="shared" si="29"/>
        <v>0</v>
      </c>
      <c r="C56" s="130">
        <f t="shared" si="29"/>
        <v>10359.611999999999</v>
      </c>
      <c r="D56" s="104" t="str">
        <f t="shared" ref="D56" si="31">IF(B56=0, "    ---- ", IF(ABS(ROUND(100/B56*C56-100,1))&lt;999,ROUND(100/B56*C56-100,1),IF(ROUND(100/B56*C56-100,1)&gt;999,999,-999)))</f>
        <v xml:space="preserve">    ---- </v>
      </c>
      <c r="E56" s="407">
        <f t="shared" si="26"/>
        <v>9.9581980473538081E-3</v>
      </c>
      <c r="F56" s="103"/>
      <c r="G56" s="177">
        <f t="shared" si="30"/>
        <v>0</v>
      </c>
      <c r="H56" s="177">
        <f t="shared" si="30"/>
        <v>0</v>
      </c>
      <c r="I56" s="104"/>
      <c r="J56" s="407">
        <f t="shared" si="28"/>
        <v>0</v>
      </c>
      <c r="K56" s="139"/>
      <c r="L56" s="223"/>
      <c r="M56" s="221"/>
      <c r="N56" s="223"/>
      <c r="O56" s="221"/>
      <c r="P56" s="207"/>
      <c r="Q56" s="207"/>
      <c r="R56" s="207"/>
      <c r="S56" s="182"/>
      <c r="T56" s="139"/>
    </row>
    <row r="57" spans="1:20" ht="18" x14ac:dyDescent="0.35">
      <c r="A57" s="107" t="s">
        <v>400</v>
      </c>
      <c r="B57" s="130">
        <f t="shared" si="29"/>
        <v>2205150</v>
      </c>
      <c r="C57" s="130">
        <f t="shared" si="29"/>
        <v>2307250.8282099999</v>
      </c>
      <c r="D57" s="104">
        <f t="shared" ref="D57" si="32">IF(B57=0, "    ---- ", IF(ABS(ROUND(100/B57*C57-100,1))&lt;999,ROUND(100/B57*C57-100,1),IF(ROUND(100/B57*C57-100,1)&gt;999,999,-999)))</f>
        <v>4.5999999999999996</v>
      </c>
      <c r="E57" s="407">
        <f t="shared" si="26"/>
        <v>2.2178495384032026</v>
      </c>
      <c r="F57" s="103"/>
      <c r="G57" s="177">
        <f t="shared" si="30"/>
        <v>3675280</v>
      </c>
      <c r="H57" s="177">
        <f t="shared" si="30"/>
        <v>4152805.49841</v>
      </c>
      <c r="I57" s="104">
        <f t="shared" ref="I57" si="33">IF(G57=0, "    ---- ", IF(ABS(ROUND(100/G57*H57-100,1))&lt;999,ROUND(100/G57*H57-100,1),IF(ROUND(100/G57*H57-100,1)&gt;999,999,-999)))</f>
        <v>13</v>
      </c>
      <c r="J57" s="407">
        <f t="shared" si="28"/>
        <v>0.25046993981481086</v>
      </c>
      <c r="K57" s="139"/>
      <c r="L57" s="223"/>
      <c r="M57" s="221"/>
      <c r="N57" s="223"/>
      <c r="O57" s="221"/>
      <c r="P57" s="207"/>
      <c r="Q57" s="207"/>
      <c r="R57" s="207"/>
      <c r="S57" s="182"/>
      <c r="T57" s="139"/>
    </row>
    <row r="58" spans="1:20" ht="18" x14ac:dyDescent="0.35">
      <c r="A58" s="107" t="s">
        <v>87</v>
      </c>
      <c r="B58" s="130">
        <f>B16+B40</f>
        <v>826897</v>
      </c>
      <c r="C58" s="105">
        <f>C16+C40</f>
        <v>459364</v>
      </c>
      <c r="D58" s="106">
        <f t="shared" si="25"/>
        <v>-44.4</v>
      </c>
      <c r="E58" s="409">
        <f t="shared" si="26"/>
        <v>0.44156457672590782</v>
      </c>
      <c r="F58" s="105"/>
      <c r="G58" s="178">
        <f>G16+G40</f>
        <v>5544799</v>
      </c>
      <c r="H58" s="178">
        <f>H16+H40</f>
        <v>1050664</v>
      </c>
      <c r="I58" s="104">
        <f t="shared" si="27"/>
        <v>-81.099999999999994</v>
      </c>
      <c r="J58" s="407">
        <f t="shared" si="28"/>
        <v>6.3369148626475622E-2</v>
      </c>
      <c r="K58" s="139"/>
      <c r="L58" s="223">
        <f ca="1">L17+L40</f>
        <v>0</v>
      </c>
      <c r="M58" s="221">
        <f ca="1">M17+M40</f>
        <v>0</v>
      </c>
      <c r="N58" s="223">
        <f ca="1">N17+N40</f>
        <v>0</v>
      </c>
      <c r="O58" s="221">
        <f ca="1">O17+O40</f>
        <v>0</v>
      </c>
      <c r="P58" s="210"/>
      <c r="Q58" s="210"/>
      <c r="R58" s="210"/>
      <c r="S58" s="182"/>
      <c r="T58" s="139"/>
    </row>
    <row r="59" spans="1:20" ht="18" x14ac:dyDescent="0.35">
      <c r="A59" s="107" t="s">
        <v>88</v>
      </c>
      <c r="B59" s="130">
        <f>B17</f>
        <v>3713.2633999999998</v>
      </c>
      <c r="C59" s="105">
        <f>C17</f>
        <v>5330.2790000000005</v>
      </c>
      <c r="D59" s="106">
        <f t="shared" si="25"/>
        <v>43.5</v>
      </c>
      <c r="E59" s="409">
        <f t="shared" si="26"/>
        <v>5.1237415001306047E-3</v>
      </c>
      <c r="F59" s="105"/>
      <c r="G59" s="178">
        <f>G17</f>
        <v>0</v>
      </c>
      <c r="H59" s="178">
        <f>H17</f>
        <v>0</v>
      </c>
      <c r="I59" s="104"/>
      <c r="J59" s="407">
        <f t="shared" si="28"/>
        <v>0</v>
      </c>
      <c r="K59" s="139"/>
      <c r="L59" s="223">
        <f ca="1">L18</f>
        <v>0</v>
      </c>
      <c r="M59" s="221">
        <f ca="1">M18</f>
        <v>0</v>
      </c>
      <c r="N59" s="223">
        <f ca="1">N18</f>
        <v>0</v>
      </c>
      <c r="O59" s="221">
        <f ca="1">O18</f>
        <v>0</v>
      </c>
      <c r="P59" s="210"/>
      <c r="Q59" s="210"/>
      <c r="R59" s="210"/>
      <c r="S59" s="182"/>
      <c r="T59" s="139"/>
    </row>
    <row r="60" spans="1:20" ht="18" x14ac:dyDescent="0.35">
      <c r="A60" s="86" t="s">
        <v>89</v>
      </c>
      <c r="B60" s="103">
        <f>B18</f>
        <v>1445145</v>
      </c>
      <c r="C60" s="103">
        <f>+C18</f>
        <v>1671885.9509999999</v>
      </c>
      <c r="D60" s="104">
        <f t="shared" si="25"/>
        <v>15.7</v>
      </c>
      <c r="E60" s="407">
        <f t="shared" si="26"/>
        <v>1.6071037614774053</v>
      </c>
      <c r="F60" s="103"/>
      <c r="G60" s="177">
        <f>+G18</f>
        <v>0</v>
      </c>
      <c r="H60" s="177">
        <f>+H18</f>
        <v>0</v>
      </c>
      <c r="I60" s="104"/>
      <c r="J60" s="407">
        <f t="shared" si="28"/>
        <v>0</v>
      </c>
      <c r="K60" s="139"/>
      <c r="L60" s="223">
        <f ca="1">L19</f>
        <v>0</v>
      </c>
      <c r="M60" s="221">
        <f ca="1">+M19</f>
        <v>0</v>
      </c>
      <c r="N60" s="223">
        <f ca="1">+N19</f>
        <v>0</v>
      </c>
      <c r="O60" s="221">
        <f ca="1">+O19</f>
        <v>0</v>
      </c>
      <c r="P60" s="207"/>
      <c r="Q60" s="207"/>
      <c r="R60" s="207"/>
      <c r="S60" s="182"/>
      <c r="T60" s="139"/>
    </row>
    <row r="61" spans="1:20" ht="18" x14ac:dyDescent="0.35">
      <c r="A61" s="86" t="s">
        <v>90</v>
      </c>
      <c r="B61" s="103">
        <f>B19+B41</f>
        <v>2870851</v>
      </c>
      <c r="C61" s="103">
        <f>C19+C41</f>
        <v>3263667.2600000002</v>
      </c>
      <c r="D61" s="104">
        <f t="shared" si="25"/>
        <v>13.7</v>
      </c>
      <c r="E61" s="407">
        <f t="shared" si="26"/>
        <v>3.1372067733564304</v>
      </c>
      <c r="F61" s="103"/>
      <c r="G61" s="177">
        <f>G19+G41</f>
        <v>39016585</v>
      </c>
      <c r="H61" s="177">
        <f>H19+H41</f>
        <v>48109625.5</v>
      </c>
      <c r="I61" s="104">
        <f t="shared" si="27"/>
        <v>23.3</v>
      </c>
      <c r="J61" s="407">
        <f t="shared" si="28"/>
        <v>2.9016564845408062</v>
      </c>
      <c r="K61" s="139"/>
      <c r="L61" s="223">
        <f ca="1">L20+L41</f>
        <v>0</v>
      </c>
      <c r="M61" s="221">
        <f ca="1">M20+M41</f>
        <v>0</v>
      </c>
      <c r="N61" s="223">
        <f ca="1">N20+N41</f>
        <v>0</v>
      </c>
      <c r="O61" s="221">
        <f ca="1">O20+O41</f>
        <v>0</v>
      </c>
      <c r="P61" s="207"/>
      <c r="Q61" s="207"/>
      <c r="R61" s="207"/>
      <c r="S61" s="182"/>
      <c r="T61" s="139"/>
    </row>
    <row r="62" spans="1:20" ht="18" x14ac:dyDescent="0.35">
      <c r="A62" s="86" t="s">
        <v>91</v>
      </c>
      <c r="B62" s="103">
        <f>B20</f>
        <v>26171.04192</v>
      </c>
      <c r="C62" s="103">
        <f>+C20</f>
        <v>26025.308660000002</v>
      </c>
      <c r="D62" s="104">
        <f t="shared" si="25"/>
        <v>-0.6</v>
      </c>
      <c r="E62" s="407">
        <f t="shared" si="26"/>
        <v>2.5016880736439956E-2</v>
      </c>
      <c r="F62" s="103"/>
      <c r="G62" s="177">
        <f>+G20</f>
        <v>21581.57877081968</v>
      </c>
      <c r="H62" s="177">
        <f>+H20</f>
        <v>21229.507515466838</v>
      </c>
      <c r="I62" s="104">
        <f t="shared" si="27"/>
        <v>-1.6</v>
      </c>
      <c r="J62" s="407">
        <f t="shared" si="28"/>
        <v>1.2804243954437377E-3</v>
      </c>
      <c r="K62" s="139"/>
      <c r="L62" s="223">
        <f ca="1">L21</f>
        <v>0</v>
      </c>
      <c r="M62" s="221">
        <f t="shared" ref="M62:O63" ca="1" si="34">+M21</f>
        <v>0</v>
      </c>
      <c r="N62" s="223">
        <f t="shared" ca="1" si="34"/>
        <v>0</v>
      </c>
      <c r="O62" s="221">
        <f t="shared" ca="1" si="34"/>
        <v>0</v>
      </c>
      <c r="P62" s="207"/>
      <c r="Q62" s="207"/>
      <c r="R62" s="207"/>
      <c r="S62" s="182"/>
      <c r="T62" s="139"/>
    </row>
    <row r="63" spans="1:20" ht="18" x14ac:dyDescent="0.35">
      <c r="A63" s="86" t="s">
        <v>92</v>
      </c>
      <c r="B63" s="103">
        <f>B21</f>
        <v>396241.54700000002</v>
      </c>
      <c r="C63" s="103">
        <f>+C21</f>
        <v>416726.04218554404</v>
      </c>
      <c r="D63" s="104">
        <f t="shared" si="25"/>
        <v>5.2</v>
      </c>
      <c r="E63" s="407">
        <f t="shared" si="26"/>
        <v>0.40057875329438647</v>
      </c>
      <c r="F63" s="103"/>
      <c r="G63" s="177">
        <f>+G21</f>
        <v>0</v>
      </c>
      <c r="H63" s="177">
        <f>+H21</f>
        <v>0</v>
      </c>
      <c r="I63" s="104"/>
      <c r="J63" s="407">
        <f t="shared" si="28"/>
        <v>0</v>
      </c>
      <c r="K63" s="139"/>
      <c r="L63" s="223">
        <f ca="1">L22</f>
        <v>0</v>
      </c>
      <c r="M63" s="221">
        <f t="shared" ca="1" si="34"/>
        <v>0</v>
      </c>
      <c r="N63" s="223">
        <f t="shared" ca="1" si="34"/>
        <v>0</v>
      </c>
      <c r="O63" s="221">
        <f t="shared" ca="1" si="34"/>
        <v>0</v>
      </c>
      <c r="P63" s="207"/>
      <c r="Q63" s="207"/>
      <c r="R63" s="207"/>
      <c r="S63" s="182"/>
      <c r="T63" s="139"/>
    </row>
    <row r="64" spans="1:20" ht="18" x14ac:dyDescent="0.35">
      <c r="A64" s="86" t="s">
        <v>405</v>
      </c>
      <c r="B64" s="103">
        <f>B22</f>
        <v>11145.35382794882</v>
      </c>
      <c r="C64" s="103">
        <f>C22</f>
        <v>0</v>
      </c>
      <c r="D64" s="104">
        <f>IF(B64=0, "    ---- ", IF(ABS(ROUND(100/B64*C64-100,1))&lt;999,ROUND(100/B64*C64-100,1),IF(ROUND(100/B64*C64-100,1)&gt;999,999,-999)))</f>
        <v>-100</v>
      </c>
      <c r="E64" s="407">
        <f t="shared" si="26"/>
        <v>0</v>
      </c>
      <c r="F64" s="103"/>
      <c r="G64" s="177">
        <f>G22</f>
        <v>0</v>
      </c>
      <c r="H64" s="177">
        <f>H22</f>
        <v>0</v>
      </c>
      <c r="I64" s="104"/>
      <c r="J64" s="407">
        <f t="shared" si="28"/>
        <v>0</v>
      </c>
      <c r="K64" s="139"/>
      <c r="L64" s="223">
        <f ca="1">L23</f>
        <v>0</v>
      </c>
      <c r="M64" s="221">
        <f ca="1">M23</f>
        <v>0</v>
      </c>
      <c r="N64" s="223">
        <f ca="1">N23</f>
        <v>0</v>
      </c>
      <c r="O64" s="221">
        <f ca="1">O23</f>
        <v>0</v>
      </c>
      <c r="P64" s="207"/>
      <c r="Q64" s="207"/>
      <c r="R64" s="207"/>
      <c r="S64" s="182"/>
      <c r="T64" s="139"/>
    </row>
    <row r="65" spans="1:240" ht="18" x14ac:dyDescent="0.35">
      <c r="A65" s="86" t="s">
        <v>63</v>
      </c>
      <c r="B65" s="105">
        <f>B23+B42</f>
        <v>26234381.377770003</v>
      </c>
      <c r="C65" s="105">
        <f>C23+C42</f>
        <v>41162850.146529995</v>
      </c>
      <c r="D65" s="106">
        <f t="shared" si="25"/>
        <v>56.9</v>
      </c>
      <c r="E65" s="409">
        <f t="shared" si="26"/>
        <v>39.567873193773323</v>
      </c>
      <c r="F65" s="105"/>
      <c r="G65" s="178">
        <f>G23+G42</f>
        <v>528437738.29010999</v>
      </c>
      <c r="H65" s="178">
        <f>H23+H42</f>
        <v>565492129.21258998</v>
      </c>
      <c r="I65" s="104">
        <f t="shared" si="27"/>
        <v>7</v>
      </c>
      <c r="J65" s="407">
        <f t="shared" si="28"/>
        <v>34.106769417411058</v>
      </c>
      <c r="K65" s="139"/>
      <c r="L65" s="223">
        <f ca="1">L11+L42</f>
        <v>0</v>
      </c>
      <c r="M65" s="221">
        <f ca="1">M11+M42</f>
        <v>0</v>
      </c>
      <c r="N65" s="223">
        <f ca="1">N11+N42</f>
        <v>0</v>
      </c>
      <c r="O65" s="221">
        <f ca="1">O11+O42</f>
        <v>0</v>
      </c>
      <c r="P65" s="210"/>
      <c r="Q65" s="210"/>
      <c r="R65" s="210"/>
      <c r="S65" s="182"/>
      <c r="T65" s="139"/>
    </row>
    <row r="66" spans="1:240" ht="18" x14ac:dyDescent="0.35">
      <c r="A66" s="86" t="s">
        <v>93</v>
      </c>
      <c r="B66" s="103">
        <f>B24</f>
        <v>185388.55200000003</v>
      </c>
      <c r="C66" s="103">
        <f>C24</f>
        <v>233574.45626000001</v>
      </c>
      <c r="D66" s="104">
        <f t="shared" si="25"/>
        <v>26</v>
      </c>
      <c r="E66" s="407">
        <f t="shared" si="26"/>
        <v>0.22452391983793019</v>
      </c>
      <c r="F66" s="103"/>
      <c r="G66" s="177">
        <f>G24</f>
        <v>51937.368000000002</v>
      </c>
      <c r="H66" s="177">
        <f>H24</f>
        <v>69834.292576000007</v>
      </c>
      <c r="I66" s="104">
        <f t="shared" si="27"/>
        <v>34.5</v>
      </c>
      <c r="J66" s="407">
        <f t="shared" si="28"/>
        <v>4.2119456510105301E-3</v>
      </c>
      <c r="K66" s="139"/>
      <c r="L66" s="223">
        <f t="shared" ref="L66:O67" ca="1" si="35">L25</f>
        <v>0</v>
      </c>
      <c r="M66" s="221">
        <f t="shared" ca="1" si="35"/>
        <v>0</v>
      </c>
      <c r="N66" s="223">
        <f t="shared" ca="1" si="35"/>
        <v>0</v>
      </c>
      <c r="O66" s="221">
        <f t="shared" ca="1" si="35"/>
        <v>0</v>
      </c>
      <c r="P66" s="207"/>
      <c r="Q66" s="207"/>
      <c r="R66" s="207"/>
      <c r="S66" s="182"/>
      <c r="T66" s="139"/>
    </row>
    <row r="67" spans="1:240" ht="18" x14ac:dyDescent="0.35">
      <c r="A67" s="108" t="s">
        <v>412</v>
      </c>
      <c r="B67" s="103">
        <f>B25</f>
        <v>38656</v>
      </c>
      <c r="C67" s="103">
        <f>C25</f>
        <v>41337</v>
      </c>
      <c r="D67" s="104">
        <f t="shared" si="25"/>
        <v>6.9</v>
      </c>
      <c r="E67" s="407">
        <f t="shared" si="26"/>
        <v>3.9735275093648721E-2</v>
      </c>
      <c r="F67" s="103"/>
      <c r="G67" s="177">
        <f>G25</f>
        <v>0</v>
      </c>
      <c r="H67" s="177">
        <f>H25</f>
        <v>0</v>
      </c>
      <c r="I67" s="104"/>
      <c r="J67" s="407">
        <f t="shared" si="28"/>
        <v>0</v>
      </c>
      <c r="K67" s="139"/>
      <c r="L67" s="223">
        <f t="shared" ca="1" si="35"/>
        <v>0</v>
      </c>
      <c r="M67" s="221">
        <f t="shared" ca="1" si="35"/>
        <v>0</v>
      </c>
      <c r="N67" s="223">
        <f t="shared" ca="1" si="35"/>
        <v>0</v>
      </c>
      <c r="O67" s="221">
        <f t="shared" ca="1" si="35"/>
        <v>0</v>
      </c>
      <c r="P67" s="207"/>
      <c r="Q67" s="207"/>
      <c r="R67" s="207"/>
      <c r="S67" s="182"/>
      <c r="T67" s="139"/>
    </row>
    <row r="68" spans="1:240" ht="18" x14ac:dyDescent="0.35">
      <c r="A68" s="107" t="s">
        <v>66</v>
      </c>
      <c r="B68" s="103">
        <f>B26+B43</f>
        <v>9877198.508920826</v>
      </c>
      <c r="C68" s="103">
        <f>+C26+C43</f>
        <v>14399083.899066381</v>
      </c>
      <c r="D68" s="104">
        <f t="shared" si="25"/>
        <v>45.8</v>
      </c>
      <c r="E68" s="407">
        <f t="shared" si="26"/>
        <v>13.841148603573812</v>
      </c>
      <c r="F68" s="103"/>
      <c r="G68" s="177">
        <f>+G26+G43</f>
        <v>138257320.00005281</v>
      </c>
      <c r="H68" s="177">
        <f>+H26+H43</f>
        <v>172887781.00002205</v>
      </c>
      <c r="I68" s="104">
        <f t="shared" si="27"/>
        <v>25</v>
      </c>
      <c r="J68" s="407">
        <f t="shared" si="28"/>
        <v>10.427454914122846</v>
      </c>
      <c r="K68" s="139"/>
      <c r="L68" s="223">
        <f ca="1">L27+L43</f>
        <v>0</v>
      </c>
      <c r="M68" s="221">
        <f ca="1">+M27+M43</f>
        <v>0</v>
      </c>
      <c r="N68" s="223">
        <f ca="1">+N27+N43</f>
        <v>0</v>
      </c>
      <c r="O68" s="221">
        <f ca="1">+O27+O43</f>
        <v>0</v>
      </c>
      <c r="P68" s="207"/>
      <c r="Q68" s="207"/>
      <c r="R68" s="207"/>
      <c r="S68" s="182"/>
      <c r="T68" s="139"/>
    </row>
    <row r="69" spans="1:240" ht="18.75" customHeight="1" x14ac:dyDescent="0.35">
      <c r="A69" s="107" t="s">
        <v>95</v>
      </c>
      <c r="B69" s="103">
        <f>B27</f>
        <v>2473460</v>
      </c>
      <c r="C69" s="103">
        <f>C27</f>
        <v>6050567</v>
      </c>
      <c r="D69" s="104">
        <f t="shared" si="25"/>
        <v>144.6</v>
      </c>
      <c r="E69" s="407">
        <f t="shared" si="26"/>
        <v>5.8161198010874724</v>
      </c>
      <c r="F69" s="103"/>
      <c r="G69" s="177">
        <f>G27</f>
        <v>80017880</v>
      </c>
      <c r="H69" s="177">
        <f>H27</f>
        <v>90681751</v>
      </c>
      <c r="I69" s="104">
        <f t="shared" si="27"/>
        <v>13.3</v>
      </c>
      <c r="J69" s="407">
        <f t="shared" si="28"/>
        <v>5.4693273556798889</v>
      </c>
      <c r="K69" s="139"/>
      <c r="L69" s="223">
        <f ca="1">L28</f>
        <v>0</v>
      </c>
      <c r="M69" s="221">
        <f ca="1">M28</f>
        <v>0</v>
      </c>
      <c r="N69" s="223">
        <f ca="1">N28</f>
        <v>0</v>
      </c>
      <c r="O69" s="221">
        <f ca="1">O28</f>
        <v>0</v>
      </c>
      <c r="P69" s="207"/>
      <c r="Q69" s="207"/>
      <c r="R69" s="207"/>
      <c r="S69" s="182"/>
      <c r="T69" s="139"/>
    </row>
    <row r="70" spans="1:240" ht="18.75" customHeight="1" x14ac:dyDescent="0.35">
      <c r="A70" s="107" t="s">
        <v>362</v>
      </c>
      <c r="B70" s="103">
        <f>B28</f>
        <v>287049.49045636802</v>
      </c>
      <c r="C70" s="103">
        <f>C28</f>
        <v>313745.28546748857</v>
      </c>
      <c r="D70" s="104">
        <f t="shared" ref="D70" si="36">IF(B70=0, "    ---- ", IF(ABS(ROUND(100/B70*C70-100,1))&lt;999,ROUND(100/B70*C70-100,1),IF(ROUND(100/B70*C70-100,1)&gt;999,999,-999)))</f>
        <v>9.3000000000000007</v>
      </c>
      <c r="E70" s="407">
        <f t="shared" si="26"/>
        <v>0.30158829202375609</v>
      </c>
      <c r="F70" s="103"/>
      <c r="G70" s="177">
        <f>G28</f>
        <v>0</v>
      </c>
      <c r="H70" s="177">
        <f>H28</f>
        <v>0</v>
      </c>
      <c r="I70" s="104"/>
      <c r="J70" s="407">
        <f t="shared" si="28"/>
        <v>0</v>
      </c>
      <c r="K70" s="139"/>
      <c r="L70" s="223"/>
      <c r="M70" s="221"/>
      <c r="N70" s="223"/>
      <c r="O70" s="221"/>
      <c r="P70" s="207"/>
      <c r="Q70" s="207"/>
      <c r="R70" s="207"/>
      <c r="S70" s="182"/>
      <c r="T70" s="139"/>
    </row>
    <row r="71" spans="1:240" ht="18.75" customHeight="1" x14ac:dyDescent="0.35">
      <c r="A71" s="107" t="s">
        <v>72</v>
      </c>
      <c r="B71" s="103">
        <f>B44</f>
        <v>94921.636709999992</v>
      </c>
      <c r="C71" s="103">
        <f>C44</f>
        <v>118580.72222</v>
      </c>
      <c r="D71" s="104">
        <f t="shared" si="25"/>
        <v>24.9</v>
      </c>
      <c r="E71" s="407">
        <f t="shared" si="26"/>
        <v>0.11398595975071348</v>
      </c>
      <c r="F71" s="103"/>
      <c r="G71" s="177">
        <f>G44</f>
        <v>2702258.38057</v>
      </c>
      <c r="H71" s="177">
        <f>H44</f>
        <v>3184098.7069999999</v>
      </c>
      <c r="I71" s="104">
        <f t="shared" si="27"/>
        <v>17.8</v>
      </c>
      <c r="J71" s="407">
        <f t="shared" si="28"/>
        <v>0.19204391147431704</v>
      </c>
      <c r="K71" s="139"/>
      <c r="L71" s="223">
        <f ca="1">L44</f>
        <v>0</v>
      </c>
      <c r="M71" s="221">
        <f ca="1">M44</f>
        <v>0</v>
      </c>
      <c r="N71" s="223">
        <f ca="1">N44</f>
        <v>0</v>
      </c>
      <c r="O71" s="221">
        <f ca="1">O44</f>
        <v>0</v>
      </c>
      <c r="P71" s="207"/>
      <c r="Q71" s="207"/>
      <c r="R71" s="207"/>
      <c r="S71" s="182"/>
      <c r="T71" s="139"/>
    </row>
    <row r="72" spans="1:240" ht="18.75" customHeight="1" x14ac:dyDescent="0.35">
      <c r="A72" s="86" t="s">
        <v>425</v>
      </c>
      <c r="B72" s="103">
        <f>B29+B45</f>
        <v>4050728.0432700003</v>
      </c>
      <c r="C72" s="103">
        <f>+C29+C45</f>
        <v>4684715.4375499999</v>
      </c>
      <c r="D72" s="104">
        <f t="shared" si="25"/>
        <v>15.7</v>
      </c>
      <c r="E72" s="407">
        <f t="shared" si="26"/>
        <v>4.50319221633191</v>
      </c>
      <c r="F72" s="103"/>
      <c r="G72" s="177">
        <f>+G29+G45</f>
        <v>58320362.067090005</v>
      </c>
      <c r="H72" s="177">
        <f>+H29+H45</f>
        <v>72408913.217999995</v>
      </c>
      <c r="I72" s="104">
        <f t="shared" si="27"/>
        <v>24.2</v>
      </c>
      <c r="J72" s="407">
        <f t="shared" si="28"/>
        <v>4.367229850449827</v>
      </c>
      <c r="K72" s="139"/>
      <c r="L72" s="223" t="e">
        <f ca="1">L30+L45</f>
        <v>#REF!</v>
      </c>
      <c r="M72" s="221" t="e">
        <f t="shared" ref="M72:O73" ca="1" si="37">+M30+M45</f>
        <v>#REF!</v>
      </c>
      <c r="N72" s="223" t="e">
        <f t="shared" ca="1" si="37"/>
        <v>#REF!</v>
      </c>
      <c r="O72" s="221" t="e">
        <f t="shared" ca="1" si="37"/>
        <v>#REF!</v>
      </c>
      <c r="P72" s="207"/>
      <c r="Q72" s="207"/>
      <c r="R72" s="207"/>
      <c r="S72" s="182"/>
      <c r="T72" s="139"/>
    </row>
    <row r="73" spans="1:240" ht="18.75" customHeight="1" x14ac:dyDescent="0.35">
      <c r="A73" s="107" t="s">
        <v>96</v>
      </c>
      <c r="B73" s="103">
        <f>B46+B30</f>
        <v>13678880.592999998</v>
      </c>
      <c r="C73" s="103">
        <f>+C30+C46</f>
        <v>14625099.807999998</v>
      </c>
      <c r="D73" s="104">
        <f t="shared" si="25"/>
        <v>6.9</v>
      </c>
      <c r="E73" s="407">
        <f t="shared" si="26"/>
        <v>14.058406854463289</v>
      </c>
      <c r="F73" s="103"/>
      <c r="G73" s="177">
        <f>+G30+G46</f>
        <v>306912878.13699996</v>
      </c>
      <c r="H73" s="177">
        <f>+H30+H46</f>
        <v>344627262.09799999</v>
      </c>
      <c r="I73" s="104">
        <f t="shared" si="27"/>
        <v>12.3</v>
      </c>
      <c r="J73" s="407">
        <f t="shared" si="28"/>
        <v>20.785651923567887</v>
      </c>
      <c r="K73" s="139"/>
      <c r="L73" s="223">
        <f ca="1">L46+L31</f>
        <v>0</v>
      </c>
      <c r="M73" s="221">
        <f t="shared" ca="1" si="37"/>
        <v>0</v>
      </c>
      <c r="N73" s="223">
        <f t="shared" ca="1" si="37"/>
        <v>0</v>
      </c>
      <c r="O73" s="221">
        <f t="shared" ca="1" si="37"/>
        <v>0</v>
      </c>
      <c r="P73" s="207"/>
      <c r="Q73" s="207"/>
      <c r="R73" s="207"/>
      <c r="S73" s="182"/>
      <c r="T73" s="139"/>
    </row>
    <row r="74" spans="1:240" ht="18.75" customHeight="1" x14ac:dyDescent="0.35">
      <c r="A74" s="107" t="s">
        <v>97</v>
      </c>
      <c r="B74" s="103">
        <f>B31</f>
        <v>0</v>
      </c>
      <c r="C74" s="103">
        <f>+C31</f>
        <v>1014</v>
      </c>
      <c r="D74" s="104" t="str">
        <f t="shared" si="25"/>
        <v xml:space="preserve">    ---- </v>
      </c>
      <c r="E74" s="407">
        <f t="shared" si="26"/>
        <v>9.7470955669157905E-4</v>
      </c>
      <c r="F74" s="103"/>
      <c r="G74" s="177">
        <f t="shared" ref="G74:H76" si="38">+G31</f>
        <v>0</v>
      </c>
      <c r="H74" s="177">
        <f t="shared" si="38"/>
        <v>0</v>
      </c>
      <c r="I74" s="104"/>
      <c r="J74" s="407">
        <f t="shared" si="28"/>
        <v>0</v>
      </c>
      <c r="K74" s="139"/>
      <c r="L74" s="223">
        <f ca="1">L32</f>
        <v>0</v>
      </c>
      <c r="M74" s="221">
        <f t="shared" ref="M74:O75" ca="1" si="39">+M32</f>
        <v>0</v>
      </c>
      <c r="N74" s="223">
        <f t="shared" ca="1" si="39"/>
        <v>0</v>
      </c>
      <c r="O74" s="221">
        <f t="shared" ca="1" si="39"/>
        <v>0</v>
      </c>
      <c r="P74" s="207"/>
      <c r="Q74" s="207"/>
      <c r="R74" s="207"/>
      <c r="S74" s="182"/>
      <c r="T74" s="139"/>
    </row>
    <row r="75" spans="1:240" ht="18.75" customHeight="1" x14ac:dyDescent="0.35">
      <c r="A75" s="107" t="s">
        <v>98</v>
      </c>
      <c r="B75" s="103">
        <f>B32</f>
        <v>574050.93926000001</v>
      </c>
      <c r="C75" s="103">
        <f>+C32</f>
        <v>566035.48</v>
      </c>
      <c r="D75" s="104">
        <f t="shared" si="25"/>
        <v>-1.4</v>
      </c>
      <c r="E75" s="407">
        <f t="shared" si="26"/>
        <v>0.54410275323718449</v>
      </c>
      <c r="F75" s="103"/>
      <c r="G75" s="177">
        <f t="shared" si="38"/>
        <v>0</v>
      </c>
      <c r="H75" s="177">
        <f t="shared" si="38"/>
        <v>0</v>
      </c>
      <c r="I75" s="104"/>
      <c r="J75" s="407">
        <f t="shared" si="28"/>
        <v>0</v>
      </c>
      <c r="K75" s="139"/>
      <c r="L75" s="223">
        <f ca="1">L33</f>
        <v>0</v>
      </c>
      <c r="M75" s="221">
        <f t="shared" ca="1" si="39"/>
        <v>0</v>
      </c>
      <c r="N75" s="223">
        <f t="shared" ca="1" si="39"/>
        <v>0</v>
      </c>
      <c r="O75" s="221">
        <f t="shared" ca="1" si="39"/>
        <v>0</v>
      </c>
      <c r="P75" s="207"/>
      <c r="Q75" s="207"/>
      <c r="R75" s="207"/>
      <c r="S75" s="182"/>
      <c r="T75" s="139"/>
    </row>
    <row r="76" spans="1:240" ht="18" x14ac:dyDescent="0.35">
      <c r="A76" s="193" t="s">
        <v>416</v>
      </c>
      <c r="B76" s="103">
        <f t="shared" ref="B76:C76" si="40">B33</f>
        <v>1151</v>
      </c>
      <c r="C76" s="103">
        <f t="shared" si="40"/>
        <v>1806</v>
      </c>
      <c r="D76" s="104">
        <f t="shared" si="25"/>
        <v>56.9</v>
      </c>
      <c r="E76" s="407">
        <f t="shared" ref="E76" si="41">100/C$34*C76</f>
        <v>2.8290656050759255E-3</v>
      </c>
      <c r="F76" s="193"/>
      <c r="G76" s="177">
        <f t="shared" si="38"/>
        <v>0</v>
      </c>
      <c r="H76" s="177">
        <f t="shared" si="38"/>
        <v>0</v>
      </c>
      <c r="I76" s="193"/>
      <c r="J76" s="407">
        <f t="shared" ref="J76" si="42">100/H$34*H76</f>
        <v>0</v>
      </c>
      <c r="K76" s="207"/>
      <c r="L76" s="223">
        <f t="shared" ref="L76" ca="1" si="43">INDIRECT("'" &amp; $A75 &amp; "'!" &amp; $P$7)</f>
        <v>0</v>
      </c>
      <c r="M76" s="221">
        <f t="shared" ref="M76" ca="1" si="44">INDIRECT("'" &amp; $A75 &amp; "'!" &amp; $P$8)</f>
        <v>0</v>
      </c>
      <c r="N76" s="223">
        <f t="shared" ref="N76" ca="1" si="45">INDIRECT("'" &amp; $A75 &amp; "'!" &amp; $P$10)</f>
        <v>0</v>
      </c>
      <c r="O76" s="221">
        <f t="shared" ref="O76" ca="1" si="46">INDIRECT("'" &amp; $A75 &amp; "'!" &amp; $P$12)</f>
        <v>0</v>
      </c>
    </row>
    <row r="77" spans="1:240" s="111" customFormat="1" ht="18.75" customHeight="1" x14ac:dyDescent="0.3">
      <c r="A77" s="113" t="s">
        <v>2</v>
      </c>
      <c r="B77" s="114">
        <f>SUM(B51:B76)</f>
        <v>77926323.736535147</v>
      </c>
      <c r="C77" s="114">
        <f>SUM(C51:C76)</f>
        <v>104030989.85114941</v>
      </c>
      <c r="D77" s="115">
        <f>IF(B77=0, "    ---- ", IF(ABS(ROUND(100/B77*C77-100,1))&lt;999,ROUND(100/B77*C77-100,1),IF(ROUND(100/B77*C77-100,1)&gt;999,999,-999)))</f>
        <v>33.5</v>
      </c>
      <c r="E77" s="410">
        <f>SUM(E51:E75)</f>
        <v>99.99826397883686</v>
      </c>
      <c r="F77" s="109"/>
      <c r="G77" s="181">
        <f>SUM(G51:G76)</f>
        <v>1488923680.8655934</v>
      </c>
      <c r="H77" s="181">
        <f>SUM(H51:H76)</f>
        <v>1658005548.0831134</v>
      </c>
      <c r="I77" s="115">
        <f>IF(G77=0, "    ---- ", IF(ABS(ROUND(100/G77*H77-100,1))&lt;999,ROUND(100/G77*H77-100,1),IF(ROUND(100/G77*H77-100,1)&gt;999,999,-999)))</f>
        <v>11.4</v>
      </c>
      <c r="J77" s="410">
        <f>SUM(J51:J75)</f>
        <v>99.999999999999986</v>
      </c>
      <c r="K77" s="180"/>
      <c r="L77" s="229" t="e">
        <f ca="1">SUM(L51:L75)</f>
        <v>#REF!</v>
      </c>
      <c r="M77" s="230" t="e">
        <f ca="1">SUM(M51:M75)</f>
        <v>#REF!</v>
      </c>
      <c r="N77" s="229" t="e">
        <f ca="1">SUM(N51:N75)</f>
        <v>#REF!</v>
      </c>
      <c r="O77" s="230" t="e">
        <f ca="1">SUM(O51:O75)</f>
        <v>#REF!</v>
      </c>
      <c r="P77" s="209"/>
      <c r="Q77" s="209"/>
      <c r="R77" s="209"/>
      <c r="S77" s="138"/>
      <c r="T77" s="180"/>
    </row>
    <row r="78" spans="1:240" ht="18.75" customHeight="1" x14ac:dyDescent="0.35">
      <c r="A78" s="112" t="s">
        <v>102</v>
      </c>
      <c r="B78" s="112"/>
      <c r="C78" s="112"/>
      <c r="D78" s="112"/>
      <c r="E78" s="112"/>
      <c r="F78" s="112"/>
      <c r="G78" s="112"/>
      <c r="H78" s="112"/>
      <c r="I78" s="112"/>
      <c r="J78" s="112"/>
      <c r="K78" s="112"/>
      <c r="L78" s="186"/>
      <c r="M78" s="186"/>
      <c r="N78" s="186"/>
      <c r="O78" s="186"/>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DE78" s="112"/>
      <c r="DF78" s="112"/>
      <c r="DG78" s="112"/>
      <c r="DH78" s="112"/>
      <c r="DI78" s="112"/>
      <c r="DJ78" s="112"/>
      <c r="DK78" s="112"/>
      <c r="DL78" s="112"/>
      <c r="DM78" s="112"/>
      <c r="DN78" s="112"/>
      <c r="DO78" s="112"/>
      <c r="DP78" s="112"/>
      <c r="DQ78" s="112"/>
      <c r="DR78" s="112"/>
      <c r="DS78" s="112"/>
      <c r="DT78" s="112"/>
      <c r="DU78" s="112"/>
      <c r="DV78" s="112"/>
      <c r="DW78" s="112"/>
      <c r="DX78" s="112"/>
      <c r="DY78" s="112"/>
      <c r="DZ78" s="112"/>
      <c r="EA78" s="112"/>
      <c r="EB78" s="112"/>
      <c r="EC78" s="112"/>
      <c r="ED78" s="112"/>
      <c r="EE78" s="112"/>
      <c r="EF78" s="112"/>
      <c r="EG78" s="112"/>
      <c r="EH78" s="112"/>
      <c r="EI78" s="112"/>
      <c r="EJ78" s="112"/>
      <c r="EK78" s="112"/>
      <c r="EL78" s="112"/>
      <c r="EM78" s="112"/>
      <c r="EN78" s="112"/>
      <c r="EO78" s="112"/>
      <c r="EP78" s="112"/>
      <c r="EQ78" s="112"/>
      <c r="ER78" s="112"/>
      <c r="ES78" s="112"/>
      <c r="ET78" s="112"/>
      <c r="EU78" s="112"/>
      <c r="EV78" s="112"/>
      <c r="EW78" s="112"/>
      <c r="EX78" s="112"/>
      <c r="EY78" s="112"/>
      <c r="EZ78" s="112"/>
      <c r="FA78" s="112"/>
      <c r="FB78" s="112"/>
      <c r="FC78" s="112"/>
      <c r="FD78" s="112"/>
      <c r="FE78" s="112"/>
      <c r="FF78" s="112"/>
      <c r="FG78" s="112"/>
      <c r="FH78" s="112"/>
      <c r="FI78" s="112"/>
      <c r="FJ78" s="112"/>
      <c r="FK78" s="112"/>
      <c r="FL78" s="112"/>
      <c r="FM78" s="112"/>
      <c r="FN78" s="112"/>
      <c r="FO78" s="112"/>
      <c r="FP78" s="112"/>
      <c r="FQ78" s="112"/>
      <c r="FR78" s="112"/>
      <c r="FS78" s="112"/>
      <c r="FT78" s="112"/>
      <c r="FU78" s="112"/>
      <c r="FV78" s="112"/>
      <c r="FW78" s="112"/>
      <c r="FX78" s="112"/>
      <c r="FY78" s="112"/>
      <c r="FZ78" s="112"/>
      <c r="GA78" s="112"/>
      <c r="GB78" s="112"/>
      <c r="GC78" s="112"/>
      <c r="GD78" s="112"/>
      <c r="GE78" s="112"/>
      <c r="GF78" s="112"/>
      <c r="GG78" s="112"/>
      <c r="GH78" s="112"/>
      <c r="GI78" s="112"/>
      <c r="GJ78" s="112"/>
      <c r="GK78" s="112"/>
      <c r="GL78" s="112"/>
      <c r="GM78" s="112"/>
      <c r="GN78" s="112"/>
      <c r="GO78" s="112"/>
      <c r="GP78" s="112"/>
      <c r="GQ78" s="112"/>
      <c r="GR78" s="112"/>
      <c r="GS78" s="112"/>
      <c r="GT78" s="112"/>
      <c r="GU78" s="112"/>
      <c r="GV78" s="112"/>
      <c r="GW78" s="112"/>
      <c r="GX78" s="112"/>
      <c r="GY78" s="112"/>
      <c r="GZ78" s="112"/>
      <c r="HA78" s="112"/>
      <c r="HB78" s="112"/>
      <c r="HC78" s="112"/>
      <c r="HD78" s="112"/>
      <c r="HE78" s="112"/>
      <c r="HF78" s="112"/>
      <c r="HG78" s="112"/>
      <c r="HH78" s="112"/>
      <c r="HI78" s="112"/>
      <c r="HJ78" s="112"/>
      <c r="HK78" s="112"/>
      <c r="HL78" s="112"/>
      <c r="HM78" s="112"/>
      <c r="HN78" s="112"/>
      <c r="HO78" s="112"/>
      <c r="HP78" s="112"/>
      <c r="HQ78" s="112"/>
      <c r="HR78" s="112"/>
      <c r="HS78" s="112"/>
      <c r="HT78" s="112"/>
      <c r="HU78" s="112"/>
      <c r="HV78" s="112"/>
      <c r="HW78" s="112"/>
      <c r="HX78" s="112"/>
      <c r="HY78" s="112"/>
      <c r="HZ78" s="112"/>
      <c r="IA78" s="112"/>
      <c r="IB78" s="112"/>
      <c r="IC78" s="112"/>
      <c r="ID78" s="112"/>
      <c r="IE78" s="112"/>
      <c r="IF78" s="112"/>
    </row>
    <row r="79" spans="1:240" ht="18.75" customHeight="1" x14ac:dyDescent="0.35">
      <c r="A79" s="74"/>
      <c r="B79" s="74"/>
      <c r="C79" s="74"/>
      <c r="D79" s="74"/>
      <c r="E79" s="74"/>
      <c r="F79" s="74"/>
      <c r="G79" s="74"/>
      <c r="H79" s="74"/>
      <c r="I79" s="74"/>
      <c r="J79" s="74"/>
      <c r="K79" s="74"/>
    </row>
    <row r="80" spans="1:240" ht="18.75" customHeight="1" x14ac:dyDescent="0.35">
      <c r="A80" s="74"/>
      <c r="B80" s="74"/>
      <c r="C80" s="74"/>
      <c r="D80" s="74"/>
      <c r="E80" s="74"/>
      <c r="F80" s="74"/>
      <c r="G80" s="74"/>
      <c r="H80" s="74"/>
      <c r="I80" s="74"/>
      <c r="J80" s="74"/>
      <c r="K80" s="74"/>
    </row>
    <row r="81" spans="1:11" ht="18.75" customHeight="1" x14ac:dyDescent="0.35">
      <c r="A81" s="74"/>
      <c r="B81" s="77"/>
      <c r="C81" s="77"/>
      <c r="D81" s="74"/>
      <c r="E81" s="74"/>
      <c r="F81" s="74"/>
      <c r="G81" s="77"/>
      <c r="H81" s="77"/>
      <c r="I81" s="74"/>
      <c r="J81" s="74"/>
      <c r="K81" s="74"/>
    </row>
    <row r="82" spans="1:11" ht="18.75" customHeight="1" x14ac:dyDescent="0.35">
      <c r="A82" s="74"/>
      <c r="B82" s="74"/>
      <c r="C82" s="74"/>
      <c r="D82" s="74"/>
      <c r="E82" s="74"/>
      <c r="F82" s="74"/>
      <c r="G82" s="74"/>
      <c r="H82" s="74"/>
      <c r="I82" s="74"/>
      <c r="J82" s="74"/>
      <c r="K82" s="74"/>
    </row>
    <row r="83" spans="1:11" ht="18.75" customHeight="1" x14ac:dyDescent="0.35">
      <c r="A83" s="74"/>
      <c r="B83" s="74"/>
      <c r="C83" s="74"/>
      <c r="D83" s="74"/>
      <c r="E83" s="74"/>
      <c r="F83" s="74"/>
      <c r="G83" s="74"/>
      <c r="H83" s="74"/>
      <c r="I83" s="74"/>
      <c r="J83" s="74"/>
      <c r="K83" s="74"/>
    </row>
    <row r="84" spans="1:11" ht="18.75" customHeight="1" x14ac:dyDescent="0.35">
      <c r="A84" s="74"/>
      <c r="B84" s="74"/>
      <c r="C84" s="74"/>
      <c r="D84" s="74"/>
      <c r="E84" s="74"/>
      <c r="F84" s="74"/>
      <c r="G84" s="74"/>
      <c r="H84" s="74"/>
      <c r="I84" s="74"/>
      <c r="J84" s="74"/>
      <c r="K84" s="74"/>
    </row>
    <row r="85" spans="1:11" ht="18.75" customHeight="1" x14ac:dyDescent="0.35">
      <c r="A85" s="74"/>
      <c r="B85" s="74"/>
      <c r="C85" s="74"/>
      <c r="D85" s="74"/>
      <c r="E85" s="74"/>
      <c r="F85" s="74"/>
      <c r="G85" s="74"/>
      <c r="H85" s="74"/>
      <c r="I85" s="74"/>
      <c r="J85" s="74"/>
      <c r="K85" s="74"/>
    </row>
    <row r="86" spans="1:11" ht="18" x14ac:dyDescent="0.35">
      <c r="A86" s="74"/>
      <c r="B86" s="74"/>
      <c r="C86" s="74"/>
      <c r="D86" s="74"/>
      <c r="E86" s="74"/>
      <c r="F86" s="74"/>
      <c r="G86" s="74"/>
      <c r="H86" s="74"/>
      <c r="I86" s="74"/>
      <c r="J86" s="74"/>
      <c r="K86" s="74"/>
    </row>
    <row r="87" spans="1:11" ht="18" x14ac:dyDescent="0.35">
      <c r="A87" s="74"/>
      <c r="B87" s="74"/>
      <c r="C87" s="74"/>
      <c r="D87" s="74"/>
      <c r="E87" s="74"/>
      <c r="F87" s="74"/>
      <c r="G87" s="74"/>
      <c r="H87" s="74"/>
      <c r="I87" s="74"/>
      <c r="J87" s="74"/>
      <c r="K87" s="74"/>
    </row>
    <row r="88" spans="1:11" ht="18" x14ac:dyDescent="0.35">
      <c r="A88" s="74"/>
      <c r="B88" s="74"/>
      <c r="C88" s="74"/>
      <c r="D88" s="74"/>
      <c r="E88" s="74"/>
      <c r="F88" s="74"/>
      <c r="G88" s="74"/>
      <c r="H88" s="74"/>
      <c r="I88" s="74"/>
      <c r="J88" s="74"/>
      <c r="K88" s="74"/>
    </row>
    <row r="89" spans="1:11" ht="18" x14ac:dyDescent="0.35">
      <c r="A89" s="74"/>
      <c r="B89" s="74"/>
      <c r="C89" s="74"/>
      <c r="D89" s="74"/>
      <c r="E89" s="74"/>
      <c r="F89" s="74"/>
      <c r="G89" s="74"/>
      <c r="H89" s="74"/>
      <c r="I89" s="74"/>
      <c r="J89" s="74"/>
      <c r="K89" s="74"/>
    </row>
    <row r="90" spans="1:11" ht="18" x14ac:dyDescent="0.35">
      <c r="A90" s="74"/>
      <c r="B90" s="74"/>
      <c r="C90" s="74"/>
      <c r="D90" s="74"/>
      <c r="E90" s="74"/>
      <c r="F90" s="74"/>
      <c r="G90" s="74"/>
      <c r="H90" s="74"/>
      <c r="I90" s="74"/>
      <c r="J90" s="74"/>
      <c r="K90" s="74"/>
    </row>
    <row r="91" spans="1:11" ht="18" x14ac:dyDescent="0.35">
      <c r="A91" s="74"/>
      <c r="B91" s="74"/>
      <c r="C91" s="74"/>
      <c r="D91" s="74"/>
      <c r="E91" s="74"/>
      <c r="F91" s="74"/>
      <c r="G91" s="74"/>
      <c r="H91" s="74"/>
      <c r="I91" s="74"/>
      <c r="J91" s="74"/>
      <c r="K91" s="74"/>
    </row>
    <row r="92" spans="1:11" ht="18" x14ac:dyDescent="0.35">
      <c r="A92" s="74"/>
      <c r="B92" s="74"/>
      <c r="C92" s="74"/>
      <c r="D92" s="74"/>
      <c r="E92" s="74"/>
      <c r="F92" s="74"/>
      <c r="G92" s="74"/>
      <c r="H92" s="74"/>
      <c r="I92" s="74"/>
      <c r="J92" s="74"/>
      <c r="K92" s="74"/>
    </row>
    <row r="93" spans="1:11" ht="18" x14ac:dyDescent="0.35">
      <c r="A93" s="74"/>
      <c r="B93" s="74"/>
      <c r="C93" s="74"/>
      <c r="D93" s="74"/>
      <c r="E93" s="74"/>
      <c r="F93" s="74"/>
      <c r="G93" s="74"/>
      <c r="H93" s="74"/>
      <c r="I93" s="74"/>
      <c r="J93" s="74"/>
      <c r="K93" s="74"/>
    </row>
    <row r="94" spans="1:11" ht="18" x14ac:dyDescent="0.35">
      <c r="A94" s="74"/>
      <c r="B94" s="74"/>
      <c r="C94" s="74"/>
      <c r="D94" s="74"/>
      <c r="E94" s="74"/>
      <c r="F94" s="74"/>
      <c r="G94" s="74"/>
      <c r="H94" s="74"/>
      <c r="I94" s="74"/>
      <c r="J94" s="74"/>
      <c r="K94" s="74"/>
    </row>
    <row r="95" spans="1:11" ht="18" x14ac:dyDescent="0.35">
      <c r="A95" s="74"/>
      <c r="B95" s="74"/>
      <c r="C95" s="74"/>
      <c r="D95" s="74"/>
      <c r="E95" s="74"/>
      <c r="F95" s="74"/>
      <c r="G95" s="74"/>
      <c r="H95" s="74"/>
      <c r="I95" s="74"/>
      <c r="J95" s="74"/>
      <c r="K95" s="74"/>
    </row>
    <row r="96" spans="1:11" ht="18" x14ac:dyDescent="0.35">
      <c r="A96" s="74"/>
      <c r="B96" s="74"/>
      <c r="C96" s="74"/>
      <c r="D96" s="74"/>
      <c r="E96" s="74"/>
      <c r="F96" s="74"/>
      <c r="G96" s="74"/>
      <c r="H96" s="74"/>
      <c r="I96" s="74"/>
      <c r="J96" s="74"/>
      <c r="K96" s="74"/>
    </row>
    <row r="97" spans="1:11" ht="18" x14ac:dyDescent="0.35">
      <c r="A97" s="74"/>
      <c r="B97" s="74"/>
      <c r="C97" s="74"/>
      <c r="D97" s="74"/>
      <c r="E97" s="74"/>
      <c r="F97" s="74"/>
      <c r="G97" s="74"/>
      <c r="H97" s="74"/>
      <c r="I97" s="74"/>
      <c r="J97" s="74"/>
      <c r="K97" s="74"/>
    </row>
    <row r="98" spans="1:11" ht="18" x14ac:dyDescent="0.35">
      <c r="A98" s="74"/>
      <c r="B98" s="74"/>
      <c r="C98" s="74"/>
      <c r="D98" s="74"/>
      <c r="E98" s="74"/>
      <c r="F98" s="74"/>
      <c r="G98" s="74"/>
      <c r="H98" s="74"/>
      <c r="I98" s="74"/>
      <c r="J98" s="74"/>
      <c r="K98" s="74"/>
    </row>
    <row r="99" spans="1:11" ht="18" x14ac:dyDescent="0.35">
      <c r="A99" s="74"/>
      <c r="B99" s="74"/>
      <c r="C99" s="74"/>
      <c r="D99" s="74"/>
      <c r="E99" s="74"/>
      <c r="F99" s="74"/>
      <c r="G99" s="74"/>
      <c r="H99" s="74"/>
      <c r="I99" s="74"/>
      <c r="J99" s="74"/>
      <c r="K99" s="74"/>
    </row>
    <row r="100" spans="1:11" ht="18" x14ac:dyDescent="0.35">
      <c r="A100" s="74"/>
      <c r="B100" s="74"/>
      <c r="C100" s="74"/>
      <c r="D100" s="74"/>
      <c r="E100" s="74"/>
      <c r="F100" s="74"/>
      <c r="G100" s="74"/>
      <c r="H100" s="74"/>
      <c r="I100" s="74"/>
      <c r="J100" s="74"/>
      <c r="K100" s="74"/>
    </row>
    <row r="101" spans="1:11" ht="18" x14ac:dyDescent="0.35">
      <c r="A101" s="74"/>
      <c r="B101" s="74"/>
      <c r="C101" s="74"/>
      <c r="D101" s="74"/>
      <c r="E101" s="74"/>
      <c r="F101" s="74"/>
      <c r="G101" s="74"/>
      <c r="H101" s="74"/>
      <c r="I101" s="74"/>
      <c r="J101" s="74"/>
      <c r="K101" s="74"/>
    </row>
    <row r="102" spans="1:11" ht="18" x14ac:dyDescent="0.35">
      <c r="A102" s="74"/>
      <c r="B102" s="74"/>
      <c r="C102" s="74"/>
      <c r="D102" s="74"/>
      <c r="E102" s="74"/>
      <c r="F102" s="74"/>
      <c r="G102" s="74"/>
      <c r="H102" s="74"/>
      <c r="I102" s="74"/>
      <c r="J102" s="74"/>
      <c r="K102" s="74"/>
    </row>
    <row r="103" spans="1:11" ht="18" x14ac:dyDescent="0.35">
      <c r="A103" s="112"/>
      <c r="B103" s="112"/>
      <c r="C103" s="112"/>
      <c r="D103" s="112"/>
      <c r="E103" s="112"/>
      <c r="F103" s="112"/>
      <c r="G103" s="112"/>
      <c r="H103" s="112"/>
      <c r="I103" s="112"/>
      <c r="J103" s="112"/>
      <c r="K103" s="112"/>
    </row>
    <row r="104" spans="1:11" ht="18" x14ac:dyDescent="0.35">
      <c r="A104" s="116"/>
      <c r="B104" s="117"/>
      <c r="C104" s="117"/>
      <c r="D104" s="117"/>
      <c r="E104" s="74"/>
      <c r="F104" s="74"/>
      <c r="G104" s="74"/>
      <c r="H104" s="74"/>
      <c r="I104" s="74"/>
      <c r="J104" s="75"/>
      <c r="K104" s="75"/>
    </row>
    <row r="105" spans="1:11" ht="18" x14ac:dyDescent="0.35">
      <c r="A105" s="74"/>
      <c r="B105" s="74"/>
      <c r="C105" s="74"/>
      <c r="D105" s="74"/>
      <c r="E105" s="74"/>
      <c r="F105" s="74"/>
      <c r="G105" s="74"/>
      <c r="H105" s="74"/>
      <c r="I105" s="74"/>
      <c r="J105" s="74"/>
      <c r="K105" s="74"/>
    </row>
    <row r="106" spans="1:11" ht="18" x14ac:dyDescent="0.35">
      <c r="A106" s="74"/>
      <c r="B106" s="74"/>
      <c r="C106" s="74"/>
      <c r="D106" s="74"/>
      <c r="E106" s="74"/>
      <c r="F106" s="74"/>
      <c r="G106" s="74"/>
      <c r="H106" s="74"/>
      <c r="I106" s="74"/>
      <c r="J106" s="74"/>
      <c r="K106" s="74"/>
    </row>
    <row r="107" spans="1:11" ht="18" x14ac:dyDescent="0.35">
      <c r="A107" s="74"/>
      <c r="B107" s="74"/>
      <c r="C107" s="74"/>
      <c r="D107" s="74"/>
      <c r="E107" s="74"/>
      <c r="F107" s="74"/>
      <c r="G107" s="74"/>
      <c r="H107" s="74"/>
      <c r="I107" s="74"/>
      <c r="J107" s="74"/>
      <c r="K107" s="74"/>
    </row>
    <row r="108" spans="1:11" ht="18" x14ac:dyDescent="0.35">
      <c r="A108" s="74"/>
      <c r="B108" s="74"/>
      <c r="C108" s="74"/>
      <c r="D108" s="74"/>
      <c r="E108" s="74"/>
      <c r="F108" s="74"/>
      <c r="G108" s="74"/>
      <c r="H108" s="74"/>
      <c r="I108" s="74"/>
      <c r="J108" s="74"/>
      <c r="K108" s="74"/>
    </row>
    <row r="109" spans="1:11" ht="18" x14ac:dyDescent="0.35">
      <c r="A109" s="74"/>
      <c r="B109" s="74"/>
      <c r="C109" s="74"/>
      <c r="D109" s="74"/>
      <c r="E109" s="74"/>
      <c r="F109" s="74"/>
      <c r="G109" s="74"/>
      <c r="H109" s="74"/>
      <c r="I109" s="74"/>
      <c r="J109" s="74"/>
      <c r="K109" s="74"/>
    </row>
    <row r="110" spans="1:11" ht="18" x14ac:dyDescent="0.35">
      <c r="A110" s="74"/>
      <c r="B110" s="74"/>
      <c r="C110" s="74"/>
      <c r="D110" s="74"/>
      <c r="E110" s="74"/>
      <c r="F110" s="74"/>
      <c r="G110" s="74"/>
      <c r="H110" s="74"/>
      <c r="I110" s="74"/>
      <c r="J110" s="74"/>
      <c r="K110" s="74"/>
    </row>
    <row r="111" spans="1:11" ht="18" x14ac:dyDescent="0.35">
      <c r="A111" s="74"/>
      <c r="B111" s="74"/>
      <c r="C111" s="74"/>
      <c r="D111" s="74"/>
      <c r="E111" s="74"/>
      <c r="F111" s="74"/>
      <c r="G111" s="74"/>
      <c r="H111" s="74"/>
      <c r="I111" s="74"/>
      <c r="J111" s="74"/>
      <c r="K111" s="74"/>
    </row>
    <row r="112" spans="1:11" ht="18" x14ac:dyDescent="0.35">
      <c r="A112" s="74"/>
      <c r="B112" s="74"/>
      <c r="C112" s="74"/>
      <c r="D112" s="74"/>
      <c r="E112" s="74"/>
      <c r="F112" s="74"/>
      <c r="G112" s="74"/>
      <c r="H112" s="74"/>
      <c r="I112" s="74"/>
      <c r="J112" s="74"/>
      <c r="K112" s="74"/>
    </row>
    <row r="113" spans="1:11" ht="18" x14ac:dyDescent="0.35">
      <c r="A113" s="74"/>
      <c r="B113" s="74"/>
      <c r="C113" s="74"/>
      <c r="D113" s="74"/>
      <c r="E113" s="74"/>
      <c r="F113" s="74"/>
      <c r="G113" s="74"/>
      <c r="H113" s="74"/>
      <c r="I113" s="74"/>
      <c r="J113" s="74"/>
      <c r="K113" s="74"/>
    </row>
    <row r="114" spans="1:11" ht="18" x14ac:dyDescent="0.35">
      <c r="A114" s="74"/>
      <c r="B114" s="74"/>
      <c r="C114" s="74"/>
      <c r="D114" s="74"/>
      <c r="E114" s="74"/>
      <c r="F114" s="74"/>
      <c r="G114" s="74"/>
      <c r="H114" s="74"/>
      <c r="I114" s="74"/>
      <c r="J114" s="74"/>
      <c r="K114" s="74"/>
    </row>
    <row r="115" spans="1:11" ht="18" x14ac:dyDescent="0.35">
      <c r="A115" s="74"/>
      <c r="B115" s="74"/>
      <c r="C115" s="74"/>
      <c r="D115" s="74"/>
      <c r="E115" s="74"/>
      <c r="F115" s="74"/>
      <c r="G115" s="74"/>
      <c r="H115" s="74"/>
      <c r="I115" s="74"/>
      <c r="J115" s="74"/>
      <c r="K115" s="74"/>
    </row>
    <row r="116" spans="1:11" ht="18" x14ac:dyDescent="0.35">
      <c r="A116" s="74"/>
      <c r="B116" s="74"/>
      <c r="C116" s="74"/>
      <c r="D116" s="74"/>
      <c r="E116" s="74"/>
      <c r="F116" s="74"/>
      <c r="G116" s="74"/>
      <c r="H116" s="74"/>
      <c r="I116" s="74"/>
      <c r="J116" s="74"/>
      <c r="K116"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activeCell="B33" sqref="B33"/>
      <selection pane="topRight" activeCell="B33" sqref="B33"/>
      <selection pane="bottomLeft" activeCell="B33" sqref="B33"/>
      <selection pane="bottomRight" activeCell="A4" sqref="A4"/>
    </sheetView>
  </sheetViews>
  <sheetFormatPr baseColWidth="10" defaultColWidth="11.44140625" defaultRowHeight="17.399999999999999" x14ac:dyDescent="0.3"/>
  <cols>
    <col min="1" max="1" width="51" style="81" customWidth="1"/>
    <col min="2" max="3" width="17.88671875" style="81" bestFit="1" customWidth="1"/>
    <col min="4" max="4" width="9.33203125" style="81" bestFit="1" customWidth="1"/>
    <col min="5" max="5" width="4.6640625" style="81" customWidth="1"/>
    <col min="6" max="7" width="16.6640625" style="81" customWidth="1"/>
    <col min="8" max="8" width="9.33203125" style="81" bestFit="1" customWidth="1"/>
    <col min="9" max="9" width="4.6640625" style="81" customWidth="1"/>
    <col min="10" max="10" width="18.6640625" style="81" customWidth="1"/>
    <col min="11" max="11" width="18" style="81" bestFit="1" customWidth="1"/>
    <col min="12" max="12" width="9.33203125" style="81" bestFit="1" customWidth="1"/>
    <col min="13" max="13" width="11.44140625" style="81"/>
    <col min="14" max="15" width="17.33203125" style="81" bestFit="1" customWidth="1"/>
    <col min="16" max="16384" width="11.44140625" style="81"/>
  </cols>
  <sheetData>
    <row r="1" spans="1:13" ht="20.399999999999999" x14ac:dyDescent="0.35">
      <c r="A1" s="80" t="s">
        <v>77</v>
      </c>
      <c r="B1" s="73" t="s">
        <v>52</v>
      </c>
      <c r="C1" s="74"/>
      <c r="D1" s="74"/>
      <c r="E1" s="74"/>
      <c r="F1" s="74"/>
      <c r="G1" s="74"/>
      <c r="H1" s="74"/>
      <c r="I1" s="74"/>
      <c r="J1" s="74"/>
      <c r="K1" s="74"/>
      <c r="L1" s="74"/>
      <c r="M1" s="74"/>
    </row>
    <row r="2" spans="1:13" ht="20.399999999999999" x14ac:dyDescent="0.35">
      <c r="A2" s="80" t="s">
        <v>103</v>
      </c>
      <c r="B2" s="73"/>
      <c r="C2" s="74"/>
      <c r="D2" s="74"/>
      <c r="E2" s="74"/>
      <c r="F2" s="74"/>
      <c r="G2" s="74"/>
      <c r="H2" s="74"/>
      <c r="I2" s="74"/>
      <c r="J2" s="74"/>
      <c r="K2" s="74"/>
      <c r="L2" s="74"/>
      <c r="M2" s="74"/>
    </row>
    <row r="3" spans="1:13" ht="18" x14ac:dyDescent="0.35">
      <c r="A3" s="75" t="s">
        <v>104</v>
      </c>
      <c r="B3" s="74"/>
      <c r="C3" s="74"/>
      <c r="D3" s="74"/>
      <c r="E3" s="74"/>
      <c r="F3" s="74"/>
      <c r="G3" s="74"/>
      <c r="H3" s="74"/>
      <c r="I3" s="74"/>
      <c r="J3" s="74"/>
      <c r="K3" s="74"/>
      <c r="L3" s="74"/>
      <c r="M3" s="74"/>
    </row>
    <row r="4" spans="1:13" ht="18" x14ac:dyDescent="0.35">
      <c r="A4" s="82" t="s">
        <v>426</v>
      </c>
      <c r="B4" s="102"/>
      <c r="C4" s="118"/>
      <c r="D4" s="119"/>
      <c r="E4" s="112"/>
      <c r="F4" s="83"/>
      <c r="G4" s="84"/>
      <c r="H4" s="85"/>
      <c r="I4" s="112"/>
      <c r="J4" s="83"/>
      <c r="K4" s="84"/>
      <c r="L4" s="85"/>
      <c r="M4" s="74"/>
    </row>
    <row r="5" spans="1:13" ht="18" x14ac:dyDescent="0.35">
      <c r="A5" s="120"/>
      <c r="B5" s="705" t="s">
        <v>0</v>
      </c>
      <c r="C5" s="706"/>
      <c r="D5" s="707"/>
      <c r="E5" s="89"/>
      <c r="F5" s="705" t="s">
        <v>1</v>
      </c>
      <c r="G5" s="706"/>
      <c r="H5" s="707"/>
      <c r="I5" s="121"/>
      <c r="J5" s="705" t="s">
        <v>105</v>
      </c>
      <c r="K5" s="706"/>
      <c r="L5" s="707"/>
      <c r="M5" s="74"/>
    </row>
    <row r="6" spans="1:13" ht="18" x14ac:dyDescent="0.35">
      <c r="A6" s="122"/>
      <c r="B6" s="123"/>
      <c r="C6" s="124"/>
      <c r="D6" s="94" t="s">
        <v>106</v>
      </c>
      <c r="E6" s="100"/>
      <c r="F6" s="123"/>
      <c r="G6" s="124"/>
      <c r="H6" s="94" t="s">
        <v>106</v>
      </c>
      <c r="I6" s="125"/>
      <c r="J6" s="123"/>
      <c r="K6" s="124"/>
      <c r="L6" s="94" t="s">
        <v>106</v>
      </c>
      <c r="M6" s="74"/>
    </row>
    <row r="7" spans="1:13" ht="18" x14ac:dyDescent="0.35">
      <c r="A7" s="126" t="s">
        <v>107</v>
      </c>
      <c r="B7" s="127">
        <v>2020</v>
      </c>
      <c r="C7" s="185">
        <v>2021</v>
      </c>
      <c r="D7" s="99" t="s">
        <v>83</v>
      </c>
      <c r="E7" s="100"/>
      <c r="F7" s="97">
        <v>2020</v>
      </c>
      <c r="G7" s="127">
        <v>2021</v>
      </c>
      <c r="H7" s="99" t="s">
        <v>83</v>
      </c>
      <c r="I7" s="128"/>
      <c r="J7" s="184">
        <v>2020</v>
      </c>
      <c r="K7" s="185">
        <v>2021</v>
      </c>
      <c r="L7" s="99" t="s">
        <v>83</v>
      </c>
      <c r="M7" s="74"/>
    </row>
    <row r="8" spans="1:13" ht="20.399999999999999" x14ac:dyDescent="0.35">
      <c r="A8" s="192" t="s">
        <v>108</v>
      </c>
      <c r="B8" s="232"/>
      <c r="C8" s="201"/>
      <c r="D8" s="201"/>
      <c r="E8" s="182"/>
      <c r="F8" s="201"/>
      <c r="G8" s="201"/>
      <c r="H8" s="201"/>
      <c r="I8" s="202"/>
      <c r="J8" s="201"/>
      <c r="K8" s="201"/>
      <c r="L8" s="201"/>
      <c r="M8" s="74"/>
    </row>
    <row r="9" spans="1:13" ht="18" x14ac:dyDescent="0.35">
      <c r="A9" s="193" t="s">
        <v>109</v>
      </c>
      <c r="B9" s="104">
        <f>'Skjema total MA'!B7</f>
        <v>3690062.0809851093</v>
      </c>
      <c r="C9" s="104">
        <f>'Skjema total MA'!C7</f>
        <v>3813483.6916657356</v>
      </c>
      <c r="D9" s="233">
        <f>IF(B9=0, "    ---- ", IF(ABS(ROUND(100/B9*C9-100,1))&lt;999,ROUND(100/B9*C9-100,1),IF(ROUND(100/B9*C9-100,1)&gt;999,999,-999)))</f>
        <v>3.3</v>
      </c>
      <c r="E9" s="182"/>
      <c r="F9" s="196">
        <f>'Skjema total MA'!E7</f>
        <v>6903912.3569899993</v>
      </c>
      <c r="G9" s="196">
        <f>'Skjema total MA'!F7</f>
        <v>10886055.292259999</v>
      </c>
      <c r="H9" s="233">
        <f>IF(F9=0, "    ---- ", IF(ABS(ROUND(100/F9*G9-100,1))&lt;999,ROUND(100/F9*G9-100,1),IF(ROUND(100/F9*G9-100,1)&gt;999,999,-999)))</f>
        <v>57.7</v>
      </c>
      <c r="I9" s="182"/>
      <c r="J9" s="196">
        <f t="shared" ref="J9:K60" si="0">SUM(B9+F9)</f>
        <v>10593974.437975109</v>
      </c>
      <c r="K9" s="196">
        <f t="shared" si="0"/>
        <v>14699538.983925734</v>
      </c>
      <c r="L9" s="231">
        <f>IF(J9=0, "    ---- ", IF(ABS(ROUND(100/J9*K9-100,1))&lt;999,ROUND(100/J9*K9-100,1),IF(ROUND(100/J9*K9-100,1)&gt;999,999,-999)))</f>
        <v>38.799999999999997</v>
      </c>
      <c r="M9" s="74"/>
    </row>
    <row r="10" spans="1:13" ht="18" x14ac:dyDescent="0.35">
      <c r="A10" s="193" t="s">
        <v>110</v>
      </c>
      <c r="B10" s="104">
        <f>'Skjema total MA'!B22</f>
        <v>1338518.7363557161</v>
      </c>
      <c r="C10" s="104">
        <f>'Skjema total MA'!C22</f>
        <v>1536275.0599848521</v>
      </c>
      <c r="D10" s="233">
        <f t="shared" ref="D10:D17" si="1">IF(B10=0, "    ---- ", IF(ABS(ROUND(100/B10*C10-100,1))&lt;999,ROUND(100/B10*C10-100,1),IF(ROUND(100/B10*C10-100,1)&gt;999,999,-999)))</f>
        <v>14.8</v>
      </c>
      <c r="E10" s="182"/>
      <c r="F10" s="196">
        <f>'Skjema total MA'!E22</f>
        <v>923681.47884</v>
      </c>
      <c r="G10" s="196">
        <f>'Skjema total MA'!F22</f>
        <v>1122445.8969100001</v>
      </c>
      <c r="H10" s="233">
        <f t="shared" ref="H10:H57" si="2">IF(F10=0, "    ---- ", IF(ABS(ROUND(100/F10*G10-100,1))&lt;999,ROUND(100/F10*G10-100,1),IF(ROUND(100/F10*G10-100,1)&gt;999,999,-999)))</f>
        <v>21.5</v>
      </c>
      <c r="I10" s="182"/>
      <c r="J10" s="196">
        <f t="shared" si="0"/>
        <v>2262200.2151957164</v>
      </c>
      <c r="K10" s="196">
        <f t="shared" si="0"/>
        <v>2658720.9568948522</v>
      </c>
      <c r="L10" s="231">
        <f t="shared" ref="L10:L60" si="3">IF(J10=0, "    ---- ", IF(ABS(ROUND(100/J10*K10-100,1))&lt;999,ROUND(100/J10*K10-100,1),IF(ROUND(100/J10*K10-100,1)&gt;999,999,-999)))</f>
        <v>17.5</v>
      </c>
      <c r="M10" s="74"/>
    </row>
    <row r="11" spans="1:13" ht="18" x14ac:dyDescent="0.35">
      <c r="A11" s="193" t="s">
        <v>111</v>
      </c>
      <c r="B11" s="104">
        <f>'Skjema total MA'!B47</f>
        <v>4226084.6171943173</v>
      </c>
      <c r="C11" s="104">
        <f>'Skjema total MA'!C47</f>
        <v>4470890.942388827</v>
      </c>
      <c r="D11" s="233">
        <f t="shared" si="1"/>
        <v>5.8</v>
      </c>
      <c r="E11" s="182"/>
      <c r="F11" s="196"/>
      <c r="G11" s="196"/>
      <c r="H11" s="233"/>
      <c r="I11" s="182"/>
      <c r="J11" s="196">
        <f t="shared" si="0"/>
        <v>4226084.6171943173</v>
      </c>
      <c r="K11" s="196">
        <f t="shared" si="0"/>
        <v>4470890.942388827</v>
      </c>
      <c r="L11" s="231">
        <f t="shared" si="3"/>
        <v>5.8</v>
      </c>
      <c r="M11" s="74"/>
    </row>
    <row r="12" spans="1:13" ht="18" x14ac:dyDescent="0.35">
      <c r="A12" s="193" t="s">
        <v>112</v>
      </c>
      <c r="B12" s="104">
        <f>'Skjema total MA'!B66</f>
        <v>5925094.3501699995</v>
      </c>
      <c r="C12" s="104">
        <f>'Skjema total MA'!C66</f>
        <v>6273278.3742899997</v>
      </c>
      <c r="D12" s="233">
        <f t="shared" si="1"/>
        <v>5.9</v>
      </c>
      <c r="E12" s="182"/>
      <c r="F12" s="196">
        <f>'Skjema total MA'!E66</f>
        <v>26015990.351750001</v>
      </c>
      <c r="G12" s="196">
        <f>'Skjema total MA'!F66</f>
        <v>28068883.722309999</v>
      </c>
      <c r="H12" s="233">
        <f t="shared" si="2"/>
        <v>7.9</v>
      </c>
      <c r="I12" s="182"/>
      <c r="J12" s="196">
        <f t="shared" si="0"/>
        <v>31941084.701920003</v>
      </c>
      <c r="K12" s="196">
        <f t="shared" si="0"/>
        <v>34342162.096599996</v>
      </c>
      <c r="L12" s="231">
        <f t="shared" si="3"/>
        <v>7.5</v>
      </c>
      <c r="M12" s="74"/>
    </row>
    <row r="13" spans="1:13" ht="18" x14ac:dyDescent="0.35">
      <c r="A13" s="193" t="s">
        <v>113</v>
      </c>
      <c r="B13" s="104">
        <f>'Skjema total MA'!B68</f>
        <v>118405.78634999999</v>
      </c>
      <c r="C13" s="104">
        <f>'Skjema total MA'!C68</f>
        <v>34968.568589999995</v>
      </c>
      <c r="D13" s="233">
        <f t="shared" si="1"/>
        <v>-70.5</v>
      </c>
      <c r="E13" s="182"/>
      <c r="F13" s="196">
        <f>'Skjema total MA'!E68</f>
        <v>24986974.430980001</v>
      </c>
      <c r="G13" s="196">
        <f>'Skjema total MA'!F68</f>
        <v>26951875.208689999</v>
      </c>
      <c r="H13" s="233">
        <f t="shared" si="2"/>
        <v>7.9</v>
      </c>
      <c r="I13" s="182"/>
      <c r="J13" s="196">
        <f t="shared" si="0"/>
        <v>25105380.217330001</v>
      </c>
      <c r="K13" s="196">
        <f t="shared" si="0"/>
        <v>26986843.777279999</v>
      </c>
      <c r="L13" s="231">
        <f t="shared" si="3"/>
        <v>7.5</v>
      </c>
      <c r="M13" s="74"/>
    </row>
    <row r="14" spans="1:13" s="133" customFormat="1" ht="18" x14ac:dyDescent="0.35">
      <c r="A14" s="194" t="s">
        <v>114</v>
      </c>
      <c r="B14" s="131">
        <f>'Skjema total MA'!B75</f>
        <v>335864.80619999999</v>
      </c>
      <c r="C14" s="131">
        <f>'Skjema total MA'!C75</f>
        <v>409420.10761000001</v>
      </c>
      <c r="D14" s="233">
        <f t="shared" si="1"/>
        <v>21.9</v>
      </c>
      <c r="E14" s="183"/>
      <c r="F14" s="197">
        <f>'Skjema total MA'!E75</f>
        <v>1029015.92077</v>
      </c>
      <c r="G14" s="197">
        <f>'Skjema total MA'!F75</f>
        <v>1117008.5136199999</v>
      </c>
      <c r="H14" s="233">
        <f t="shared" si="2"/>
        <v>8.6</v>
      </c>
      <c r="I14" s="183"/>
      <c r="J14" s="196">
        <f t="shared" si="0"/>
        <v>1364880.72697</v>
      </c>
      <c r="K14" s="196">
        <f t="shared" si="0"/>
        <v>1526428.6212299999</v>
      </c>
      <c r="L14" s="231">
        <f t="shared" si="3"/>
        <v>11.8</v>
      </c>
      <c r="M14" s="132"/>
    </row>
    <row r="15" spans="1:13" ht="20.399999999999999" x14ac:dyDescent="0.35">
      <c r="A15" s="193" t="s">
        <v>351</v>
      </c>
      <c r="B15" s="104">
        <f>'Skjema total MA'!B134</f>
        <v>28836361.399250001</v>
      </c>
      <c r="C15" s="104">
        <f>'Skjema total MA'!C134</f>
        <v>47741240.697339997</v>
      </c>
      <c r="D15" s="233">
        <f t="shared" si="1"/>
        <v>65.599999999999994</v>
      </c>
      <c r="E15" s="182"/>
      <c r="F15" s="196">
        <f>'Skjema total MA'!E134</f>
        <v>63880.035000000003</v>
      </c>
      <c r="G15" s="196">
        <f>'Skjema total MA'!F134</f>
        <v>116273.039</v>
      </c>
      <c r="H15" s="233">
        <f t="shared" si="2"/>
        <v>82</v>
      </c>
      <c r="I15" s="182"/>
      <c r="J15" s="196">
        <f t="shared" si="0"/>
        <v>28900241.434250001</v>
      </c>
      <c r="K15" s="196">
        <f t="shared" si="0"/>
        <v>47857513.736339994</v>
      </c>
      <c r="L15" s="231">
        <f t="shared" si="3"/>
        <v>65.599999999999994</v>
      </c>
      <c r="M15" s="74"/>
    </row>
    <row r="16" spans="1:13" ht="18" x14ac:dyDescent="0.35">
      <c r="A16" s="193" t="s">
        <v>115</v>
      </c>
      <c r="B16" s="104">
        <f>'Skjema total MA'!B36</f>
        <v>2738.33</v>
      </c>
      <c r="C16" s="104">
        <f>'Skjema total MA'!C36</f>
        <v>2163.1350000000002</v>
      </c>
      <c r="D16" s="233">
        <f t="shared" si="1"/>
        <v>-21</v>
      </c>
      <c r="E16" s="182"/>
      <c r="F16" s="196">
        <f>'Skjema total MA'!E36</f>
        <v>0</v>
      </c>
      <c r="G16" s="196">
        <f>'Skjema total MA'!F36</f>
        <v>0</v>
      </c>
      <c r="H16" s="233"/>
      <c r="I16" s="182"/>
      <c r="J16" s="196">
        <f t="shared" si="0"/>
        <v>2738.33</v>
      </c>
      <c r="K16" s="196">
        <f t="shared" si="0"/>
        <v>2163.1350000000002</v>
      </c>
      <c r="L16" s="231">
        <f t="shared" si="3"/>
        <v>-21</v>
      </c>
      <c r="M16" s="74"/>
    </row>
    <row r="17" spans="1:23" s="135" customFormat="1" ht="18.75" customHeight="1" x14ac:dyDescent="0.35">
      <c r="A17" s="137" t="s">
        <v>116</v>
      </c>
      <c r="B17" s="110">
        <f>'Tabel 1.1'!B34</f>
        <v>44018859.513955139</v>
      </c>
      <c r="C17" s="277">
        <f>'Tabel 1.1'!C34</f>
        <v>63837331.900669411</v>
      </c>
      <c r="D17" s="233">
        <f t="shared" si="1"/>
        <v>45</v>
      </c>
      <c r="E17" s="138"/>
      <c r="F17" s="198">
        <f>'Tabel 1.1'!B47</f>
        <v>33907464.222580001</v>
      </c>
      <c r="G17" s="198">
        <f>'Tabel 1.1'!C47</f>
        <v>40193657.950479999</v>
      </c>
      <c r="H17" s="233">
        <f t="shared" si="2"/>
        <v>18.5</v>
      </c>
      <c r="I17" s="138"/>
      <c r="J17" s="198">
        <f t="shared" si="0"/>
        <v>77926323.736535132</v>
      </c>
      <c r="K17" s="198">
        <f t="shared" si="0"/>
        <v>104030989.85114941</v>
      </c>
      <c r="L17" s="231">
        <f t="shared" si="3"/>
        <v>33.5</v>
      </c>
      <c r="M17" s="75"/>
      <c r="N17" s="134"/>
      <c r="O17" s="134"/>
      <c r="P17" s="699"/>
      <c r="Q17" s="136"/>
      <c r="R17" s="136"/>
      <c r="S17" s="136"/>
      <c r="T17" s="136"/>
      <c r="U17" s="136"/>
      <c r="V17" s="136"/>
      <c r="W17" s="136"/>
    </row>
    <row r="18" spans="1:23" ht="18.75" customHeight="1" x14ac:dyDescent="0.35">
      <c r="A18" s="137"/>
      <c r="B18" s="104"/>
      <c r="C18" s="196"/>
      <c r="D18" s="196"/>
      <c r="E18" s="182"/>
      <c r="F18" s="196"/>
      <c r="G18" s="196"/>
      <c r="H18" s="233"/>
      <c r="I18" s="182"/>
      <c r="J18" s="196"/>
      <c r="K18" s="196"/>
      <c r="L18" s="231"/>
      <c r="M18" s="74"/>
    </row>
    <row r="19" spans="1:23" ht="18.75" customHeight="1" x14ac:dyDescent="0.35">
      <c r="A19" s="192" t="s">
        <v>352</v>
      </c>
      <c r="B19" s="200"/>
      <c r="C19" s="203"/>
      <c r="D19" s="196"/>
      <c r="E19" s="182"/>
      <c r="F19" s="203"/>
      <c r="G19" s="203"/>
      <c r="H19" s="233"/>
      <c r="I19" s="182"/>
      <c r="J19" s="196"/>
      <c r="K19" s="196"/>
      <c r="L19" s="231"/>
      <c r="M19" s="74"/>
    </row>
    <row r="20" spans="1:23" ht="18.75" customHeight="1" x14ac:dyDescent="0.35">
      <c r="A20" s="193" t="s">
        <v>109</v>
      </c>
      <c r="B20" s="104">
        <f>'Skjema total MA'!B10</f>
        <v>18030106.492632322</v>
      </c>
      <c r="C20" s="104">
        <f>'Skjema total MA'!C10</f>
        <v>16996296.233549759</v>
      </c>
      <c r="D20" s="233">
        <f>IF(B20=0, "    ---- ", IF(ABS(ROUND(100/B20*C20-100,1))&lt;999,ROUND(100/B20*C20-100,1),IF(ROUND(100/B20*C20-100,1)&gt;999,999,-999)))</f>
        <v>-5.7</v>
      </c>
      <c r="E20" s="182"/>
      <c r="F20" s="196">
        <f>'Skjema total MA'!E10</f>
        <v>55394936.068370007</v>
      </c>
      <c r="G20" s="196">
        <f>'Skjema total MA'!F10</f>
        <v>73201561.021569997</v>
      </c>
      <c r="H20" s="233">
        <f t="shared" si="2"/>
        <v>32.1</v>
      </c>
      <c r="I20" s="182"/>
      <c r="J20" s="196">
        <f t="shared" si="0"/>
        <v>73425042.561002329</v>
      </c>
      <c r="K20" s="196">
        <f t="shared" si="0"/>
        <v>90197857.255119756</v>
      </c>
      <c r="L20" s="231">
        <f t="shared" si="3"/>
        <v>22.8</v>
      </c>
      <c r="M20" s="74"/>
    </row>
    <row r="21" spans="1:23" ht="18.75" customHeight="1" x14ac:dyDescent="0.35">
      <c r="A21" s="193" t="s">
        <v>110</v>
      </c>
      <c r="B21" s="104">
        <f>'Skjema total MA'!B29</f>
        <v>45964750.093721807</v>
      </c>
      <c r="C21" s="104">
        <f>'Skjema total MA'!C29</f>
        <v>44961787.721639454</v>
      </c>
      <c r="D21" s="233">
        <f t="shared" ref="D21:D27" si="4">IF(B21=0, "    ---- ", IF(ABS(ROUND(100/B21*C21-100,1))&lt;999,ROUND(100/B21*C21-100,1),IF(ROUND(100/B21*C21-100,1)&gt;999,999,-999)))</f>
        <v>-2.2000000000000002</v>
      </c>
      <c r="E21" s="182"/>
      <c r="F21" s="196">
        <f>'Skjema total MA'!E29</f>
        <v>22869004.873020001</v>
      </c>
      <c r="G21" s="196">
        <f>'Skjema total MA'!F29</f>
        <v>25725464.494199999</v>
      </c>
      <c r="H21" s="233">
        <f t="shared" si="2"/>
        <v>12.5</v>
      </c>
      <c r="I21" s="182"/>
      <c r="J21" s="196">
        <f t="shared" si="0"/>
        <v>68833754.9667418</v>
      </c>
      <c r="K21" s="196">
        <f t="shared" si="0"/>
        <v>70687252.215839446</v>
      </c>
      <c r="L21" s="231">
        <f t="shared" si="3"/>
        <v>2.7</v>
      </c>
      <c r="M21" s="74"/>
    </row>
    <row r="22" spans="1:23" ht="18" x14ac:dyDescent="0.35">
      <c r="A22" s="193" t="s">
        <v>112</v>
      </c>
      <c r="B22" s="104">
        <f>'Skjema total MA'!B87</f>
        <v>393430125.2764495</v>
      </c>
      <c r="C22" s="104">
        <f>'Skjema total MA'!C87</f>
        <v>401391176.2420643</v>
      </c>
      <c r="D22" s="233">
        <f t="shared" si="4"/>
        <v>2</v>
      </c>
      <c r="E22" s="182"/>
      <c r="F22" s="196">
        <f>'Skjema total MA'!E87</f>
        <v>338274417.26129001</v>
      </c>
      <c r="G22" s="196">
        <f>'Skjema total MA'!F87</f>
        <v>425136544.02149999</v>
      </c>
      <c r="H22" s="233">
        <f t="shared" si="2"/>
        <v>25.7</v>
      </c>
      <c r="I22" s="182"/>
      <c r="J22" s="196">
        <f t="shared" si="0"/>
        <v>731704542.53773952</v>
      </c>
      <c r="K22" s="196">
        <f t="shared" si="0"/>
        <v>826527720.26356435</v>
      </c>
      <c r="L22" s="231">
        <f t="shared" si="3"/>
        <v>13</v>
      </c>
      <c r="M22" s="74"/>
    </row>
    <row r="23" spans="1:23" ht="20.399999999999999" x14ac:dyDescent="0.35">
      <c r="A23" s="193" t="s">
        <v>117</v>
      </c>
      <c r="B23" s="104">
        <f>'Skjema total MA'!B89</f>
        <v>3168063.6674366803</v>
      </c>
      <c r="C23" s="104">
        <f>'Skjema total MA'!C89</f>
        <v>3086506.71734</v>
      </c>
      <c r="D23" s="233">
        <f t="shared" si="4"/>
        <v>-2.6</v>
      </c>
      <c r="E23" s="182"/>
      <c r="F23" s="196">
        <f>'Skjema total MA'!E89</f>
        <v>335702118.27889997</v>
      </c>
      <c r="G23" s="196">
        <f>'Skjema total MA'!F89</f>
        <v>420757485.13576007</v>
      </c>
      <c r="H23" s="233">
        <f t="shared" si="2"/>
        <v>25.3</v>
      </c>
      <c r="I23" s="182"/>
      <c r="J23" s="196">
        <f t="shared" si="0"/>
        <v>338870181.94633663</v>
      </c>
      <c r="K23" s="196">
        <f t="shared" si="0"/>
        <v>423843991.85310006</v>
      </c>
      <c r="L23" s="231">
        <f t="shared" si="3"/>
        <v>25.1</v>
      </c>
      <c r="M23" s="74"/>
    </row>
    <row r="24" spans="1:23" ht="18" x14ac:dyDescent="0.35">
      <c r="A24" s="194" t="s">
        <v>114</v>
      </c>
      <c r="B24" s="104">
        <f>'Skjema total MA'!B96</f>
        <v>1843898.0478699999</v>
      </c>
      <c r="C24" s="104">
        <f>'Skjema total MA'!C96</f>
        <v>2518065.5657200003</v>
      </c>
      <c r="D24" s="233">
        <f t="shared" si="4"/>
        <v>36.6</v>
      </c>
      <c r="E24" s="182"/>
      <c r="F24" s="196">
        <f>'Skjema total MA'!E96</f>
        <v>2572298.98239</v>
      </c>
      <c r="G24" s="196">
        <f>'Skjema total MA'!F96</f>
        <v>4379058.8857399998</v>
      </c>
      <c r="H24" s="233">
        <f t="shared" si="2"/>
        <v>70.2</v>
      </c>
      <c r="I24" s="182"/>
      <c r="J24" s="196">
        <f t="shared" si="0"/>
        <v>4416197.0302600004</v>
      </c>
      <c r="K24" s="196">
        <f t="shared" si="0"/>
        <v>6897124.4514600001</v>
      </c>
      <c r="L24" s="231">
        <f t="shared" si="3"/>
        <v>56.2</v>
      </c>
      <c r="M24" s="74"/>
    </row>
    <row r="25" spans="1:23" ht="20.399999999999999" x14ac:dyDescent="0.35">
      <c r="A25" s="193" t="s">
        <v>351</v>
      </c>
      <c r="B25" s="104">
        <f>'Skjema total MA'!B135</f>
        <v>609403402.69496012</v>
      </c>
      <c r="C25" s="104">
        <f>'Skjema total MA'!C135</f>
        <v>665071384.51682997</v>
      </c>
      <c r="D25" s="233">
        <f t="shared" si="4"/>
        <v>9.1</v>
      </c>
      <c r="E25" s="182"/>
      <c r="F25" s="196">
        <f>'Skjema total MA'!E135</f>
        <v>1974716.5681499999</v>
      </c>
      <c r="G25" s="196">
        <f>'Skjema total MA'!F135</f>
        <v>2172918.8607600001</v>
      </c>
      <c r="H25" s="233">
        <f t="shared" si="2"/>
        <v>10</v>
      </c>
      <c r="I25" s="182"/>
      <c r="J25" s="196">
        <f t="shared" si="0"/>
        <v>611378119.26311016</v>
      </c>
      <c r="K25" s="196">
        <f t="shared" si="0"/>
        <v>667244303.37758994</v>
      </c>
      <c r="L25" s="231">
        <f t="shared" si="3"/>
        <v>9.1</v>
      </c>
      <c r="M25" s="74"/>
    </row>
    <row r="26" spans="1:23" ht="18" x14ac:dyDescent="0.35">
      <c r="A26" s="193" t="s">
        <v>115</v>
      </c>
      <c r="B26" s="104">
        <f>'Skjema total MA'!B37</f>
        <v>3582221.537</v>
      </c>
      <c r="C26" s="104">
        <f>'Skjema total MA'!C37</f>
        <v>3348414.9709999999</v>
      </c>
      <c r="D26" s="233">
        <f t="shared" si="4"/>
        <v>-6.5</v>
      </c>
      <c r="E26" s="182"/>
      <c r="F26" s="196">
        <f>'Skjema total MA'!E37</f>
        <v>0</v>
      </c>
      <c r="G26" s="196">
        <f>'Skjema total MA'!F37</f>
        <v>0</v>
      </c>
      <c r="H26" s="233"/>
      <c r="I26" s="182"/>
      <c r="J26" s="196">
        <f t="shared" si="0"/>
        <v>3582221.537</v>
      </c>
      <c r="K26" s="196">
        <f t="shared" si="0"/>
        <v>3348414.9709999999</v>
      </c>
      <c r="L26" s="231">
        <f t="shared" si="3"/>
        <v>-6.5</v>
      </c>
      <c r="M26" s="74"/>
    </row>
    <row r="27" spans="1:23" s="135" customFormat="1" ht="18" x14ac:dyDescent="0.35">
      <c r="A27" s="137" t="s">
        <v>118</v>
      </c>
      <c r="B27" s="110">
        <f>'Tabel 1.1'!G34</f>
        <v>1070410606.0947638</v>
      </c>
      <c r="C27" s="198">
        <f>'Tabel 1.1'!H34</f>
        <v>1131769059.6850834</v>
      </c>
      <c r="D27" s="233">
        <f t="shared" si="4"/>
        <v>5.7</v>
      </c>
      <c r="E27" s="138"/>
      <c r="F27" s="198">
        <f>'Tabel 1.1'!G47</f>
        <v>418513074.77083004</v>
      </c>
      <c r="G27" s="198">
        <f>'Tabel 1.1'!H47</f>
        <v>526236488.39803004</v>
      </c>
      <c r="H27" s="233">
        <f t="shared" si="2"/>
        <v>25.7</v>
      </c>
      <c r="I27" s="138"/>
      <c r="J27" s="198">
        <f t="shared" si="0"/>
        <v>1488923680.8655939</v>
      </c>
      <c r="K27" s="198">
        <f t="shared" si="0"/>
        <v>1658005548.0831134</v>
      </c>
      <c r="L27" s="231">
        <f t="shared" si="3"/>
        <v>11.4</v>
      </c>
      <c r="M27" s="75"/>
      <c r="N27" s="134"/>
      <c r="O27" s="134"/>
    </row>
    <row r="28" spans="1:23" ht="18" x14ac:dyDescent="0.35">
      <c r="A28" s="137"/>
      <c r="B28" s="104"/>
      <c r="C28" s="196"/>
      <c r="D28" s="233"/>
      <c r="E28" s="182"/>
      <c r="F28" s="196"/>
      <c r="G28" s="196"/>
      <c r="H28" s="233"/>
      <c r="I28" s="182"/>
      <c r="J28" s="196">
        <f t="shared" si="0"/>
        <v>0</v>
      </c>
      <c r="K28" s="196">
        <f t="shared" si="0"/>
        <v>0</v>
      </c>
      <c r="L28" s="231"/>
      <c r="M28" s="74"/>
    </row>
    <row r="29" spans="1:23" ht="20.399999999999999" x14ac:dyDescent="0.35">
      <c r="A29" s="192" t="s">
        <v>353</v>
      </c>
      <c r="B29" s="200"/>
      <c r="C29" s="203"/>
      <c r="D29" s="196"/>
      <c r="E29" s="182"/>
      <c r="F29" s="196"/>
      <c r="G29" s="196"/>
      <c r="H29" s="233"/>
      <c r="I29" s="182"/>
      <c r="J29" s="196"/>
      <c r="K29" s="196"/>
      <c r="L29" s="231"/>
      <c r="M29" s="74"/>
    </row>
    <row r="30" spans="1:23" ht="18" x14ac:dyDescent="0.35">
      <c r="A30" s="193" t="s">
        <v>109</v>
      </c>
      <c r="B30" s="104">
        <f>'Skjema total MA'!B11</f>
        <v>29977</v>
      </c>
      <c r="C30" s="104">
        <f>'Skjema total MA'!C11</f>
        <v>42181.894999999997</v>
      </c>
      <c r="D30" s="233">
        <f>IF(B30=0, "    ---- ", IF(ABS(ROUND(100/B30*C30-100,1))&lt;999,ROUND(100/B30*C30-100,1),IF(ROUND(100/B30*C30-100,1)&gt;999,999,-999)))</f>
        <v>40.700000000000003</v>
      </c>
      <c r="E30" s="182"/>
      <c r="F30" s="196">
        <f>'Skjema total MA'!E11</f>
        <v>259078.51036999997</v>
      </c>
      <c r="G30" s="196">
        <f>'Skjema total MA'!F11</f>
        <v>345296.6778</v>
      </c>
      <c r="H30" s="233">
        <f t="shared" si="2"/>
        <v>33.299999999999997</v>
      </c>
      <c r="I30" s="182"/>
      <c r="J30" s="196">
        <f t="shared" si="0"/>
        <v>289055.51036999997</v>
      </c>
      <c r="K30" s="196">
        <f t="shared" si="0"/>
        <v>387478.57280000002</v>
      </c>
      <c r="L30" s="231">
        <f t="shared" si="3"/>
        <v>34</v>
      </c>
      <c r="M30" s="74"/>
    </row>
    <row r="31" spans="1:23" ht="18" x14ac:dyDescent="0.35">
      <c r="A31" s="193" t="s">
        <v>110</v>
      </c>
      <c r="B31" s="104">
        <f>'Skjema total MA'!B34</f>
        <v>14222.078000000001</v>
      </c>
      <c r="C31" s="104">
        <f>'Skjema total MA'!C34</f>
        <v>11130.60887</v>
      </c>
      <c r="D31" s="233">
        <f t="shared" ref="D31:D38" si="5">IF(B31=0, "    ---- ", IF(ABS(ROUND(100/B31*C31-100,1))&lt;999,ROUND(100/B31*C31-100,1),IF(ROUND(100/B31*C31-100,1)&gt;999,999,-999)))</f>
        <v>-21.7</v>
      </c>
      <c r="E31" s="182"/>
      <c r="F31" s="196">
        <f>'Skjema total MA'!E34</f>
        <v>10888.071449999998</v>
      </c>
      <c r="G31" s="196">
        <f>'Skjema total MA'!F34</f>
        <v>71861.117989999999</v>
      </c>
      <c r="H31" s="233">
        <f t="shared" si="2"/>
        <v>560</v>
      </c>
      <c r="I31" s="182"/>
      <c r="J31" s="196">
        <f t="shared" si="0"/>
        <v>25110.149449999997</v>
      </c>
      <c r="K31" s="196">
        <f t="shared" si="0"/>
        <v>82991.726859999995</v>
      </c>
      <c r="L31" s="231">
        <f t="shared" si="3"/>
        <v>230.5</v>
      </c>
      <c r="M31" s="74"/>
    </row>
    <row r="32" spans="1:23" ht="18" x14ac:dyDescent="0.35">
      <c r="A32" s="193" t="s">
        <v>112</v>
      </c>
      <c r="B32" s="104">
        <f>'Skjema total MA'!B111</f>
        <v>664553.65385999996</v>
      </c>
      <c r="C32" s="104">
        <f>'Skjema total MA'!C111</f>
        <v>459485.86124</v>
      </c>
      <c r="D32" s="233">
        <f t="shared" si="5"/>
        <v>-30.9</v>
      </c>
      <c r="E32" s="182"/>
      <c r="F32" s="196">
        <f>'Skjema total MA'!E111</f>
        <v>14745075.340380002</v>
      </c>
      <c r="G32" s="196">
        <f>'Skjema total MA'!F111</f>
        <v>53008611.131979994</v>
      </c>
      <c r="H32" s="233">
        <f t="shared" si="2"/>
        <v>259.5</v>
      </c>
      <c r="I32" s="182"/>
      <c r="J32" s="196">
        <f t="shared" si="0"/>
        <v>15409628.994240001</v>
      </c>
      <c r="K32" s="196">
        <f t="shared" si="0"/>
        <v>53468096.993219994</v>
      </c>
      <c r="L32" s="231">
        <f t="shared" si="3"/>
        <v>247</v>
      </c>
      <c r="M32" s="74"/>
    </row>
    <row r="33" spans="1:15" ht="20.399999999999999" x14ac:dyDescent="0.35">
      <c r="A33" s="193" t="s">
        <v>351</v>
      </c>
      <c r="B33" s="104">
        <f>'Skjema total MA'!B136</f>
        <v>3309007.423</v>
      </c>
      <c r="C33" s="104">
        <f>'Skjema total MA'!C136</f>
        <v>6400360.4139999999</v>
      </c>
      <c r="D33" s="233">
        <f t="shared" si="5"/>
        <v>93.4</v>
      </c>
      <c r="E33" s="182"/>
      <c r="F33" s="196">
        <f>'Skjema total MA'!E136</f>
        <v>-462823.85</v>
      </c>
      <c r="G33" s="196">
        <f>'Skjema total MA'!F136</f>
        <v>0</v>
      </c>
      <c r="H33" s="233">
        <f t="shared" si="2"/>
        <v>-100</v>
      </c>
      <c r="I33" s="182"/>
      <c r="J33" s="196">
        <f t="shared" si="0"/>
        <v>2846183.5729999999</v>
      </c>
      <c r="K33" s="196">
        <f t="shared" si="0"/>
        <v>6400360.4139999999</v>
      </c>
      <c r="L33" s="231">
        <f t="shared" si="3"/>
        <v>124.9</v>
      </c>
      <c r="M33" s="74"/>
    </row>
    <row r="34" spans="1:15" ht="18" x14ac:dyDescent="0.35">
      <c r="A34" s="193" t="s">
        <v>115</v>
      </c>
      <c r="B34" s="104">
        <f>'Skjema total MA'!B38</f>
        <v>0</v>
      </c>
      <c r="C34" s="104">
        <f>'Skjema total MA'!C38</f>
        <v>14000</v>
      </c>
      <c r="D34" s="233" t="str">
        <f t="shared" si="5"/>
        <v xml:space="preserve">    ---- </v>
      </c>
      <c r="E34" s="182"/>
      <c r="F34" s="196">
        <f>'Skjema total MA'!E38</f>
        <v>0</v>
      </c>
      <c r="G34" s="196">
        <f>'Skjema total MA'!F38</f>
        <v>0</v>
      </c>
      <c r="H34" s="233"/>
      <c r="I34" s="182"/>
      <c r="J34" s="196">
        <f t="shared" si="0"/>
        <v>0</v>
      </c>
      <c r="K34" s="196">
        <f t="shared" si="0"/>
        <v>14000</v>
      </c>
      <c r="L34" s="231" t="str">
        <f t="shared" si="3"/>
        <v xml:space="preserve">    ---- </v>
      </c>
      <c r="M34" s="74"/>
    </row>
    <row r="35" spans="1:15" s="135" customFormat="1" ht="18" x14ac:dyDescent="0.35">
      <c r="A35" s="137" t="s">
        <v>119</v>
      </c>
      <c r="B35" s="110">
        <f>SUM(B30:B34)</f>
        <v>4017760.1548600001</v>
      </c>
      <c r="C35" s="198">
        <f>SUM(C30:C34)</f>
        <v>6927158.7791099995</v>
      </c>
      <c r="D35" s="233">
        <f t="shared" si="5"/>
        <v>72.400000000000006</v>
      </c>
      <c r="E35" s="138"/>
      <c r="F35" s="198">
        <f>SUM(F30:F34)</f>
        <v>14552218.072200002</v>
      </c>
      <c r="G35" s="198">
        <f>SUM(G30:G34)</f>
        <v>53425768.927769996</v>
      </c>
      <c r="H35" s="233">
        <f t="shared" si="2"/>
        <v>267.10000000000002</v>
      </c>
      <c r="I35" s="138"/>
      <c r="J35" s="198">
        <f t="shared" si="0"/>
        <v>18569978.227060001</v>
      </c>
      <c r="K35" s="198">
        <f t="shared" si="0"/>
        <v>60352927.706879996</v>
      </c>
      <c r="L35" s="231">
        <f t="shared" si="3"/>
        <v>225</v>
      </c>
      <c r="M35" s="75"/>
    </row>
    <row r="36" spans="1:15" ht="18" x14ac:dyDescent="0.35">
      <c r="A36" s="137"/>
      <c r="B36" s="110"/>
      <c r="C36" s="198"/>
      <c r="D36" s="233"/>
      <c r="E36" s="138"/>
      <c r="F36" s="198"/>
      <c r="G36" s="198"/>
      <c r="H36" s="233"/>
      <c r="I36" s="138"/>
      <c r="J36" s="196"/>
      <c r="K36" s="196"/>
      <c r="L36" s="231" t="str">
        <f t="shared" si="3"/>
        <v xml:space="preserve">    ---- </v>
      </c>
      <c r="M36" s="74"/>
    </row>
    <row r="37" spans="1:15" ht="20.399999999999999" x14ac:dyDescent="0.35">
      <c r="A37" s="137" t="s">
        <v>354</v>
      </c>
      <c r="B37" s="110"/>
      <c r="C37" s="198"/>
      <c r="D37" s="196"/>
      <c r="E37" s="138"/>
      <c r="F37" s="198"/>
      <c r="G37" s="198"/>
      <c r="H37" s="233"/>
      <c r="I37" s="138"/>
      <c r="J37" s="196"/>
      <c r="K37" s="196"/>
      <c r="L37" s="231"/>
      <c r="M37" s="74"/>
    </row>
    <row r="38" spans="1:15" s="135" customFormat="1" ht="18" x14ac:dyDescent="0.35">
      <c r="A38" s="137" t="s">
        <v>111</v>
      </c>
      <c r="B38" s="110">
        <f>'Skjema total MA'!B53</f>
        <v>155462.67000000001</v>
      </c>
      <c r="C38" s="110">
        <f>'Skjema total MA'!C53</f>
        <v>257727.98700000002</v>
      </c>
      <c r="D38" s="233">
        <f t="shared" si="5"/>
        <v>65.8</v>
      </c>
      <c r="E38" s="138"/>
      <c r="F38" s="198"/>
      <c r="G38" s="198"/>
      <c r="H38" s="233"/>
      <c r="I38" s="138"/>
      <c r="J38" s="198">
        <f t="shared" si="0"/>
        <v>155462.67000000001</v>
      </c>
      <c r="K38" s="198">
        <f t="shared" si="0"/>
        <v>257727.98700000002</v>
      </c>
      <c r="L38" s="231">
        <f t="shared" si="3"/>
        <v>65.8</v>
      </c>
      <c r="M38" s="75"/>
    </row>
    <row r="39" spans="1:15" ht="18" x14ac:dyDescent="0.35">
      <c r="A39" s="137"/>
      <c r="B39" s="110"/>
      <c r="C39" s="198"/>
      <c r="D39" s="196"/>
      <c r="E39" s="138"/>
      <c r="F39" s="198"/>
      <c r="G39" s="198"/>
      <c r="H39" s="233"/>
      <c r="I39" s="138"/>
      <c r="J39" s="196"/>
      <c r="K39" s="196"/>
      <c r="L39" s="231"/>
      <c r="M39" s="74"/>
    </row>
    <row r="40" spans="1:15" ht="20.399999999999999" x14ac:dyDescent="0.35">
      <c r="A40" s="192" t="s">
        <v>355</v>
      </c>
      <c r="B40" s="200"/>
      <c r="C40" s="203"/>
      <c r="D40" s="196"/>
      <c r="E40" s="182"/>
      <c r="F40" s="196"/>
      <c r="G40" s="196"/>
      <c r="H40" s="233"/>
      <c r="I40" s="182"/>
      <c r="J40" s="196"/>
      <c r="K40" s="196"/>
      <c r="L40" s="231"/>
      <c r="M40" s="74"/>
    </row>
    <row r="41" spans="1:15" ht="18" x14ac:dyDescent="0.35">
      <c r="A41" s="193" t="s">
        <v>109</v>
      </c>
      <c r="B41" s="104">
        <f>'Skjema total MA'!B12</f>
        <v>2399</v>
      </c>
      <c r="C41" s="104">
        <f>'Skjema total MA'!C12</f>
        <v>6715.5570900000002</v>
      </c>
      <c r="D41" s="233">
        <f>IF(B41=0, "    ---- ", IF(ABS(ROUND(100/B41*C41-100,1))&lt;999,ROUND(100/B41*C41-100,1),IF(ROUND(100/B41*C41-100,1)&gt;999,999,-999)))</f>
        <v>179.9</v>
      </c>
      <c r="E41" s="182"/>
      <c r="F41" s="196">
        <f>'Skjema total MA'!E12</f>
        <v>196657.65009000001</v>
      </c>
      <c r="G41" s="196">
        <f>'Skjema total MA'!F12</f>
        <v>146478.01957</v>
      </c>
      <c r="H41" s="233">
        <f t="shared" si="2"/>
        <v>-25.5</v>
      </c>
      <c r="I41" s="182"/>
      <c r="J41" s="196">
        <f t="shared" si="0"/>
        <v>199056.65009000001</v>
      </c>
      <c r="K41" s="196">
        <f t="shared" si="0"/>
        <v>153193.57665999999</v>
      </c>
      <c r="L41" s="231">
        <f t="shared" si="3"/>
        <v>-23</v>
      </c>
      <c r="M41" s="74"/>
    </row>
    <row r="42" spans="1:15" ht="18" x14ac:dyDescent="0.35">
      <c r="A42" s="193" t="s">
        <v>110</v>
      </c>
      <c r="B42" s="104">
        <f>'Skjema total MA'!B35</f>
        <v>-77011.543429999991</v>
      </c>
      <c r="C42" s="104">
        <f>'Skjema total MA'!C35</f>
        <v>-73912.325530000002</v>
      </c>
      <c r="D42" s="233">
        <f t="shared" ref="D42:D46" si="6">IF(B42=0, "    ---- ", IF(ABS(ROUND(100/B42*C42-100,1))&lt;999,ROUND(100/B42*C42-100,1),IF(ROUND(100/B42*C42-100,1)&gt;999,999,-999)))</f>
        <v>-4</v>
      </c>
      <c r="E42" s="182"/>
      <c r="F42" s="196">
        <f>'Skjema total MA'!E35</f>
        <v>115743.15936000002</v>
      </c>
      <c r="G42" s="196">
        <f>'Skjema total MA'!F35</f>
        <v>129262.35492</v>
      </c>
      <c r="H42" s="233">
        <f t="shared" si="2"/>
        <v>11.7</v>
      </c>
      <c r="I42" s="182"/>
      <c r="J42" s="196">
        <f t="shared" si="0"/>
        <v>38731.615930000029</v>
      </c>
      <c r="K42" s="196">
        <f t="shared" si="0"/>
        <v>55350.029389999996</v>
      </c>
      <c r="L42" s="231">
        <f t="shared" si="3"/>
        <v>42.9</v>
      </c>
      <c r="M42" s="74"/>
    </row>
    <row r="43" spans="1:15" ht="18" x14ac:dyDescent="0.35">
      <c r="A43" s="193" t="s">
        <v>112</v>
      </c>
      <c r="B43" s="104">
        <f>'Skjema total MA'!B119</f>
        <v>735115.97393999994</v>
      </c>
      <c r="C43" s="104">
        <f>'Skjema total MA'!C119</f>
        <v>454027.20446000004</v>
      </c>
      <c r="D43" s="233">
        <f t="shared" si="6"/>
        <v>-38.200000000000003</v>
      </c>
      <c r="E43" s="182"/>
      <c r="F43" s="196">
        <f>'Skjema total MA'!E119</f>
        <v>14665945.305569999</v>
      </c>
      <c r="G43" s="196">
        <f>'Skjema total MA'!F119</f>
        <v>60821831.252059996</v>
      </c>
      <c r="H43" s="233">
        <f t="shared" si="2"/>
        <v>314.7</v>
      </c>
      <c r="I43" s="182"/>
      <c r="J43" s="196">
        <f t="shared" si="0"/>
        <v>15401061.279509999</v>
      </c>
      <c r="K43" s="196">
        <f t="shared" si="0"/>
        <v>61275858.456519999</v>
      </c>
      <c r="L43" s="231">
        <f t="shared" si="3"/>
        <v>297.89999999999998</v>
      </c>
      <c r="M43" s="74"/>
    </row>
    <row r="44" spans="1:15" ht="20.399999999999999" x14ac:dyDescent="0.35">
      <c r="A44" s="193" t="s">
        <v>351</v>
      </c>
      <c r="B44" s="104">
        <f>'Skjema total MA'!B137</f>
        <v>7708306.0199999996</v>
      </c>
      <c r="C44" s="104">
        <f>'Skjema total MA'!C137</f>
        <v>8346122.3590000002</v>
      </c>
      <c r="D44" s="233">
        <f t="shared" si="6"/>
        <v>8.3000000000000007</v>
      </c>
      <c r="E44" s="182"/>
      <c r="F44" s="196">
        <f>'Skjema total MA'!E137</f>
        <v>0</v>
      </c>
      <c r="G44" s="196">
        <f>'Skjema total MA'!F137</f>
        <v>0</v>
      </c>
      <c r="H44" s="233"/>
      <c r="I44" s="182"/>
      <c r="J44" s="196">
        <f t="shared" si="0"/>
        <v>7708306.0199999996</v>
      </c>
      <c r="K44" s="196">
        <f t="shared" si="0"/>
        <v>8346122.3590000002</v>
      </c>
      <c r="L44" s="231">
        <f t="shared" si="3"/>
        <v>8.3000000000000007</v>
      </c>
      <c r="M44" s="74"/>
    </row>
    <row r="45" spans="1:15" ht="18" x14ac:dyDescent="0.35">
      <c r="A45" s="193" t="s">
        <v>115</v>
      </c>
      <c r="B45" s="104">
        <f>'Skjema total MA'!B39</f>
        <v>17</v>
      </c>
      <c r="C45" s="104">
        <f>'Skjema total MA'!C39</f>
        <v>3</v>
      </c>
      <c r="D45" s="233">
        <f t="shared" si="6"/>
        <v>-82.4</v>
      </c>
      <c r="E45" s="182"/>
      <c r="F45" s="196"/>
      <c r="G45" s="104"/>
      <c r="H45" s="233"/>
      <c r="I45" s="182"/>
      <c r="J45" s="196">
        <f t="shared" si="0"/>
        <v>17</v>
      </c>
      <c r="K45" s="196">
        <f t="shared" si="0"/>
        <v>3</v>
      </c>
      <c r="L45" s="231">
        <f t="shared" si="3"/>
        <v>-82.4</v>
      </c>
      <c r="M45" s="74"/>
    </row>
    <row r="46" spans="1:15" s="135" customFormat="1" ht="18" x14ac:dyDescent="0.35">
      <c r="A46" s="137" t="s">
        <v>120</v>
      </c>
      <c r="B46" s="110">
        <f>SUM(B41:B45)</f>
        <v>8368826.4505099999</v>
      </c>
      <c r="C46" s="198">
        <f>SUM(C41:C45)</f>
        <v>8732955.795020001</v>
      </c>
      <c r="D46" s="233">
        <f t="shared" si="6"/>
        <v>4.4000000000000004</v>
      </c>
      <c r="E46" s="138"/>
      <c r="F46" s="198">
        <f>SUM(F41:F45)</f>
        <v>14978346.115019999</v>
      </c>
      <c r="G46" s="277">
        <f>SUM(G41:G45)</f>
        <v>61097571.626549996</v>
      </c>
      <c r="H46" s="233">
        <f t="shared" si="2"/>
        <v>307.89999999999998</v>
      </c>
      <c r="I46" s="138"/>
      <c r="J46" s="198">
        <f t="shared" si="0"/>
        <v>23347172.565529998</v>
      </c>
      <c r="K46" s="198">
        <f t="shared" si="0"/>
        <v>69830527.421570003</v>
      </c>
      <c r="L46" s="231">
        <f t="shared" si="3"/>
        <v>199.1</v>
      </c>
      <c r="M46" s="75"/>
      <c r="N46" s="134"/>
      <c r="O46" s="134"/>
    </row>
    <row r="47" spans="1:15" ht="18" x14ac:dyDescent="0.35">
      <c r="A47" s="137"/>
      <c r="B47" s="110"/>
      <c r="C47" s="198"/>
      <c r="D47" s="196"/>
      <c r="E47" s="138"/>
      <c r="F47" s="198"/>
      <c r="G47" s="198"/>
      <c r="H47" s="233"/>
      <c r="I47" s="138"/>
      <c r="J47" s="196"/>
      <c r="K47" s="196"/>
      <c r="L47" s="231"/>
      <c r="M47" s="74"/>
    </row>
    <row r="48" spans="1:15" ht="20.399999999999999" x14ac:dyDescent="0.35">
      <c r="A48" s="137" t="s">
        <v>356</v>
      </c>
      <c r="B48" s="110"/>
      <c r="C48" s="198"/>
      <c r="D48" s="196"/>
      <c r="E48" s="138"/>
      <c r="F48" s="198"/>
      <c r="G48" s="198"/>
      <c r="H48" s="233"/>
      <c r="I48" s="138"/>
      <c r="J48" s="196"/>
      <c r="K48" s="196"/>
      <c r="L48" s="231"/>
      <c r="M48" s="74"/>
    </row>
    <row r="49" spans="1:15" s="135" customFormat="1" ht="18" x14ac:dyDescent="0.35">
      <c r="A49" s="137" t="s">
        <v>111</v>
      </c>
      <c r="B49" s="110">
        <f>'Skjema total MA'!B56</f>
        <v>118718.458</v>
      </c>
      <c r="C49" s="110">
        <f>'Skjema total MA'!C56</f>
        <v>121085.53399999999</v>
      </c>
      <c r="D49" s="233">
        <f t="shared" ref="D49" si="7">IF(B49=0, "    ---- ", IF(ABS(ROUND(100/B49*C49-100,1))&lt;999,ROUND(100/B49*C49-100,1),IF(ROUND(100/B49*C49-100,1)&gt;999,999,-999)))</f>
        <v>2</v>
      </c>
      <c r="E49" s="138"/>
      <c r="F49" s="198"/>
      <c r="G49" s="198"/>
      <c r="H49" s="233"/>
      <c r="I49" s="138"/>
      <c r="J49" s="198">
        <f>SUM(B49+F49)</f>
        <v>118718.458</v>
      </c>
      <c r="K49" s="198">
        <f>SUM(C49+G49)</f>
        <v>121085.53399999999</v>
      </c>
      <c r="L49" s="231">
        <f t="shared" si="3"/>
        <v>2</v>
      </c>
      <c r="M49" s="75"/>
    </row>
    <row r="50" spans="1:15" ht="18" x14ac:dyDescent="0.35">
      <c r="A50" s="137"/>
      <c r="B50" s="104"/>
      <c r="C50" s="196"/>
      <c r="D50" s="196"/>
      <c r="E50" s="182"/>
      <c r="F50" s="196"/>
      <c r="G50" s="196"/>
      <c r="H50" s="233"/>
      <c r="I50" s="182"/>
      <c r="J50" s="196"/>
      <c r="K50" s="196"/>
      <c r="L50" s="231"/>
      <c r="M50" s="74"/>
    </row>
    <row r="51" spans="1:15" ht="21" x14ac:dyDescent="0.35">
      <c r="A51" s="192" t="s">
        <v>357</v>
      </c>
      <c r="B51" s="104"/>
      <c r="C51" s="196"/>
      <c r="D51" s="196"/>
      <c r="E51" s="182"/>
      <c r="F51" s="196"/>
      <c r="G51" s="196"/>
      <c r="H51" s="233"/>
      <c r="I51" s="182"/>
      <c r="J51" s="196"/>
      <c r="K51" s="196"/>
      <c r="L51" s="231"/>
      <c r="M51" s="74"/>
    </row>
    <row r="52" spans="1:15" ht="18" x14ac:dyDescent="0.35">
      <c r="A52" s="193" t="s">
        <v>109</v>
      </c>
      <c r="B52" s="104">
        <f>B30-B41</f>
        <v>27578</v>
      </c>
      <c r="C52" s="196">
        <f>C30-C41</f>
        <v>35466.337909999995</v>
      </c>
      <c r="D52" s="233">
        <f>IF(B52=0, "    ---- ", IF(ABS(ROUND(100/B52*C52-100,1))&lt;999,ROUND(100/B52*C52-100,1),IF(ROUND(100/B52*C52-100,1)&gt;999,999,-999)))</f>
        <v>28.6</v>
      </c>
      <c r="E52" s="182"/>
      <c r="F52" s="196">
        <f>F30-F41</f>
        <v>62420.860279999964</v>
      </c>
      <c r="G52" s="196">
        <f>G30-G41</f>
        <v>198818.65823</v>
      </c>
      <c r="H52" s="233">
        <f t="shared" si="2"/>
        <v>218.5</v>
      </c>
      <c r="I52" s="182"/>
      <c r="J52" s="196">
        <f t="shared" si="0"/>
        <v>89998.860279999964</v>
      </c>
      <c r="K52" s="196">
        <f t="shared" si="0"/>
        <v>234284.99614</v>
      </c>
      <c r="L52" s="231">
        <f t="shared" si="3"/>
        <v>160.30000000000001</v>
      </c>
      <c r="M52" s="74"/>
    </row>
    <row r="53" spans="1:15" ht="18" x14ac:dyDescent="0.35">
      <c r="A53" s="193" t="s">
        <v>110</v>
      </c>
      <c r="B53" s="104">
        <f t="shared" ref="B53:C56" si="8">B31-B42</f>
        <v>91233.621429999999</v>
      </c>
      <c r="C53" s="196">
        <f t="shared" si="8"/>
        <v>85042.934399999998</v>
      </c>
      <c r="D53" s="233">
        <f t="shared" ref="D53:D60" si="9">IF(B53=0, "    ---- ", IF(ABS(ROUND(100/B53*C53-100,1))&lt;999,ROUND(100/B53*C53-100,1),IF(ROUND(100/B53*C53-100,1)&gt;999,999,-999)))</f>
        <v>-6.8</v>
      </c>
      <c r="E53" s="182"/>
      <c r="F53" s="196">
        <f t="shared" ref="F53:G56" si="10">F31-F42</f>
        <v>-104855.08791000002</v>
      </c>
      <c r="G53" s="196">
        <f t="shared" si="10"/>
        <v>-57401.236929999999</v>
      </c>
      <c r="H53" s="233">
        <f t="shared" si="2"/>
        <v>-45.3</v>
      </c>
      <c r="I53" s="182"/>
      <c r="J53" s="196">
        <f t="shared" si="0"/>
        <v>-13621.466480000017</v>
      </c>
      <c r="K53" s="196">
        <f t="shared" si="0"/>
        <v>27641.697469999999</v>
      </c>
      <c r="L53" s="231">
        <f t="shared" si="3"/>
        <v>-302.89999999999998</v>
      </c>
      <c r="M53" s="74"/>
    </row>
    <row r="54" spans="1:15" ht="18" x14ac:dyDescent="0.35">
      <c r="A54" s="193" t="s">
        <v>112</v>
      </c>
      <c r="B54" s="104">
        <f t="shared" si="8"/>
        <v>-70562.320079999976</v>
      </c>
      <c r="C54" s="196">
        <f t="shared" si="8"/>
        <v>5458.6567799999611</v>
      </c>
      <c r="D54" s="233">
        <f t="shared" si="9"/>
        <v>-107.7</v>
      </c>
      <c r="E54" s="182"/>
      <c r="F54" s="196">
        <f t="shared" si="10"/>
        <v>79130.034810002893</v>
      </c>
      <c r="G54" s="196">
        <f t="shared" si="10"/>
        <v>-7813220.1200800017</v>
      </c>
      <c r="H54" s="233">
        <f t="shared" si="2"/>
        <v>-999</v>
      </c>
      <c r="I54" s="182"/>
      <c r="J54" s="196">
        <f t="shared" si="0"/>
        <v>8567.7147300029173</v>
      </c>
      <c r="K54" s="196">
        <f t="shared" si="0"/>
        <v>-7807761.4633000018</v>
      </c>
      <c r="L54" s="231">
        <f t="shared" si="3"/>
        <v>-999</v>
      </c>
      <c r="M54" s="74"/>
    </row>
    <row r="55" spans="1:15" ht="20.399999999999999" x14ac:dyDescent="0.35">
      <c r="A55" s="193" t="s">
        <v>351</v>
      </c>
      <c r="B55" s="104">
        <f t="shared" si="8"/>
        <v>-4399298.5969999991</v>
      </c>
      <c r="C55" s="196">
        <f t="shared" si="8"/>
        <v>-1945761.9450000003</v>
      </c>
      <c r="D55" s="233">
        <f t="shared" si="9"/>
        <v>-55.8</v>
      </c>
      <c r="E55" s="182"/>
      <c r="F55" s="196">
        <f t="shared" si="10"/>
        <v>-462823.85</v>
      </c>
      <c r="G55" s="196">
        <f t="shared" si="10"/>
        <v>0</v>
      </c>
      <c r="H55" s="233">
        <f t="shared" si="2"/>
        <v>-100</v>
      </c>
      <c r="I55" s="182"/>
      <c r="J55" s="196">
        <f t="shared" si="0"/>
        <v>-4862122.4469999988</v>
      </c>
      <c r="K55" s="196">
        <f t="shared" si="0"/>
        <v>-1945761.9450000003</v>
      </c>
      <c r="L55" s="231">
        <f t="shared" si="3"/>
        <v>-60</v>
      </c>
      <c r="M55" s="74"/>
    </row>
    <row r="56" spans="1:15" ht="18" x14ac:dyDescent="0.35">
      <c r="A56" s="193" t="s">
        <v>115</v>
      </c>
      <c r="B56" s="104">
        <f t="shared" si="8"/>
        <v>-17</v>
      </c>
      <c r="C56" s="196">
        <f t="shared" si="8"/>
        <v>13997</v>
      </c>
      <c r="D56" s="233">
        <f t="shared" si="9"/>
        <v>-999</v>
      </c>
      <c r="E56" s="182"/>
      <c r="F56" s="196">
        <f t="shared" si="10"/>
        <v>0</v>
      </c>
      <c r="G56" s="196">
        <f t="shared" si="10"/>
        <v>0</v>
      </c>
      <c r="H56" s="233"/>
      <c r="I56" s="182"/>
      <c r="J56" s="196">
        <f t="shared" si="0"/>
        <v>-17</v>
      </c>
      <c r="K56" s="196">
        <f t="shared" si="0"/>
        <v>13997</v>
      </c>
      <c r="L56" s="231">
        <f t="shared" si="3"/>
        <v>-999</v>
      </c>
      <c r="M56" s="74"/>
    </row>
    <row r="57" spans="1:15" s="135" customFormat="1" ht="18" x14ac:dyDescent="0.35">
      <c r="A57" s="137" t="s">
        <v>121</v>
      </c>
      <c r="B57" s="110">
        <f>SUM(B52:B56)</f>
        <v>-4351066.2956499988</v>
      </c>
      <c r="C57" s="198">
        <f>SUM(C52:C56)</f>
        <v>-1805797.0159100003</v>
      </c>
      <c r="D57" s="233">
        <f>IF(B57=0, "    ---- ", IF(ABS(ROUND(100/B57*C57-100,1))&lt;999,ROUND(100/B57*C57-100,1),IF(ROUND(100/B57*C57-100,1)&gt;999,999,-999)))</f>
        <v>-58.5</v>
      </c>
      <c r="E57" s="138"/>
      <c r="F57" s="198">
        <f>SUM(F52:F56)</f>
        <v>-426128.04281999712</v>
      </c>
      <c r="G57" s="277">
        <f>SUM(G52:G56)</f>
        <v>-7671802.6987800021</v>
      </c>
      <c r="H57" s="233">
        <f t="shared" si="2"/>
        <v>999</v>
      </c>
      <c r="I57" s="138"/>
      <c r="J57" s="198">
        <f t="shared" si="0"/>
        <v>-4777194.3384699961</v>
      </c>
      <c r="K57" s="196">
        <f t="shared" si="0"/>
        <v>-9477599.7146900017</v>
      </c>
      <c r="L57" s="231">
        <f t="shared" si="3"/>
        <v>98.4</v>
      </c>
      <c r="M57" s="75"/>
      <c r="N57" s="134"/>
      <c r="O57" s="134"/>
    </row>
    <row r="58" spans="1:15" ht="18" x14ac:dyDescent="0.35">
      <c r="A58" s="137"/>
      <c r="B58" s="110"/>
      <c r="C58" s="198"/>
      <c r="D58" s="233"/>
      <c r="E58" s="138"/>
      <c r="F58" s="198"/>
      <c r="G58" s="198"/>
      <c r="H58" s="233"/>
      <c r="I58" s="138"/>
      <c r="J58" s="198"/>
      <c r="K58" s="196"/>
      <c r="L58" s="231"/>
      <c r="M58" s="74"/>
    </row>
    <row r="59" spans="1:15" ht="20.399999999999999" x14ac:dyDescent="0.35">
      <c r="A59" s="137" t="s">
        <v>358</v>
      </c>
      <c r="B59" s="110"/>
      <c r="C59" s="198"/>
      <c r="D59" s="233"/>
      <c r="E59" s="138"/>
      <c r="F59" s="198"/>
      <c r="G59" s="198"/>
      <c r="H59" s="233"/>
      <c r="I59" s="138"/>
      <c r="J59" s="198"/>
      <c r="K59" s="196"/>
      <c r="L59" s="231"/>
      <c r="M59" s="74"/>
    </row>
    <row r="60" spans="1:15" s="135" customFormat="1" ht="18" x14ac:dyDescent="0.35">
      <c r="A60" s="137" t="s">
        <v>111</v>
      </c>
      <c r="B60" s="110">
        <f>B38-B49</f>
        <v>36744.212000000014</v>
      </c>
      <c r="C60" s="198">
        <f>C38-C49</f>
        <v>136642.45300000004</v>
      </c>
      <c r="D60" s="233">
        <f t="shared" si="9"/>
        <v>271.89999999999998</v>
      </c>
      <c r="E60" s="138"/>
      <c r="F60" s="198">
        <f>F38-F49</f>
        <v>0</v>
      </c>
      <c r="G60" s="198">
        <f>G38-G49</f>
        <v>0</v>
      </c>
      <c r="H60" s="233"/>
      <c r="I60" s="138"/>
      <c r="J60" s="198">
        <f t="shared" si="0"/>
        <v>36744.212000000014</v>
      </c>
      <c r="K60" s="196">
        <f t="shared" si="0"/>
        <v>136642.45300000004</v>
      </c>
      <c r="L60" s="231">
        <f t="shared" si="3"/>
        <v>271.89999999999998</v>
      </c>
      <c r="M60" s="75"/>
    </row>
    <row r="61" spans="1:15" s="135" customFormat="1" ht="18" x14ac:dyDescent="0.35">
      <c r="A61" s="195"/>
      <c r="B61" s="115"/>
      <c r="C61" s="199"/>
      <c r="D61" s="204"/>
      <c r="E61" s="138"/>
      <c r="F61" s="199"/>
      <c r="G61" s="199"/>
      <c r="H61" s="204"/>
      <c r="I61" s="138"/>
      <c r="J61" s="204"/>
      <c r="K61" s="204"/>
      <c r="L61" s="204"/>
      <c r="M61" s="75"/>
    </row>
    <row r="62" spans="1:15" ht="18" x14ac:dyDescent="0.35">
      <c r="A62" s="112" t="s">
        <v>122</v>
      </c>
      <c r="C62" s="139"/>
      <c r="D62" s="139"/>
      <c r="E62" s="139"/>
      <c r="F62" s="139"/>
      <c r="G62" s="112"/>
      <c r="H62" s="74"/>
      <c r="I62" s="112"/>
      <c r="J62" s="112"/>
      <c r="K62" s="112"/>
      <c r="L62" s="74"/>
      <c r="M62" s="74"/>
    </row>
    <row r="63" spans="1:15" ht="18" x14ac:dyDescent="0.35">
      <c r="A63" s="112" t="s">
        <v>123</v>
      </c>
      <c r="C63" s="139"/>
      <c r="D63" s="139"/>
      <c r="E63" s="139"/>
      <c r="F63" s="139"/>
      <c r="G63" s="74"/>
      <c r="H63" s="74"/>
      <c r="I63" s="74"/>
      <c r="J63" s="74"/>
      <c r="K63" s="74"/>
      <c r="L63" s="74"/>
      <c r="M63" s="74"/>
    </row>
    <row r="64" spans="1:15" ht="18" x14ac:dyDescent="0.35">
      <c r="A64" s="112" t="s">
        <v>102</v>
      </c>
      <c r="B64" s="74"/>
      <c r="C64" s="74"/>
      <c r="D64" s="74"/>
      <c r="E64" s="74"/>
      <c r="F64" s="74"/>
      <c r="G64" s="74"/>
      <c r="H64" s="74"/>
      <c r="I64" s="74"/>
      <c r="J64" s="74"/>
      <c r="K64" s="74"/>
      <c r="L64" s="74"/>
      <c r="M64" s="74"/>
    </row>
    <row r="65" spans="1:13" ht="18" x14ac:dyDescent="0.35">
      <c r="A65" s="74"/>
      <c r="C65" s="74"/>
      <c r="D65" s="74"/>
      <c r="E65" s="74"/>
      <c r="F65" s="74"/>
      <c r="G65" s="74"/>
      <c r="H65" s="74"/>
      <c r="I65" s="74"/>
      <c r="J65" s="74"/>
      <c r="K65" s="74"/>
      <c r="L65" s="74"/>
      <c r="M65" s="74"/>
    </row>
    <row r="66" spans="1:13" ht="18" x14ac:dyDescent="0.35">
      <c r="A66" s="74"/>
      <c r="B66" s="74"/>
      <c r="C66" s="74"/>
      <c r="D66" s="74"/>
      <c r="E66" s="74"/>
      <c r="F66" s="74"/>
      <c r="G66" s="74"/>
      <c r="H66" s="74"/>
      <c r="I66" s="74"/>
      <c r="J66" s="74"/>
      <c r="K66" s="74"/>
      <c r="L66" s="74"/>
      <c r="M66" s="74"/>
    </row>
    <row r="67" spans="1:13" ht="18" x14ac:dyDescent="0.35">
      <c r="A67" s="74"/>
      <c r="B67" s="74"/>
      <c r="C67" s="74"/>
      <c r="D67" s="74"/>
      <c r="E67" s="74"/>
      <c r="F67" s="74"/>
      <c r="G67" s="74"/>
      <c r="H67" s="74"/>
      <c r="I67" s="74"/>
      <c r="J67" s="74"/>
      <c r="K67" s="74"/>
      <c r="L67" s="74"/>
      <c r="M67" s="74"/>
    </row>
    <row r="68" spans="1:13" ht="18" x14ac:dyDescent="0.35">
      <c r="A68" s="74"/>
      <c r="B68" s="74"/>
      <c r="C68" s="74"/>
      <c r="D68" s="74"/>
      <c r="E68" s="74"/>
      <c r="F68" s="74"/>
      <c r="G68" s="74"/>
      <c r="H68" s="74"/>
      <c r="I68" s="74"/>
      <c r="J68" s="74"/>
      <c r="K68" s="74"/>
      <c r="L68" s="74"/>
      <c r="M68" s="74"/>
    </row>
    <row r="69" spans="1:13" ht="18" x14ac:dyDescent="0.35">
      <c r="A69" s="74"/>
      <c r="B69" s="74"/>
      <c r="C69" s="74"/>
      <c r="D69" s="74"/>
      <c r="E69" s="74"/>
      <c r="F69" s="74"/>
      <c r="G69" s="74"/>
      <c r="H69" s="74"/>
      <c r="I69" s="74"/>
      <c r="J69" s="74"/>
      <c r="K69" s="74"/>
      <c r="L69" s="74"/>
      <c r="M69" s="74"/>
    </row>
    <row r="70" spans="1:13" ht="18" x14ac:dyDescent="0.35">
      <c r="A70" s="74"/>
      <c r="B70" s="74"/>
      <c r="C70" s="74"/>
      <c r="D70" s="74"/>
      <c r="E70" s="74"/>
      <c r="F70" s="74"/>
      <c r="G70" s="74"/>
      <c r="H70" s="74"/>
      <c r="I70" s="74"/>
      <c r="J70" s="74"/>
      <c r="K70" s="74"/>
      <c r="L70" s="74"/>
      <c r="M70" s="74"/>
    </row>
    <row r="71" spans="1:13" ht="18" x14ac:dyDescent="0.35">
      <c r="A71" s="74"/>
      <c r="B71" s="74"/>
      <c r="C71" s="74"/>
      <c r="D71" s="74"/>
      <c r="E71" s="74"/>
      <c r="F71" s="74"/>
      <c r="G71" s="74"/>
      <c r="H71" s="74"/>
      <c r="I71" s="74"/>
      <c r="J71" s="74"/>
      <c r="K71" s="74"/>
      <c r="L71" s="74"/>
      <c r="M71" s="74"/>
    </row>
    <row r="72" spans="1:13" ht="18" x14ac:dyDescent="0.35">
      <c r="A72" s="74"/>
      <c r="B72" s="74"/>
      <c r="C72" s="74"/>
      <c r="D72" s="74"/>
      <c r="E72" s="74"/>
      <c r="F72" s="74"/>
      <c r="G72" s="74"/>
      <c r="H72" s="74"/>
      <c r="I72" s="74"/>
      <c r="J72" s="74"/>
      <c r="K72" s="74"/>
      <c r="L72" s="74"/>
      <c r="M72" s="74"/>
    </row>
    <row r="73" spans="1:13" ht="18" x14ac:dyDescent="0.35">
      <c r="A73" s="74"/>
      <c r="B73" s="74"/>
      <c r="C73" s="74"/>
      <c r="D73" s="74"/>
      <c r="E73" s="74"/>
      <c r="F73" s="74"/>
      <c r="G73" s="74"/>
      <c r="H73" s="74"/>
      <c r="I73" s="74"/>
      <c r="J73" s="74"/>
      <c r="K73" s="74"/>
      <c r="L73" s="74"/>
      <c r="M73" s="74"/>
    </row>
    <row r="74" spans="1:13" ht="18" x14ac:dyDescent="0.35">
      <c r="A74" s="74"/>
      <c r="B74" s="74"/>
      <c r="C74" s="74"/>
      <c r="D74" s="74"/>
      <c r="E74" s="74"/>
      <c r="F74" s="74"/>
      <c r="G74" s="74"/>
      <c r="H74" s="74"/>
      <c r="I74" s="74"/>
      <c r="J74" s="74"/>
      <c r="K74" s="74"/>
      <c r="L74" s="74"/>
      <c r="M74" s="74"/>
    </row>
    <row r="75" spans="1:13" ht="18" x14ac:dyDescent="0.35">
      <c r="A75" s="74"/>
      <c r="B75" s="74"/>
      <c r="C75" s="74"/>
      <c r="D75" s="74"/>
      <c r="E75" s="74"/>
      <c r="F75" s="74"/>
      <c r="G75" s="74"/>
      <c r="H75" s="74"/>
      <c r="I75" s="74"/>
      <c r="J75" s="74"/>
      <c r="K75" s="74"/>
      <c r="L75" s="74"/>
      <c r="M75" s="74"/>
    </row>
    <row r="76" spans="1:13" ht="18" x14ac:dyDescent="0.35">
      <c r="A76" s="74"/>
      <c r="B76" s="74"/>
      <c r="C76" s="74"/>
      <c r="D76" s="74"/>
      <c r="E76" s="74"/>
      <c r="F76" s="74"/>
      <c r="G76" s="74"/>
      <c r="H76" s="74"/>
      <c r="I76" s="74"/>
      <c r="J76" s="74"/>
      <c r="K76" s="74"/>
      <c r="L76" s="74"/>
      <c r="M76" s="74"/>
    </row>
    <row r="77" spans="1:13" ht="18" x14ac:dyDescent="0.35">
      <c r="A77" s="74"/>
      <c r="B77" s="74"/>
      <c r="C77" s="74"/>
      <c r="D77" s="74"/>
      <c r="E77" s="74"/>
      <c r="F77" s="74"/>
      <c r="G77" s="74"/>
      <c r="H77" s="74"/>
      <c r="I77" s="74"/>
      <c r="J77" s="74"/>
      <c r="K77" s="74"/>
      <c r="L77" s="74"/>
      <c r="M77" s="74"/>
    </row>
    <row r="78" spans="1:13" ht="18" x14ac:dyDescent="0.35">
      <c r="A78" s="74"/>
      <c r="B78" s="74"/>
      <c r="C78" s="74"/>
      <c r="D78" s="74"/>
      <c r="E78" s="74"/>
      <c r="F78" s="74"/>
      <c r="G78" s="74"/>
      <c r="H78" s="74"/>
      <c r="I78" s="74"/>
      <c r="J78" s="74"/>
      <c r="K78" s="74"/>
      <c r="L78" s="74"/>
      <c r="M78" s="74"/>
    </row>
    <row r="79" spans="1:13" ht="18" x14ac:dyDescent="0.35">
      <c r="A79" s="74"/>
      <c r="B79" s="74"/>
      <c r="C79" s="74"/>
      <c r="D79" s="74"/>
      <c r="E79" s="74"/>
      <c r="F79" s="74"/>
      <c r="G79" s="74"/>
      <c r="H79" s="74"/>
      <c r="I79" s="74"/>
      <c r="J79" s="74"/>
      <c r="K79" s="74"/>
      <c r="L79" s="74"/>
      <c r="M79" s="74"/>
    </row>
    <row r="80" spans="1:13" ht="18" x14ac:dyDescent="0.35">
      <c r="A80" s="74"/>
      <c r="B80" s="74"/>
      <c r="C80" s="74"/>
      <c r="D80" s="74"/>
      <c r="E80" s="74"/>
      <c r="F80" s="74"/>
      <c r="G80" s="74"/>
      <c r="H80" s="74"/>
      <c r="I80" s="74"/>
      <c r="J80" s="74"/>
      <c r="K80" s="74"/>
      <c r="L80" s="74"/>
      <c r="M80" s="74"/>
    </row>
    <row r="81" spans="1:13" ht="18" x14ac:dyDescent="0.35">
      <c r="A81" s="74"/>
      <c r="B81" s="74"/>
      <c r="C81" s="74"/>
      <c r="D81" s="74"/>
      <c r="E81" s="74"/>
      <c r="F81" s="74"/>
      <c r="G81" s="74"/>
      <c r="H81" s="74"/>
      <c r="I81" s="74"/>
      <c r="J81" s="74"/>
      <c r="K81" s="74"/>
      <c r="L81" s="74"/>
      <c r="M81" s="74"/>
    </row>
    <row r="82" spans="1:13" ht="18" x14ac:dyDescent="0.35">
      <c r="A82" s="74"/>
      <c r="B82" s="74"/>
      <c r="C82" s="74"/>
      <c r="D82" s="74"/>
      <c r="E82" s="74"/>
      <c r="F82" s="74"/>
      <c r="G82" s="74"/>
      <c r="H82" s="74"/>
      <c r="I82" s="74"/>
      <c r="J82" s="74"/>
      <c r="K82" s="74"/>
      <c r="L82" s="74"/>
      <c r="M82" s="74"/>
    </row>
    <row r="83" spans="1:13" ht="18" x14ac:dyDescent="0.35">
      <c r="A83" s="74"/>
      <c r="B83" s="74"/>
      <c r="C83" s="74"/>
      <c r="D83" s="74"/>
      <c r="E83" s="74"/>
      <c r="F83" s="74"/>
      <c r="G83" s="74"/>
      <c r="H83" s="74"/>
      <c r="I83" s="74"/>
      <c r="J83" s="74"/>
      <c r="K83" s="74"/>
      <c r="L83" s="74"/>
      <c r="M83" s="74"/>
    </row>
    <row r="84" spans="1:13" ht="18" x14ac:dyDescent="0.35">
      <c r="A84" s="74"/>
      <c r="B84" s="74"/>
      <c r="C84" s="74"/>
      <c r="D84" s="74"/>
      <c r="E84" s="74"/>
      <c r="F84" s="74"/>
      <c r="G84" s="74"/>
      <c r="H84" s="74"/>
      <c r="I84" s="74"/>
      <c r="J84" s="74"/>
      <c r="K84" s="74"/>
      <c r="L84" s="74"/>
      <c r="M84" s="74"/>
    </row>
    <row r="85" spans="1:13" ht="18" x14ac:dyDescent="0.35">
      <c r="A85" s="74"/>
      <c r="B85" s="74"/>
      <c r="C85" s="74"/>
      <c r="D85" s="74"/>
      <c r="E85" s="74"/>
      <c r="F85" s="74"/>
      <c r="G85" s="74"/>
      <c r="H85" s="74"/>
      <c r="I85" s="74"/>
      <c r="J85" s="74"/>
      <c r="K85" s="74"/>
      <c r="L85" s="74"/>
      <c r="M85" s="74"/>
    </row>
    <row r="86" spans="1:13" ht="18" x14ac:dyDescent="0.35">
      <c r="A86" s="74"/>
      <c r="B86" s="74"/>
      <c r="C86" s="74"/>
      <c r="D86" s="74"/>
      <c r="E86" s="74"/>
      <c r="F86" s="74"/>
      <c r="G86" s="74"/>
      <c r="H86" s="74"/>
      <c r="I86" s="74"/>
      <c r="J86" s="74"/>
      <c r="K86" s="74"/>
      <c r="L86" s="74"/>
      <c r="M86" s="74"/>
    </row>
    <row r="87" spans="1:13" ht="18" x14ac:dyDescent="0.35">
      <c r="A87" s="74"/>
      <c r="B87" s="74"/>
      <c r="C87" s="74"/>
      <c r="D87" s="74"/>
      <c r="E87" s="74"/>
      <c r="F87" s="74"/>
      <c r="G87" s="74"/>
      <c r="H87" s="74"/>
      <c r="I87" s="74"/>
      <c r="J87" s="74"/>
      <c r="K87" s="74"/>
      <c r="L87" s="74"/>
      <c r="M87" s="74"/>
    </row>
    <row r="88" spans="1:13" ht="18" x14ac:dyDescent="0.35">
      <c r="A88" s="74"/>
      <c r="B88" s="74"/>
      <c r="C88" s="74"/>
      <c r="D88" s="74"/>
      <c r="E88" s="74"/>
      <c r="F88" s="74"/>
      <c r="G88" s="74"/>
      <c r="H88" s="74"/>
      <c r="I88" s="74"/>
      <c r="J88" s="74"/>
      <c r="K88" s="74"/>
      <c r="L88" s="74"/>
      <c r="M88" s="74"/>
    </row>
    <row r="89" spans="1:13" ht="18" x14ac:dyDescent="0.35">
      <c r="A89" s="74"/>
      <c r="B89" s="74"/>
      <c r="C89" s="74"/>
      <c r="D89" s="74"/>
      <c r="E89" s="74"/>
      <c r="F89" s="74"/>
      <c r="G89" s="74"/>
      <c r="H89" s="74"/>
      <c r="I89" s="74"/>
      <c r="J89" s="74"/>
      <c r="K89" s="74"/>
      <c r="L89" s="74"/>
      <c r="M89" s="74"/>
    </row>
    <row r="90" spans="1:13" ht="18" x14ac:dyDescent="0.35">
      <c r="A90" s="74"/>
      <c r="B90" s="74"/>
      <c r="C90" s="74"/>
      <c r="D90" s="74"/>
      <c r="E90" s="74"/>
      <c r="F90" s="74"/>
      <c r="G90" s="74"/>
      <c r="H90" s="74"/>
      <c r="I90" s="74"/>
      <c r="J90" s="74"/>
      <c r="K90" s="74"/>
      <c r="L90" s="74"/>
      <c r="M90" s="74"/>
    </row>
    <row r="91" spans="1:13" ht="18" x14ac:dyDescent="0.35">
      <c r="A91" s="74"/>
      <c r="B91" s="74"/>
      <c r="C91" s="74"/>
      <c r="D91" s="74"/>
      <c r="E91" s="74"/>
      <c r="F91" s="74"/>
      <c r="G91" s="74"/>
      <c r="H91" s="74"/>
      <c r="I91" s="74"/>
      <c r="J91" s="74"/>
      <c r="K91" s="74"/>
      <c r="L91" s="74"/>
      <c r="M91" s="74"/>
    </row>
    <row r="92" spans="1:13" ht="18" x14ac:dyDescent="0.35">
      <c r="A92" s="74"/>
      <c r="B92" s="74"/>
      <c r="C92" s="74"/>
      <c r="D92" s="74"/>
      <c r="E92" s="74"/>
      <c r="F92" s="74"/>
      <c r="G92" s="74"/>
      <c r="H92" s="74"/>
      <c r="I92" s="74"/>
      <c r="J92" s="74"/>
      <c r="K92" s="74"/>
      <c r="L92" s="74"/>
      <c r="M92" s="74"/>
    </row>
    <row r="93" spans="1:13" ht="18" x14ac:dyDescent="0.35">
      <c r="A93" s="74"/>
      <c r="B93" s="74"/>
      <c r="C93" s="74"/>
      <c r="D93" s="74"/>
      <c r="E93" s="74"/>
      <c r="F93" s="74"/>
      <c r="G93" s="74"/>
      <c r="H93" s="74"/>
      <c r="I93" s="74"/>
      <c r="J93" s="74"/>
      <c r="K93" s="74"/>
      <c r="L93" s="74"/>
      <c r="M93" s="74"/>
    </row>
    <row r="94" spans="1:13" ht="18" x14ac:dyDescent="0.35">
      <c r="A94" s="74"/>
      <c r="B94" s="74"/>
      <c r="C94" s="74"/>
      <c r="D94" s="74"/>
      <c r="E94" s="74"/>
      <c r="F94" s="74"/>
      <c r="G94" s="74"/>
      <c r="H94" s="74"/>
      <c r="I94" s="74"/>
      <c r="J94" s="74"/>
      <c r="K94" s="74"/>
      <c r="L94" s="74"/>
      <c r="M94" s="74"/>
    </row>
    <row r="95" spans="1:13" ht="18" x14ac:dyDescent="0.35">
      <c r="A95" s="74"/>
      <c r="B95" s="74"/>
      <c r="C95" s="74"/>
      <c r="D95" s="74"/>
      <c r="E95" s="74"/>
      <c r="F95" s="74"/>
      <c r="G95" s="74"/>
      <c r="H95" s="74"/>
      <c r="I95" s="74"/>
      <c r="J95" s="74"/>
      <c r="K95" s="74"/>
      <c r="L95" s="74"/>
      <c r="M95" s="74"/>
    </row>
    <row r="96" spans="1:13" ht="18" x14ac:dyDescent="0.35">
      <c r="A96" s="74"/>
      <c r="B96" s="74"/>
      <c r="C96" s="74"/>
      <c r="D96" s="74"/>
      <c r="E96" s="74"/>
      <c r="F96" s="74"/>
      <c r="G96" s="74"/>
      <c r="H96" s="74"/>
      <c r="I96" s="74"/>
      <c r="J96" s="74"/>
      <c r="K96" s="74"/>
      <c r="L96" s="74"/>
      <c r="M96" s="74"/>
    </row>
    <row r="97" spans="1:13" ht="18" x14ac:dyDescent="0.35">
      <c r="A97" s="74"/>
      <c r="B97" s="74"/>
      <c r="C97" s="74"/>
      <c r="D97" s="74"/>
      <c r="E97" s="74"/>
      <c r="F97" s="74"/>
      <c r="G97" s="74"/>
      <c r="H97" s="74"/>
      <c r="I97" s="74"/>
      <c r="J97" s="74"/>
      <c r="K97" s="74"/>
      <c r="L97" s="74"/>
      <c r="M97" s="74"/>
    </row>
    <row r="98" spans="1:13" ht="18" x14ac:dyDescent="0.35">
      <c r="A98" s="74"/>
      <c r="B98" s="74"/>
      <c r="C98" s="74"/>
      <c r="D98" s="74"/>
      <c r="E98" s="74"/>
      <c r="F98" s="74"/>
      <c r="G98" s="74"/>
      <c r="H98" s="74"/>
      <c r="I98" s="74"/>
      <c r="J98" s="74"/>
      <c r="K98" s="74"/>
      <c r="L98" s="74"/>
      <c r="M98" s="74"/>
    </row>
    <row r="99" spans="1:13" ht="18" x14ac:dyDescent="0.35">
      <c r="A99" s="74"/>
      <c r="B99" s="74"/>
      <c r="C99" s="74"/>
      <c r="D99" s="74"/>
      <c r="E99" s="74"/>
      <c r="F99" s="74"/>
      <c r="G99" s="74"/>
      <c r="H99" s="74"/>
      <c r="I99" s="74"/>
      <c r="J99" s="74"/>
      <c r="K99" s="74"/>
      <c r="L99" s="74"/>
      <c r="M99" s="74"/>
    </row>
    <row r="100" spans="1:13" ht="18" x14ac:dyDescent="0.35">
      <c r="A100" s="74"/>
      <c r="B100" s="74"/>
      <c r="C100" s="74"/>
      <c r="D100" s="74"/>
      <c r="E100" s="74"/>
      <c r="F100" s="74"/>
      <c r="G100" s="74"/>
      <c r="H100" s="74"/>
      <c r="I100" s="74"/>
      <c r="J100" s="74"/>
      <c r="K100" s="74"/>
      <c r="L100" s="74"/>
      <c r="M100" s="74"/>
    </row>
    <row r="101" spans="1:13" ht="18" x14ac:dyDescent="0.35">
      <c r="A101" s="74"/>
      <c r="B101" s="74"/>
      <c r="C101" s="74"/>
      <c r="D101" s="74"/>
      <c r="E101" s="74"/>
      <c r="F101" s="74"/>
      <c r="G101" s="74"/>
      <c r="H101" s="74"/>
      <c r="I101" s="74"/>
      <c r="J101" s="74"/>
      <c r="K101" s="74"/>
      <c r="L101" s="74"/>
      <c r="M101" s="74"/>
    </row>
    <row r="102" spans="1:13" ht="18" x14ac:dyDescent="0.35">
      <c r="A102" s="74"/>
      <c r="B102" s="74"/>
      <c r="C102" s="74"/>
      <c r="D102" s="74"/>
      <c r="E102" s="74"/>
      <c r="F102" s="74"/>
      <c r="G102" s="74"/>
      <c r="H102" s="74"/>
      <c r="I102" s="74"/>
      <c r="J102" s="74"/>
      <c r="K102" s="74"/>
      <c r="L102" s="74"/>
      <c r="M102" s="74"/>
    </row>
    <row r="103" spans="1:13" ht="18" x14ac:dyDescent="0.35">
      <c r="A103" s="74"/>
      <c r="B103" s="74"/>
      <c r="C103" s="74"/>
      <c r="D103" s="74"/>
      <c r="E103" s="74"/>
      <c r="F103" s="74"/>
      <c r="G103" s="74"/>
      <c r="H103" s="74"/>
      <c r="I103" s="74"/>
      <c r="J103" s="74"/>
      <c r="K103" s="74"/>
      <c r="L103" s="74"/>
      <c r="M103" s="74"/>
    </row>
    <row r="104" spans="1:13" ht="18" x14ac:dyDescent="0.35">
      <c r="A104" s="74"/>
      <c r="B104" s="74"/>
      <c r="C104" s="74"/>
      <c r="D104" s="74"/>
      <c r="E104" s="74"/>
      <c r="F104" s="74"/>
      <c r="G104" s="74"/>
      <c r="H104" s="74"/>
      <c r="I104" s="74"/>
      <c r="J104" s="74"/>
      <c r="K104" s="74"/>
      <c r="L104" s="74"/>
      <c r="M104" s="74"/>
    </row>
    <row r="105" spans="1:13" ht="18" x14ac:dyDescent="0.35">
      <c r="A105" s="74"/>
      <c r="B105" s="74"/>
      <c r="C105" s="74"/>
      <c r="D105" s="74"/>
      <c r="E105" s="74"/>
      <c r="F105" s="74"/>
      <c r="G105" s="74"/>
      <c r="H105" s="74"/>
      <c r="I105" s="74"/>
      <c r="J105" s="74"/>
      <c r="K105" s="74"/>
      <c r="L105" s="74"/>
      <c r="M105" s="74"/>
    </row>
    <row r="106" spans="1:13" ht="18" x14ac:dyDescent="0.35">
      <c r="A106" s="74"/>
      <c r="B106" s="74"/>
      <c r="C106" s="74"/>
      <c r="D106" s="74"/>
      <c r="E106" s="74"/>
      <c r="F106" s="74"/>
      <c r="G106" s="74"/>
      <c r="H106" s="74"/>
      <c r="I106" s="74"/>
      <c r="J106" s="74"/>
      <c r="K106" s="74"/>
      <c r="L106" s="74"/>
      <c r="M106" s="74"/>
    </row>
    <row r="107" spans="1:13" ht="18" x14ac:dyDescent="0.35">
      <c r="A107" s="74"/>
      <c r="B107" s="74"/>
      <c r="C107" s="74"/>
      <c r="D107" s="74"/>
      <c r="E107" s="74"/>
      <c r="F107" s="74"/>
      <c r="G107" s="74"/>
      <c r="H107" s="74"/>
      <c r="I107" s="74"/>
      <c r="J107" s="74"/>
      <c r="K107" s="74"/>
      <c r="L107" s="74"/>
      <c r="M107" s="74"/>
    </row>
    <row r="108" spans="1:13" ht="18" x14ac:dyDescent="0.35">
      <c r="A108" s="74"/>
      <c r="B108" s="74"/>
      <c r="C108" s="74"/>
      <c r="D108" s="74"/>
      <c r="E108" s="74"/>
      <c r="F108" s="74"/>
      <c r="G108" s="74"/>
      <c r="H108" s="74"/>
      <c r="I108" s="74"/>
      <c r="J108" s="74"/>
      <c r="K108" s="74"/>
      <c r="L108" s="74"/>
      <c r="M108" s="74"/>
    </row>
    <row r="109" spans="1:13" ht="18" x14ac:dyDescent="0.35">
      <c r="A109" s="74"/>
      <c r="B109" s="74"/>
      <c r="C109" s="74"/>
      <c r="D109" s="74"/>
      <c r="E109" s="74"/>
      <c r="F109" s="74"/>
      <c r="G109" s="74"/>
      <c r="H109" s="74"/>
      <c r="I109" s="74"/>
      <c r="J109" s="74"/>
      <c r="K109" s="74"/>
      <c r="L109" s="74"/>
      <c r="M109" s="74"/>
    </row>
    <row r="110" spans="1:13" ht="18" x14ac:dyDescent="0.35">
      <c r="A110" s="74"/>
      <c r="B110" s="74"/>
      <c r="C110" s="74"/>
      <c r="D110" s="74"/>
      <c r="E110" s="74"/>
      <c r="F110" s="74"/>
      <c r="G110" s="74"/>
      <c r="H110" s="74"/>
      <c r="I110" s="74"/>
      <c r="J110" s="74"/>
      <c r="K110" s="74"/>
      <c r="L110" s="74"/>
      <c r="M110" s="74"/>
    </row>
    <row r="111" spans="1:13" ht="18" x14ac:dyDescent="0.35">
      <c r="A111" s="74"/>
      <c r="B111" s="74"/>
      <c r="C111" s="74"/>
      <c r="D111" s="74"/>
      <c r="E111" s="74"/>
      <c r="F111" s="74"/>
      <c r="G111" s="74"/>
      <c r="H111" s="74"/>
      <c r="I111" s="74"/>
      <c r="J111" s="74"/>
      <c r="K111" s="74"/>
      <c r="L111" s="74"/>
      <c r="M111" s="74"/>
    </row>
    <row r="112" spans="1:13" ht="18" x14ac:dyDescent="0.35">
      <c r="A112" s="74"/>
      <c r="B112" s="74"/>
      <c r="C112" s="74"/>
      <c r="D112" s="74"/>
      <c r="E112" s="74"/>
      <c r="F112" s="74"/>
      <c r="G112" s="74"/>
      <c r="H112" s="74"/>
      <c r="I112" s="74"/>
      <c r="J112" s="74"/>
      <c r="K112" s="74"/>
      <c r="L112" s="74"/>
      <c r="M112" s="74"/>
    </row>
    <row r="113" spans="1:13" ht="18" x14ac:dyDescent="0.35">
      <c r="A113" s="74"/>
      <c r="B113" s="74"/>
      <c r="C113" s="74"/>
      <c r="D113" s="74"/>
      <c r="E113" s="74"/>
      <c r="F113" s="74"/>
      <c r="G113" s="74"/>
      <c r="H113" s="74"/>
      <c r="I113" s="74"/>
      <c r="J113" s="74"/>
      <c r="K113" s="74"/>
      <c r="L113" s="74"/>
      <c r="M113" s="74"/>
    </row>
    <row r="114" spans="1:13" ht="18" x14ac:dyDescent="0.35">
      <c r="A114" s="74"/>
      <c r="B114" s="74"/>
      <c r="C114" s="74"/>
      <c r="D114" s="74"/>
      <c r="E114" s="74"/>
      <c r="F114" s="74"/>
      <c r="G114" s="74"/>
      <c r="H114" s="74"/>
      <c r="I114" s="74"/>
      <c r="J114" s="74"/>
      <c r="K114" s="74"/>
      <c r="L114" s="74"/>
      <c r="M114" s="74"/>
    </row>
    <row r="115" spans="1:13" ht="18" x14ac:dyDescent="0.35">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70" zoomScaleNormal="70" workbookViewId="0">
      <pane xSplit="1" ySplit="7" topLeftCell="B8" activePane="bottomRight" state="frozen"/>
      <selection activeCell="B33" sqref="B33"/>
      <selection pane="topRight" activeCell="B33" sqref="B33"/>
      <selection pane="bottomLeft" activeCell="B33" sqref="B33"/>
      <selection pane="bottomRight" activeCell="A3" sqref="A3"/>
    </sheetView>
  </sheetViews>
  <sheetFormatPr baseColWidth="10" defaultColWidth="11.44140625" defaultRowHeight="17.399999999999999" x14ac:dyDescent="0.3"/>
  <cols>
    <col min="1" max="1" width="35.6640625" style="81" customWidth="1"/>
    <col min="2" max="2" width="18.33203125" style="81" customWidth="1"/>
    <col min="3" max="3" width="17.6640625" style="81" customWidth="1"/>
    <col min="4" max="4" width="11.6640625" style="81" customWidth="1"/>
    <col min="5" max="5" width="4.6640625" style="81" customWidth="1"/>
    <col min="6" max="7" width="13" style="81" customWidth="1"/>
    <col min="8" max="8" width="11.6640625" style="81" customWidth="1"/>
    <col min="9" max="9" width="12.44140625" style="81" customWidth="1"/>
    <col min="10" max="10" width="11.44140625" style="81"/>
    <col min="11" max="12" width="17.33203125" style="81" bestFit="1" customWidth="1"/>
    <col min="13" max="16384" width="11.44140625" style="81"/>
  </cols>
  <sheetData>
    <row r="1" spans="1:10" ht="18.75" customHeight="1" x14ac:dyDescent="0.35">
      <c r="A1" s="80" t="s">
        <v>77</v>
      </c>
      <c r="B1" s="73" t="s">
        <v>52</v>
      </c>
      <c r="C1" s="80"/>
      <c r="D1" s="80"/>
      <c r="E1" s="80"/>
      <c r="F1" s="74"/>
      <c r="G1" s="74"/>
      <c r="H1" s="74"/>
      <c r="I1" s="74"/>
      <c r="J1" s="74"/>
    </row>
    <row r="2" spans="1:10" ht="20.100000000000001" customHeight="1" x14ac:dyDescent="0.35">
      <c r="A2" s="80" t="s">
        <v>157</v>
      </c>
      <c r="B2" s="80"/>
      <c r="C2" s="80"/>
      <c r="D2" s="80"/>
      <c r="E2" s="80"/>
      <c r="F2" s="74"/>
      <c r="G2" s="74"/>
      <c r="H2" s="74"/>
      <c r="I2" s="74"/>
      <c r="J2" s="74"/>
    </row>
    <row r="3" spans="1:10" ht="20.100000000000001" customHeight="1" x14ac:dyDescent="0.35">
      <c r="A3" s="75"/>
      <c r="B3" s="75"/>
      <c r="C3" s="75"/>
      <c r="D3" s="75"/>
      <c r="E3" s="261"/>
      <c r="F3" s="74"/>
      <c r="G3" s="74"/>
      <c r="H3" s="74"/>
      <c r="I3" s="74"/>
      <c r="J3" s="74"/>
    </row>
    <row r="4" spans="1:10" ht="20.100000000000001" customHeight="1" x14ac:dyDescent="0.35">
      <c r="A4" s="262"/>
      <c r="B4" s="709" t="s">
        <v>158</v>
      </c>
      <c r="C4" s="709"/>
      <c r="D4" s="710"/>
      <c r="E4" s="89"/>
      <c r="F4" s="711" t="s">
        <v>158</v>
      </c>
      <c r="G4" s="709"/>
      <c r="H4" s="710"/>
      <c r="I4" s="74"/>
      <c r="J4" s="74"/>
    </row>
    <row r="5" spans="1:10" ht="18.75" customHeight="1" x14ac:dyDescent="0.35">
      <c r="A5" s="263" t="s">
        <v>426</v>
      </c>
      <c r="B5" s="712" t="s">
        <v>159</v>
      </c>
      <c r="C5" s="713"/>
      <c r="D5" s="714"/>
      <c r="E5" s="264"/>
      <c r="F5" s="715" t="s">
        <v>160</v>
      </c>
      <c r="G5" s="716"/>
      <c r="H5" s="717"/>
      <c r="I5" s="112"/>
      <c r="J5" s="74"/>
    </row>
    <row r="6" spans="1:10" ht="18.75" customHeight="1" x14ac:dyDescent="0.35">
      <c r="A6" s="122"/>
      <c r="B6" s="120"/>
      <c r="C6" s="192"/>
      <c r="D6" s="265" t="s">
        <v>81</v>
      </c>
      <c r="E6" s="265"/>
      <c r="F6" s="123"/>
      <c r="G6" s="124"/>
      <c r="H6" s="94" t="s">
        <v>81</v>
      </c>
      <c r="I6" s="100"/>
      <c r="J6" s="74"/>
    </row>
    <row r="7" spans="1:10" ht="18.75" customHeight="1" x14ac:dyDescent="0.35">
      <c r="A7" s="126"/>
      <c r="B7" s="97">
        <v>2020</v>
      </c>
      <c r="C7" s="97">
        <v>2021</v>
      </c>
      <c r="D7" s="266" t="s">
        <v>83</v>
      </c>
      <c r="E7" s="265"/>
      <c r="F7" s="97">
        <v>2020</v>
      </c>
      <c r="G7" s="127">
        <v>2021</v>
      </c>
      <c r="H7" s="267" t="s">
        <v>83</v>
      </c>
      <c r="I7" s="100"/>
      <c r="J7" s="74"/>
    </row>
    <row r="8" spans="1:10" ht="18.75" customHeight="1" x14ac:dyDescent="0.35">
      <c r="A8" s="101" t="s">
        <v>161</v>
      </c>
      <c r="B8" s="109">
        <f>SUM(B9:B14)</f>
        <v>163318.65380665002</v>
      </c>
      <c r="C8" s="109">
        <f>SUM(C9:C14)</f>
        <v>169355.97267145</v>
      </c>
      <c r="D8" s="268">
        <f t="shared" ref="D8:D38" si="0">IF(B8=0, "    ---- ", IF(ABS(ROUND(100/B8*C8-100,1))&lt;999,ROUND(100/B8*C8-100,1),IF(ROUND(100/B8*C8-100,1)&gt;999,999,-999)))</f>
        <v>3.7</v>
      </c>
      <c r="E8" s="269"/>
      <c r="F8" s="268">
        <f>SUM(F9:F14)</f>
        <v>99.999999999999986</v>
      </c>
      <c r="G8" s="268">
        <f>SUM(G9:G14)</f>
        <v>100</v>
      </c>
      <c r="H8" s="269">
        <f t="shared" ref="H8:H38" si="1">IF(F8=0, "    ---- ", IF(ABS(ROUND(100/F8*G8-100,1))&lt;999,ROUND(100/F8*G8-100,1),IF(ROUND(100/F8*G8-100,1)&gt;999,999,-999)))</f>
        <v>0</v>
      </c>
      <c r="I8" s="104"/>
      <c r="J8" s="74"/>
    </row>
    <row r="9" spans="1:10" ht="18.75" customHeight="1" x14ac:dyDescent="0.35">
      <c r="A9" s="86" t="s">
        <v>162</v>
      </c>
      <c r="B9" s="106">
        <f>'Tabell 6'!AO21</f>
        <v>3192.8705584499999</v>
      </c>
      <c r="C9" s="106">
        <f>'Tabell 6'!AP21</f>
        <v>4431.1117703099999</v>
      </c>
      <c r="D9" s="270">
        <f t="shared" si="0"/>
        <v>38.799999999999997</v>
      </c>
      <c r="E9" s="270"/>
      <c r="F9" s="270">
        <f>'Tabell 6'!AO21/'Tabell 6'!AO29*100</f>
        <v>1.9549944136999693</v>
      </c>
      <c r="G9" s="270">
        <f>'Tabell 6'!AP21/'Tabell 6'!AP29*100</f>
        <v>2.6164484785584396</v>
      </c>
      <c r="H9" s="271">
        <f t="shared" si="1"/>
        <v>33.799999999999997</v>
      </c>
      <c r="I9" s="104"/>
      <c r="J9" s="77"/>
    </row>
    <row r="10" spans="1:10" ht="18.75" customHeight="1" x14ac:dyDescent="0.35">
      <c r="A10" s="86" t="s">
        <v>163</v>
      </c>
      <c r="B10" s="105">
        <f>'Tabell 6'!AO18+'Tabell 6'!AO22</f>
        <v>75367.205253549997</v>
      </c>
      <c r="C10" s="105">
        <f>'Tabell 6'!AP18+'Tabell 6'!AP22</f>
        <v>80355.699827659992</v>
      </c>
      <c r="D10" s="270">
        <f t="shared" si="0"/>
        <v>6.6</v>
      </c>
      <c r="E10" s="270"/>
      <c r="F10" s="270">
        <f>('Tabell 6'!AO18+'Tabell 6'!AO22)/'Tabell 6'!AO29*100</f>
        <v>46.147334365599079</v>
      </c>
      <c r="G10" s="270">
        <f>('Tabell 6'!AP18+'Tabell 6'!AP22)/'Tabell 6'!AP29*100</f>
        <v>47.447809817460509</v>
      </c>
      <c r="H10" s="271">
        <f t="shared" si="1"/>
        <v>2.8</v>
      </c>
      <c r="I10" s="104"/>
      <c r="J10" s="74"/>
    </row>
    <row r="11" spans="1:10" ht="18.75" customHeight="1" x14ac:dyDescent="0.35">
      <c r="A11" s="86" t="s">
        <v>164</v>
      </c>
      <c r="B11" s="105">
        <f>'Tabell 6'!AO14</f>
        <v>971.16018874999997</v>
      </c>
      <c r="C11" s="105">
        <f>'Tabell 6'!AP14</f>
        <v>999.43668174999993</v>
      </c>
      <c r="D11" s="270">
        <f t="shared" si="0"/>
        <v>2.9</v>
      </c>
      <c r="E11" s="270"/>
      <c r="F11" s="270">
        <f>'Tabell 6'!AO14/'Tabell 6'!AO29*100</f>
        <v>0.59464131384510355</v>
      </c>
      <c r="G11" s="270">
        <f>'Tabell 6'!AP14/'Tabell 6'!AP29*100</f>
        <v>0.59013961302026452</v>
      </c>
      <c r="H11" s="271">
        <f t="shared" si="1"/>
        <v>-0.8</v>
      </c>
      <c r="I11" s="104"/>
      <c r="J11" s="74"/>
    </row>
    <row r="12" spans="1:10" ht="18.75" customHeight="1" x14ac:dyDescent="0.35">
      <c r="A12" s="108" t="s">
        <v>165</v>
      </c>
      <c r="B12" s="105">
        <f>'Tabell 6'!AO15</f>
        <v>25698.718763479999</v>
      </c>
      <c r="C12" s="105">
        <f>'Tabell 6'!AP15</f>
        <v>26025.336333860003</v>
      </c>
      <c r="D12" s="272">
        <f t="shared" si="0"/>
        <v>1.3</v>
      </c>
      <c r="E12" s="272"/>
      <c r="F12" s="270">
        <f>'Tabell 6'!AO15/'Tabell 6'!AO29*100</f>
        <v>15.735323653784365</v>
      </c>
      <c r="G12" s="270">
        <f>'Tabell 6'!AP15/'Tabell 6'!AP29*100</f>
        <v>15.367238558718602</v>
      </c>
      <c r="H12" s="271">
        <f t="shared" si="1"/>
        <v>-2.2999999999999998</v>
      </c>
      <c r="I12" s="104"/>
      <c r="J12" s="74"/>
    </row>
    <row r="13" spans="1:10" ht="18.75" customHeight="1" x14ac:dyDescent="0.35">
      <c r="A13" s="86" t="s">
        <v>166</v>
      </c>
      <c r="B13" s="105">
        <f>'Tabell 6'!AO19+'Tabell 6'!AO23</f>
        <v>30312.545136500001</v>
      </c>
      <c r="C13" s="105">
        <f>'Tabell 6'!AP19+'Tabell 6'!AP23</f>
        <v>32470.583421660001</v>
      </c>
      <c r="D13" s="270">
        <f t="shared" si="0"/>
        <v>7.1</v>
      </c>
      <c r="E13" s="270"/>
      <c r="F13" s="270">
        <f>('Tabell 6'!AO19+'Tabell 6'!AO23)/'Tabell 6'!AO29*100</f>
        <v>18.560369210724986</v>
      </c>
      <c r="G13" s="270">
        <f>('Tabell 6'!AP19+'Tabell 6'!AP23)/'Tabell 6'!AP29*100</f>
        <v>19.172978023428097</v>
      </c>
      <c r="H13" s="271">
        <f t="shared" si="1"/>
        <v>3.3</v>
      </c>
      <c r="I13" s="104"/>
      <c r="J13" s="74"/>
    </row>
    <row r="14" spans="1:10" ht="18.75" customHeight="1" x14ac:dyDescent="0.35">
      <c r="A14" s="86" t="s">
        <v>167</v>
      </c>
      <c r="B14" s="177">
        <f>'Tabell 6'!AO17-'Tabell 6'!AO18+'Tabell 6'!AO24+'Tabell 6'!AO25+'Tabell 6'!AO26+'Tabell 6'!AO28</f>
        <v>27776.15390592</v>
      </c>
      <c r="C14" s="177">
        <f>'Tabell 6'!AP17-'Tabell 6'!AP18+'Tabell 6'!AP24+'Tabell 6'!AP25+'Tabell 6'!AP26+'Tabell 6'!AP28</f>
        <v>25073.804636209999</v>
      </c>
      <c r="D14" s="270">
        <f t="shared" si="0"/>
        <v>-9.6999999999999993</v>
      </c>
      <c r="E14" s="270"/>
      <c r="F14" s="270">
        <f>('Tabell 6'!AO17-'Tabell 6'!AO18+'Tabell 6'!AO24+'Tabell 6'!AO25+'Tabell 6'!AO26+'Tabell 6'!AO28)/'Tabell 6'!AO29*100</f>
        <v>17.007337042346482</v>
      </c>
      <c r="G14" s="270">
        <f>('Tabell 6'!AP17-'Tabell 6'!AP18+'Tabell 6'!AP24+'Tabell 6'!AP25+'Tabell 6'!AP26+'Tabell 6'!AP28)/'Tabell 6'!AP29*100</f>
        <v>14.805385508814084</v>
      </c>
      <c r="H14" s="271">
        <f t="shared" si="1"/>
        <v>-12.9</v>
      </c>
      <c r="I14" s="104"/>
      <c r="J14" s="74"/>
    </row>
    <row r="15" spans="1:10" ht="18.75" customHeight="1" x14ac:dyDescent="0.35">
      <c r="A15" s="193"/>
      <c r="B15" s="103"/>
      <c r="C15" s="177"/>
      <c r="D15" s="271"/>
      <c r="E15" s="271"/>
      <c r="F15" s="271"/>
      <c r="G15" s="270"/>
      <c r="H15" s="271"/>
      <c r="I15" s="104"/>
      <c r="J15" s="74"/>
    </row>
    <row r="16" spans="1:10" s="135" customFormat="1" ht="18.75" customHeight="1" x14ac:dyDescent="0.3">
      <c r="A16" s="101" t="s">
        <v>168</v>
      </c>
      <c r="B16" s="109">
        <f>SUM(B17:B22)</f>
        <v>1168924.5381753899</v>
      </c>
      <c r="C16" s="109">
        <f>SUM(C17:C22)</f>
        <v>1261367.8977945899</v>
      </c>
      <c r="D16" s="268">
        <f t="shared" si="0"/>
        <v>7.9</v>
      </c>
      <c r="E16" s="268"/>
      <c r="F16" s="268">
        <f>SUM(F17:F22)</f>
        <v>100.00000000000001</v>
      </c>
      <c r="G16" s="268">
        <f>SUM(G17:G22)</f>
        <v>100</v>
      </c>
      <c r="H16" s="269">
        <f t="shared" si="1"/>
        <v>0</v>
      </c>
      <c r="I16" s="110"/>
      <c r="J16" s="75"/>
    </row>
    <row r="17" spans="1:10" ht="18.75" customHeight="1" x14ac:dyDescent="0.35">
      <c r="A17" s="86" t="s">
        <v>162</v>
      </c>
      <c r="B17" s="103">
        <f>'Tabell 6'!AO40</f>
        <v>187703.20311304997</v>
      </c>
      <c r="C17" s="103">
        <f>'Tabell 6'!AP40</f>
        <v>249305.21143892998</v>
      </c>
      <c r="D17" s="270">
        <f t="shared" si="0"/>
        <v>32.799999999999997</v>
      </c>
      <c r="E17" s="270"/>
      <c r="F17" s="270">
        <f>'Tabell 6'!AO40/('Tabell 6'!AO45+'Tabell 6'!AO46)*100</f>
        <v>16.057769084567397</v>
      </c>
      <c r="G17" s="270">
        <f>'Tabell 6'!AP40/('Tabell 6'!AP45+'Tabell 6'!AP46)*100</f>
        <v>19.764670709855704</v>
      </c>
      <c r="H17" s="271">
        <f t="shared" si="1"/>
        <v>23.1</v>
      </c>
      <c r="I17" s="104"/>
      <c r="J17" s="74"/>
    </row>
    <row r="18" spans="1:10" ht="18.75" customHeight="1" x14ac:dyDescent="0.35">
      <c r="A18" s="86" t="s">
        <v>163</v>
      </c>
      <c r="B18" s="103">
        <f>'Tabell 6'!AO37+'Tabell 6'!AO41</f>
        <v>358978.35608794005</v>
      </c>
      <c r="C18" s="103">
        <f>'Tabell 6'!AP37+'Tabell 6'!AP41</f>
        <v>345070.51432540006</v>
      </c>
      <c r="D18" s="270">
        <f t="shared" si="0"/>
        <v>-3.9</v>
      </c>
      <c r="E18" s="270"/>
      <c r="F18" s="270">
        <f>('Tabell 6'!AO37+'Tabell 6'!AO41)/('Tabell 6'!AO45+'Tabell 6'!AO46)*100</f>
        <v>30.7101394798573</v>
      </c>
      <c r="G18" s="270">
        <f>('Tabell 6'!AP37+'Tabell 6'!AP41)/('Tabell 6'!AP45+'Tabell 6'!AP46)*100</f>
        <v>27.356849252999915</v>
      </c>
      <c r="H18" s="271">
        <f t="shared" si="1"/>
        <v>-10.9</v>
      </c>
      <c r="I18" s="104"/>
      <c r="J18" s="74"/>
    </row>
    <row r="19" spans="1:10" ht="18.75" customHeight="1" x14ac:dyDescent="0.35">
      <c r="A19" s="86" t="s">
        <v>164</v>
      </c>
      <c r="B19" s="103">
        <f>'Tabell 6'!AO33</f>
        <v>22.242999999999999</v>
      </c>
      <c r="C19" s="103">
        <f>'Tabell 6'!AP33</f>
        <v>19.31040771</v>
      </c>
      <c r="D19" s="270">
        <f t="shared" si="0"/>
        <v>-13.2</v>
      </c>
      <c r="E19" s="270"/>
      <c r="F19" s="270">
        <f>'Tabell 6'!AO33/('Tabell 6'!AO45+'Tabell 6'!AO46)*100</f>
        <v>1.9028602166842846E-3</v>
      </c>
      <c r="G19" s="270">
        <f>'Tabell 6'!AP33/('Tabell 6'!AP45+'Tabell 6'!AP46)*100</f>
        <v>1.5309100337627779E-3</v>
      </c>
      <c r="H19" s="271">
        <f t="shared" si="1"/>
        <v>-19.5</v>
      </c>
      <c r="I19" s="104"/>
      <c r="J19" s="74"/>
    </row>
    <row r="20" spans="1:10" ht="18.75" customHeight="1" x14ac:dyDescent="0.35">
      <c r="A20" s="108" t="s">
        <v>165</v>
      </c>
      <c r="B20" s="105">
        <f>'Tabell 6'!AO34</f>
        <v>153813.04585432998</v>
      </c>
      <c r="C20" s="105">
        <f>'Tabell 6'!AP34</f>
        <v>169530.65160673001</v>
      </c>
      <c r="D20" s="272">
        <f t="shared" si="0"/>
        <v>10.199999999999999</v>
      </c>
      <c r="E20" s="272"/>
      <c r="F20" s="270">
        <f>'Tabell 6'!AO34/('Tabell 6'!AO45+'Tabell 6'!AO46)*100</f>
        <v>13.158509453007246</v>
      </c>
      <c r="G20" s="270">
        <f>'Tabell 6'!AP34/('Tabell 6'!AP45+'Tabell 6'!AP46)*100</f>
        <v>13.440222468253872</v>
      </c>
      <c r="H20" s="271">
        <f t="shared" si="1"/>
        <v>2.1</v>
      </c>
      <c r="I20" s="104"/>
      <c r="J20" s="74"/>
    </row>
    <row r="21" spans="1:10" ht="18.75" customHeight="1" x14ac:dyDescent="0.35">
      <c r="A21" s="86" t="s">
        <v>166</v>
      </c>
      <c r="B21" s="103">
        <f>'Tabell 6'!AO38+'Tabell 6'!AO42</f>
        <v>453414.06855780998</v>
      </c>
      <c r="C21" s="103">
        <f>'Tabell 6'!AP38+'Tabell 6'!AP42</f>
        <v>487743.13576488994</v>
      </c>
      <c r="D21" s="270">
        <f t="shared" si="0"/>
        <v>7.6</v>
      </c>
      <c r="E21" s="270"/>
      <c r="F21" s="270">
        <f>('Tabell 6'!AO38+'Tabell 6'!AO42)/('Tabell 6'!AO45+'Tabell 6'!AO46)*100</f>
        <v>38.788993964106346</v>
      </c>
      <c r="G21" s="270">
        <f>('Tabell 6'!AP38+'Tabell 6'!AP42)/('Tabell 6'!AP45+'Tabell 6'!AP46)*100</f>
        <v>38.667793640354517</v>
      </c>
      <c r="H21" s="271">
        <f t="shared" si="1"/>
        <v>-0.3</v>
      </c>
      <c r="I21" s="104"/>
      <c r="J21" s="74"/>
    </row>
    <row r="22" spans="1:10" ht="18.75" customHeight="1" x14ac:dyDescent="0.35">
      <c r="A22" s="193" t="s">
        <v>167</v>
      </c>
      <c r="B22" s="103">
        <f>'Tabell 6'!AO36-'Tabell 6'!AO37+'Tabell 6'!AO43+'Tabell 6'!AO44+'Tabell 6'!AO46</f>
        <v>14993.621562259999</v>
      </c>
      <c r="C22" s="103">
        <f>'Tabell 6'!AP36-'Tabell 6'!AP37+'Tabell 6'!AP43+'Tabell 6'!AP44+'Tabell 6'!AP46</f>
        <v>9699.0742509300071</v>
      </c>
      <c r="D22" s="270">
        <f t="shared" si="0"/>
        <v>-35.299999999999997</v>
      </c>
      <c r="E22" s="270"/>
      <c r="F22" s="271">
        <f>('Tabell 6'!AO36-'Tabell 6'!AO37+'Tabell 6'!AO43+'Tabell 6'!AO44+'Tabell 6'!AO46)/('Tabell 6'!AO45+'Tabell 6'!AO46)*100</f>
        <v>1.2826851582450312</v>
      </c>
      <c r="G22" s="271">
        <f>('Tabell 6'!AP36-'Tabell 6'!AP37+'Tabell 6'!AP43+'Tabell 6'!AP44+'Tabell 6'!AP46)/('Tabell 6'!AP45+'Tabell 6'!AP46)*100</f>
        <v>0.7689330185022254</v>
      </c>
      <c r="H22" s="271">
        <f t="shared" si="1"/>
        <v>-40.1</v>
      </c>
      <c r="I22" s="104"/>
      <c r="J22" s="74"/>
    </row>
    <row r="23" spans="1:10" ht="18.75" customHeight="1" x14ac:dyDescent="0.35">
      <c r="A23" s="86"/>
      <c r="B23" s="177"/>
      <c r="C23" s="177"/>
      <c r="D23" s="271"/>
      <c r="E23" s="270"/>
      <c r="F23" s="270"/>
      <c r="G23" s="271"/>
      <c r="H23" s="271"/>
      <c r="I23" s="182"/>
      <c r="J23" s="74"/>
    </row>
    <row r="24" spans="1:10" ht="18.75" customHeight="1" x14ac:dyDescent="0.35">
      <c r="A24" s="137" t="s">
        <v>169</v>
      </c>
      <c r="B24" s="109">
        <f>SUM(B25:B30)</f>
        <v>420059.15005186002</v>
      </c>
      <c r="C24" s="109">
        <f>SUM(C25:C30)</f>
        <v>526099.47819725098</v>
      </c>
      <c r="D24" s="268">
        <f t="shared" si="0"/>
        <v>25.2</v>
      </c>
      <c r="E24" s="268"/>
      <c r="F24" s="269">
        <f>SUM(F25:F30)</f>
        <v>100</v>
      </c>
      <c r="G24" s="269">
        <f>SUM(G25:G30)</f>
        <v>100.00000000000001</v>
      </c>
      <c r="H24" s="271">
        <f t="shared" si="1"/>
        <v>0</v>
      </c>
      <c r="I24" s="182"/>
      <c r="J24" s="74"/>
    </row>
    <row r="25" spans="1:10" ht="18.75" customHeight="1" x14ac:dyDescent="0.35">
      <c r="A25" s="193" t="s">
        <v>162</v>
      </c>
      <c r="B25" s="103">
        <f>'Tabell 6'!AO55</f>
        <v>262331.25985546998</v>
      </c>
      <c r="C25" s="103">
        <f>'Tabell 6'!AP55</f>
        <v>338626.53249259898</v>
      </c>
      <c r="D25" s="270">
        <f t="shared" si="0"/>
        <v>29.1</v>
      </c>
      <c r="E25" s="270"/>
      <c r="F25" s="270">
        <f>'Tabell 6'!AO55/('Tabell 6'!AO60+'Tabell 6'!AO61)*100</f>
        <v>62.451028580875544</v>
      </c>
      <c r="G25" s="270">
        <f>'Tabell 6'!AP55/('Tabell 6'!AP60+'Tabell 6'!AP61)*100</f>
        <v>64.36549484005333</v>
      </c>
      <c r="H25" s="271">
        <f t="shared" si="1"/>
        <v>3.1</v>
      </c>
      <c r="I25" s="182"/>
      <c r="J25" s="74"/>
    </row>
    <row r="26" spans="1:10" ht="18.75" customHeight="1" x14ac:dyDescent="0.35">
      <c r="A26" s="193" t="s">
        <v>163</v>
      </c>
      <c r="B26" s="103">
        <f>'Tabell 6'!AO52+'Tabell 6'!AO56</f>
        <v>145782.32385121999</v>
      </c>
      <c r="C26" s="103">
        <f>'Tabell 6'!AP52+'Tabell 6'!AP56</f>
        <v>168716.83322238098</v>
      </c>
      <c r="D26" s="270">
        <f t="shared" si="0"/>
        <v>15.7</v>
      </c>
      <c r="E26" s="270"/>
      <c r="F26" s="270">
        <f>('Tabell 6'!AO52+'Tabell 6'!AO56)/('Tabell 6'!AO60+'Tabell 6'!AO61)*100</f>
        <v>34.705189455633068</v>
      </c>
      <c r="G26" s="270">
        <f>('Tabell 6'!AP52+'Tabell 6'!AP56)/('Tabell 6'!AP60+'Tabell 6'!AP61)*100</f>
        <v>32.069378551849439</v>
      </c>
      <c r="H26" s="271">
        <f t="shared" si="1"/>
        <v>-7.6</v>
      </c>
      <c r="I26" s="182"/>
      <c r="J26" s="74"/>
    </row>
    <row r="27" spans="1:10" ht="18.75" customHeight="1" x14ac:dyDescent="0.35">
      <c r="A27" s="193" t="s">
        <v>164</v>
      </c>
      <c r="B27" s="103">
        <f>'Tabell 6'!AO48</f>
        <v>0</v>
      </c>
      <c r="C27" s="103">
        <f>'Tabell 6'!AP48</f>
        <v>0</v>
      </c>
      <c r="D27" s="270" t="str">
        <f t="shared" si="0"/>
        <v xml:space="preserve">    ---- </v>
      </c>
      <c r="E27" s="270"/>
      <c r="F27" s="270">
        <f>'Tabell 6'!AO48/('Tabell 6'!AO60+'Tabell 6'!AO61)*100</f>
        <v>0</v>
      </c>
      <c r="G27" s="270">
        <f>'Tabell 6'!AP48/('Tabell 6'!AP60+'Tabell 6'!AP61)*100</f>
        <v>0</v>
      </c>
      <c r="H27" s="271" t="str">
        <f t="shared" si="1"/>
        <v xml:space="preserve">    ---- </v>
      </c>
      <c r="I27" s="182"/>
      <c r="J27" s="74"/>
    </row>
    <row r="28" spans="1:10" ht="18.75" customHeight="1" x14ac:dyDescent="0.35">
      <c r="A28" s="108" t="s">
        <v>165</v>
      </c>
      <c r="B28" s="105">
        <f>'Tabell 6'!AO49</f>
        <v>7021.1791718799996</v>
      </c>
      <c r="C28" s="105">
        <f>'Tabell 6'!AP49</f>
        <v>12122.031364071001</v>
      </c>
      <c r="D28" s="272">
        <f t="shared" si="0"/>
        <v>72.599999999999994</v>
      </c>
      <c r="E28" s="272"/>
      <c r="F28" s="270">
        <f>'Tabell 6'!AO49/('Tabell 6'!AO60+'Tabell 6'!AO61)*100</f>
        <v>1.6714739271869627</v>
      </c>
      <c r="G28" s="270">
        <f>'Tabell 6'!AP49/('Tabell 6'!AP60+'Tabell 6'!AP61)*100</f>
        <v>2.3041329380536051</v>
      </c>
      <c r="H28" s="271">
        <f t="shared" si="1"/>
        <v>37.9</v>
      </c>
      <c r="I28" s="182"/>
      <c r="J28" s="74"/>
    </row>
    <row r="29" spans="1:10" ht="18.75" customHeight="1" x14ac:dyDescent="0.35">
      <c r="A29" s="193" t="s">
        <v>166</v>
      </c>
      <c r="B29" s="103">
        <f>'Tabell 6'!AO53+'Tabell 6'!AO57</f>
        <v>2664.4479874099998</v>
      </c>
      <c r="C29" s="103">
        <f>'Tabell 6'!AP53+'Tabell 6'!AP57</f>
        <v>3685.3546601399999</v>
      </c>
      <c r="D29" s="270">
        <f t="shared" si="0"/>
        <v>38.299999999999997</v>
      </c>
      <c r="E29" s="270"/>
      <c r="F29" s="270">
        <f>('Tabell 6'!AO53+'Tabell 6'!AO57)/('Tabell 6'!AO60+'Tabell 6'!AO61)*100</f>
        <v>0.63430304686400729</v>
      </c>
      <c r="G29" s="270">
        <f>('Tabell 6'!AP53+'Tabell 6'!AP57)/('Tabell 6'!AP60+'Tabell 6'!AP61)*100</f>
        <v>0.7005052870929187</v>
      </c>
      <c r="H29" s="271">
        <f t="shared" si="1"/>
        <v>10.4</v>
      </c>
      <c r="I29" s="182"/>
      <c r="J29" s="74"/>
    </row>
    <row r="30" spans="1:10" ht="18.75" customHeight="1" x14ac:dyDescent="0.35">
      <c r="A30" s="86" t="s">
        <v>167</v>
      </c>
      <c r="B30" s="103">
        <f>'Tabell 6'!AO51-'Tabell 6'!AO52+'Tabell 6'!AO58+'Tabell 6'!AO59+'Tabell 6'!AO61</f>
        <v>2259.93918588</v>
      </c>
      <c r="C30" s="103">
        <f>'Tabell 6'!AP51-'Tabell 6'!AP52+'Tabell 6'!AP58+'Tabell 6'!AP59+'Tabell 6'!AP61</f>
        <v>2948.7264580599999</v>
      </c>
      <c r="D30" s="271">
        <f t="shared" si="0"/>
        <v>30.5</v>
      </c>
      <c r="E30" s="271"/>
      <c r="F30" s="271">
        <f>('Tabell 6'!AO51-'Tabell 6'!AO52+'Tabell 6'!AO58+'Tabell 6'!AO59+'Tabell 6'!AO61)/('Tabell 6'!AO60+'Tabell 6'!AO61)*100</f>
        <v>0.53800498944041353</v>
      </c>
      <c r="G30" s="271">
        <f>('Tabell 6'!AP51-'Tabell 6'!AP52+'Tabell 6'!AP58+'Tabell 6'!AP59+'Tabell 6'!AP61)/('Tabell 6'!AP60+'Tabell 6'!AP61)*100</f>
        <v>0.56048838295073</v>
      </c>
      <c r="H30" s="271">
        <f t="shared" si="1"/>
        <v>4.2</v>
      </c>
      <c r="I30" s="182"/>
      <c r="J30" s="74"/>
    </row>
    <row r="31" spans="1:10" ht="18.75" customHeight="1" x14ac:dyDescent="0.35">
      <c r="A31" s="193"/>
      <c r="B31" s="177"/>
      <c r="C31" s="177"/>
      <c r="D31" s="270"/>
      <c r="E31" s="270"/>
      <c r="F31" s="270"/>
      <c r="G31" s="271"/>
      <c r="H31" s="271"/>
      <c r="I31" s="182"/>
      <c r="J31" s="74"/>
    </row>
    <row r="32" spans="1:10" ht="18.75" customHeight="1" x14ac:dyDescent="0.35">
      <c r="A32" s="137" t="s">
        <v>2</v>
      </c>
      <c r="B32" s="109">
        <f>SUM(B33:B38)</f>
        <v>1752302.3420338999</v>
      </c>
      <c r="C32" s="109">
        <f>SUM(C33:C38)</f>
        <v>1956823.3486632912</v>
      </c>
      <c r="D32" s="268">
        <f t="shared" si="0"/>
        <v>11.7</v>
      </c>
      <c r="E32" s="268"/>
      <c r="F32" s="268">
        <f>SUM(F33:F38)</f>
        <v>100</v>
      </c>
      <c r="G32" s="268">
        <f>SUM(G33:G38)</f>
        <v>99.999999999999986</v>
      </c>
      <c r="H32" s="269">
        <f t="shared" si="1"/>
        <v>0</v>
      </c>
      <c r="I32" s="182"/>
      <c r="J32" s="74"/>
    </row>
    <row r="33" spans="1:10" ht="18.75" customHeight="1" x14ac:dyDescent="0.35">
      <c r="A33" s="193" t="s">
        <v>162</v>
      </c>
      <c r="B33" s="103">
        <f t="shared" ref="B33:C38" si="2">B9+B17+B25</f>
        <v>453227.33352696995</v>
      </c>
      <c r="C33" s="103">
        <f t="shared" si="2"/>
        <v>592362.85570183897</v>
      </c>
      <c r="D33" s="270">
        <f t="shared" si="0"/>
        <v>30.7</v>
      </c>
      <c r="E33" s="270"/>
      <c r="F33" s="270">
        <f>B33/B32*100</f>
        <v>25.864676583203579</v>
      </c>
      <c r="G33" s="270">
        <f>C33/C32*100</f>
        <v>30.271657178788413</v>
      </c>
      <c r="H33" s="271">
        <f t="shared" si="1"/>
        <v>17</v>
      </c>
      <c r="I33" s="182"/>
      <c r="J33" s="74"/>
    </row>
    <row r="34" spans="1:10" ht="18.75" customHeight="1" x14ac:dyDescent="0.35">
      <c r="A34" s="193" t="s">
        <v>163</v>
      </c>
      <c r="B34" s="103">
        <f t="shared" si="2"/>
        <v>580127.88519270997</v>
      </c>
      <c r="C34" s="103">
        <f t="shared" si="2"/>
        <v>594143.04737544106</v>
      </c>
      <c r="D34" s="270">
        <f t="shared" si="0"/>
        <v>2.4</v>
      </c>
      <c r="E34" s="270"/>
      <c r="F34" s="270">
        <f>B34/B32*100</f>
        <v>33.106609018130669</v>
      </c>
      <c r="G34" s="270">
        <f>C34/C32*100</f>
        <v>30.362630729099845</v>
      </c>
      <c r="H34" s="271">
        <f t="shared" si="1"/>
        <v>-8.3000000000000007</v>
      </c>
      <c r="I34" s="182"/>
      <c r="J34" s="74"/>
    </row>
    <row r="35" spans="1:10" ht="18.75" customHeight="1" x14ac:dyDescent="0.35">
      <c r="A35" s="193" t="s">
        <v>164</v>
      </c>
      <c r="B35" s="103">
        <f t="shared" si="2"/>
        <v>993.40318875000003</v>
      </c>
      <c r="C35" s="103">
        <f t="shared" si="2"/>
        <v>1018.74708946</v>
      </c>
      <c r="D35" s="270">
        <f t="shared" si="0"/>
        <v>2.6</v>
      </c>
      <c r="E35" s="270"/>
      <c r="F35" s="270">
        <f>B35/B32*100</f>
        <v>5.6691312048179746E-2</v>
      </c>
      <c r="G35" s="270">
        <f>C35/C32*100</f>
        <v>5.2061270127214482E-2</v>
      </c>
      <c r="H35" s="271">
        <f t="shared" si="1"/>
        <v>-8.1999999999999993</v>
      </c>
      <c r="I35" s="182"/>
      <c r="J35" s="74"/>
    </row>
    <row r="36" spans="1:10" ht="18.75" customHeight="1" x14ac:dyDescent="0.35">
      <c r="A36" s="108" t="s">
        <v>165</v>
      </c>
      <c r="B36" s="105">
        <f t="shared" si="2"/>
        <v>186532.94378968998</v>
      </c>
      <c r="C36" s="105">
        <f t="shared" si="2"/>
        <v>207678.01930466102</v>
      </c>
      <c r="D36" s="272">
        <f t="shared" si="0"/>
        <v>11.3</v>
      </c>
      <c r="E36" s="272"/>
      <c r="F36" s="270">
        <f>B36/B32*100</f>
        <v>10.64502051473497</v>
      </c>
      <c r="G36" s="270">
        <f>C36/C32*100</f>
        <v>10.613018259748698</v>
      </c>
      <c r="H36" s="271">
        <f t="shared" si="1"/>
        <v>-0.3</v>
      </c>
      <c r="I36" s="182"/>
      <c r="J36" s="74"/>
    </row>
    <row r="37" spans="1:10" ht="18.75" customHeight="1" x14ac:dyDescent="0.35">
      <c r="A37" s="193" t="s">
        <v>166</v>
      </c>
      <c r="B37" s="103">
        <f t="shared" si="2"/>
        <v>486391.06168171996</v>
      </c>
      <c r="C37" s="103">
        <f t="shared" si="2"/>
        <v>523899.07384668995</v>
      </c>
      <c r="D37" s="270">
        <f t="shared" si="0"/>
        <v>7.7</v>
      </c>
      <c r="E37" s="270"/>
      <c r="F37" s="270">
        <f>B37/B32*100</f>
        <v>27.757256839431328</v>
      </c>
      <c r="G37" s="270">
        <f>C37/C32*100</f>
        <v>26.772936566019929</v>
      </c>
      <c r="H37" s="271">
        <f t="shared" si="1"/>
        <v>-3.5</v>
      </c>
      <c r="I37" s="182"/>
      <c r="J37" s="74"/>
    </row>
    <row r="38" spans="1:10" ht="18.75" customHeight="1" x14ac:dyDescent="0.35">
      <c r="A38" s="273" t="s">
        <v>167</v>
      </c>
      <c r="B38" s="274">
        <f t="shared" si="2"/>
        <v>45029.714654060001</v>
      </c>
      <c r="C38" s="274">
        <f t="shared" si="2"/>
        <v>37721.605345200005</v>
      </c>
      <c r="D38" s="275">
        <f t="shared" si="0"/>
        <v>-16.2</v>
      </c>
      <c r="E38" s="270"/>
      <c r="F38" s="275">
        <f>B38/B32*100</f>
        <v>2.5697457324512816</v>
      </c>
      <c r="G38" s="275">
        <f>C38/C32*100</f>
        <v>1.9276959962158919</v>
      </c>
      <c r="H38" s="276">
        <f t="shared" si="1"/>
        <v>-25</v>
      </c>
      <c r="I38" s="182"/>
      <c r="J38" s="74"/>
    </row>
    <row r="39" spans="1:10" ht="18.75" customHeight="1" x14ac:dyDescent="0.35">
      <c r="A39" s="112"/>
      <c r="B39" s="112"/>
      <c r="C39" s="112"/>
      <c r="D39" s="112"/>
      <c r="E39" s="112"/>
      <c r="F39" s="182"/>
      <c r="G39" s="182"/>
      <c r="H39" s="182"/>
      <c r="I39" s="182"/>
      <c r="J39" s="74"/>
    </row>
    <row r="40" spans="1:10" ht="18.75" customHeight="1" x14ac:dyDescent="0.35">
      <c r="A40" s="112" t="s">
        <v>170</v>
      </c>
      <c r="B40" s="112"/>
      <c r="C40" s="112"/>
      <c r="D40" s="112"/>
      <c r="E40" s="112"/>
      <c r="F40" s="182"/>
      <c r="G40" s="182"/>
      <c r="H40" s="182"/>
      <c r="I40" s="182"/>
      <c r="J40" s="74"/>
    </row>
    <row r="41" spans="1:10" ht="18" x14ac:dyDescent="0.35">
      <c r="A41" s="112" t="s">
        <v>102</v>
      </c>
      <c r="B41" s="112"/>
      <c r="C41" s="112"/>
      <c r="D41" s="112"/>
      <c r="E41" s="112"/>
      <c r="F41" s="74"/>
      <c r="G41" s="74"/>
      <c r="H41" s="74"/>
      <c r="I41" s="74"/>
      <c r="J41" s="74"/>
    </row>
    <row r="42" spans="1:10" ht="18" x14ac:dyDescent="0.35">
      <c r="A42" s="74"/>
      <c r="B42" s="74"/>
      <c r="C42" s="74"/>
      <c r="D42" s="74"/>
      <c r="E42" s="74"/>
      <c r="G42" s="74"/>
      <c r="H42" s="74"/>
      <c r="I42" s="74"/>
      <c r="J42" s="74"/>
    </row>
    <row r="43" spans="1:10" ht="18" x14ac:dyDescent="0.35">
      <c r="A43" s="74"/>
      <c r="B43" s="74"/>
      <c r="C43" s="74"/>
      <c r="D43" s="74"/>
      <c r="E43" s="74"/>
      <c r="F43" s="74"/>
      <c r="G43" s="74"/>
      <c r="H43" s="74"/>
      <c r="I43" s="74"/>
      <c r="J43" s="74"/>
    </row>
    <row r="44" spans="1:10" ht="18" x14ac:dyDescent="0.35">
      <c r="A44" s="74"/>
      <c r="B44" s="74"/>
      <c r="C44" s="74"/>
      <c r="D44" s="74"/>
      <c r="E44" s="74"/>
      <c r="F44" s="74"/>
      <c r="G44" s="74"/>
      <c r="H44" s="74"/>
      <c r="I44" s="74"/>
      <c r="J44" s="74"/>
    </row>
    <row r="45" spans="1:10" ht="18" x14ac:dyDescent="0.35">
      <c r="A45" s="74"/>
      <c r="B45" s="74"/>
      <c r="C45" s="74"/>
      <c r="D45" s="74"/>
      <c r="E45" s="74"/>
      <c r="F45" s="74"/>
      <c r="G45" s="74"/>
      <c r="H45" s="74"/>
      <c r="I45" s="74"/>
      <c r="J45" s="74"/>
    </row>
    <row r="46" spans="1:10" ht="18" x14ac:dyDescent="0.35">
      <c r="A46" s="74"/>
      <c r="B46" s="74"/>
      <c r="C46" s="74"/>
      <c r="D46" s="74"/>
      <c r="E46" s="74"/>
      <c r="F46" s="74"/>
      <c r="G46" s="74"/>
      <c r="H46" s="74"/>
      <c r="I46" s="74"/>
      <c r="J46" s="74"/>
    </row>
    <row r="47" spans="1:10" ht="18" x14ac:dyDescent="0.35">
      <c r="A47" s="74"/>
      <c r="B47" s="74"/>
      <c r="C47" s="74"/>
      <c r="D47" s="74"/>
      <c r="E47" s="74"/>
      <c r="F47" s="74"/>
      <c r="G47" s="74"/>
      <c r="H47" s="74"/>
      <c r="I47" s="74"/>
      <c r="J47" s="74"/>
    </row>
    <row r="48" spans="1:10" ht="18" x14ac:dyDescent="0.35">
      <c r="A48" s="74"/>
      <c r="B48" s="74"/>
      <c r="C48" s="74"/>
      <c r="D48" s="74"/>
      <c r="E48" s="74"/>
      <c r="F48" s="74"/>
      <c r="G48" s="74"/>
      <c r="H48" s="74"/>
      <c r="I48" s="74"/>
      <c r="J48" s="74"/>
    </row>
    <row r="49" spans="1:10" ht="18" x14ac:dyDescent="0.35">
      <c r="A49" s="74"/>
      <c r="B49" s="74"/>
      <c r="C49" s="74"/>
      <c r="D49" s="74"/>
      <c r="E49" s="74"/>
      <c r="F49" s="74"/>
      <c r="G49" s="74"/>
      <c r="H49" s="74"/>
      <c r="I49" s="74"/>
      <c r="J49" s="74"/>
    </row>
    <row r="50" spans="1:10" ht="18" x14ac:dyDescent="0.35">
      <c r="A50" s="74"/>
      <c r="B50" s="74"/>
      <c r="C50" s="74"/>
      <c r="D50" s="74"/>
      <c r="E50" s="74"/>
      <c r="F50" s="74"/>
      <c r="G50" s="74"/>
      <c r="H50" s="74"/>
      <c r="I50" s="74"/>
      <c r="J50" s="74"/>
    </row>
    <row r="51" spans="1:10" ht="18" x14ac:dyDescent="0.35">
      <c r="A51" s="74"/>
      <c r="B51" s="74"/>
      <c r="C51" s="74"/>
      <c r="D51" s="74"/>
      <c r="E51" s="74"/>
      <c r="F51" s="74"/>
      <c r="G51" s="74"/>
      <c r="H51" s="74"/>
      <c r="I51" s="74"/>
      <c r="J51" s="74"/>
    </row>
    <row r="52" spans="1:10" ht="18" x14ac:dyDescent="0.35">
      <c r="A52" s="74"/>
      <c r="B52" s="74"/>
      <c r="C52" s="74"/>
      <c r="D52" s="74"/>
      <c r="E52" s="74"/>
      <c r="F52" s="74"/>
      <c r="G52" s="74"/>
      <c r="H52" s="74"/>
      <c r="I52" s="74"/>
      <c r="J52" s="74"/>
    </row>
    <row r="53" spans="1:10" ht="18" x14ac:dyDescent="0.35">
      <c r="A53" s="74"/>
      <c r="B53" s="74"/>
      <c r="C53" s="74"/>
      <c r="D53" s="74"/>
      <c r="E53" s="74"/>
      <c r="F53" s="74"/>
      <c r="G53" s="74"/>
      <c r="H53" s="74"/>
      <c r="I53" s="74"/>
      <c r="J53" s="74"/>
    </row>
    <row r="54" spans="1:10" ht="18" x14ac:dyDescent="0.35">
      <c r="A54" s="74"/>
      <c r="B54" s="74"/>
      <c r="C54" s="74"/>
      <c r="D54" s="74"/>
      <c r="E54" s="74"/>
      <c r="F54" s="74"/>
      <c r="G54" s="74"/>
      <c r="H54" s="74"/>
      <c r="I54" s="74"/>
      <c r="J54" s="74"/>
    </row>
    <row r="55" spans="1:10" ht="18" x14ac:dyDescent="0.35">
      <c r="A55" s="74"/>
      <c r="B55" s="74"/>
      <c r="C55" s="74"/>
      <c r="D55" s="74"/>
      <c r="E55" s="74"/>
      <c r="F55" s="74"/>
      <c r="G55" s="74"/>
      <c r="H55" s="74"/>
      <c r="I55" s="74"/>
      <c r="J55" s="74"/>
    </row>
    <row r="56" spans="1:10" ht="18" x14ac:dyDescent="0.35">
      <c r="A56" s="74"/>
      <c r="B56" s="74"/>
      <c r="C56" s="74"/>
      <c r="D56" s="74"/>
      <c r="E56" s="74"/>
      <c r="F56" s="74"/>
      <c r="G56" s="74"/>
      <c r="H56" s="74"/>
      <c r="I56" s="74"/>
      <c r="J56" s="74"/>
    </row>
    <row r="57" spans="1:10" ht="18" x14ac:dyDescent="0.35">
      <c r="A57" s="74"/>
      <c r="B57" s="74"/>
      <c r="C57" s="74"/>
      <c r="D57" s="74"/>
      <c r="E57" s="74"/>
      <c r="F57" s="74"/>
      <c r="G57" s="74"/>
      <c r="H57" s="74"/>
      <c r="I57" s="74"/>
      <c r="J57" s="74"/>
    </row>
    <row r="58" spans="1:10" ht="18" x14ac:dyDescent="0.35">
      <c r="A58" s="74"/>
      <c r="B58" s="74"/>
      <c r="C58" s="74"/>
      <c r="D58" s="74"/>
      <c r="E58" s="74"/>
      <c r="F58" s="74"/>
      <c r="G58" s="74"/>
      <c r="H58" s="74"/>
      <c r="I58" s="74"/>
      <c r="J58" s="74"/>
    </row>
    <row r="59" spans="1:10" ht="18" x14ac:dyDescent="0.35">
      <c r="A59" s="74"/>
      <c r="B59" s="74"/>
      <c r="C59" s="74"/>
      <c r="D59" s="74"/>
      <c r="E59" s="74"/>
      <c r="F59" s="74"/>
      <c r="G59" s="74"/>
      <c r="H59" s="74"/>
      <c r="I59" s="74"/>
      <c r="J59" s="74"/>
    </row>
    <row r="60" spans="1:10" ht="18" x14ac:dyDescent="0.35">
      <c r="A60" s="74"/>
      <c r="B60" s="74"/>
      <c r="C60" s="74"/>
      <c r="D60" s="74"/>
      <c r="E60" s="74"/>
      <c r="F60" s="74"/>
      <c r="G60" s="74"/>
      <c r="H60" s="74"/>
      <c r="I60" s="74"/>
      <c r="J60" s="74"/>
    </row>
    <row r="61" spans="1:10" ht="18" x14ac:dyDescent="0.35">
      <c r="A61" s="74"/>
      <c r="B61" s="74"/>
      <c r="C61" s="74"/>
      <c r="D61" s="74"/>
      <c r="E61" s="74"/>
      <c r="F61" s="74"/>
      <c r="G61" s="74"/>
      <c r="H61" s="74"/>
      <c r="I61" s="74"/>
      <c r="J61" s="74"/>
    </row>
    <row r="62" spans="1:10" ht="18" x14ac:dyDescent="0.35">
      <c r="A62" s="74"/>
      <c r="B62" s="74"/>
      <c r="C62" s="74"/>
      <c r="D62" s="74"/>
      <c r="E62" s="74"/>
      <c r="F62" s="74"/>
      <c r="G62" s="74"/>
      <c r="H62" s="74"/>
      <c r="I62" s="74"/>
      <c r="J62" s="74"/>
    </row>
    <row r="63" spans="1:10" ht="18" x14ac:dyDescent="0.35">
      <c r="A63" s="74"/>
      <c r="B63" s="74"/>
      <c r="C63" s="74"/>
      <c r="D63" s="74"/>
      <c r="E63" s="74"/>
      <c r="F63" s="74"/>
      <c r="G63" s="74"/>
      <c r="H63" s="74"/>
      <c r="I63" s="74"/>
      <c r="J63" s="74"/>
    </row>
    <row r="64" spans="1:10" ht="18" x14ac:dyDescent="0.35">
      <c r="A64" s="74"/>
      <c r="B64" s="74"/>
      <c r="C64" s="74"/>
      <c r="D64" s="74"/>
      <c r="E64" s="74"/>
      <c r="F64" s="74"/>
      <c r="G64" s="74"/>
      <c r="H64" s="74"/>
      <c r="I64" s="74"/>
      <c r="J64" s="74"/>
    </row>
    <row r="65" spans="1:10" ht="18" x14ac:dyDescent="0.35">
      <c r="A65" s="74"/>
      <c r="B65" s="74"/>
      <c r="C65" s="74"/>
      <c r="D65" s="74"/>
      <c r="E65" s="74"/>
      <c r="F65" s="74"/>
      <c r="G65" s="74"/>
      <c r="H65" s="74"/>
      <c r="I65" s="74"/>
      <c r="J65" s="74"/>
    </row>
    <row r="66" spans="1:10" ht="18" x14ac:dyDescent="0.35">
      <c r="A66" s="74"/>
      <c r="B66" s="74"/>
      <c r="C66" s="74"/>
      <c r="D66" s="74"/>
      <c r="E66" s="74"/>
      <c r="F66" s="74"/>
      <c r="G66" s="74"/>
      <c r="H66" s="74"/>
      <c r="I66" s="74"/>
      <c r="J66" s="74"/>
    </row>
    <row r="67" spans="1:10" ht="18" x14ac:dyDescent="0.35">
      <c r="A67" s="74"/>
      <c r="B67" s="74"/>
      <c r="C67" s="74"/>
      <c r="D67" s="74"/>
      <c r="E67" s="74"/>
      <c r="F67" s="74"/>
      <c r="G67" s="74"/>
      <c r="H67" s="74"/>
      <c r="I67" s="74"/>
      <c r="J67" s="74"/>
    </row>
    <row r="68" spans="1:10" ht="18" x14ac:dyDescent="0.35">
      <c r="A68" s="74"/>
      <c r="B68" s="74"/>
      <c r="C68" s="74"/>
      <c r="D68" s="74"/>
      <c r="E68" s="74"/>
      <c r="F68" s="74"/>
      <c r="G68" s="74"/>
      <c r="H68" s="74"/>
      <c r="I68" s="74"/>
      <c r="J68" s="74"/>
    </row>
    <row r="69" spans="1:10" ht="18" x14ac:dyDescent="0.35">
      <c r="A69" s="74"/>
      <c r="B69" s="74"/>
      <c r="C69" s="74"/>
      <c r="D69" s="74"/>
      <c r="E69" s="74"/>
      <c r="F69" s="74"/>
      <c r="G69" s="74"/>
      <c r="H69" s="74"/>
      <c r="I69" s="74"/>
      <c r="J69" s="74"/>
    </row>
    <row r="70" spans="1:10" ht="18" x14ac:dyDescent="0.35">
      <c r="A70" s="74"/>
      <c r="B70" s="74"/>
      <c r="C70" s="74"/>
      <c r="D70" s="74"/>
      <c r="E70" s="74"/>
      <c r="F70" s="74"/>
      <c r="G70" s="74"/>
      <c r="H70" s="74"/>
      <c r="I70" s="74"/>
      <c r="J70" s="74"/>
    </row>
    <row r="71" spans="1:10" ht="18" x14ac:dyDescent="0.35">
      <c r="A71" s="74"/>
      <c r="B71" s="74"/>
      <c r="C71" s="74"/>
      <c r="D71" s="74"/>
      <c r="E71" s="74"/>
      <c r="F71" s="74"/>
      <c r="G71" s="74"/>
      <c r="H71" s="74"/>
      <c r="I71" s="74"/>
      <c r="J71" s="74"/>
    </row>
    <row r="72" spans="1:10" ht="18" x14ac:dyDescent="0.35">
      <c r="A72" s="74"/>
      <c r="B72" s="74"/>
      <c r="C72" s="74"/>
      <c r="D72" s="74"/>
      <c r="E72" s="74"/>
      <c r="F72" s="74"/>
      <c r="G72" s="74"/>
      <c r="H72" s="74"/>
      <c r="I72" s="74"/>
      <c r="J72" s="74"/>
    </row>
    <row r="73" spans="1:10" ht="18" x14ac:dyDescent="0.35">
      <c r="A73" s="74"/>
      <c r="B73" s="74"/>
      <c r="C73" s="74"/>
      <c r="D73" s="74"/>
      <c r="E73" s="74"/>
      <c r="F73" s="74"/>
      <c r="G73" s="74"/>
      <c r="H73" s="74"/>
      <c r="I73" s="74"/>
      <c r="J73" s="74"/>
    </row>
    <row r="74" spans="1:10" ht="18" x14ac:dyDescent="0.35">
      <c r="A74" s="74"/>
      <c r="B74" s="74"/>
      <c r="C74" s="74"/>
      <c r="D74" s="74"/>
      <c r="E74" s="74"/>
      <c r="F74" s="74"/>
      <c r="G74" s="74"/>
      <c r="H74" s="74"/>
      <c r="I74" s="74"/>
      <c r="J74" s="74"/>
    </row>
    <row r="75" spans="1:10" ht="18" x14ac:dyDescent="0.35">
      <c r="A75" s="74"/>
      <c r="B75" s="74"/>
      <c r="C75" s="74"/>
      <c r="D75" s="74"/>
      <c r="E75" s="74"/>
      <c r="F75" s="74"/>
      <c r="G75" s="74"/>
      <c r="H75" s="74"/>
      <c r="I75" s="74"/>
      <c r="J75" s="74"/>
    </row>
    <row r="76" spans="1:10" ht="18" x14ac:dyDescent="0.35">
      <c r="A76" s="74"/>
      <c r="B76" s="74"/>
      <c r="C76" s="74"/>
      <c r="D76" s="74"/>
      <c r="E76" s="74"/>
      <c r="F76" s="74"/>
      <c r="G76" s="74"/>
      <c r="H76" s="74"/>
      <c r="I76" s="74"/>
      <c r="J76" s="74"/>
    </row>
    <row r="77" spans="1:10" ht="18" x14ac:dyDescent="0.35">
      <c r="A77" s="74"/>
      <c r="B77" s="74"/>
      <c r="C77" s="74"/>
      <c r="D77" s="74"/>
      <c r="E77" s="74"/>
      <c r="F77" s="74"/>
      <c r="G77" s="74"/>
      <c r="H77" s="74"/>
      <c r="I77" s="74"/>
      <c r="J77" s="74"/>
    </row>
    <row r="78" spans="1:10" ht="18" x14ac:dyDescent="0.35">
      <c r="A78" s="74"/>
      <c r="B78" s="74"/>
      <c r="C78" s="74"/>
      <c r="D78" s="74"/>
      <c r="E78" s="74"/>
      <c r="F78" s="74"/>
      <c r="G78" s="74"/>
      <c r="H78" s="74"/>
      <c r="I78" s="74"/>
      <c r="J78" s="74"/>
    </row>
    <row r="79" spans="1:10" ht="18" x14ac:dyDescent="0.35">
      <c r="A79" s="74"/>
      <c r="B79" s="74"/>
      <c r="C79" s="74"/>
      <c r="D79" s="74"/>
      <c r="E79" s="74"/>
      <c r="F79" s="74"/>
      <c r="G79" s="74"/>
      <c r="H79" s="74"/>
      <c r="I79" s="74"/>
      <c r="J79" s="74"/>
    </row>
    <row r="80" spans="1:10" ht="18" x14ac:dyDescent="0.35">
      <c r="A80" s="74"/>
      <c r="B80" s="74"/>
      <c r="C80" s="74"/>
      <c r="D80" s="74"/>
      <c r="E80" s="74"/>
      <c r="F80" s="74"/>
      <c r="G80" s="74"/>
      <c r="H80" s="74"/>
      <c r="I80" s="74"/>
      <c r="J80" s="74"/>
    </row>
    <row r="81" spans="1:10" ht="18" x14ac:dyDescent="0.35">
      <c r="A81" s="74"/>
      <c r="B81" s="74"/>
      <c r="C81" s="74"/>
      <c r="D81" s="74"/>
      <c r="E81" s="74"/>
      <c r="F81" s="74"/>
      <c r="G81" s="74"/>
      <c r="H81" s="74"/>
      <c r="I81" s="74"/>
      <c r="J81" s="74"/>
    </row>
    <row r="82" spans="1:10" ht="18" x14ac:dyDescent="0.35">
      <c r="A82" s="74"/>
      <c r="B82" s="74"/>
      <c r="C82" s="74"/>
      <c r="D82" s="74"/>
      <c r="E82" s="74"/>
      <c r="F82" s="74"/>
      <c r="G82" s="74"/>
      <c r="H82" s="74"/>
      <c r="I82" s="74"/>
      <c r="J82" s="74"/>
    </row>
    <row r="83" spans="1:10" ht="18" x14ac:dyDescent="0.35">
      <c r="A83" s="74"/>
      <c r="B83" s="74"/>
      <c r="C83" s="74"/>
      <c r="D83" s="74"/>
      <c r="E83" s="74"/>
      <c r="F83" s="74"/>
      <c r="G83" s="74"/>
      <c r="H83" s="74"/>
      <c r="I83" s="74"/>
      <c r="J83" s="74"/>
    </row>
    <row r="84" spans="1:10" ht="18" x14ac:dyDescent="0.35">
      <c r="A84" s="74"/>
      <c r="B84" s="74"/>
      <c r="C84" s="74"/>
      <c r="D84" s="74"/>
      <c r="E84" s="74"/>
      <c r="F84" s="74"/>
      <c r="G84" s="74"/>
      <c r="H84" s="74"/>
      <c r="I84" s="74"/>
      <c r="J84" s="74"/>
    </row>
    <row r="85" spans="1:10" ht="18" x14ac:dyDescent="0.35">
      <c r="A85" s="74"/>
      <c r="B85" s="74"/>
      <c r="C85" s="74"/>
      <c r="D85" s="74"/>
      <c r="E85" s="74"/>
      <c r="F85" s="74"/>
      <c r="G85" s="74"/>
      <c r="H85" s="74"/>
      <c r="I85" s="74"/>
      <c r="J85" s="74"/>
    </row>
    <row r="86" spans="1:10" ht="18" x14ac:dyDescent="0.35">
      <c r="A86" s="74"/>
      <c r="B86" s="74"/>
      <c r="C86" s="74"/>
      <c r="D86" s="74"/>
      <c r="E86" s="74"/>
      <c r="F86" s="74"/>
      <c r="G86" s="74"/>
      <c r="H86" s="74"/>
      <c r="I86" s="74"/>
      <c r="J86" s="74"/>
    </row>
    <row r="87" spans="1:10" ht="18" x14ac:dyDescent="0.35">
      <c r="A87" s="74"/>
      <c r="B87" s="74"/>
      <c r="C87" s="74"/>
      <c r="D87" s="74"/>
      <c r="E87" s="74"/>
      <c r="F87" s="74"/>
      <c r="G87" s="74"/>
      <c r="H87" s="74"/>
      <c r="I87" s="74"/>
      <c r="J87" s="74"/>
    </row>
    <row r="88" spans="1:10" ht="18" x14ac:dyDescent="0.35">
      <c r="A88" s="74"/>
      <c r="B88" s="74"/>
      <c r="C88" s="74"/>
      <c r="D88" s="74"/>
      <c r="E88" s="74"/>
      <c r="F88" s="74"/>
      <c r="G88" s="74"/>
      <c r="H88" s="74"/>
      <c r="I88" s="74"/>
      <c r="J88" s="74"/>
    </row>
    <row r="89" spans="1:10" ht="18" x14ac:dyDescent="0.35">
      <c r="A89" s="74"/>
      <c r="B89" s="74"/>
      <c r="C89" s="74"/>
      <c r="D89" s="74"/>
      <c r="E89" s="74"/>
      <c r="F89" s="74"/>
      <c r="G89" s="74"/>
      <c r="H89" s="74"/>
      <c r="I89" s="74"/>
      <c r="J89" s="74"/>
    </row>
    <row r="90" spans="1:10" ht="18" x14ac:dyDescent="0.35">
      <c r="A90" s="74"/>
      <c r="B90" s="74"/>
      <c r="C90" s="74"/>
      <c r="D90" s="74"/>
      <c r="E90" s="74"/>
      <c r="F90" s="74"/>
      <c r="G90" s="74"/>
      <c r="H90" s="74"/>
      <c r="I90" s="74"/>
      <c r="J90" s="74"/>
    </row>
    <row r="91" spans="1:10" ht="18" x14ac:dyDescent="0.35">
      <c r="A91" s="74"/>
      <c r="B91" s="74"/>
      <c r="C91" s="74"/>
      <c r="D91" s="74"/>
      <c r="E91" s="74"/>
      <c r="F91" s="74"/>
      <c r="G91" s="74"/>
      <c r="H91" s="74"/>
      <c r="I91" s="74"/>
      <c r="J91" s="74"/>
    </row>
    <row r="92" spans="1:10" ht="18" x14ac:dyDescent="0.35">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R303"/>
  <sheetViews>
    <sheetView showGridLines="0" showZeros="0" zoomScaleNormal="100" zoomScaleSheetLayoutView="80" workbookViewId="0">
      <pane xSplit="1" ySplit="1" topLeftCell="B2" activePane="bottomRight" state="frozen"/>
      <selection activeCell="B33" sqref="B33"/>
      <selection pane="topRight" activeCell="B33" sqref="B33"/>
      <selection pane="bottomLeft" activeCell="B33" sqref="B33"/>
      <selection pane="bottomRight" activeCell="G33" sqref="G33"/>
    </sheetView>
  </sheetViews>
  <sheetFormatPr baseColWidth="10" defaultColWidth="11.44140625" defaultRowHeight="13.2" x14ac:dyDescent="0.25"/>
  <cols>
    <col min="1" max="1" width="57.33203125" style="1" customWidth="1"/>
    <col min="2" max="3" width="10.6640625" style="1" customWidth="1"/>
    <col min="4" max="4" width="8.6640625" style="1" customWidth="1"/>
    <col min="5" max="6" width="10.6640625" style="1" customWidth="1"/>
    <col min="7" max="7" width="8.6640625" style="1" customWidth="1"/>
    <col min="8" max="9" width="10.6640625" style="1" customWidth="1"/>
    <col min="10" max="10" width="8.6640625" style="1" customWidth="1"/>
    <col min="11" max="16384" width="11.44140625" style="1"/>
  </cols>
  <sheetData>
    <row r="1" spans="1:10" ht="15.75" customHeight="1" x14ac:dyDescent="0.25">
      <c r="A1" s="352" t="s">
        <v>439</v>
      </c>
      <c r="B1" s="4"/>
      <c r="C1" s="4"/>
      <c r="D1" s="4"/>
      <c r="E1" s="4"/>
      <c r="F1" s="4"/>
      <c r="G1" s="4"/>
      <c r="H1" s="4"/>
      <c r="I1" s="4"/>
      <c r="J1" s="4"/>
    </row>
    <row r="2" spans="1:10" ht="15.75" customHeight="1" x14ac:dyDescent="0.3">
      <c r="A2" s="165" t="s">
        <v>28</v>
      </c>
      <c r="B2" s="721"/>
      <c r="C2" s="721"/>
      <c r="D2" s="721"/>
      <c r="E2" s="721"/>
      <c r="F2" s="721"/>
      <c r="G2" s="721"/>
      <c r="H2" s="721"/>
      <c r="I2" s="721"/>
      <c r="J2" s="721"/>
    </row>
    <row r="3" spans="1:10" ht="15.75" customHeight="1" x14ac:dyDescent="0.3">
      <c r="A3" s="163"/>
      <c r="B3" s="299"/>
      <c r="C3" s="299"/>
      <c r="D3" s="299"/>
      <c r="E3" s="299"/>
      <c r="F3" s="299"/>
      <c r="G3" s="299"/>
      <c r="H3" s="299"/>
      <c r="I3" s="299"/>
      <c r="J3" s="299"/>
    </row>
    <row r="4" spans="1:10" ht="15.75" customHeight="1" x14ac:dyDescent="0.25">
      <c r="A4" s="144"/>
      <c r="B4" s="718" t="s">
        <v>0</v>
      </c>
      <c r="C4" s="719"/>
      <c r="D4" s="719"/>
      <c r="E4" s="718" t="s">
        <v>1</v>
      </c>
      <c r="F4" s="719"/>
      <c r="G4" s="719"/>
      <c r="H4" s="718" t="s">
        <v>2</v>
      </c>
      <c r="I4" s="719"/>
      <c r="J4" s="720"/>
    </row>
    <row r="5" spans="1:10" ht="15.75" customHeight="1" x14ac:dyDescent="0.25">
      <c r="A5" s="158"/>
      <c r="B5" s="20" t="s">
        <v>435</v>
      </c>
      <c r="C5" s="20" t="s">
        <v>436</v>
      </c>
      <c r="D5" s="251" t="s">
        <v>3</v>
      </c>
      <c r="E5" s="20" t="s">
        <v>435</v>
      </c>
      <c r="F5" s="20" t="s">
        <v>436</v>
      </c>
      <c r="G5" s="251" t="s">
        <v>3</v>
      </c>
      <c r="H5" s="20" t="s">
        <v>435</v>
      </c>
      <c r="I5" s="20" t="s">
        <v>436</v>
      </c>
      <c r="J5" s="251" t="s">
        <v>3</v>
      </c>
    </row>
    <row r="6" spans="1:10" ht="15.75" customHeight="1" x14ac:dyDescent="0.25">
      <c r="A6" s="697"/>
      <c r="B6" s="15"/>
      <c r="C6" s="15"/>
      <c r="D6" s="17" t="s">
        <v>4</v>
      </c>
      <c r="E6" s="16"/>
      <c r="F6" s="16"/>
      <c r="G6" s="15" t="s">
        <v>4</v>
      </c>
      <c r="H6" s="16"/>
      <c r="I6" s="16"/>
      <c r="J6" s="15" t="s">
        <v>4</v>
      </c>
    </row>
    <row r="7" spans="1:10" s="43" customFormat="1" ht="15.75" customHeight="1" x14ac:dyDescent="0.25">
      <c r="A7" s="14" t="s">
        <v>23</v>
      </c>
      <c r="B7" s="236">
        <f>'Fremtind Livsforsikring'!B7+'Danica Pensjonsforsikring'!B7+'DNB Livsforsikring'!B7+'Eika Forsikring AS'!B7+'Frende Livsforsikring'!B7+'Frende Skadeforsikring'!B7+'Gjensidige Forsikring'!B7+'Gjensidige Pensjon'!B7+'Handelsbanken Liv'!B7+'If Skadeforsikring NUF'!B7+KLP!B7+'DNB Bedriftspensjon'!B7+'KLP Skadeforsikring AS'!B7+'Landkreditt Forsikring'!B7+Insr!B7+'Nordea Liv '!B7+'Oslo Pensjonsforsikring'!B7+'Protector Forsikring'!B7+'SHB Liv'!B7+'Sparebank 1'!B7+'Storebrand Livsforsikring'!B7+'Telenor Forsikring'!B7+'Tryg Forsikring'!B7+'WaterCircle F'!B7+'Codan Forsikring'!B7+'Euro Accident'!B7</f>
        <v>3690062.0809851093</v>
      </c>
      <c r="C7" s="236">
        <f>'Fremtind Livsforsikring'!C7+'Danica Pensjonsforsikring'!C7+'DNB Livsforsikring'!C7+'Eika Forsikring AS'!C7+'Frende Livsforsikring'!C7+'Frende Skadeforsikring'!C7+'Gjensidige Forsikring'!C7+'Gjensidige Pensjon'!C7+'Handelsbanken Liv'!C7+'If Skadeforsikring NUF'!C7+KLP!C7+'DNB Bedriftspensjon'!C7+'KLP Skadeforsikring AS'!C7+'Landkreditt Forsikring'!C7+Insr!C7+'Nordea Liv '!C7+'Oslo Pensjonsforsikring'!C7+'Protector Forsikring'!C7+'SHB Liv'!C7+'Sparebank 1'!C7+'Storebrand Livsforsikring'!C7+'Telenor Forsikring'!C7+'Tryg Forsikring'!C7+'WaterCircle F'!C7+'Codan Forsikring'!C7+'Euro Accident'!C7</f>
        <v>3813483.6916657356</v>
      </c>
      <c r="D7" s="160">
        <f t="shared" ref="D7:D12" si="0">IF(B7=0, "    ---- ", IF(ABS(ROUND(100/B7*C7-100,1))&lt;999,ROUND(100/B7*C7-100,1),IF(ROUND(100/B7*C7-100,1)&gt;999,999,-999)))</f>
        <v>3.3</v>
      </c>
      <c r="E7" s="236">
        <f>'Fremtind Livsforsikring'!F7+'Danica Pensjonsforsikring'!F7+'DNB Livsforsikring'!F7+'Eika Forsikring AS'!F7+'Frende Livsforsikring'!F7+'Frende Skadeforsikring'!F7+'Gjensidige Forsikring'!F7+'Gjensidige Pensjon'!F7+'Handelsbanken Liv'!F7+'If Skadeforsikring NUF'!F7+KLP!F7+'DNB Bedriftspensjon'!F7+'KLP Skadeforsikring AS'!F7+'Landkreditt Forsikring'!F7+Insr!F7+'Nordea Liv '!F7+'Oslo Pensjonsforsikring'!F7+'Protector Forsikring'!F7+'SHB Liv'!F7+'Sparebank 1'!F7+'Storebrand Livsforsikring'!F7+'Telenor Forsikring'!F7+'Tryg Forsikring'!F7+'WaterCircle F'!F7+'Codan Forsikring'!F7+'Euro Accident'!F7</f>
        <v>6903912.3569899993</v>
      </c>
      <c r="F7" s="236">
        <f>'Fremtind Livsforsikring'!G7+'Danica Pensjonsforsikring'!G7+'DNB Livsforsikring'!G7+'Eika Forsikring AS'!G7+'Frende Livsforsikring'!G7+'Frende Skadeforsikring'!G7+'Gjensidige Forsikring'!G7+'Gjensidige Pensjon'!G7+'Handelsbanken Liv'!G7+'If Skadeforsikring NUF'!G7+KLP!G7+'DNB Bedriftspensjon'!G7+'KLP Skadeforsikring AS'!G7+'Landkreditt Forsikring'!G7+Insr!G7+'Nordea Liv '!G7+'Oslo Pensjonsforsikring'!G7+'Protector Forsikring'!G7+'SHB Liv'!G7+'Sparebank 1'!G7+'Storebrand Livsforsikring'!G7+'Telenor Forsikring'!G7+'Tryg Forsikring'!G7+'WaterCircle F'!G7+'Codan Forsikring'!G7+'Euro Accident'!G7</f>
        <v>10886055.292259999</v>
      </c>
      <c r="G7" s="160">
        <f t="shared" ref="G7:G12" si="1">IF(E7=0, "    ---- ", IF(ABS(ROUND(100/E7*F7-100,1))&lt;999,ROUND(100/E7*F7-100,1),IF(ROUND(100/E7*F7-100,1)&gt;999,999,-999)))</f>
        <v>57.7</v>
      </c>
      <c r="H7" s="282">
        <f t="shared" ref="H7:H12" si="2">B7+E7</f>
        <v>10593974.437975109</v>
      </c>
      <c r="I7" s="283">
        <f t="shared" ref="I7:I12" si="3">C7+F7</f>
        <v>14699538.983925734</v>
      </c>
      <c r="J7" s="171">
        <f t="shared" ref="J7:J12" si="4">IF(H7=0, "    ---- ", IF(ABS(ROUND(100/H7*I7-100,1))&lt;999,ROUND(100/H7*I7-100,1),IF(ROUND(100/H7*I7-100,1)&gt;999,999,-999)))</f>
        <v>38.799999999999997</v>
      </c>
    </row>
    <row r="8" spans="1:10" ht="15.75" customHeight="1" x14ac:dyDescent="0.25">
      <c r="A8" s="21" t="s">
        <v>25</v>
      </c>
      <c r="B8" s="44">
        <f>'Fremtind Livsforsikring'!B8+'Danica Pensjonsforsikring'!B8+'DNB Livsforsikring'!B8+'Eika Forsikring AS'!B8+'Frende Livsforsikring'!B8+'Frende Skadeforsikring'!B8+'Gjensidige Forsikring'!B8+'Gjensidige Pensjon'!B8+'Handelsbanken Liv'!B8+'If Skadeforsikring NUF'!B8+KLP!B8+'DNB Bedriftspensjon'!B8+'KLP Skadeforsikring AS'!B8+'Landkreditt Forsikring'!B8+Insr!B8+'Nordea Liv '!B8+'Oslo Pensjonsforsikring'!B8+'Protector Forsikring'!B8+'SHB Liv'!B8+'Sparebank 1'!B8+'Storebrand Livsforsikring'!B8+'Telenor Forsikring'!B8+'Tryg Forsikring'!B8+'WaterCircle F'!B8+'Codan Forsikring'!B8+'Euro Accident'!B8</f>
        <v>2419126.8607237418</v>
      </c>
      <c r="C8" s="44">
        <f>'Fremtind Livsforsikring'!C8+'Danica Pensjonsforsikring'!C8+'DNB Livsforsikring'!C8+'Eika Forsikring AS'!C8+'Frende Livsforsikring'!C8+'Frende Skadeforsikring'!C8+'Gjensidige Forsikring'!C8+'Gjensidige Pensjon'!C8+'Handelsbanken Liv'!C8+'If Skadeforsikring NUF'!C8+KLP!C8+'DNB Bedriftspensjon'!C8+'KLP Skadeforsikring AS'!C8+'Landkreditt Forsikring'!C8+Insr!C8+'Nordea Liv '!C8+'Oslo Pensjonsforsikring'!C8+'Protector Forsikring'!C8+'SHB Liv'!C8+'Sparebank 1'!C8+'Storebrand Livsforsikring'!C8+'Telenor Forsikring'!C8+'Tryg Forsikring'!C8+'WaterCircle F'!C8+'Codan Forsikring'!C8+'Euro Accident'!C8</f>
        <v>2480482.0904995236</v>
      </c>
      <c r="D8" s="166">
        <f t="shared" si="0"/>
        <v>2.5</v>
      </c>
      <c r="E8" s="187">
        <f>'Fremtind Livsforsikring'!F8+'Danica Pensjonsforsikring'!F8+'DNB Livsforsikring'!F8+'Eika Forsikring AS'!F8+'Frende Livsforsikring'!F8+'Frende Skadeforsikring'!F8+'Gjensidige Forsikring'!F8+'Gjensidige Pensjon'!F8+'Handelsbanken Liv'!F8+'If Skadeforsikring NUF'!F8+KLP!F8+'DNB Bedriftspensjon'!F8+'KLP Skadeforsikring AS'!F8+'Landkreditt Forsikring'!F8+Insr!F8+'Nordea Liv '!F8+'Oslo Pensjonsforsikring'!F8+'Protector Forsikring'!F8+'SHB Liv'!F8+'Sparebank 1'!F8+'Storebrand Livsforsikring'!F8+'Telenor Forsikring'!F8+'Tryg Forsikring'!F8</f>
        <v>0</v>
      </c>
      <c r="F8" s="187">
        <f>'Fremtind Livsforsikring'!G8+'Danica Pensjonsforsikring'!G8+'DNB Livsforsikring'!G8+'Eika Forsikring AS'!G8+'Frende Livsforsikring'!G8+'Frende Skadeforsikring'!G8+'Gjensidige Forsikring'!G8+'Gjensidige Pensjon'!G8+'Handelsbanken Liv'!G8+'If Skadeforsikring NUF'!G8+KLP!G8+'DNB Bedriftspensjon'!G8+'KLP Skadeforsikring AS'!G8+'Landkreditt Forsikring'!G8+Insr!G8+'Nordea Liv '!G8+'Oslo Pensjonsforsikring'!G8+'Protector Forsikring'!G8+'SHB Liv'!G8+'Sparebank 1'!G8+'Storebrand Livsforsikring'!G8+'Telenor Forsikring'!G8+'Tryg Forsikring'!G8</f>
        <v>0</v>
      </c>
      <c r="G8" s="176"/>
      <c r="H8" s="189">
        <f t="shared" si="2"/>
        <v>2419126.8607237418</v>
      </c>
      <c r="I8" s="190">
        <f t="shared" si="3"/>
        <v>2480482.0904995236</v>
      </c>
      <c r="J8" s="171">
        <f t="shared" si="4"/>
        <v>2.5</v>
      </c>
    </row>
    <row r="9" spans="1:10" ht="15.75" customHeight="1" x14ac:dyDescent="0.25">
      <c r="A9" s="21" t="s">
        <v>24</v>
      </c>
      <c r="B9" s="44">
        <f>'Fremtind Livsforsikring'!B9+'Danica Pensjonsforsikring'!B9+'DNB Livsforsikring'!B9+'Eika Forsikring AS'!B9+'Frende Livsforsikring'!B9+'Frende Skadeforsikring'!B9+'Gjensidige Forsikring'!B9+'Gjensidige Pensjon'!B9+'Handelsbanken Liv'!B9+'If Skadeforsikring NUF'!B9+KLP!B9+'DNB Bedriftspensjon'!B9+'KLP Skadeforsikring AS'!B9+'Landkreditt Forsikring'!B9+Insr!B9+'Nordea Liv '!B9+'Oslo Pensjonsforsikring'!B9+'Protector Forsikring'!B9+'SHB Liv'!B9+'Sparebank 1'!B9+'Storebrand Livsforsikring'!B9+'Telenor Forsikring'!B9+'Tryg Forsikring'!B9+'WaterCircle F'!B9+'Codan Forsikring'!B9+'Euro Accident'!B9</f>
        <v>754438.43645906507</v>
      </c>
      <c r="C9" s="44">
        <f>'Fremtind Livsforsikring'!C9+'Danica Pensjonsforsikring'!C9+'DNB Livsforsikring'!C9+'Eika Forsikring AS'!C9+'Frende Livsforsikring'!C9+'Frende Skadeforsikring'!C9+'Gjensidige Forsikring'!C9+'Gjensidige Pensjon'!C9+'Handelsbanken Liv'!C9+'If Skadeforsikring NUF'!C9+KLP!C9+'DNB Bedriftspensjon'!C9+'KLP Skadeforsikring AS'!C9+'Landkreditt Forsikring'!C9+Insr!C9+'Nordea Liv '!C9+'Oslo Pensjonsforsikring'!C9+'Protector Forsikring'!C9+'SHB Liv'!C9+'Sparebank 1'!C9+'Storebrand Livsforsikring'!C9+'Telenor Forsikring'!C9+'Tryg Forsikring'!C9+'WaterCircle F'!C9+'Codan Forsikring'!C9+'Euro Accident'!C9</f>
        <v>793178.03367417457</v>
      </c>
      <c r="D9" s="176">
        <f t="shared" si="0"/>
        <v>5.0999999999999996</v>
      </c>
      <c r="E9" s="187">
        <f>'Fremtind Livsforsikring'!F9+'Danica Pensjonsforsikring'!F9+'DNB Livsforsikring'!F9+'Eika Forsikring AS'!F9+'Frende Livsforsikring'!F9+'Frende Skadeforsikring'!F9+'Gjensidige Forsikring'!F9+'Gjensidige Pensjon'!F9+'Handelsbanken Liv'!F9+'If Skadeforsikring NUF'!F9+KLP!F9+'DNB Bedriftspensjon'!F9+'KLP Skadeforsikring AS'!F9+'Landkreditt Forsikring'!F9+Insr!F9+'Nordea Liv '!F9+'Oslo Pensjonsforsikring'!F9+'Protector Forsikring'!F9+'SHB Liv'!F9+'Sparebank 1'!F9+'Storebrand Livsforsikring'!F9+'Telenor Forsikring'!F9+'Tryg Forsikring'!F9</f>
        <v>0</v>
      </c>
      <c r="F9" s="187">
        <f>'Fremtind Livsforsikring'!G9+'Danica Pensjonsforsikring'!G9+'DNB Livsforsikring'!G9+'Eika Forsikring AS'!G9+'Frende Livsforsikring'!G9+'Frende Skadeforsikring'!G9+'Gjensidige Forsikring'!G9+'Gjensidige Pensjon'!G9+'Handelsbanken Liv'!G9+'If Skadeforsikring NUF'!G9+KLP!G9+'DNB Bedriftspensjon'!G9+'KLP Skadeforsikring AS'!G9+'Landkreditt Forsikring'!G9+Insr!G9+'Nordea Liv '!G9+'Oslo Pensjonsforsikring'!G9+'Protector Forsikring'!G9+'SHB Liv'!G9+'Sparebank 1'!G9+'Storebrand Livsforsikring'!G9+'Telenor Forsikring'!G9+'Tryg Forsikring'!G9</f>
        <v>0</v>
      </c>
      <c r="G9" s="176"/>
      <c r="H9" s="189">
        <f t="shared" si="2"/>
        <v>754438.43645906507</v>
      </c>
      <c r="I9" s="190">
        <f t="shared" si="3"/>
        <v>793178.03367417457</v>
      </c>
      <c r="J9" s="171">
        <f t="shared" si="4"/>
        <v>5.0999999999999996</v>
      </c>
    </row>
    <row r="10" spans="1:10" s="43" customFormat="1" ht="15.75" customHeight="1" x14ac:dyDescent="0.25">
      <c r="A10" s="39" t="s">
        <v>363</v>
      </c>
      <c r="B10" s="236">
        <f>'Fremtind Livsforsikring'!B10+'Danica Pensjonsforsikring'!B10+'DNB Livsforsikring'!B10+'Eika Forsikring AS'!B10+'Frende Livsforsikring'!B10+'Frende Skadeforsikring'!B10+'Gjensidige Forsikring'!B10+'Gjensidige Pensjon'!B10+'Handelsbanken Liv'!B10+'If Skadeforsikring NUF'!B10+KLP!B10+'DNB Bedriftspensjon'!B10+'KLP Skadeforsikring AS'!B10+'Landkreditt Forsikring'!B10+Insr!B10+'Nordea Liv '!B10+'Oslo Pensjonsforsikring'!B10+'Protector Forsikring'!B10+'SHB Liv'!B10+'Sparebank 1'!B10+'Storebrand Livsforsikring'!B10+'Telenor Forsikring'!B10+'Tryg Forsikring'!B10+'WaterCircle F'!B10+'Codan Forsikring'!B10+'Euro Accident'!B10</f>
        <v>18030106.492632322</v>
      </c>
      <c r="C10" s="236">
        <f>'Fremtind Livsforsikring'!C10+'Danica Pensjonsforsikring'!C10+'DNB Livsforsikring'!C10+'Eika Forsikring AS'!C10+'Frende Livsforsikring'!C10+'Frende Skadeforsikring'!C10+'Gjensidige Forsikring'!C10+'Gjensidige Pensjon'!C10+'Handelsbanken Liv'!C10+'If Skadeforsikring NUF'!C10+KLP!C10+'DNB Bedriftspensjon'!C10+'KLP Skadeforsikring AS'!C10+'Landkreditt Forsikring'!C10+Insr!C10+'Nordea Liv '!C10+'Oslo Pensjonsforsikring'!C10+'Protector Forsikring'!C10+'SHB Liv'!C10+'Sparebank 1'!C10+'Storebrand Livsforsikring'!C10+'Telenor Forsikring'!C10+'Tryg Forsikring'!C10+'WaterCircle F'!C10+'Codan Forsikring'!C10+'Euro Accident'!C10</f>
        <v>16996296.233549759</v>
      </c>
      <c r="D10" s="160">
        <f t="shared" si="0"/>
        <v>-5.7</v>
      </c>
      <c r="E10" s="236">
        <f>'Fremtind Livsforsikring'!F10+'Danica Pensjonsforsikring'!F10+'DNB Livsforsikring'!F10+'Eika Forsikring AS'!F10+'Frende Livsforsikring'!F10+'Frende Skadeforsikring'!F10+'Gjensidige Forsikring'!F10+'Gjensidige Pensjon'!F10+'Handelsbanken Liv'!F10+'If Skadeforsikring NUF'!F10+KLP!F10+'DNB Bedriftspensjon'!F10+'KLP Skadeforsikring AS'!F10+'Landkreditt Forsikring'!F10+Insr!F10+'Nordea Liv '!F10+'Oslo Pensjonsforsikring'!F10+'Protector Forsikring'!F10+'SHB Liv'!F10+'Sparebank 1'!F10+'Storebrand Livsforsikring'!F10+'Telenor Forsikring'!F10+'Tryg Forsikring'!F10+'WaterCircle F'!F10+'Codan Forsikring'!F10+'Euro Accident'!F10</f>
        <v>55394936.068370007</v>
      </c>
      <c r="F10" s="236">
        <f>'Fremtind Livsforsikring'!G10+'Danica Pensjonsforsikring'!G10+'DNB Livsforsikring'!G10+'Eika Forsikring AS'!G10+'Frende Livsforsikring'!G10+'Frende Skadeforsikring'!G10+'Gjensidige Forsikring'!G10+'Gjensidige Pensjon'!G10+'Handelsbanken Liv'!G10+'If Skadeforsikring NUF'!G10+KLP!G10+'DNB Bedriftspensjon'!G10+'KLP Skadeforsikring AS'!G10+'Landkreditt Forsikring'!G10+Insr!G10+'Nordea Liv '!G10+'Oslo Pensjonsforsikring'!G10+'Protector Forsikring'!G10+'SHB Liv'!G10+'Sparebank 1'!G10+'Storebrand Livsforsikring'!G10+'Telenor Forsikring'!G10+'Tryg Forsikring'!G10+'WaterCircle F'!G10+'Codan Forsikring'!G10+'Euro Accident'!G10</f>
        <v>73201561.021569997</v>
      </c>
      <c r="G10" s="160">
        <f t="shared" si="1"/>
        <v>32.1</v>
      </c>
      <c r="H10" s="282">
        <f t="shared" si="2"/>
        <v>73425042.561002329</v>
      </c>
      <c r="I10" s="283">
        <f t="shared" si="3"/>
        <v>90197857.255119756</v>
      </c>
      <c r="J10" s="171">
        <f t="shared" si="4"/>
        <v>22.8</v>
      </c>
    </row>
    <row r="11" spans="1:10" s="43" customFormat="1" ht="15.75" customHeight="1" x14ac:dyDescent="0.25">
      <c r="A11" s="39" t="s">
        <v>364</v>
      </c>
      <c r="B11" s="236">
        <f>'Fremtind Livsforsikring'!B11+'Danica Pensjonsforsikring'!B11+'DNB Livsforsikring'!B11+'Eika Forsikring AS'!B11+'Frende Livsforsikring'!B11+'Frende Skadeforsikring'!B11+'Gjensidige Forsikring'!B11+'Gjensidige Pensjon'!B11+'Handelsbanken Liv'!B11+'If Skadeforsikring NUF'!B11+KLP!B11+'DNB Bedriftspensjon'!B11+'KLP Skadeforsikring AS'!B11+'Landkreditt Forsikring'!B11+Insr!B11+'Nordea Liv '!B11+'Oslo Pensjonsforsikring'!B11+'Protector Forsikring'!B11+'SHB Liv'!B11+'Sparebank 1'!B11+'Storebrand Livsforsikring'!B11+'Telenor Forsikring'!B11+'Tryg Forsikring'!B11+'WaterCircle F'!B11+'Codan Forsikring'!B11+'Euro Accident'!B11</f>
        <v>29977</v>
      </c>
      <c r="C11" s="236">
        <f>'Fremtind Livsforsikring'!C11+'Danica Pensjonsforsikring'!C11+'DNB Livsforsikring'!C11+'Eika Forsikring AS'!C11+'Frende Livsforsikring'!C11+'Frende Skadeforsikring'!C11+'Gjensidige Forsikring'!C11+'Gjensidige Pensjon'!C11+'Handelsbanken Liv'!C11+'If Skadeforsikring NUF'!C11+KLP!C11+'DNB Bedriftspensjon'!C11+'KLP Skadeforsikring AS'!C11+'Landkreditt Forsikring'!C11+Insr!C11+'Nordea Liv '!C11+'Oslo Pensjonsforsikring'!C11+'Protector Forsikring'!C11+'SHB Liv'!C11+'Sparebank 1'!C11+'Storebrand Livsforsikring'!C11+'Telenor Forsikring'!C11+'Tryg Forsikring'!C11+'WaterCircle F'!C11+'Codan Forsikring'!C11+'Euro Accident'!C11</f>
        <v>42181.894999999997</v>
      </c>
      <c r="D11" s="171">
        <f t="shared" si="0"/>
        <v>40.700000000000003</v>
      </c>
      <c r="E11" s="236">
        <f>'Fremtind Livsforsikring'!F11+'Danica Pensjonsforsikring'!F11+'DNB Livsforsikring'!F11+'Eika Forsikring AS'!F11+'Frende Livsforsikring'!F11+'Frende Skadeforsikring'!F11+'Gjensidige Forsikring'!F11+'Gjensidige Pensjon'!F11+'Handelsbanken Liv'!F11+'If Skadeforsikring NUF'!F11+KLP!F11+'DNB Bedriftspensjon'!F11+'KLP Skadeforsikring AS'!F11+'Landkreditt Forsikring'!F11+Insr!F11+'Nordea Liv '!F11+'Oslo Pensjonsforsikring'!F11+'Protector Forsikring'!F11+'SHB Liv'!F11+'Sparebank 1'!F11+'Storebrand Livsforsikring'!F11+'Telenor Forsikring'!F11+'Tryg Forsikring'!F11+'WaterCircle F'!F11+'Codan Forsikring'!F11+'Euro Accident'!F11</f>
        <v>259078.51036999997</v>
      </c>
      <c r="F11" s="236">
        <f>'Fremtind Livsforsikring'!G11+'Danica Pensjonsforsikring'!G11+'DNB Livsforsikring'!G11+'Eika Forsikring AS'!G11+'Frende Livsforsikring'!G11+'Frende Skadeforsikring'!G11+'Gjensidige Forsikring'!G11+'Gjensidige Pensjon'!G11+'Handelsbanken Liv'!G11+'If Skadeforsikring NUF'!G11+KLP!G11+'DNB Bedriftspensjon'!G11+'KLP Skadeforsikring AS'!G11+'Landkreditt Forsikring'!G11+Insr!G11+'Nordea Liv '!G11+'Oslo Pensjonsforsikring'!G11+'Protector Forsikring'!G11+'SHB Liv'!G11+'Sparebank 1'!G11+'Storebrand Livsforsikring'!G11+'Telenor Forsikring'!G11+'Tryg Forsikring'!G11+'WaterCircle F'!G11+'Codan Forsikring'!G11+'Euro Accident'!G11</f>
        <v>345296.6778</v>
      </c>
      <c r="G11" s="171">
        <f t="shared" si="1"/>
        <v>33.299999999999997</v>
      </c>
      <c r="H11" s="282">
        <f t="shared" si="2"/>
        <v>289055.51036999997</v>
      </c>
      <c r="I11" s="283">
        <f t="shared" si="3"/>
        <v>387478.57280000002</v>
      </c>
      <c r="J11" s="171">
        <f t="shared" si="4"/>
        <v>34</v>
      </c>
    </row>
    <row r="12" spans="1:10" s="43" customFormat="1" ht="15.75" customHeight="1" x14ac:dyDescent="0.25">
      <c r="A12" s="582" t="s">
        <v>365</v>
      </c>
      <c r="B12" s="281">
        <f>'Fremtind Livsforsikring'!B12+'Danica Pensjonsforsikring'!B12+'DNB Livsforsikring'!B12+'Eika Forsikring AS'!B12+'Frende Livsforsikring'!B12+'Frende Skadeforsikring'!B12+'Gjensidige Forsikring'!B12+'Gjensidige Pensjon'!B12+'Handelsbanken Liv'!B12+'If Skadeforsikring NUF'!B12+KLP!B12+'DNB Bedriftspensjon'!B12+'KLP Skadeforsikring AS'!B12+'Landkreditt Forsikring'!B12+Insr!B12+'Nordea Liv '!B12+'Oslo Pensjonsforsikring'!B12+'Protector Forsikring'!B12+'SHB Liv'!B12+'Sparebank 1'!B12+'Storebrand Livsforsikring'!B12+'Telenor Forsikring'!B12+'Tryg Forsikring'!B12+'WaterCircle F'!B12+'Codan Forsikring'!B12+'Euro Accident'!B12</f>
        <v>2399</v>
      </c>
      <c r="C12" s="281">
        <f>'Fremtind Livsforsikring'!C12+'Danica Pensjonsforsikring'!C12+'DNB Livsforsikring'!C12+'Eika Forsikring AS'!C12+'Frende Livsforsikring'!C12+'Frende Skadeforsikring'!C12+'Gjensidige Forsikring'!C12+'Gjensidige Pensjon'!C12+'Handelsbanken Liv'!C12+'If Skadeforsikring NUF'!C12+KLP!C12+'DNB Bedriftspensjon'!C12+'KLP Skadeforsikring AS'!C12+'Landkreditt Forsikring'!C12+Insr!C12+'Nordea Liv '!C12+'Oslo Pensjonsforsikring'!C12+'Protector Forsikring'!C12+'SHB Liv'!C12+'Sparebank 1'!C12+'Storebrand Livsforsikring'!C12+'Telenor Forsikring'!C12+'Tryg Forsikring'!C12+'WaterCircle F'!C12+'Codan Forsikring'!C12+'Euro Accident'!C12</f>
        <v>6715.5570900000002</v>
      </c>
      <c r="D12" s="170">
        <f t="shared" si="0"/>
        <v>179.9</v>
      </c>
      <c r="E12" s="281">
        <f>'Fremtind Livsforsikring'!F12+'Danica Pensjonsforsikring'!F12+'DNB Livsforsikring'!F12+'Eika Forsikring AS'!F12+'Frende Livsforsikring'!F12+'Frende Skadeforsikring'!F12+'Gjensidige Forsikring'!F12+'Gjensidige Pensjon'!F12+'Handelsbanken Liv'!F12+'If Skadeforsikring NUF'!F12+KLP!F12+'DNB Bedriftspensjon'!F12+'KLP Skadeforsikring AS'!F12+'Landkreditt Forsikring'!F12+Insr!F12+'Nordea Liv '!F12+'Oslo Pensjonsforsikring'!F12+'Protector Forsikring'!F12+'SHB Liv'!F12+'Sparebank 1'!F12+'Storebrand Livsforsikring'!F12+'Telenor Forsikring'!F12+'Tryg Forsikring'!F12+'WaterCircle F'!F12+'Codan Forsikring'!F12+'Euro Accident'!F12</f>
        <v>196657.65009000001</v>
      </c>
      <c r="F12" s="281">
        <f>'Fremtind Livsforsikring'!G12+'Danica Pensjonsforsikring'!G12+'DNB Livsforsikring'!G12+'Eika Forsikring AS'!G12+'Frende Livsforsikring'!G12+'Frende Skadeforsikring'!G12+'Gjensidige Forsikring'!G12+'Gjensidige Pensjon'!G12+'Handelsbanken Liv'!G12+'If Skadeforsikring NUF'!G12+KLP!G12+'DNB Bedriftspensjon'!G12+'KLP Skadeforsikring AS'!G12+'Landkreditt Forsikring'!G12+Insr!G12+'Nordea Liv '!G12+'Oslo Pensjonsforsikring'!G12+'Protector Forsikring'!G12+'SHB Liv'!G12+'Sparebank 1'!G12+'Storebrand Livsforsikring'!G12+'Telenor Forsikring'!G12+'Tryg Forsikring'!G12+'WaterCircle F'!G12+'Codan Forsikring'!G12+'Euro Accident'!G12</f>
        <v>146478.01957</v>
      </c>
      <c r="G12" s="169">
        <f t="shared" si="1"/>
        <v>-25.5</v>
      </c>
      <c r="H12" s="284">
        <f t="shared" si="2"/>
        <v>199056.65009000001</v>
      </c>
      <c r="I12" s="285">
        <f t="shared" si="3"/>
        <v>153193.57665999999</v>
      </c>
      <c r="J12" s="169">
        <f t="shared" si="4"/>
        <v>-23</v>
      </c>
    </row>
    <row r="13" spans="1:10" s="43" customFormat="1" ht="15.75" customHeight="1" x14ac:dyDescent="0.25">
      <c r="A13" s="168"/>
      <c r="B13" s="35"/>
      <c r="C13" s="5"/>
      <c r="D13" s="32"/>
      <c r="E13" s="35"/>
      <c r="F13" s="5"/>
      <c r="G13" s="32"/>
      <c r="H13" s="48"/>
      <c r="I13" s="48"/>
      <c r="J13" s="32"/>
    </row>
    <row r="14" spans="1:10" ht="15.75" customHeight="1" x14ac:dyDescent="0.25">
      <c r="A14" s="153" t="s">
        <v>273</v>
      </c>
    </row>
    <row r="15" spans="1:10" ht="15.75" customHeight="1" x14ac:dyDescent="0.25">
      <c r="A15" s="149"/>
      <c r="E15" s="7"/>
      <c r="F15" s="7"/>
      <c r="G15" s="7"/>
      <c r="H15" s="7"/>
      <c r="I15" s="7"/>
      <c r="J15" s="7"/>
    </row>
    <row r="16" spans="1:10" s="3" customFormat="1" ht="15.75" customHeight="1" x14ac:dyDescent="0.3">
      <c r="A16" s="164"/>
      <c r="C16" s="30"/>
      <c r="D16" s="30"/>
      <c r="E16" s="30"/>
      <c r="F16" s="30"/>
      <c r="G16" s="30"/>
      <c r="H16" s="30"/>
      <c r="I16" s="30"/>
      <c r="J16" s="30"/>
    </row>
    <row r="17" spans="1:11" ht="15.75" customHeight="1" x14ac:dyDescent="0.3">
      <c r="A17" s="147" t="s">
        <v>270</v>
      </c>
      <c r="B17" s="28"/>
      <c r="C17" s="28"/>
      <c r="D17" s="29"/>
      <c r="E17" s="28"/>
      <c r="F17" s="28"/>
      <c r="G17" s="28"/>
      <c r="H17" s="28"/>
      <c r="I17" s="28"/>
      <c r="J17" s="28"/>
    </row>
    <row r="18" spans="1:11" ht="15.75" customHeight="1" x14ac:dyDescent="0.3">
      <c r="A18" s="149"/>
      <c r="B18" s="721"/>
      <c r="C18" s="721"/>
      <c r="D18" s="721"/>
      <c r="E18" s="721"/>
      <c r="F18" s="721"/>
      <c r="G18" s="721"/>
      <c r="H18" s="721"/>
      <c r="I18" s="721"/>
      <c r="J18" s="721"/>
    </row>
    <row r="19" spans="1:11" ht="15.75" customHeight="1" x14ac:dyDescent="0.25">
      <c r="A19" s="144"/>
      <c r="B19" s="718" t="s">
        <v>0</v>
      </c>
      <c r="C19" s="719"/>
      <c r="D19" s="719"/>
      <c r="E19" s="718" t="s">
        <v>1</v>
      </c>
      <c r="F19" s="719"/>
      <c r="G19" s="720"/>
      <c r="H19" s="719" t="s">
        <v>2</v>
      </c>
      <c r="I19" s="719"/>
      <c r="J19" s="720"/>
    </row>
    <row r="20" spans="1:11" ht="15.75" customHeight="1" x14ac:dyDescent="0.25">
      <c r="A20" s="140" t="s">
        <v>5</v>
      </c>
      <c r="B20" s="20" t="s">
        <v>435</v>
      </c>
      <c r="C20" s="20" t="s">
        <v>436</v>
      </c>
      <c r="D20" s="251" t="s">
        <v>3</v>
      </c>
      <c r="E20" s="20" t="s">
        <v>435</v>
      </c>
      <c r="F20" s="20" t="s">
        <v>436</v>
      </c>
      <c r="G20" s="251" t="s">
        <v>3</v>
      </c>
      <c r="H20" s="20" t="s">
        <v>435</v>
      </c>
      <c r="I20" s="20" t="s">
        <v>436</v>
      </c>
      <c r="J20" s="251" t="s">
        <v>3</v>
      </c>
    </row>
    <row r="21" spans="1:11" ht="15.75" customHeight="1" x14ac:dyDescent="0.25">
      <c r="A21" s="698"/>
      <c r="B21" s="15"/>
      <c r="C21" s="15"/>
      <c r="D21" s="17" t="s">
        <v>4</v>
      </c>
      <c r="E21" s="16"/>
      <c r="F21" s="16"/>
      <c r="G21" s="15" t="s">
        <v>4</v>
      </c>
      <c r="H21" s="16"/>
      <c r="I21" s="16"/>
      <c r="J21" s="15" t="s">
        <v>4</v>
      </c>
    </row>
    <row r="22" spans="1:11" s="43" customFormat="1" ht="15.75" customHeight="1" x14ac:dyDescent="0.25">
      <c r="A22" s="14" t="s">
        <v>23</v>
      </c>
      <c r="B22" s="236">
        <f>'Fremtind Livsforsikring'!B22+'Danica Pensjonsforsikring'!B22+'DNB Livsforsikring'!B22+'Eika Forsikring AS'!B22+'Frende Livsforsikring'!B22+'Frende Skadeforsikring'!B22+'Gjensidige Forsikring'!B22+'Gjensidige Pensjon'!B22+'Handelsbanken Liv'!B22+'If Skadeforsikring NUF'!B22+KLP!B22+'DNB Bedriftspensjon'!B22+'KLP Skadeforsikring AS'!B22+'Landkreditt Forsikring'!B22+Insr!B22+'Nordea Liv '!B22+'Oslo Pensjonsforsikring'!B22+'Protector Forsikring'!B22+'SHB Liv'!B22+'Sparebank 1'!B22+'Storebrand Livsforsikring'!B22+'Telenor Forsikring'!B22+'Tryg Forsikring'!B22+'WaterCircle F'!B22+'Codan Forsikring'!B22+'Euro Accident'!B22</f>
        <v>1338518.7363557161</v>
      </c>
      <c r="C22" s="236">
        <f>'Fremtind Livsforsikring'!C22+'Danica Pensjonsforsikring'!C22+'DNB Livsforsikring'!C22+'Eika Forsikring AS'!C22+'Frende Livsforsikring'!C22+'Frende Skadeforsikring'!C22+'Gjensidige Forsikring'!C22+'Gjensidige Pensjon'!C22+'Handelsbanken Liv'!C22+'If Skadeforsikring NUF'!C22+KLP!C22+'DNB Bedriftspensjon'!C22+'KLP Skadeforsikring AS'!C22+'Landkreditt Forsikring'!C22+Insr!C22+'Nordea Liv '!C22+'Oslo Pensjonsforsikring'!C22+'Protector Forsikring'!C22+'SHB Liv'!C22+'Sparebank 1'!C22+'Storebrand Livsforsikring'!C22+'Telenor Forsikring'!C22+'Tryg Forsikring'!C22+'WaterCircle F'!C22+'Codan Forsikring'!C22+'Euro Accident'!C22</f>
        <v>1536275.0599848521</v>
      </c>
      <c r="D22" s="11">
        <f t="shared" ref="D22:D39" si="5">IF(B22=0, "    ---- ", IF(ABS(ROUND(100/B22*C22-100,1))&lt;999,ROUND(100/B22*C22-100,1),IF(ROUND(100/B22*C22-100,1)&gt;999,999,-999)))</f>
        <v>14.8</v>
      </c>
      <c r="E22" s="236">
        <f>'Fremtind Livsforsikring'!F22+'Danica Pensjonsforsikring'!F22+'DNB Livsforsikring'!F22+'Eika Forsikring AS'!F22+'Frende Livsforsikring'!F22+'Frende Skadeforsikring'!F22+'Gjensidige Forsikring'!F22+'Gjensidige Pensjon'!F22+'Handelsbanken Liv'!F22+'If Skadeforsikring NUF'!F22+KLP!F22+'DNB Bedriftspensjon'!F22+'KLP Skadeforsikring AS'!F22+'Landkreditt Forsikring'!F22+Insr!F22+'Nordea Liv '!F22+'Oslo Pensjonsforsikring'!F22+'Protector Forsikring'!F22+'SHB Liv'!F22+'Sparebank 1'!F22+'Storebrand Livsforsikring'!F22+'Telenor Forsikring'!F22+'Tryg Forsikring'!F22+'WaterCircle F'!F22+'Codan Forsikring'!F22+'Euro Accident'!F22</f>
        <v>923681.47884</v>
      </c>
      <c r="F22" s="236">
        <f>'Fremtind Livsforsikring'!G22+'Danica Pensjonsforsikring'!G22+'DNB Livsforsikring'!G22+'Eika Forsikring AS'!G22+'Frende Livsforsikring'!G22+'Frende Skadeforsikring'!G22+'Gjensidige Forsikring'!G22+'Gjensidige Pensjon'!G22+'Handelsbanken Liv'!G22+'If Skadeforsikring NUF'!G22+KLP!G22+'DNB Bedriftspensjon'!G22+'KLP Skadeforsikring AS'!G22+'Landkreditt Forsikring'!G22+Insr!G22+'Nordea Liv '!G22+'Oslo Pensjonsforsikring'!G22+'Protector Forsikring'!G22+'SHB Liv'!G22+'Sparebank 1'!G22+'Storebrand Livsforsikring'!G22+'Telenor Forsikring'!G22+'Tryg Forsikring'!G22+'WaterCircle F'!G22+'Codan Forsikring'!G22+'Euro Accident'!G22</f>
        <v>1122445.8969100001</v>
      </c>
      <c r="G22" s="351">
        <f t="shared" ref="G22:G35" si="6">IF(E22=0, "    ---- ", IF(ABS(ROUND(100/E22*F22-100,1))&lt;999,ROUND(100/E22*F22-100,1),IF(ROUND(100/E22*F22-100,1)&gt;999,999,-999)))</f>
        <v>21.5</v>
      </c>
      <c r="H22" s="310">
        <f>SUM(B22,E22)</f>
        <v>2262200.2151957164</v>
      </c>
      <c r="I22" s="236">
        <f t="shared" ref="I22:I39" si="7">SUM(C22,F22)</f>
        <v>2658720.9568948522</v>
      </c>
      <c r="J22" s="24">
        <f t="shared" ref="J22:J39" si="8">IF(H22=0, "    ---- ", IF(ABS(ROUND(100/H22*I22-100,1))&lt;999,ROUND(100/H22*I22-100,1),IF(ROUND(100/H22*I22-100,1)&gt;999,999,-999)))</f>
        <v>17.5</v>
      </c>
    </row>
    <row r="23" spans="1:11" ht="15.75" customHeight="1" x14ac:dyDescent="0.25">
      <c r="A23" s="583" t="s">
        <v>366</v>
      </c>
      <c r="B23" s="44">
        <f>'Fremtind Livsforsikring'!B23+'Danica Pensjonsforsikring'!B23+'DNB Livsforsikring'!B23+'Eika Forsikring AS'!B23+'Frende Livsforsikring'!B23+'Frende Skadeforsikring'!B23+'Gjensidige Forsikring'!B23+'Gjensidige Pensjon'!B23+'Handelsbanken Liv'!B23+'If Skadeforsikring NUF'!B23+KLP!B23+'DNB Bedriftspensjon'!B23+'KLP Skadeforsikring AS'!B23+'Landkreditt Forsikring'!B23+Insr!B23+'Nordea Liv '!B23+'Oslo Pensjonsforsikring'!B23+'Protector Forsikring'!B23+'SHB Liv'!B23+'Sparebank 1'!B23+'Storebrand Livsforsikring'!B23+'Telenor Forsikring'!B23+'Tryg Forsikring'!B23+'WaterCircle F'!B23+'Codan Forsikring'!B23+'Euro Accident'!B23</f>
        <v>501440.84149571595</v>
      </c>
      <c r="C23" s="44">
        <f>'Fremtind Livsforsikring'!C23+'Danica Pensjonsforsikring'!C23+'DNB Livsforsikring'!C23+'Eika Forsikring AS'!C23+'Frende Livsforsikring'!C23+'Frende Skadeforsikring'!C23+'Gjensidige Forsikring'!C23+'Gjensidige Pensjon'!C23+'Handelsbanken Liv'!C23+'If Skadeforsikring NUF'!C23+KLP!C23+'DNB Bedriftspensjon'!C23+'KLP Skadeforsikring AS'!C23+'Landkreditt Forsikring'!C23+Insr!C23+'Nordea Liv '!C23+'Oslo Pensjonsforsikring'!C23+'Protector Forsikring'!C23+'SHB Liv'!C23+'Sparebank 1'!C23+'Storebrand Livsforsikring'!C23+'Telenor Forsikring'!C23+'Tryg Forsikring'!C23+'WaterCircle F'!C23+'Codan Forsikring'!C23+'Euro Accident'!C23</f>
        <v>559849.82809504098</v>
      </c>
      <c r="D23" s="27" t="str">
        <f>IF($A$1=4,IF(B23=0, "    ---- ", IF(ABS(ROUND(100/B23*C23-100,1))&lt;999,ROUND(100/B23*C23-100,1),IF(ROUND(100/B23*C23-100,1)&gt;999,999,-999))),"")</f>
        <v/>
      </c>
      <c r="E23" s="44">
        <f>'Fremtind Livsforsikring'!F23+'Danica Pensjonsforsikring'!F23+'DNB Livsforsikring'!F23+'Eika Forsikring AS'!F23+'Frende Livsforsikring'!F23+'Frende Skadeforsikring'!F23+'Gjensidige Forsikring'!F23+'Gjensidige Pensjon'!F23+'Handelsbanken Liv'!F23+'If Skadeforsikring NUF'!F23+KLP!F23+'DNB Bedriftspensjon'!F23+'KLP Skadeforsikring AS'!F23+'Landkreditt Forsikring'!F23+Insr!F23+'Nordea Liv '!F23+'Oslo Pensjonsforsikring'!F23+'Protector Forsikring'!F23+'SHB Liv'!F23+'Sparebank 1'!F23+'Storebrand Livsforsikring'!F23+'Telenor Forsikring'!F23+'Tryg Forsikring'!F23+'WaterCircle F'!F23+'Codan Forsikring'!F23+'Euro Accident'!F23</f>
        <v>119349.30684999999</v>
      </c>
      <c r="F23" s="44">
        <f>'Fremtind Livsforsikring'!G23+'Danica Pensjonsforsikring'!G23+'DNB Livsforsikring'!G23+'Eika Forsikring AS'!G23+'Frende Livsforsikring'!G23+'Frende Skadeforsikring'!G23+'Gjensidige Forsikring'!G23+'Gjensidige Pensjon'!G23+'Handelsbanken Liv'!G23+'If Skadeforsikring NUF'!G23+KLP!G23+'DNB Bedriftspensjon'!G23+'KLP Skadeforsikring AS'!G23+'Landkreditt Forsikring'!G23+Insr!G23+'Nordea Liv '!G23+'Oslo Pensjonsforsikring'!G23+'Protector Forsikring'!G23+'SHB Liv'!G23+'Sparebank 1'!G23+'Storebrand Livsforsikring'!G23+'Telenor Forsikring'!G23+'Tryg Forsikring'!G23+'WaterCircle F'!G23+'Codan Forsikring'!G23+'Euro Accident'!G23</f>
        <v>176126.98926999999</v>
      </c>
      <c r="G23" s="176">
        <f t="shared" si="6"/>
        <v>47.6</v>
      </c>
      <c r="H23" s="234">
        <f t="shared" ref="H23:H39" si="9">SUM(B23,E23)</f>
        <v>620790.14834571595</v>
      </c>
      <c r="I23" s="44">
        <f t="shared" si="7"/>
        <v>735976.817365041</v>
      </c>
      <c r="J23" s="23">
        <f t="shared" si="8"/>
        <v>18.600000000000001</v>
      </c>
    </row>
    <row r="24" spans="1:11" ht="15.75" customHeight="1" x14ac:dyDescent="0.25">
      <c r="A24" s="583" t="s">
        <v>367</v>
      </c>
      <c r="B24" s="44">
        <f>'Fremtind Livsforsikring'!B24+'Danica Pensjonsforsikring'!B24+'DNB Livsforsikring'!B24+'Eika Forsikring AS'!B24+'Frende Livsforsikring'!B24+'Frende Skadeforsikring'!B24+'Gjensidige Forsikring'!B24+'Gjensidige Pensjon'!B24+'Handelsbanken Liv'!B24+'If Skadeforsikring NUF'!B24+KLP!B24+'DNB Bedriftspensjon'!B24+'KLP Skadeforsikring AS'!B24+'Landkreditt Forsikring'!B24+Insr!B24+'Nordea Liv '!B24+'Oslo Pensjonsforsikring'!B24+'Protector Forsikring'!B24+'SHB Liv'!B24+'Sparebank 1'!B24+'Storebrand Livsforsikring'!B24+'Telenor Forsikring'!B24+'Tryg Forsikring'!B24+'WaterCircle F'!B24+'Codan Forsikring'!B24+'Euro Accident'!B24</f>
        <v>24245.772859999997</v>
      </c>
      <c r="C24" s="44">
        <f>'Fremtind Livsforsikring'!C24+'Danica Pensjonsforsikring'!C24+'DNB Livsforsikring'!C24+'Eika Forsikring AS'!C24+'Frende Livsforsikring'!C24+'Frende Skadeforsikring'!C24+'Gjensidige Forsikring'!C24+'Gjensidige Pensjon'!C24+'Handelsbanken Liv'!C24+'If Skadeforsikring NUF'!C24+KLP!C24+'DNB Bedriftspensjon'!C24+'KLP Skadeforsikring AS'!C24+'Landkreditt Forsikring'!C24+Insr!C24+'Nordea Liv '!C24+'Oslo Pensjonsforsikring'!C24+'Protector Forsikring'!C24+'SHB Liv'!C24+'Sparebank 1'!C24+'Storebrand Livsforsikring'!C24+'Telenor Forsikring'!C24+'Tryg Forsikring'!C24+'WaterCircle F'!C24+'Codan Forsikring'!C24+'Euro Accident'!C24</f>
        <v>19677.6552748299</v>
      </c>
      <c r="D24" s="27" t="str">
        <f t="shared" ref="D24:D25" si="10">IF($A$1=4,IF(B24=0, "    ---- ", IF(ABS(ROUND(100/B24*C24-100,1))&lt;999,ROUND(100/B24*C24-100,1),IF(ROUND(100/B24*C24-100,1)&gt;999,999,-999))),"")</f>
        <v/>
      </c>
      <c r="E24" s="44">
        <f>'Fremtind Livsforsikring'!F24+'Danica Pensjonsforsikring'!F24+'DNB Livsforsikring'!F24+'Eika Forsikring AS'!F24+'Frende Livsforsikring'!F24+'Frende Skadeforsikring'!F24+'Gjensidige Forsikring'!F24+'Gjensidige Pensjon'!F24+'Handelsbanken Liv'!F24+'If Skadeforsikring NUF'!F24+KLP!F24+'DNB Bedriftspensjon'!F24+'KLP Skadeforsikring AS'!F24+'Landkreditt Forsikring'!F24+Insr!F24+'Nordea Liv '!F24+'Oslo Pensjonsforsikring'!F24+'Protector Forsikring'!F24+'SHB Liv'!F24+'Sparebank 1'!F24+'Storebrand Livsforsikring'!F24+'Telenor Forsikring'!F24+'Tryg Forsikring'!F24+'WaterCircle F'!F24+'Codan Forsikring'!F24+'Euro Accident'!F24</f>
        <v>970.81701999999996</v>
      </c>
      <c r="F24" s="44">
        <f>'Fremtind Livsforsikring'!G24+'Danica Pensjonsforsikring'!G24+'DNB Livsforsikring'!G24+'Eika Forsikring AS'!G24+'Frende Livsforsikring'!G24+'Frende Skadeforsikring'!G24+'Gjensidige Forsikring'!G24+'Gjensidige Pensjon'!G24+'Handelsbanken Liv'!G24+'If Skadeforsikring NUF'!G24+KLP!G24+'DNB Bedriftspensjon'!G24+'KLP Skadeforsikring AS'!G24+'Landkreditt Forsikring'!G24+Insr!G24+'Nordea Liv '!G24+'Oslo Pensjonsforsikring'!G24+'Protector Forsikring'!G24+'SHB Liv'!G24+'Sparebank 1'!G24+'Storebrand Livsforsikring'!G24+'Telenor Forsikring'!G24+'Tryg Forsikring'!G24+'WaterCircle F'!G24+'Codan Forsikring'!G24+'Euro Accident'!G24</f>
        <v>-614.20105999999998</v>
      </c>
      <c r="G24" s="176">
        <f t="shared" si="6"/>
        <v>-163.30000000000001</v>
      </c>
      <c r="H24" s="234">
        <f t="shared" si="9"/>
        <v>25216.589879999996</v>
      </c>
      <c r="I24" s="44">
        <f t="shared" si="7"/>
        <v>19063.454214829901</v>
      </c>
      <c r="J24" s="11">
        <f t="shared" si="8"/>
        <v>-24.4</v>
      </c>
    </row>
    <row r="25" spans="1:11" ht="15.75" customHeight="1" x14ac:dyDescent="0.25">
      <c r="A25" s="583" t="s">
        <v>368</v>
      </c>
      <c r="B25" s="44">
        <f>'Fremtind Livsforsikring'!B25+'Danica Pensjonsforsikring'!B25+'DNB Livsforsikring'!B25+'Eika Forsikring AS'!B25+'Frende Livsforsikring'!B25+'Frende Skadeforsikring'!B25+'Gjensidige Forsikring'!B25+'Gjensidige Pensjon'!B25+'Handelsbanken Liv'!B25+'If Skadeforsikring NUF'!B25+KLP!B25+'DNB Bedriftspensjon'!B25+'KLP Skadeforsikring AS'!B25+'Landkreditt Forsikring'!B25+Insr!B25+'Nordea Liv '!B25+'Oslo Pensjonsforsikring'!B25+'Protector Forsikring'!B25+'SHB Liv'!B25+'Sparebank 1'!B25+'Storebrand Livsforsikring'!B25+'Telenor Forsikring'!B25+'Tryg Forsikring'!B25+'WaterCircle F'!B25+'Codan Forsikring'!B25+'Euro Accident'!B25</f>
        <v>24174.502</v>
      </c>
      <c r="C25" s="44">
        <f>'Fremtind Livsforsikring'!C25+'Danica Pensjonsforsikring'!C25+'DNB Livsforsikring'!C25+'Eika Forsikring AS'!C25+'Frende Livsforsikring'!C25+'Frende Skadeforsikring'!C25+'Gjensidige Forsikring'!C25+'Gjensidige Pensjon'!C25+'Handelsbanken Liv'!C25+'If Skadeforsikring NUF'!C25+KLP!C25+'DNB Bedriftspensjon'!C25+'KLP Skadeforsikring AS'!C25+'Landkreditt Forsikring'!C25+Insr!C25+'Nordea Liv '!C25+'Oslo Pensjonsforsikring'!C25+'Protector Forsikring'!C25+'SHB Liv'!C25+'Sparebank 1'!C25+'Storebrand Livsforsikring'!C25+'Telenor Forsikring'!C25+'Tryg Forsikring'!C25+'WaterCircle F'!C25+'Codan Forsikring'!C25+'Euro Accident'!C25</f>
        <v>25624.645944981101</v>
      </c>
      <c r="D25" s="27" t="str">
        <f t="shared" si="10"/>
        <v/>
      </c>
      <c r="E25" s="44">
        <f>'Fremtind Livsforsikring'!F25+'Danica Pensjonsforsikring'!F25+'DNB Livsforsikring'!F25+'Eika Forsikring AS'!F25+'Frende Livsforsikring'!F25+'Frende Skadeforsikring'!F25+'Gjensidige Forsikring'!F25+'Gjensidige Pensjon'!F25+'Handelsbanken Liv'!F25+'If Skadeforsikring NUF'!F25+KLP!F25+'DNB Bedriftspensjon'!F25+'KLP Skadeforsikring AS'!F25+'Landkreditt Forsikring'!F25+Insr!F25+'Nordea Liv '!F25+'Oslo Pensjonsforsikring'!F25+'Protector Forsikring'!F25+'SHB Liv'!F25+'Sparebank 1'!F25+'Storebrand Livsforsikring'!F25+'Telenor Forsikring'!F25+'Tryg Forsikring'!F25+'WaterCircle F'!F25+'Codan Forsikring'!F25+'Euro Accident'!F25</f>
        <v>18134.781129999999</v>
      </c>
      <c r="F25" s="44">
        <f>'Fremtind Livsforsikring'!G25+'Danica Pensjonsforsikring'!G25+'DNB Livsforsikring'!G25+'Eika Forsikring AS'!G25+'Frende Livsforsikring'!G25+'Frende Skadeforsikring'!G25+'Gjensidige Forsikring'!G25+'Gjensidige Pensjon'!G25+'Handelsbanken Liv'!G25+'If Skadeforsikring NUF'!G25+KLP!G25+'DNB Bedriftspensjon'!G25+'KLP Skadeforsikring AS'!G25+'Landkreditt Forsikring'!G25+Insr!G25+'Nordea Liv '!G25+'Oslo Pensjonsforsikring'!G25+'Protector Forsikring'!G25+'SHB Liv'!G25+'Sparebank 1'!G25+'Storebrand Livsforsikring'!G25+'Telenor Forsikring'!G25+'Tryg Forsikring'!G25+'WaterCircle F'!G25+'Codan Forsikring'!G25+'Euro Accident'!G25</f>
        <v>12429.977799999999</v>
      </c>
      <c r="G25" s="176">
        <f t="shared" si="6"/>
        <v>-31.5</v>
      </c>
      <c r="H25" s="234">
        <f t="shared" si="9"/>
        <v>42309.283129999996</v>
      </c>
      <c r="I25" s="44">
        <f t="shared" si="7"/>
        <v>38054.623744981101</v>
      </c>
      <c r="J25" s="27">
        <f t="shared" si="8"/>
        <v>-10.1</v>
      </c>
    </row>
    <row r="26" spans="1:11" ht="15.75" customHeight="1" x14ac:dyDescent="0.25">
      <c r="A26" s="583" t="s">
        <v>369</v>
      </c>
      <c r="B26" s="44">
        <f>'Fremtind Livsforsikring'!B26+'Danica Pensjonsforsikring'!B26+'DNB Livsforsikring'!B26+'Eika Forsikring AS'!B26+'Frende Livsforsikring'!B26+'Frende Skadeforsikring'!B26+'Gjensidige Forsikring'!B26+'Gjensidige Pensjon'!B26+'Handelsbanken Liv'!B26+'If Skadeforsikring NUF'!B26+KLP!B26+'DNB Bedriftspensjon'!B26+'KLP Skadeforsikring AS'!B26+'Landkreditt Forsikring'!B26+Insr!B26+'Nordea Liv '!B26+'Oslo Pensjonsforsikring'!B26+'Protector Forsikring'!B26+'SHB Liv'!B26+'Sparebank 1'!B26+'Storebrand Livsforsikring'!B26+'Telenor Forsikring'!B26+'Tryg Forsikring'!B26+'WaterCircle F'!B26</f>
        <v>0</v>
      </c>
      <c r="C26" s="44">
        <f>'Fremtind Livsforsikring'!C26+'Danica Pensjonsforsikring'!C26+'DNB Livsforsikring'!C26+'Eika Forsikring AS'!C26+'Frende Livsforsikring'!C26+'Frende Skadeforsikring'!C26+'Gjensidige Forsikring'!C26+'Gjensidige Pensjon'!C26+'Handelsbanken Liv'!C26+'If Skadeforsikring NUF'!C26+KLP!C26+'DNB Bedriftspensjon'!C26+'KLP Skadeforsikring AS'!C26+'Landkreditt Forsikring'!C26+Insr!C26+'Nordea Liv '!C26+'Oslo Pensjonsforsikring'!C26+'Protector Forsikring'!C26+'SHB Liv'!C26+'Sparebank 1'!C26+'Storebrand Livsforsikring'!C26+'Telenor Forsikring'!C26+'Tryg Forsikring'!C26+'WaterCircle F'!C26</f>
        <v>0</v>
      </c>
      <c r="D26" s="27"/>
      <c r="E26" s="44">
        <f>'Fremtind Livsforsikring'!F26+'Danica Pensjonsforsikring'!F26+'DNB Livsforsikring'!F26+'Eika Forsikring AS'!F26+'Frende Livsforsikring'!F26+'Frende Skadeforsikring'!F26+'Gjensidige Forsikring'!F26+'Gjensidige Pensjon'!F26+'Handelsbanken Liv'!F26+'If Skadeforsikring NUF'!F26+KLP!F26+'DNB Bedriftspensjon'!F26+'KLP Skadeforsikring AS'!F26+'Landkreditt Forsikring'!F26+Insr!F26+'Nordea Liv '!F26+'Oslo Pensjonsforsikring'!F26+'Protector Forsikring'!F26+'SHB Liv'!F26+'Sparebank 1'!F26+'Storebrand Livsforsikring'!F26+'Telenor Forsikring'!F26+'Tryg Forsikring'!F26+'WaterCircle F'!F26+'Codan Forsikring'!F26+'Euro Accident'!F26</f>
        <v>785226.57383999997</v>
      </c>
      <c r="F26" s="44">
        <f>'Fremtind Livsforsikring'!G26+'Danica Pensjonsforsikring'!G26+'DNB Livsforsikring'!G26+'Eika Forsikring AS'!G26+'Frende Livsforsikring'!G26+'Frende Skadeforsikring'!G26+'Gjensidige Forsikring'!G26+'Gjensidige Pensjon'!G26+'Handelsbanken Liv'!G26+'If Skadeforsikring NUF'!G26+KLP!G26+'DNB Bedriftspensjon'!G26+'KLP Skadeforsikring AS'!G26+'Landkreditt Forsikring'!G26+Insr!G26+'Nordea Liv '!G26+'Oslo Pensjonsforsikring'!G26+'Protector Forsikring'!G26+'SHB Liv'!G26+'Sparebank 1'!G26+'Storebrand Livsforsikring'!G26+'Telenor Forsikring'!G26+'Tryg Forsikring'!G26+'WaterCircle F'!G26+'Codan Forsikring'!G26+'Euro Accident'!G26</f>
        <v>934503.13090000011</v>
      </c>
      <c r="G26" s="176">
        <f t="shared" si="6"/>
        <v>19</v>
      </c>
      <c r="H26" s="234">
        <f t="shared" ref="H26" si="11">SUM(B26,E26)</f>
        <v>785226.57383999997</v>
      </c>
      <c r="I26" s="44">
        <f t="shared" ref="I26" si="12">SUM(C26,F26)</f>
        <v>934503.13090000011</v>
      </c>
      <c r="J26" s="27">
        <f t="shared" ref="J26" si="13">IF(H26=0, "    ---- ", IF(ABS(ROUND(100/H26*I26-100,1))&lt;999,ROUND(100/H26*I26-100,1),IF(ROUND(100/H26*I26-100,1)&gt;999,999,-999)))</f>
        <v>19</v>
      </c>
    </row>
    <row r="27" spans="1:11" ht="15.75" customHeight="1" x14ac:dyDescent="0.25">
      <c r="A27" s="581" t="s">
        <v>11</v>
      </c>
      <c r="B27" s="44">
        <f>'Fremtind Livsforsikring'!B27+'Danica Pensjonsforsikring'!B27+'DNB Livsforsikring'!B27+'Eika Forsikring AS'!B27+'Frende Livsforsikring'!B27+'Frende Skadeforsikring'!B27+'Gjensidige Forsikring'!B27+'Gjensidige Pensjon'!B27+'Handelsbanken Liv'!B27+'If Skadeforsikring NUF'!B27+KLP!B27+'DNB Bedriftspensjon'!B27+'KLP Skadeforsikring AS'!B27+'Landkreditt Forsikring'!B27+Insr!B27+'Nordea Liv '!B27+'Oslo Pensjonsforsikring'!B27+'Protector Forsikring'!B27+'SHB Liv'!B27+'Sparebank 1'!B27+'Storebrand Livsforsikring'!B27+'Telenor Forsikring'!B27+'Tryg Forsikring'!B27+'WaterCircle F'!B27</f>
        <v>0</v>
      </c>
      <c r="C27" s="44">
        <f>'Fremtind Livsforsikring'!C27+'Danica Pensjonsforsikring'!C27+'DNB Livsforsikring'!C27+'Eika Forsikring AS'!C27+'Frende Livsforsikring'!C27+'Frende Skadeforsikring'!C27+'Gjensidige Forsikring'!C27+'Gjensidige Pensjon'!C27+'Handelsbanken Liv'!C27+'If Skadeforsikring NUF'!C27+KLP!C27+'DNB Bedriftspensjon'!C27+'KLP Skadeforsikring AS'!C27+'Landkreditt Forsikring'!C27+Insr!C27+'Nordea Liv '!C27+'Oslo Pensjonsforsikring'!C27+'Protector Forsikring'!C27+'SHB Liv'!C27+'Sparebank 1'!C27+'Storebrand Livsforsikring'!C27+'Telenor Forsikring'!C27+'Tryg Forsikring'!C27+'WaterCircle F'!C27</f>
        <v>0</v>
      </c>
      <c r="D27" s="27"/>
      <c r="E27" s="44">
        <f>'Fremtind Livsforsikring'!F27+'Danica Pensjonsforsikring'!F27+'DNB Livsforsikring'!F27+'Eika Forsikring AS'!F27+'Frende Livsforsikring'!F27+'Frende Skadeforsikring'!F27+'Gjensidige Forsikring'!F27+'Gjensidige Pensjon'!F27+'Handelsbanken Liv'!F27+'If Skadeforsikring NUF'!F27+KLP!F27+'DNB Bedriftspensjon'!F27+'KLP Skadeforsikring AS'!F27+'Landkreditt Forsikring'!F27+Insr!F27+'Nordea Liv '!F27+'Oslo Pensjonsforsikring'!F27+'Protector Forsikring'!F27+'SHB Liv'!F27+'Sparebank 1'!F27+'Storebrand Livsforsikring'!F27+'Telenor Forsikring'!F27+'Tryg Forsikring'!F27+'WaterCircle F'!F27</f>
        <v>0</v>
      </c>
      <c r="F27" s="44">
        <f>'Fremtind Livsforsikring'!G27+'Danica Pensjonsforsikring'!G27+'DNB Livsforsikring'!G27+'Eika Forsikring AS'!G27+'Frende Livsforsikring'!G27+'Frende Skadeforsikring'!G27+'Gjensidige Forsikring'!G27+'Gjensidige Pensjon'!G27+'Handelsbanken Liv'!G27+'If Skadeforsikring NUF'!G27+KLP!G27+'DNB Bedriftspensjon'!G27+'KLP Skadeforsikring AS'!G27+'Landkreditt Forsikring'!G27+Insr!G27+'Nordea Liv '!G27+'Oslo Pensjonsforsikring'!G27+'Protector Forsikring'!G27+'SHB Liv'!G27+'Sparebank 1'!G27+'Storebrand Livsforsikring'!G27+'Telenor Forsikring'!G27+'Tryg Forsikring'!G27+'WaterCircle F'!G27</f>
        <v>0</v>
      </c>
      <c r="G27" s="166"/>
      <c r="H27" s="234">
        <f t="shared" si="9"/>
        <v>0</v>
      </c>
      <c r="I27" s="44">
        <f t="shared" si="7"/>
        <v>0</v>
      </c>
      <c r="J27" s="27"/>
    </row>
    <row r="28" spans="1:11" ht="15.75" customHeight="1" x14ac:dyDescent="0.25">
      <c r="A28" s="49" t="s">
        <v>274</v>
      </c>
      <c r="B28" s="44">
        <f>'Fremtind Livsforsikring'!B28+'Danica Pensjonsforsikring'!B28+'DNB Livsforsikring'!B28+'Eika Forsikring AS'!B28+'Frende Livsforsikring'!B28+'Frende Skadeforsikring'!B28+'Gjensidige Forsikring'!B28+'Gjensidige Pensjon'!B28+'Handelsbanken Liv'!B28+'If Skadeforsikring NUF'!B28+KLP!B28+'DNB Bedriftspensjon'!B28+'KLP Skadeforsikring AS'!B28+'Landkreditt Forsikring'!B28+Insr!B28+'Nordea Liv '!B28+'Oslo Pensjonsforsikring'!B28+'Protector Forsikring'!B28+'SHB Liv'!B28+'Sparebank 1'!B28+'Storebrand Livsforsikring'!B28+'Telenor Forsikring'!B28+'Tryg Forsikring'!B28+'WaterCircle F'!B28+'Codan Forsikring'!B28+'Euro Accident'!B28</f>
        <v>1481101.0096672168</v>
      </c>
      <c r="C28" s="44">
        <f>'Fremtind Livsforsikring'!C28+'Danica Pensjonsforsikring'!C28+'DNB Livsforsikring'!C28+'Eika Forsikring AS'!C28+'Frende Livsforsikring'!C28+'Frende Skadeforsikring'!C28+'Gjensidige Forsikring'!C28+'Gjensidige Pensjon'!C28+'Handelsbanken Liv'!C28+'If Skadeforsikring NUF'!C28+KLP!C28+'DNB Bedriftspensjon'!C28+'KLP Skadeforsikring AS'!C28+'Landkreditt Forsikring'!C28+Insr!C28+'Nordea Liv '!C28+'Oslo Pensjonsforsikring'!C28+'Protector Forsikring'!C28+'SHB Liv'!C28+'Sparebank 1'!C28+'Storebrand Livsforsikring'!C28+'Telenor Forsikring'!C28+'Tryg Forsikring'!C28+'WaterCircle F'!C28+'Codan Forsikring'!C28+'Euro Accident'!C28</f>
        <v>1685934.6089275882</v>
      </c>
      <c r="D28" s="23">
        <f t="shared" si="5"/>
        <v>13.8</v>
      </c>
      <c r="E28" s="187">
        <f>'Fremtind Livsforsikring'!F28+'Danica Pensjonsforsikring'!F28+'DNB Livsforsikring'!F28+'Eika Forsikring AS'!F28+'Frende Livsforsikring'!F28+'Frende Skadeforsikring'!F28+'Gjensidige Forsikring'!F28+'Gjensidige Pensjon'!F28+'Handelsbanken Liv'!F28+'If Skadeforsikring NUF'!F28+KLP!F28+'DNB Bedriftspensjon'!F28+'KLP Skadeforsikring AS'!F28+'Landkreditt Forsikring'!F28+Insr!F28+'Nordea Liv '!F28+'Oslo Pensjonsforsikring'!F28+'Protector Forsikring'!F28+'SHB Liv'!F28+'Sparebank 1'!F28+'Storebrand Livsforsikring'!F28+'Telenor Forsikring'!F28+'Tryg Forsikring'!F28+'WaterCircle F'!F28</f>
        <v>0</v>
      </c>
      <c r="F28" s="187">
        <f>'Fremtind Livsforsikring'!G28+'Danica Pensjonsforsikring'!G28+'DNB Livsforsikring'!G28+'Eika Forsikring AS'!G28+'Frende Livsforsikring'!G28+'Frende Skadeforsikring'!G28+'Gjensidige Forsikring'!G28+'Gjensidige Pensjon'!G28+'Handelsbanken Liv'!G28+'If Skadeforsikring NUF'!G28+KLP!G28+'DNB Bedriftspensjon'!G28+'KLP Skadeforsikring AS'!G28+'Landkreditt Forsikring'!G28+Insr!G28+'Nordea Liv '!G28+'Oslo Pensjonsforsikring'!G28+'Protector Forsikring'!G28+'SHB Liv'!G28+'Sparebank 1'!G28+'Storebrand Livsforsikring'!G28+'Telenor Forsikring'!G28+'Tryg Forsikring'!G28+'WaterCircle F'!G28</f>
        <v>0</v>
      </c>
      <c r="G28" s="166"/>
      <c r="H28" s="234">
        <f t="shared" si="9"/>
        <v>1481101.0096672168</v>
      </c>
      <c r="I28" s="44">
        <f t="shared" si="7"/>
        <v>1685934.6089275882</v>
      </c>
      <c r="J28" s="23">
        <f t="shared" si="8"/>
        <v>13.8</v>
      </c>
      <c r="K28" s="3"/>
    </row>
    <row r="29" spans="1:11" s="418" customFormat="1" ht="15.75" customHeight="1" x14ac:dyDescent="0.25">
      <c r="A29" s="39" t="s">
        <v>370</v>
      </c>
      <c r="B29" s="236">
        <f>'Fremtind Livsforsikring'!B29+'Danica Pensjonsforsikring'!B29+'DNB Livsforsikring'!B29+'Eika Forsikring AS'!B29+'Frende Livsforsikring'!B29+'Frende Skadeforsikring'!B29+'Gjensidige Forsikring'!B29+'Gjensidige Pensjon'!B29+'Handelsbanken Liv'!B29+'If Skadeforsikring NUF'!B29+KLP!B29+'DNB Bedriftspensjon'!B29+'KLP Skadeforsikring AS'!B29+'Landkreditt Forsikring'!B29+Insr!B29+'Nordea Liv '!B29+'Oslo Pensjonsforsikring'!B29+'Protector Forsikring'!B29+'SHB Liv'!B29+'Sparebank 1'!B29+'Storebrand Livsforsikring'!B29+'Telenor Forsikring'!B29+'Tryg Forsikring'!B29+'WaterCircle F'!B29+'Codan Forsikring'!B29+'Euro Accident'!B29</f>
        <v>45964750.093721807</v>
      </c>
      <c r="C29" s="236">
        <f>'Fremtind Livsforsikring'!C29+'Danica Pensjonsforsikring'!C29+'DNB Livsforsikring'!C29+'Eika Forsikring AS'!C29+'Frende Livsforsikring'!C29+'Frende Skadeforsikring'!C29+'Gjensidige Forsikring'!C29+'Gjensidige Pensjon'!C29+'Handelsbanken Liv'!C29+'If Skadeforsikring NUF'!C29+KLP!C29+'DNB Bedriftspensjon'!C29+'KLP Skadeforsikring AS'!C29+'Landkreditt Forsikring'!C29+Insr!C29+'Nordea Liv '!C29+'Oslo Pensjonsforsikring'!C29+'Protector Forsikring'!C29+'SHB Liv'!C29+'Sparebank 1'!C29+'Storebrand Livsforsikring'!C29+'Telenor Forsikring'!C29+'Tryg Forsikring'!C29+'WaterCircle F'!C29+'Codan Forsikring'!C29+'Euro Accident'!C29</f>
        <v>44961787.721639454</v>
      </c>
      <c r="D29" s="24">
        <f t="shared" si="5"/>
        <v>-2.2000000000000002</v>
      </c>
      <c r="E29" s="310">
        <f>'Fremtind Livsforsikring'!F29+'Danica Pensjonsforsikring'!F29+'DNB Livsforsikring'!F29+'Eika Forsikring AS'!F29+'Frende Livsforsikring'!F29+'Frende Skadeforsikring'!F29+'Gjensidige Forsikring'!F29+'Gjensidige Pensjon'!F29+'Handelsbanken Liv'!F29+'If Skadeforsikring NUF'!F29+KLP!F29+'DNB Bedriftspensjon'!F29+'KLP Skadeforsikring AS'!F29+'Landkreditt Forsikring'!F29+Insr!F29+'Nordea Liv '!F29+'Oslo Pensjonsforsikring'!F29+'Protector Forsikring'!F29+'SHB Liv'!F29+'Sparebank 1'!F29+'Storebrand Livsforsikring'!F29+'Telenor Forsikring'!F29+'Tryg Forsikring'!F29+'WaterCircle F'!F29+'Codan Forsikring'!F29+'Euro Accident'!F29</f>
        <v>22869004.873020001</v>
      </c>
      <c r="F29" s="310">
        <f>'Fremtind Livsforsikring'!G29+'Danica Pensjonsforsikring'!G29+'DNB Livsforsikring'!G29+'Eika Forsikring AS'!G29+'Frende Livsforsikring'!G29+'Frende Skadeforsikring'!G29+'Gjensidige Forsikring'!G29+'Gjensidige Pensjon'!G29+'Handelsbanken Liv'!G29+'If Skadeforsikring NUF'!G29+KLP!G29+'DNB Bedriftspensjon'!G29+'KLP Skadeforsikring AS'!G29+'Landkreditt Forsikring'!G29+Insr!G29+'Nordea Liv '!G29+'Oslo Pensjonsforsikring'!G29+'Protector Forsikring'!G29+'SHB Liv'!G29+'Sparebank 1'!G29+'Storebrand Livsforsikring'!G29+'Telenor Forsikring'!G29+'Tryg Forsikring'!G29+'WaterCircle F'!G29+'Codan Forsikring'!G29+'Euro Accident'!G29</f>
        <v>25725464.494199999</v>
      </c>
      <c r="G29" s="171">
        <f t="shared" si="6"/>
        <v>12.5</v>
      </c>
      <c r="H29" s="310">
        <f t="shared" si="9"/>
        <v>68833754.9667418</v>
      </c>
      <c r="I29" s="236">
        <f t="shared" si="7"/>
        <v>70687252.215839446</v>
      </c>
      <c r="J29" s="24">
        <f t="shared" si="8"/>
        <v>2.7</v>
      </c>
    </row>
    <row r="30" spans="1:11" s="3" customFormat="1" ht="15.75" customHeight="1" x14ac:dyDescent="0.25">
      <c r="A30" s="583" t="s">
        <v>366</v>
      </c>
      <c r="B30" s="44">
        <f>'Fremtind Livsforsikring'!B30+'Danica Pensjonsforsikring'!B30+'DNB Livsforsikring'!B30+'Eika Forsikring AS'!B30+'Frende Livsforsikring'!B30+'Frende Skadeforsikring'!B30+'Gjensidige Forsikring'!B30+'Gjensidige Pensjon'!B30+'Handelsbanken Liv'!B30+'If Skadeforsikring NUF'!B30+KLP!B30+'DNB Bedriftspensjon'!B30+'KLP Skadeforsikring AS'!B30+'Landkreditt Forsikring'!B30+Insr!B30+'Nordea Liv '!B30+'Oslo Pensjonsforsikring'!B30+'Protector Forsikring'!B30+'SHB Liv'!B30+'Sparebank 1'!B30+'Storebrand Livsforsikring'!B30+'Telenor Forsikring'!B30+'Tryg Forsikring'!B30+'WaterCircle F'!B30+'Codan Forsikring'!B30+'Euro Accident'!B30</f>
        <v>13716501.820792818</v>
      </c>
      <c r="C30" s="44">
        <f>'Fremtind Livsforsikring'!C30+'Danica Pensjonsforsikring'!C30+'DNB Livsforsikring'!C30+'Eika Forsikring AS'!C30+'Frende Livsforsikring'!C30+'Frende Skadeforsikring'!C30+'Gjensidige Forsikring'!C30+'Gjensidige Pensjon'!C30+'Handelsbanken Liv'!C30+'If Skadeforsikring NUF'!C30+KLP!C30+'DNB Bedriftspensjon'!C30+'KLP Skadeforsikring AS'!C30+'Landkreditt Forsikring'!C30+Insr!C30+'Nordea Liv '!C30+'Oslo Pensjonsforsikring'!C30+'Protector Forsikring'!C30+'SHB Liv'!C30+'Sparebank 1'!C30+'Storebrand Livsforsikring'!C30+'Telenor Forsikring'!C30+'Tryg Forsikring'!C30+'WaterCircle F'!C30+'Codan Forsikring'!C30+'Euro Accident'!C30</f>
        <v>13234650.353301743</v>
      </c>
      <c r="D30" s="27" t="str">
        <f t="shared" ref="D30:D32" si="14">IF($A$1=4,IF(B30=0, "    ---- ", IF(ABS(ROUND(100/B30*C30-100,1))&lt;999,ROUND(100/B30*C30-100,1),IF(ROUND(100/B30*C30-100,1)&gt;999,999,-999))),"")</f>
        <v/>
      </c>
      <c r="E30" s="44">
        <f>'Fremtind Livsforsikring'!F30+'Danica Pensjonsforsikring'!F30+'DNB Livsforsikring'!F30+'Eika Forsikring AS'!F30+'Frende Livsforsikring'!F30+'Frende Skadeforsikring'!F30+'Gjensidige Forsikring'!F30+'Gjensidige Pensjon'!F30+'Handelsbanken Liv'!F30+'If Skadeforsikring NUF'!F30+KLP!F30+'DNB Bedriftspensjon'!F30+'KLP Skadeforsikring AS'!F30+'Landkreditt Forsikring'!F30+Insr!F30+'Nordea Liv '!F30+'Oslo Pensjonsforsikring'!F30+'Protector Forsikring'!F30+'SHB Liv'!F30+'Sparebank 1'!F30+'Storebrand Livsforsikring'!F30+'Telenor Forsikring'!F30+'Tryg Forsikring'!F30+'WaterCircle F'!F30+'Codan Forsikring'!F30+'Euro Accident'!F30</f>
        <v>4437428.8650560137</v>
      </c>
      <c r="F30" s="44">
        <f>'Fremtind Livsforsikring'!G30+'Danica Pensjonsforsikring'!G30+'DNB Livsforsikring'!G30+'Eika Forsikring AS'!G30+'Frende Livsforsikring'!G30+'Frende Skadeforsikring'!G30+'Gjensidige Forsikring'!G30+'Gjensidige Pensjon'!G30+'Handelsbanken Liv'!G30+'If Skadeforsikring NUF'!G30+KLP!G30+'DNB Bedriftspensjon'!G30+'KLP Skadeforsikring AS'!G30+'Landkreditt Forsikring'!G30+Insr!G30+'Nordea Liv '!G30+'Oslo Pensjonsforsikring'!G30+'Protector Forsikring'!G30+'SHB Liv'!G30+'Sparebank 1'!G30+'Storebrand Livsforsikring'!G30+'Telenor Forsikring'!G30+'Tryg Forsikring'!G30+'WaterCircle F'!G30+'Codan Forsikring'!G30+'Euro Accident'!G30</f>
        <v>4110962.620568797</v>
      </c>
      <c r="G30" s="176">
        <f t="shared" si="6"/>
        <v>-7.4</v>
      </c>
      <c r="H30" s="234">
        <f t="shared" si="9"/>
        <v>18153930.685848832</v>
      </c>
      <c r="I30" s="44">
        <f t="shared" si="7"/>
        <v>17345612.973870538</v>
      </c>
      <c r="J30" s="23">
        <f t="shared" si="8"/>
        <v>-4.5</v>
      </c>
    </row>
    <row r="31" spans="1:11" s="3" customFormat="1" ht="15.75" customHeight="1" x14ac:dyDescent="0.25">
      <c r="A31" s="583" t="s">
        <v>367</v>
      </c>
      <c r="B31" s="44">
        <f>'Fremtind Livsforsikring'!B31+'Danica Pensjonsforsikring'!B31+'DNB Livsforsikring'!B31+'Eika Forsikring AS'!B31+'Frende Livsforsikring'!B31+'Frende Skadeforsikring'!B31+'Gjensidige Forsikring'!B31+'Gjensidige Pensjon'!B31+'Handelsbanken Liv'!B31+'If Skadeforsikring NUF'!B31+KLP!B31+'DNB Bedriftspensjon'!B31+'KLP Skadeforsikring AS'!B31+'Landkreditt Forsikring'!B31+Insr!B31+'Nordea Liv '!B31+'Oslo Pensjonsforsikring'!B31+'Protector Forsikring'!B31+'SHB Liv'!B31+'Sparebank 1'!B31+'Storebrand Livsforsikring'!B31+'Telenor Forsikring'!B31+'Tryg Forsikring'!B31+'WaterCircle F'!B31+'Codan Forsikring'!B31+'Euro Accident'!B31</f>
        <v>23820975.017175958</v>
      </c>
      <c r="C31" s="44">
        <f>'Fremtind Livsforsikring'!C31+'Danica Pensjonsforsikring'!C31+'DNB Livsforsikring'!C31+'Eika Forsikring AS'!C31+'Frende Livsforsikring'!C31+'Frende Skadeforsikring'!C31+'Gjensidige Forsikring'!C31+'Gjensidige Pensjon'!C31+'Handelsbanken Liv'!C31+'If Skadeforsikring NUF'!C31+KLP!C31+'DNB Bedriftspensjon'!C31+'KLP Skadeforsikring AS'!C31+'Landkreditt Forsikring'!C31+Insr!C31+'Nordea Liv '!C31+'Oslo Pensjonsforsikring'!C31+'Protector Forsikring'!C31+'SHB Liv'!C31+'Sparebank 1'!C31+'Storebrand Livsforsikring'!C31+'Telenor Forsikring'!C31+'Tryg Forsikring'!C31+'WaterCircle F'!C31+'Codan Forsikring'!C31+'Euro Accident'!C31</f>
        <v>22490812.686832324</v>
      </c>
      <c r="D31" s="27" t="str">
        <f t="shared" si="14"/>
        <v/>
      </c>
      <c r="E31" s="44">
        <f>'Fremtind Livsforsikring'!F31+'Danica Pensjonsforsikring'!F31+'DNB Livsforsikring'!F31+'Eika Forsikring AS'!F31+'Frende Livsforsikring'!F31+'Frende Skadeforsikring'!F31+'Gjensidige Forsikring'!F31+'Gjensidige Pensjon'!F31+'Handelsbanken Liv'!F31+'If Skadeforsikring NUF'!F31+KLP!F31+'DNB Bedriftspensjon'!F31+'KLP Skadeforsikring AS'!F31+'Landkreditt Forsikring'!F31+Insr!F31+'Nordea Liv '!F31+'Oslo Pensjonsforsikring'!F31+'Protector Forsikring'!F31+'SHB Liv'!F31+'Sparebank 1'!F31+'Storebrand Livsforsikring'!F31+'Telenor Forsikring'!F31+'Tryg Forsikring'!F31+'WaterCircle F'!F31+'Codan Forsikring'!F31+'Euro Accident'!F31</f>
        <v>9253967.3504361454</v>
      </c>
      <c r="F31" s="44">
        <f>'Fremtind Livsforsikring'!G31+'Danica Pensjonsforsikring'!G31+'DNB Livsforsikring'!G31+'Eika Forsikring AS'!G31+'Frende Livsforsikring'!G31+'Frende Skadeforsikring'!G31+'Gjensidige Forsikring'!G31+'Gjensidige Pensjon'!G31+'Handelsbanken Liv'!G31+'If Skadeforsikring NUF'!G31+KLP!G31+'DNB Bedriftspensjon'!G31+'KLP Skadeforsikring AS'!G31+'Landkreditt Forsikring'!G31+Insr!G31+'Nordea Liv '!G31+'Oslo Pensjonsforsikring'!G31+'Protector Forsikring'!G31+'SHB Liv'!G31+'Sparebank 1'!G31+'Storebrand Livsforsikring'!G31+'Telenor Forsikring'!G31+'Tryg Forsikring'!G31+'WaterCircle F'!G31+'Codan Forsikring'!G31+'Euro Accident'!G31</f>
        <v>9381826.3232559115</v>
      </c>
      <c r="G31" s="176">
        <f t="shared" si="6"/>
        <v>1.4</v>
      </c>
      <c r="H31" s="234">
        <f t="shared" si="9"/>
        <v>33074942.367612101</v>
      </c>
      <c r="I31" s="44">
        <f t="shared" si="7"/>
        <v>31872639.010088235</v>
      </c>
      <c r="J31" s="23">
        <f t="shared" si="8"/>
        <v>-3.6</v>
      </c>
    </row>
    <row r="32" spans="1:11" ht="15.75" customHeight="1" x14ac:dyDescent="0.25">
      <c r="A32" s="583" t="s">
        <v>368</v>
      </c>
      <c r="B32" s="44">
        <f>'Fremtind Livsforsikring'!B32+'Danica Pensjonsforsikring'!B32+'DNB Livsforsikring'!B32+'Eika Forsikring AS'!B32+'Frende Livsforsikring'!B32+'Frende Skadeforsikring'!B32+'Gjensidige Forsikring'!B32+'Gjensidige Pensjon'!B32+'Handelsbanken Liv'!B32+'If Skadeforsikring NUF'!B32+KLP!B32+'DNB Bedriftspensjon'!B32+'KLP Skadeforsikring AS'!B32+'Landkreditt Forsikring'!B32+Insr!B32+'Nordea Liv '!B32+'Oslo Pensjonsforsikring'!B32+'Protector Forsikring'!B32+'SHB Liv'!B32+'Sparebank 1'!B32+'Storebrand Livsforsikring'!B32+'Telenor Forsikring'!B32+'Tryg Forsikring'!B32+'WaterCircle F'!B32+'Codan Forsikring'!B32+'Euro Accident'!B32</f>
        <v>2951104.0757530341</v>
      </c>
      <c r="C32" s="44">
        <f>'Fremtind Livsforsikring'!C32+'Danica Pensjonsforsikring'!C32+'DNB Livsforsikring'!C32+'Eika Forsikring AS'!C32+'Frende Livsforsikring'!C32+'Frende Skadeforsikring'!C32+'Gjensidige Forsikring'!C32+'Gjensidige Pensjon'!C32+'Handelsbanken Liv'!C32+'If Skadeforsikring NUF'!C32+KLP!C32+'DNB Bedriftspensjon'!C32+'KLP Skadeforsikring AS'!C32+'Landkreditt Forsikring'!C32+Insr!C32+'Nordea Liv '!C32+'Oslo Pensjonsforsikring'!C32+'Protector Forsikring'!C32+'SHB Liv'!C32+'Sparebank 1'!C32+'Storebrand Livsforsikring'!C32+'Telenor Forsikring'!C32+'Tryg Forsikring'!C32+'WaterCircle F'!C32+'Codan Forsikring'!C32+'Euro Accident'!C32</f>
        <v>2923575.5306393881</v>
      </c>
      <c r="D32" s="27" t="str">
        <f t="shared" si="14"/>
        <v/>
      </c>
      <c r="E32" s="44">
        <f>'Fremtind Livsforsikring'!F32+'Danica Pensjonsforsikring'!F32+'DNB Livsforsikring'!F32+'Eika Forsikring AS'!F32+'Frende Livsforsikring'!F32+'Frende Skadeforsikring'!F32+'Gjensidige Forsikring'!F32+'Gjensidige Pensjon'!F32+'Handelsbanken Liv'!F32+'If Skadeforsikring NUF'!F32+KLP!F32+'DNB Bedriftspensjon'!F32+'KLP Skadeforsikring AS'!F32+'Landkreditt Forsikring'!F32+Insr!F32+'Nordea Liv '!F32+'Oslo Pensjonsforsikring'!F32+'Protector Forsikring'!F32+'SHB Liv'!F32+'Sparebank 1'!F32+'Storebrand Livsforsikring'!F32+'Telenor Forsikring'!F32+'Tryg Forsikring'!F32+'WaterCircle F'!F32+'Codan Forsikring'!F32+'Euro Accident'!F32</f>
        <v>4900156.0903652702</v>
      </c>
      <c r="F32" s="44">
        <f>'Fremtind Livsforsikring'!G32+'Danica Pensjonsforsikring'!G32+'DNB Livsforsikring'!G32+'Eika Forsikring AS'!G32+'Frende Livsforsikring'!G32+'Frende Skadeforsikring'!G32+'Gjensidige Forsikring'!G32+'Gjensidige Pensjon'!G32+'Handelsbanken Liv'!G32+'If Skadeforsikring NUF'!G32+KLP!G32+'DNB Bedriftspensjon'!G32+'KLP Skadeforsikring AS'!G32+'Landkreditt Forsikring'!G32+Insr!G32+'Nordea Liv '!G32+'Oslo Pensjonsforsikring'!G32+'Protector Forsikring'!G32+'SHB Liv'!G32+'Sparebank 1'!G32+'Storebrand Livsforsikring'!G32+'Telenor Forsikring'!G32+'Tryg Forsikring'!G32+'WaterCircle F'!G32+'Codan Forsikring'!G32+'Euro Accident'!G32</f>
        <v>5733036.0891441982</v>
      </c>
      <c r="G32" s="176">
        <f t="shared" si="6"/>
        <v>17</v>
      </c>
      <c r="H32" s="234">
        <f t="shared" si="9"/>
        <v>7851260.1661183042</v>
      </c>
      <c r="I32" s="44">
        <f t="shared" si="7"/>
        <v>8656611.6197835859</v>
      </c>
      <c r="J32" s="24">
        <f t="shared" si="8"/>
        <v>10.3</v>
      </c>
    </row>
    <row r="33" spans="1:10" ht="15.75" customHeight="1" x14ac:dyDescent="0.25">
      <c r="A33" s="583" t="s">
        <v>369</v>
      </c>
      <c r="B33" s="44">
        <f>'Fremtind Livsforsikring'!B33+'Danica Pensjonsforsikring'!B33+'DNB Livsforsikring'!B33+'Eika Forsikring AS'!B33+'Frende Livsforsikring'!B33+'Frende Skadeforsikring'!B33+'Gjensidige Forsikring'!B33+'Gjensidige Pensjon'!B33+'Handelsbanken Liv'!B33+'If Skadeforsikring NUF'!B33+KLP!B33+'DNB Bedriftspensjon'!B33+'KLP Skadeforsikring AS'!B33+'Landkreditt Forsikring'!B33+Insr!B33+'Nordea Liv '!B33+'Oslo Pensjonsforsikring'!B33+'Protector Forsikring'!B33+'SHB Liv'!B33+'Sparebank 1'!B33+'Storebrand Livsforsikring'!B33+'Telenor Forsikring'!B33+'Tryg Forsikring'!B33+'WaterCircle F'!B33</f>
        <v>0</v>
      </c>
      <c r="C33" s="44">
        <f>'Fremtind Livsforsikring'!C33+'Danica Pensjonsforsikring'!C33+'DNB Livsforsikring'!C33+'Eika Forsikring AS'!C33+'Frende Livsforsikring'!C33+'Frende Skadeforsikring'!C33+'Gjensidige Forsikring'!C33+'Gjensidige Pensjon'!C33+'Handelsbanken Liv'!C33+'If Skadeforsikring NUF'!C33+KLP!C33+'DNB Bedriftspensjon'!C33+'KLP Skadeforsikring AS'!C33+'Landkreditt Forsikring'!C33+Insr!C33+'Nordea Liv '!C33+'Oslo Pensjonsforsikring'!C33+'Protector Forsikring'!C33+'SHB Liv'!C33+'Sparebank 1'!C33+'Storebrand Livsforsikring'!C33+'Telenor Forsikring'!C33+'Tryg Forsikring'!C33+'WaterCircle F'!C33</f>
        <v>0</v>
      </c>
      <c r="D33" s="27" t="str">
        <f t="shared" ref="D33" si="15">IF($A$1=4,IF(B33=0, "    ---- ", IF(ABS(ROUND(100/B33*C33-100,1))&lt;999,ROUND(100/B33*C33-100,1),IF(ROUND(100/B33*C33-100,1)&gt;999,999,-999))),"")</f>
        <v/>
      </c>
      <c r="E33" s="44">
        <f>'Fremtind Livsforsikring'!F33+'Danica Pensjonsforsikring'!F33+'DNB Livsforsikring'!F33+'Eika Forsikring AS'!F33+'Frende Livsforsikring'!F33+'Frende Skadeforsikring'!F33+'Gjensidige Forsikring'!F33+'Gjensidige Pensjon'!F33+'Handelsbanken Liv'!F33+'If Skadeforsikring NUF'!F33+KLP!F33+'DNB Bedriftspensjon'!F33+'KLP Skadeforsikring AS'!F33+'Landkreditt Forsikring'!F33+Insr!F33+'Nordea Liv '!F33+'Oslo Pensjonsforsikring'!F33+'Protector Forsikring'!F33+'SHB Liv'!F33+'Sparebank 1'!F33+'Storebrand Livsforsikring'!F33+'Telenor Forsikring'!F33+'Tryg Forsikring'!F33+'WaterCircle F'!F33+'Codan Forsikring'!F33+'Euro Accident'!F33</f>
        <v>4277452.5671625696</v>
      </c>
      <c r="F33" s="44">
        <f>'Fremtind Livsforsikring'!G33+'Danica Pensjonsforsikring'!G33+'DNB Livsforsikring'!G33+'Eika Forsikring AS'!G33+'Frende Livsforsikring'!G33+'Frende Skadeforsikring'!G33+'Gjensidige Forsikring'!G33+'Gjensidige Pensjon'!G33+'Handelsbanken Liv'!G33+'If Skadeforsikring NUF'!G33+KLP!G33+'DNB Bedriftspensjon'!G33+'KLP Skadeforsikring AS'!G33+'Landkreditt Forsikring'!G33+Insr!G33+'Nordea Liv '!G33+'Oslo Pensjonsforsikring'!G33+'Protector Forsikring'!G33+'SHB Liv'!G33+'Sparebank 1'!G33+'Storebrand Livsforsikring'!G33+'Telenor Forsikring'!G33+'Tryg Forsikring'!G33+'WaterCircle F'!G33+'Codan Forsikring'!G33+'Euro Accident'!G33</f>
        <v>6499639.4612310901</v>
      </c>
      <c r="G33" s="176">
        <f t="shared" si="6"/>
        <v>52</v>
      </c>
      <c r="H33" s="234">
        <f t="shared" ref="H33" si="16">SUM(B33,E33)</f>
        <v>4277452.5671625696</v>
      </c>
      <c r="I33" s="44">
        <f t="shared" ref="I33" si="17">SUM(C33,F33)</f>
        <v>6499639.4612310901</v>
      </c>
      <c r="J33" s="24">
        <f t="shared" ref="J33" si="18">IF(H33=0, "    ---- ", IF(ABS(ROUND(100/H33*I33-100,1))&lt;999,ROUND(100/H33*I33-100,1),IF(ROUND(100/H33*I33-100,1)&gt;999,999,-999)))</f>
        <v>52</v>
      </c>
    </row>
    <row r="34" spans="1:10" s="43" customFormat="1" ht="15.75" customHeight="1" x14ac:dyDescent="0.25">
      <c r="A34" s="39" t="s">
        <v>364</v>
      </c>
      <c r="B34" s="236">
        <f>'Fremtind Livsforsikring'!B34+'Danica Pensjonsforsikring'!B34+'DNB Livsforsikring'!B34+'Eika Forsikring AS'!B34+'Frende Livsforsikring'!B34+'Frende Skadeforsikring'!B34+'Gjensidige Forsikring'!B34+'Gjensidige Pensjon'!B34+'Handelsbanken Liv'!B34+'If Skadeforsikring NUF'!B34+KLP!B34+'DNB Bedriftspensjon'!B34+'KLP Skadeforsikring AS'!B34+'Landkreditt Forsikring'!B34+Insr!B34+'Nordea Liv '!B34+'Oslo Pensjonsforsikring'!B34+'Protector Forsikring'!B34+'SHB Liv'!B34+'Sparebank 1'!B34+'Storebrand Livsforsikring'!B34+'Telenor Forsikring'!B34+'Tryg Forsikring'!B34+'WaterCircle F'!B34+'Codan Forsikring'!B34+'Euro Accident'!B34</f>
        <v>14222.078000000001</v>
      </c>
      <c r="C34" s="236">
        <f>'Fremtind Livsforsikring'!C34+'Danica Pensjonsforsikring'!C34+'DNB Livsforsikring'!C34+'Eika Forsikring AS'!C34+'Frende Livsforsikring'!C34+'Frende Skadeforsikring'!C34+'Gjensidige Forsikring'!C34+'Gjensidige Pensjon'!C34+'Handelsbanken Liv'!C34+'If Skadeforsikring NUF'!C34+KLP!C34+'DNB Bedriftspensjon'!C34+'KLP Skadeforsikring AS'!C34+'Landkreditt Forsikring'!C34+Insr!C34+'Nordea Liv '!C34+'Oslo Pensjonsforsikring'!C34+'Protector Forsikring'!C34+'SHB Liv'!C34+'Sparebank 1'!C34+'Storebrand Livsforsikring'!C34+'Telenor Forsikring'!C34+'Tryg Forsikring'!C34+'WaterCircle F'!C34+'Codan Forsikring'!C34+'Euro Accident'!C34</f>
        <v>11130.60887</v>
      </c>
      <c r="D34" s="24">
        <f t="shared" si="5"/>
        <v>-21.7</v>
      </c>
      <c r="E34" s="310">
        <f>'Fremtind Livsforsikring'!F34+'Danica Pensjonsforsikring'!F34+'DNB Livsforsikring'!F34+'Eika Forsikring AS'!F34+'Frende Livsforsikring'!F34+'Frende Skadeforsikring'!F34+'Gjensidige Forsikring'!F34+'Gjensidige Pensjon'!F34+'Handelsbanken Liv'!F34+'If Skadeforsikring NUF'!F34+KLP!F34+'DNB Bedriftspensjon'!F34+'KLP Skadeforsikring AS'!F34+'Landkreditt Forsikring'!F34+Insr!F34+'Nordea Liv '!F34+'Oslo Pensjonsforsikring'!F34+'Protector Forsikring'!F34+'SHB Liv'!F34+'Sparebank 1'!F34+'Storebrand Livsforsikring'!F34+'Telenor Forsikring'!F34+'Tryg Forsikring'!F34+'WaterCircle F'!F34+'Codan Forsikring'!F34+'Euro Accident'!F34</f>
        <v>10888.071449999998</v>
      </c>
      <c r="F34" s="310">
        <f>'Fremtind Livsforsikring'!G34+'Danica Pensjonsforsikring'!G34+'DNB Livsforsikring'!G34+'Eika Forsikring AS'!G34+'Frende Livsforsikring'!G34+'Frende Skadeforsikring'!G34+'Gjensidige Forsikring'!G34+'Gjensidige Pensjon'!G34+'Handelsbanken Liv'!G34+'If Skadeforsikring NUF'!G34+KLP!G34+'DNB Bedriftspensjon'!G34+'KLP Skadeforsikring AS'!G34+'Landkreditt Forsikring'!G34+Insr!G34+'Nordea Liv '!G34+'Oslo Pensjonsforsikring'!G34+'Protector Forsikring'!G34+'SHB Liv'!G34+'Sparebank 1'!G34+'Storebrand Livsforsikring'!G34+'Telenor Forsikring'!G34+'Tryg Forsikring'!G34+'WaterCircle F'!G34+'Codan Forsikring'!G34+'Euro Accident'!G34</f>
        <v>71861.117989999999</v>
      </c>
      <c r="G34" s="171">
        <f t="shared" si="6"/>
        <v>560</v>
      </c>
      <c r="H34" s="310">
        <f t="shared" si="9"/>
        <v>25110.149449999997</v>
      </c>
      <c r="I34" s="236">
        <f t="shared" si="7"/>
        <v>82991.726859999995</v>
      </c>
      <c r="J34" s="24">
        <f t="shared" si="8"/>
        <v>230.5</v>
      </c>
    </row>
    <row r="35" spans="1:10" s="43" customFormat="1" ht="15.75" customHeight="1" x14ac:dyDescent="0.25">
      <c r="A35" s="39" t="s">
        <v>365</v>
      </c>
      <c r="B35" s="236">
        <f>'Fremtind Livsforsikring'!B35+'Danica Pensjonsforsikring'!B35+'DNB Livsforsikring'!B35+'Eika Forsikring AS'!B35+'Frende Livsforsikring'!B35+'Frende Skadeforsikring'!B35+'Gjensidige Forsikring'!B35+'Gjensidige Pensjon'!B35+'Handelsbanken Liv'!B35+'If Skadeforsikring NUF'!B35+KLP!B35+'DNB Bedriftspensjon'!B35+'KLP Skadeforsikring AS'!B35+'Landkreditt Forsikring'!B35+Insr!B35+'Nordea Liv '!B35+'Oslo Pensjonsforsikring'!B35+'Protector Forsikring'!B35+'SHB Liv'!B35+'Sparebank 1'!B35+'Storebrand Livsforsikring'!B35+'Telenor Forsikring'!B35+'Tryg Forsikring'!B35+'WaterCircle F'!B35+'Codan Forsikring'!B35+'Euro Accident'!B35</f>
        <v>-77011.543429999991</v>
      </c>
      <c r="C35" s="236">
        <f>'Fremtind Livsforsikring'!C35+'Danica Pensjonsforsikring'!C35+'DNB Livsforsikring'!C35+'Eika Forsikring AS'!C35+'Frende Livsforsikring'!C35+'Frende Skadeforsikring'!C35+'Gjensidige Forsikring'!C35+'Gjensidige Pensjon'!C35+'Handelsbanken Liv'!C35+'If Skadeforsikring NUF'!C35+KLP!C35+'DNB Bedriftspensjon'!C35+'KLP Skadeforsikring AS'!C35+'Landkreditt Forsikring'!C35+Insr!C35+'Nordea Liv '!C35+'Oslo Pensjonsforsikring'!C35+'Protector Forsikring'!C35+'SHB Liv'!C35+'Sparebank 1'!C35+'Storebrand Livsforsikring'!C35+'Telenor Forsikring'!C35+'Tryg Forsikring'!C35+'WaterCircle F'!C35+'Codan Forsikring'!C35+'Euro Accident'!C35</f>
        <v>-73912.325530000002</v>
      </c>
      <c r="D35" s="24">
        <f t="shared" si="5"/>
        <v>-4</v>
      </c>
      <c r="E35" s="310">
        <f>'Fremtind Livsforsikring'!F35+'Danica Pensjonsforsikring'!F35+'DNB Livsforsikring'!F35+'Eika Forsikring AS'!F35+'Frende Livsforsikring'!F35+'Frende Skadeforsikring'!F35+'Gjensidige Forsikring'!F35+'Gjensidige Pensjon'!F35+'Handelsbanken Liv'!F35+'If Skadeforsikring NUF'!F35+KLP!F35+'DNB Bedriftspensjon'!F35+'KLP Skadeforsikring AS'!F35+'Landkreditt Forsikring'!F35+Insr!F35+'Nordea Liv '!F35+'Oslo Pensjonsforsikring'!F35+'Protector Forsikring'!F35+'SHB Liv'!F35+'Sparebank 1'!F35+'Storebrand Livsforsikring'!F35+'Telenor Forsikring'!F35+'Tryg Forsikring'!F35+'WaterCircle F'!F35+'Codan Forsikring'!F35+'Euro Accident'!F35</f>
        <v>115743.15936000002</v>
      </c>
      <c r="F35" s="310">
        <f>'Fremtind Livsforsikring'!G35+'Danica Pensjonsforsikring'!G35+'DNB Livsforsikring'!G35+'Eika Forsikring AS'!G35+'Frende Livsforsikring'!G35+'Frende Skadeforsikring'!G35+'Gjensidige Forsikring'!G35+'Gjensidige Pensjon'!G35+'Handelsbanken Liv'!G35+'If Skadeforsikring NUF'!G35+KLP!G35+'DNB Bedriftspensjon'!G35+'KLP Skadeforsikring AS'!G35+'Landkreditt Forsikring'!G35+Insr!G35+'Nordea Liv '!G35+'Oslo Pensjonsforsikring'!G35+'Protector Forsikring'!G35+'SHB Liv'!G35+'Sparebank 1'!G35+'Storebrand Livsforsikring'!G35+'Telenor Forsikring'!G35+'Tryg Forsikring'!G35+'WaterCircle F'!G35+'Codan Forsikring'!G35+'Euro Accident'!G35</f>
        <v>129262.35492</v>
      </c>
      <c r="G35" s="171">
        <f t="shared" si="6"/>
        <v>11.7</v>
      </c>
      <c r="H35" s="310">
        <f t="shared" si="9"/>
        <v>38731.615930000029</v>
      </c>
      <c r="I35" s="236">
        <f t="shared" si="7"/>
        <v>55350.029389999996</v>
      </c>
      <c r="J35" s="24">
        <f t="shared" si="8"/>
        <v>42.9</v>
      </c>
    </row>
    <row r="36" spans="1:10" s="43" customFormat="1" ht="15.75" customHeight="1" x14ac:dyDescent="0.25">
      <c r="A36" s="12" t="s">
        <v>282</v>
      </c>
      <c r="B36" s="236">
        <f>'Fremtind Livsforsikring'!B36+'Danica Pensjonsforsikring'!B36+'DNB Livsforsikring'!B36+'Eika Forsikring AS'!B36+'Frende Livsforsikring'!B36+'Frende Skadeforsikring'!B36+'Gjensidige Forsikring'!B36+'Gjensidige Pensjon'!B36+'Handelsbanken Liv'!B36+'If Skadeforsikring NUF'!B36+KLP!B36+'DNB Bedriftspensjon'!B36+'KLP Skadeforsikring AS'!B36+'Landkreditt Forsikring'!B36+Insr!B36+'Nordea Liv '!B36+'Oslo Pensjonsforsikring'!B36+'Protector Forsikring'!B36+'SHB Liv'!B36+'Sparebank 1'!B36+'Storebrand Livsforsikring'!B36+'Telenor Forsikring'!B36+'Tryg Forsikring'!B36+'WaterCircle F'!B36+'Codan Forsikring'!B36+'Euro Accident'!B36</f>
        <v>2738.33</v>
      </c>
      <c r="C36" s="236">
        <f>'Fremtind Livsforsikring'!C36+'Danica Pensjonsforsikring'!C36+'DNB Livsforsikring'!C36+'Eika Forsikring AS'!C36+'Frende Livsforsikring'!C36+'Frende Skadeforsikring'!C36+'Gjensidige Forsikring'!C36+'Gjensidige Pensjon'!C36+'Handelsbanken Liv'!C36+'If Skadeforsikring NUF'!C36+KLP!C36+'DNB Bedriftspensjon'!C36+'KLP Skadeforsikring AS'!C36+'Landkreditt Forsikring'!C36+Insr!C36+'Nordea Liv '!C36+'Oslo Pensjonsforsikring'!C36+'Protector Forsikring'!C36+'SHB Liv'!C36+'Sparebank 1'!C36+'Storebrand Livsforsikring'!C36+'Telenor Forsikring'!C36+'Tryg Forsikring'!C36+'WaterCircle F'!C36+'Codan Forsikring'!C36+'Euro Accident'!C36</f>
        <v>2163.1350000000002</v>
      </c>
      <c r="D36" s="11">
        <f t="shared" si="5"/>
        <v>-21</v>
      </c>
      <c r="E36" s="321">
        <f>'Fremtind Livsforsikring'!F36+'Danica Pensjonsforsikring'!F36+'DNB Livsforsikring'!F36+'Eika Forsikring AS'!F36+'Frende Livsforsikring'!F36+'Frende Skadeforsikring'!F36+'Gjensidige Forsikring'!F36+'Gjensidige Pensjon'!F36+'Handelsbanken Liv'!F36+'If Skadeforsikring NUF'!F36+KLP!F36+'DNB Bedriftspensjon'!F36+'KLP Skadeforsikring AS'!F36+'Landkreditt Forsikring'!F36+Insr!F36+'Nordea Liv '!F36+'Oslo Pensjonsforsikring'!F36+'Protector Forsikring'!F36+'SHB Liv'!F36+'Sparebank 1'!F36+'Storebrand Livsforsikring'!F36+'Telenor Forsikring'!F36+'Tryg Forsikring'!F36</f>
        <v>0</v>
      </c>
      <c r="F36" s="321">
        <f>'Fremtind Livsforsikring'!G36+'Danica Pensjonsforsikring'!G36+'DNB Livsforsikring'!G36+'Eika Forsikring AS'!G36+'Frende Livsforsikring'!G36+'Frende Skadeforsikring'!G36+'Gjensidige Forsikring'!G36+'Gjensidige Pensjon'!G36+'Handelsbanken Liv'!G36+'If Skadeforsikring NUF'!G36+KLP!G36+'DNB Bedriftspensjon'!G36+'KLP Skadeforsikring AS'!G36+'Landkreditt Forsikring'!G36+Insr!G36+'Nordea Liv '!G36+'Oslo Pensjonsforsikring'!G36+'Protector Forsikring'!G36+'SHB Liv'!G36+'Sparebank 1'!G36+'Storebrand Livsforsikring'!G36+'Telenor Forsikring'!G36+'Tryg Forsikring'!G36</f>
        <v>0</v>
      </c>
      <c r="G36" s="171"/>
      <c r="H36" s="310">
        <f t="shared" si="9"/>
        <v>2738.33</v>
      </c>
      <c r="I36" s="236">
        <f t="shared" si="7"/>
        <v>2163.1350000000002</v>
      </c>
      <c r="J36" s="11">
        <f t="shared" si="8"/>
        <v>-21</v>
      </c>
    </row>
    <row r="37" spans="1:10" s="43" customFormat="1" ht="15.75" customHeight="1" x14ac:dyDescent="0.25">
      <c r="A37" s="584" t="s">
        <v>371</v>
      </c>
      <c r="B37" s="236">
        <f>'Fremtind Livsforsikring'!B37+'Danica Pensjonsforsikring'!B37+'DNB Livsforsikring'!B37+'Eika Forsikring AS'!B37+'Frende Livsforsikring'!B37+'Frende Skadeforsikring'!B37+'Gjensidige Forsikring'!B37+'Gjensidige Pensjon'!B37+'Handelsbanken Liv'!B37+'If Skadeforsikring NUF'!B37+KLP!B37+'DNB Bedriftspensjon'!B37+'KLP Skadeforsikring AS'!B37+'Landkreditt Forsikring'!B37+Insr!B37+'Nordea Liv '!B37+'Oslo Pensjonsforsikring'!B37+'Protector Forsikring'!B37+'SHB Liv'!B37+'Sparebank 1'!B37+'Storebrand Livsforsikring'!B37+'Telenor Forsikring'!B37+'Tryg Forsikring'!B37+'WaterCircle F'!B37+'Codan Forsikring'!B37+'Euro Accident'!B37</f>
        <v>3582221.537</v>
      </c>
      <c r="C37" s="236">
        <f>'Fremtind Livsforsikring'!C37+'Danica Pensjonsforsikring'!C37+'DNB Livsforsikring'!C37+'Eika Forsikring AS'!C37+'Frende Livsforsikring'!C37+'Frende Skadeforsikring'!C37+'Gjensidige Forsikring'!C37+'Gjensidige Pensjon'!C37+'Handelsbanken Liv'!C37+'If Skadeforsikring NUF'!C37+KLP!C37+'DNB Bedriftspensjon'!C37+'KLP Skadeforsikring AS'!C37+'Landkreditt Forsikring'!C37+Insr!C37+'Nordea Liv '!C37+'Oslo Pensjonsforsikring'!C37+'Protector Forsikring'!C37+'SHB Liv'!C37+'Sparebank 1'!C37+'Storebrand Livsforsikring'!C37+'Telenor Forsikring'!C37+'Tryg Forsikring'!C37+'WaterCircle F'!C37+'Codan Forsikring'!C37+'Euro Accident'!C37</f>
        <v>3348414.9709999999</v>
      </c>
      <c r="D37" s="24">
        <f t="shared" si="5"/>
        <v>-6.5</v>
      </c>
      <c r="E37" s="326">
        <f>'Fremtind Livsforsikring'!F37+'Danica Pensjonsforsikring'!F37+'DNB Livsforsikring'!F37+'Eika Forsikring AS'!F37+'Frende Livsforsikring'!F37+'Frende Skadeforsikring'!F37+'Gjensidige Forsikring'!F37+'Gjensidige Pensjon'!F37+'Handelsbanken Liv'!F37+'If Skadeforsikring NUF'!F37+KLP!F37+'DNB Bedriftspensjon'!F37+'KLP Skadeforsikring AS'!F37+'Landkreditt Forsikring'!F37+Insr!F37+'Nordea Liv '!F37+'Oslo Pensjonsforsikring'!F37+'Protector Forsikring'!F37+'SHB Liv'!F37+'Sparebank 1'!F37+'Storebrand Livsforsikring'!F37+'Telenor Forsikring'!F37+'Tryg Forsikring'!F37</f>
        <v>0</v>
      </c>
      <c r="F37" s="326">
        <f>'Fremtind Livsforsikring'!G37+'Danica Pensjonsforsikring'!G37+'DNB Livsforsikring'!G37+'Eika Forsikring AS'!G37+'Frende Livsforsikring'!G37+'Frende Skadeforsikring'!G37+'Gjensidige Forsikring'!G37+'Gjensidige Pensjon'!G37+'Handelsbanken Liv'!G37+'If Skadeforsikring NUF'!G37+KLP!G37+'DNB Bedriftspensjon'!G37+'KLP Skadeforsikring AS'!G37+'Landkreditt Forsikring'!G37+Insr!G37+'Nordea Liv '!G37+'Oslo Pensjonsforsikring'!G37+'Protector Forsikring'!G37+'SHB Liv'!G37+'Sparebank 1'!G37+'Storebrand Livsforsikring'!G37+'Telenor Forsikring'!G37+'Tryg Forsikring'!G37</f>
        <v>0</v>
      </c>
      <c r="G37" s="171"/>
      <c r="H37" s="310">
        <f t="shared" si="9"/>
        <v>3582221.537</v>
      </c>
      <c r="I37" s="236">
        <f t="shared" si="7"/>
        <v>3348414.9709999999</v>
      </c>
      <c r="J37" s="24">
        <f t="shared" si="8"/>
        <v>-6.5</v>
      </c>
    </row>
    <row r="38" spans="1:10" s="43" customFormat="1" ht="15.75" customHeight="1" x14ac:dyDescent="0.25">
      <c r="A38" s="584" t="s">
        <v>372</v>
      </c>
      <c r="B38" s="236">
        <f>'Fremtind Livsforsikring'!B38+'Danica Pensjonsforsikring'!B38+'DNB Livsforsikring'!B38+'Eika Forsikring AS'!B38+'Frende Livsforsikring'!B38+'Frende Skadeforsikring'!B38+'Gjensidige Forsikring'!B38+'Gjensidige Pensjon'!B38+'Handelsbanken Liv'!B38+'If Skadeforsikring NUF'!B38+KLP!B38+'DNB Bedriftspensjon'!B38+'KLP Skadeforsikring AS'!B38+'Landkreditt Forsikring'!B38+Insr!B38+'Nordea Liv '!B38+'Oslo Pensjonsforsikring'!B38+'Protector Forsikring'!B38+'SHB Liv'!B38+'Sparebank 1'!B38+'Storebrand Livsforsikring'!B38+'Telenor Forsikring'!B38+'Tryg Forsikring'!B38+'WaterCircle F'!B38</f>
        <v>0</v>
      </c>
      <c r="C38" s="236">
        <f>'Fremtind Livsforsikring'!C38+'Danica Pensjonsforsikring'!C38+'DNB Livsforsikring'!C38+'Eika Forsikring AS'!C38+'Frende Livsforsikring'!C38+'Frende Skadeforsikring'!C38+'Gjensidige Forsikring'!C38+'Gjensidige Pensjon'!C38+'Handelsbanken Liv'!C38+'If Skadeforsikring NUF'!C38+KLP!C38+'DNB Bedriftspensjon'!C38+'KLP Skadeforsikring AS'!C38+'Landkreditt Forsikring'!C38+Insr!C38+'Nordea Liv '!C38+'Oslo Pensjonsforsikring'!C38+'Protector Forsikring'!C38+'SHB Liv'!C38+'Sparebank 1'!C38+'Storebrand Livsforsikring'!C38+'Telenor Forsikring'!C38+'Tryg Forsikring'!C38+'WaterCircle F'!C38</f>
        <v>14000</v>
      </c>
      <c r="D38" s="24" t="str">
        <f t="shared" si="5"/>
        <v xml:space="preserve">    ---- </v>
      </c>
      <c r="E38" s="321">
        <f>'Fremtind Livsforsikring'!F38+'Danica Pensjonsforsikring'!F38+'DNB Livsforsikring'!F38+'Eika Forsikring AS'!F38+'Frende Livsforsikring'!F38+'Frende Skadeforsikring'!F38+'Gjensidige Forsikring'!F38+'Gjensidige Pensjon'!F38+'Handelsbanken Liv'!F38+'If Skadeforsikring NUF'!F38+KLP!F38+'DNB Bedriftspensjon'!F38+'KLP Skadeforsikring AS'!F38+'Landkreditt Forsikring'!F38+Insr!F38+'Nordea Liv '!F38+'Oslo Pensjonsforsikring'!F38+'Protector Forsikring'!F38+'SHB Liv'!F38+'Sparebank 1'!F38+'Storebrand Livsforsikring'!F38+'Telenor Forsikring'!F38+'Tryg Forsikring'!F38</f>
        <v>0</v>
      </c>
      <c r="F38" s="321">
        <f>'Fremtind Livsforsikring'!G38+'Danica Pensjonsforsikring'!G38+'DNB Livsforsikring'!G38+'Eika Forsikring AS'!G38+'Frende Livsforsikring'!G38+'Frende Skadeforsikring'!G38+'Gjensidige Forsikring'!G38+'Gjensidige Pensjon'!G38+'Handelsbanken Liv'!G38+'If Skadeforsikring NUF'!G38+KLP!G38+'DNB Bedriftspensjon'!G38+'KLP Skadeforsikring AS'!G38+'Landkreditt Forsikring'!G38+Insr!G38+'Nordea Liv '!G38+'Oslo Pensjonsforsikring'!G38+'Protector Forsikring'!G38+'SHB Liv'!G38+'Sparebank 1'!G38+'Storebrand Livsforsikring'!G38+'Telenor Forsikring'!G38+'Tryg Forsikring'!G38</f>
        <v>0</v>
      </c>
      <c r="G38" s="171"/>
      <c r="H38" s="310">
        <f t="shared" si="9"/>
        <v>0</v>
      </c>
      <c r="I38" s="236">
        <f t="shared" si="7"/>
        <v>14000</v>
      </c>
      <c r="J38" s="24" t="str">
        <f t="shared" si="8"/>
        <v xml:space="preserve">    ---- </v>
      </c>
    </row>
    <row r="39" spans="1:10" s="43" customFormat="1" ht="15.75" customHeight="1" x14ac:dyDescent="0.25">
      <c r="A39" s="585" t="s">
        <v>373</v>
      </c>
      <c r="B39" s="281">
        <f>'Fremtind Livsforsikring'!B39+'Danica Pensjonsforsikring'!B39+'DNB Livsforsikring'!B39+'Eika Forsikring AS'!B39+'Frende Livsforsikring'!B39+'Frende Skadeforsikring'!B39+'Gjensidige Forsikring'!B39+'Gjensidige Pensjon'!B39+'Handelsbanken Liv'!B39+'If Skadeforsikring NUF'!B39+KLP!B39+'DNB Bedriftspensjon'!B39+'KLP Skadeforsikring AS'!B39+'Landkreditt Forsikring'!B39+Insr!B39+'Nordea Liv '!B39+'Oslo Pensjonsforsikring'!B39+'Protector Forsikring'!B39+'SHB Liv'!B39+'Sparebank 1'!B39+'Storebrand Livsforsikring'!B39+'Telenor Forsikring'!B39+'Tryg Forsikring'!B39+'WaterCircle F'!B39+'Codan Forsikring'!B39+'Euro Accident'!B39</f>
        <v>17</v>
      </c>
      <c r="C39" s="281">
        <f>'Fremtind Livsforsikring'!C39+'Danica Pensjonsforsikring'!C39+'DNB Livsforsikring'!C39+'Eika Forsikring AS'!C39+'Frende Livsforsikring'!C39+'Frende Skadeforsikring'!C39+'Gjensidige Forsikring'!C39+'Gjensidige Pensjon'!C39+'Handelsbanken Liv'!C39+'If Skadeforsikring NUF'!C39+KLP!C39+'DNB Bedriftspensjon'!C39+'KLP Skadeforsikring AS'!C39+'Landkreditt Forsikring'!C39+Insr!C39+'Nordea Liv '!C39+'Oslo Pensjonsforsikring'!C39+'Protector Forsikring'!C39+'SHB Liv'!C39+'Sparebank 1'!C39+'Storebrand Livsforsikring'!C39+'Telenor Forsikring'!C39+'Tryg Forsikring'!C39+'WaterCircle F'!C39+'Codan Forsikring'!C39+'Euro Accident'!C39</f>
        <v>3</v>
      </c>
      <c r="D39" s="36">
        <f t="shared" si="5"/>
        <v>-82.4</v>
      </c>
      <c r="E39" s="327">
        <f>'Fremtind Livsforsikring'!F39+'Danica Pensjonsforsikring'!F39+'DNB Livsforsikring'!F39+'Eika Forsikring AS'!F39+'Frende Livsforsikring'!F39+'Frende Skadeforsikring'!F39+'Gjensidige Forsikring'!F39+'Gjensidige Pensjon'!F39+'Handelsbanken Liv'!F39+'If Skadeforsikring NUF'!F39+KLP!F39+'DNB Bedriftspensjon'!F39+'KLP Skadeforsikring AS'!F39+'Landkreditt Forsikring'!F39+Insr!F39+'Nordea Liv '!F39+'Oslo Pensjonsforsikring'!F39+'Protector Forsikring'!F39+'SHB Liv'!F39+'Sparebank 1'!F39+'Storebrand Livsforsikring'!F39+'Telenor Forsikring'!F39+'Tryg Forsikring'!F39</f>
        <v>0</v>
      </c>
      <c r="F39" s="327">
        <f>'Fremtind Livsforsikring'!G39+'Danica Pensjonsforsikring'!G39+'DNB Livsforsikring'!G39+'Eika Forsikring AS'!G39+'Frende Livsforsikring'!G39+'Frende Skadeforsikring'!G39+'Gjensidige Forsikring'!G39+'Gjensidige Pensjon'!G39+'Handelsbanken Liv'!G39+'If Skadeforsikring NUF'!G39+KLP!G39+'DNB Bedriftspensjon'!G39+'KLP Skadeforsikring AS'!G39+'Landkreditt Forsikring'!G39+Insr!G39+'Nordea Liv '!G39+'Oslo Pensjonsforsikring'!G39+'Protector Forsikring'!G39+'SHB Liv'!G39+'Sparebank 1'!G39+'Storebrand Livsforsikring'!G39+'Telenor Forsikring'!G39+'Tryg Forsikring'!G39</f>
        <v>0</v>
      </c>
      <c r="G39" s="169"/>
      <c r="H39" s="316">
        <f t="shared" si="9"/>
        <v>17</v>
      </c>
      <c r="I39" s="281">
        <f t="shared" si="7"/>
        <v>3</v>
      </c>
      <c r="J39" s="36">
        <f t="shared" si="8"/>
        <v>-82.4</v>
      </c>
    </row>
    <row r="40" spans="1:10" ht="15.75" customHeight="1" x14ac:dyDescent="0.25">
      <c r="A40" s="47"/>
    </row>
    <row r="41" spans="1:10" ht="15.75" customHeight="1" x14ac:dyDescent="0.25">
      <c r="A41" s="155"/>
    </row>
    <row r="42" spans="1:10" ht="15.75" customHeight="1" x14ac:dyDescent="0.3">
      <c r="A42" s="147" t="s">
        <v>271</v>
      </c>
      <c r="B42" s="721"/>
      <c r="C42" s="721"/>
      <c r="D42" s="721"/>
      <c r="E42" s="722"/>
      <c r="F42" s="722"/>
      <c r="G42" s="722"/>
      <c r="H42" s="722"/>
      <c r="I42" s="722"/>
      <c r="J42" s="722"/>
    </row>
    <row r="43" spans="1:10" ht="15.75" customHeight="1" x14ac:dyDescent="0.3">
      <c r="A43" s="163"/>
      <c r="B43" s="433"/>
      <c r="C43" s="433"/>
      <c r="D43" s="433"/>
      <c r="E43" s="300"/>
      <c r="F43" s="300"/>
      <c r="G43" s="300"/>
      <c r="H43" s="300"/>
      <c r="I43" s="300"/>
      <c r="J43" s="300"/>
    </row>
    <row r="44" spans="1:10" s="3" customFormat="1" ht="15.75" customHeight="1" x14ac:dyDescent="0.3">
      <c r="A44" s="249"/>
      <c r="B44" s="328" t="s">
        <v>0</v>
      </c>
      <c r="C44" s="329"/>
      <c r="D44" s="257"/>
      <c r="E44" s="42"/>
      <c r="F44" s="42"/>
      <c r="G44" s="40"/>
      <c r="H44" s="42"/>
      <c r="I44" s="42"/>
      <c r="J44" s="40"/>
    </row>
    <row r="45" spans="1:10" s="3" customFormat="1" ht="15.75" customHeight="1" x14ac:dyDescent="0.25">
      <c r="A45" s="140"/>
      <c r="B45" s="254" t="s">
        <v>435</v>
      </c>
      <c r="C45" s="255" t="s">
        <v>436</v>
      </c>
      <c r="D45" s="252" t="s">
        <v>3</v>
      </c>
      <c r="E45" s="42"/>
      <c r="F45" s="42"/>
      <c r="G45" s="40"/>
      <c r="H45" s="42"/>
      <c r="I45" s="42"/>
      <c r="J45" s="40"/>
    </row>
    <row r="46" spans="1:10" s="3" customFormat="1" ht="15.75" customHeight="1" x14ac:dyDescent="0.25">
      <c r="A46" s="698"/>
      <c r="B46" s="46"/>
      <c r="C46" s="256"/>
      <c r="D46" s="17" t="s">
        <v>4</v>
      </c>
      <c r="E46" s="40"/>
      <c r="F46" s="40"/>
      <c r="G46" s="40"/>
      <c r="H46" s="40"/>
      <c r="I46" s="40"/>
      <c r="J46" s="40"/>
    </row>
    <row r="47" spans="1:10" s="418" customFormat="1" ht="15.75" customHeight="1" x14ac:dyDescent="0.25">
      <c r="A47" s="14" t="s">
        <v>23</v>
      </c>
      <c r="B47" s="236">
        <f>'Fremtind Livsforsikring'!B47+'Danica Pensjonsforsikring'!B47+'DNB Livsforsikring'!B47+'Eika Forsikring AS'!B47+'Frende Livsforsikring'!B47+'Frende Skadeforsikring'!B47+'Gjensidige Forsikring'!B47+'Gjensidige Pensjon'!B47+'Handelsbanken Liv'!B47+'If Skadeforsikring NUF'!B47+KLP!B47+'DNB Bedriftspensjon'!B47+'KLP Skadeforsikring AS'!B47+'Landkreditt Forsikring'!B47+Insr!B47+'Nordea Liv '!B47+'Oslo Pensjonsforsikring'!B47+'Protector Forsikring'!B47+'SHB Liv'!B47+'Sparebank 1'!B47+'Storebrand Livsforsikring'!B47+'Telenor Forsikring'!B47+'Tryg Forsikring'!B47+'WaterCircle F'!B47+'Codan Forsikring'!B47+'Euro Accident'!B47</f>
        <v>4226084.6171943173</v>
      </c>
      <c r="C47" s="236">
        <f>'Fremtind Livsforsikring'!C47+'Danica Pensjonsforsikring'!C47+'DNB Livsforsikring'!C47+'Eika Forsikring AS'!C47+'Frende Livsforsikring'!C47+'Frende Skadeforsikring'!C47+'Gjensidige Forsikring'!C47+'Gjensidige Pensjon'!C47+'Handelsbanken Liv'!C47+'If Skadeforsikring NUF'!C47+KLP!C47+'DNB Bedriftspensjon'!C47+'KLP Skadeforsikring AS'!C47+'Landkreditt Forsikring'!C47+Insr!C47+'Nordea Liv '!C47+'Oslo Pensjonsforsikring'!C47+'Protector Forsikring'!C47+'SHB Liv'!C47+'Sparebank 1'!C47+'Storebrand Livsforsikring'!C47+'Telenor Forsikring'!C47+'Tryg Forsikring'!C47+'WaterCircle F'!C47+'Codan Forsikring'!C47+'Euro Accident'!C47</f>
        <v>4470890.942388827</v>
      </c>
      <c r="D47" s="24">
        <f t="shared" ref="D47:D58" si="19">IF(B47=0, "    ---- ", IF(ABS(ROUND(100/B47*C47-100,1))&lt;999,ROUND(100/B47*C47-100,1),IF(ROUND(100/B47*C47-100,1)&gt;999,999,-999)))</f>
        <v>5.8</v>
      </c>
      <c r="E47" s="419"/>
      <c r="F47" s="420"/>
      <c r="G47" s="32"/>
      <c r="H47" s="421"/>
      <c r="I47" s="421"/>
      <c r="J47" s="32"/>
    </row>
    <row r="48" spans="1:10" s="3" customFormat="1" ht="15.75" customHeight="1" x14ac:dyDescent="0.25">
      <c r="A48" s="38" t="s">
        <v>374</v>
      </c>
      <c r="B48" s="44">
        <f>'Fremtind Livsforsikring'!B48+'Danica Pensjonsforsikring'!B48+'DNB Livsforsikring'!B48+'Eika Forsikring AS'!B48+'Frende Livsforsikring'!B48+'Frende Skadeforsikring'!B48+'Gjensidige Forsikring'!B48+'Gjensidige Pensjon'!B48+'Handelsbanken Liv'!B48+'If Skadeforsikring NUF'!B48+KLP!B48+'DNB Bedriftspensjon'!B48+'KLP Skadeforsikring AS'!B48+'Landkreditt Forsikring'!B48+Insr!B48+'Nordea Liv '!B48+'Oslo Pensjonsforsikring'!B48+'Protector Forsikring'!B48+'SHB Liv'!B48+'Sparebank 1'!B48+'Storebrand Livsforsikring'!B48+'Telenor Forsikring'!B48+'Tryg Forsikring'!B48+'WaterCircle F'!B48+'Codan Forsikring'!B48+'Euro Accident'!B48</f>
        <v>2378874.6428143168</v>
      </c>
      <c r="C48" s="44">
        <f>'Fremtind Livsforsikring'!C48+'Danica Pensjonsforsikring'!C48+'DNB Livsforsikring'!C48+'Eika Forsikring AS'!C48+'Frende Livsforsikring'!C48+'Frende Skadeforsikring'!C48+'Gjensidige Forsikring'!C48+'Gjensidige Pensjon'!C48+'Handelsbanken Liv'!C48+'If Skadeforsikring NUF'!C48+KLP!C48+'DNB Bedriftspensjon'!C48+'KLP Skadeforsikring AS'!C48+'Landkreditt Forsikring'!C48+Insr!C48+'Nordea Liv '!C48+'Oslo Pensjonsforsikring'!C48+'Protector Forsikring'!C48+'SHB Liv'!C48+'Sparebank 1'!C48+'Storebrand Livsforsikring'!C48+'Telenor Forsikring'!C48+'Tryg Forsikring'!C48+'WaterCircle F'!C48+'Codan Forsikring'!C48+'Euro Accident'!C48</f>
        <v>2507268.3052688269</v>
      </c>
      <c r="D48" s="24">
        <f t="shared" si="19"/>
        <v>5.4</v>
      </c>
      <c r="E48" s="35"/>
      <c r="F48" s="5"/>
      <c r="G48" s="34"/>
      <c r="H48" s="33"/>
      <c r="I48" s="33"/>
      <c r="J48" s="32"/>
    </row>
    <row r="49" spans="1:10" s="3" customFormat="1" ht="15.75" customHeight="1" x14ac:dyDescent="0.25">
      <c r="A49" s="38" t="s">
        <v>375</v>
      </c>
      <c r="B49" s="191">
        <f>'Fremtind Livsforsikring'!B49+'Danica Pensjonsforsikring'!B49+'DNB Livsforsikring'!B49+'Eika Forsikring AS'!B49+'Frende Livsforsikring'!B49+'Frende Skadeforsikring'!B49+'Gjensidige Forsikring'!B49+'Gjensidige Pensjon'!B49+'Handelsbanken Liv'!B49+'If Skadeforsikring NUF'!B49+KLP!B49+'DNB Bedriftspensjon'!B49+'KLP Skadeforsikring AS'!B49+'Landkreditt Forsikring'!B49+Insr!B49+'Nordea Liv '!B49+'Oslo Pensjonsforsikring'!B49+'Protector Forsikring'!B49+'SHB Liv'!B49+'Sparebank 1'!B49+'Storebrand Livsforsikring'!B49+'Telenor Forsikring'!B49+'Tryg Forsikring'!B49+'WaterCircle F'!B49+'Codan Forsikring'!B49+'Euro Accident'!B49</f>
        <v>1847209.97438</v>
      </c>
      <c r="C49" s="191">
        <f>'Fremtind Livsforsikring'!C49+'Danica Pensjonsforsikring'!C49+'DNB Livsforsikring'!C49+'Eika Forsikring AS'!C49+'Frende Livsforsikring'!C49+'Frende Skadeforsikring'!C49+'Gjensidige Forsikring'!C49+'Gjensidige Pensjon'!C49+'Handelsbanken Liv'!C49+'If Skadeforsikring NUF'!C49+KLP!C49+'DNB Bedriftspensjon'!C49+'KLP Skadeforsikring AS'!C49+'Landkreditt Forsikring'!C49+Insr!C49+'Nordea Liv '!C49+'Oslo Pensjonsforsikring'!C49+'Protector Forsikring'!C49+'SHB Liv'!C49+'Sparebank 1'!C49+'Storebrand Livsforsikring'!C49+'Telenor Forsikring'!C49+'Tryg Forsikring'!C49+'WaterCircle F'!C49+'Codan Forsikring'!C49+'Euro Accident'!C49</f>
        <v>1963622.6371200001</v>
      </c>
      <c r="D49" s="24">
        <f t="shared" si="19"/>
        <v>6.3</v>
      </c>
      <c r="E49" s="35"/>
      <c r="F49" s="5"/>
      <c r="G49" s="34"/>
      <c r="H49" s="37"/>
      <c r="I49" s="37"/>
      <c r="J49" s="32"/>
    </row>
    <row r="50" spans="1:10" s="3" customFormat="1" ht="15.75" customHeight="1" x14ac:dyDescent="0.25">
      <c r="A50" s="298" t="s">
        <v>6</v>
      </c>
      <c r="B50" s="187">
        <f>'Fremtind Livsforsikring'!C50+'Danica Pensjonsforsikring'!C50+'DNB Livsforsikring'!C50+'Eika Forsikring AS'!C50+'Frende Livsforsikring'!C50+'Frende Skadeforsikring'!C50+'Gjensidige Forsikring'!C50+'Gjensidige Pensjon'!C50+'Handelsbanken Liv'!C50+'If Skadeforsikring NUF'!C50+KLP!C50+'DNB Bedriftspensjon'!C50+'KLP Skadeforsikring AS'!C50+'Landkreditt Forsikring'!C50+Insr!C50+'Nordea Liv '!C50+'Oslo Pensjonsforsikring'!C50+'Protector Forsikring'!C50+'SHB Liv'!C50+'Sparebank 1'!C50+'Storebrand Livsforsikring'!C50+'Telenor Forsikring'!C50+'Tryg Forsikring'!C50+'WaterCircle F'!C50</f>
        <v>0</v>
      </c>
      <c r="C50" s="187">
        <f>'Fremtind Livsforsikring'!D50+'Danica Pensjonsforsikring'!D50+'DNB Livsforsikring'!D50+'Eika Forsikring AS'!D50+'Frende Livsforsikring'!D50+'Frende Skadeforsikring'!D50+'Gjensidige Forsikring'!D50+'Gjensidige Pensjon'!D50+'Handelsbanken Liv'!D50+'If Skadeforsikring NUF'!D50+KLP!D50+'DNB Bedriftspensjon'!D50+'KLP Skadeforsikring AS'!D50+'Landkreditt Forsikring'!D50+Insr!D50+'Nordea Liv '!D50+'Oslo Pensjonsforsikring'!D50+'Protector Forsikring'!D50+'SHB Liv'!D50+'Sparebank 1'!D50+'Storebrand Livsforsikring'!D50+'Telenor Forsikring'!D50+'Tryg Forsikring'!D50+'WaterCircle F'!D50</f>
        <v>0</v>
      </c>
      <c r="D50" s="27"/>
      <c r="E50" s="35"/>
      <c r="F50" s="5"/>
      <c r="G50" s="34"/>
      <c r="H50" s="33"/>
      <c r="I50" s="33"/>
      <c r="J50" s="32"/>
    </row>
    <row r="51" spans="1:10" s="3" customFormat="1" ht="15.75" customHeight="1" x14ac:dyDescent="0.25">
      <c r="A51" s="298" t="s">
        <v>7</v>
      </c>
      <c r="B51" s="187">
        <f>'Fremtind Livsforsikring'!C51+'Danica Pensjonsforsikring'!C51+'DNB Livsforsikring'!C51+'Eika Forsikring AS'!C51+'Frende Livsforsikring'!C51+'Frende Skadeforsikring'!C51+'Gjensidige Forsikring'!C51+'Gjensidige Pensjon'!C51+'Handelsbanken Liv'!C51+'If Skadeforsikring NUF'!C51+KLP!C51+'DNB Bedriftspensjon'!C51+'KLP Skadeforsikring AS'!C51+'Landkreditt Forsikring'!C51+Insr!C51+'Nordea Liv '!C51+'Oslo Pensjonsforsikring'!C51+'Protector Forsikring'!C51+'SHB Liv'!C51+'Sparebank 1'!C51+'Storebrand Livsforsikring'!C51+'Telenor Forsikring'!C51+'Tryg Forsikring'!C51+'WaterCircle F'!C51</f>
        <v>0</v>
      </c>
      <c r="C51" s="187">
        <f>'Fremtind Livsforsikring'!D51+'Danica Pensjonsforsikring'!D51+'DNB Livsforsikring'!D51+'Eika Forsikring AS'!D51+'Frende Livsforsikring'!D51+'Frende Skadeforsikring'!D51+'Gjensidige Forsikring'!D51+'Gjensidige Pensjon'!D51+'Handelsbanken Liv'!D51+'If Skadeforsikring NUF'!D51+KLP!D51+'DNB Bedriftspensjon'!D51+'KLP Skadeforsikring AS'!D51+'Landkreditt Forsikring'!D51+Insr!D51+'Nordea Liv '!D51+'Oslo Pensjonsforsikring'!D51+'Protector Forsikring'!D51+'SHB Liv'!D51+'Sparebank 1'!D51+'Storebrand Livsforsikring'!D51+'Telenor Forsikring'!D51+'Tryg Forsikring'!D51+'WaterCircle F'!D51</f>
        <v>0</v>
      </c>
      <c r="D51" s="27"/>
      <c r="E51" s="35"/>
      <c r="F51" s="5"/>
      <c r="G51" s="34"/>
      <c r="H51" s="33"/>
      <c r="I51" s="33"/>
      <c r="J51" s="32"/>
    </row>
    <row r="52" spans="1:10" s="3" customFormat="1" ht="15.75" customHeight="1" x14ac:dyDescent="0.25">
      <c r="A52" s="298" t="s">
        <v>8</v>
      </c>
      <c r="B52" s="187">
        <f>'Fremtind Livsforsikring'!C52+'Danica Pensjonsforsikring'!C52+'DNB Livsforsikring'!C52+'Eika Forsikring AS'!C52+'Frende Livsforsikring'!C52+'Frende Skadeforsikring'!C52+'Gjensidige Forsikring'!C52+'Gjensidige Pensjon'!C52+'Handelsbanken Liv'!C52+'If Skadeforsikring NUF'!C52+KLP!C52+'DNB Bedriftspensjon'!C52+'KLP Skadeforsikring AS'!C52+'Landkreditt Forsikring'!C52+Insr!C52+'Nordea Liv '!C52+'Oslo Pensjonsforsikring'!C52+'Protector Forsikring'!C52+'SHB Liv'!C52+'Sparebank 1'!C52+'Storebrand Livsforsikring'!C52+'Telenor Forsikring'!C52+'Tryg Forsikring'!C52+'WaterCircle F'!C52</f>
        <v>0</v>
      </c>
      <c r="C52" s="187">
        <f>'Fremtind Livsforsikring'!D52+'Danica Pensjonsforsikring'!D52+'DNB Livsforsikring'!D52+'Eika Forsikring AS'!D52+'Frende Livsforsikring'!D52+'Frende Skadeforsikring'!D52+'Gjensidige Forsikring'!D52+'Gjensidige Pensjon'!D52+'Handelsbanken Liv'!D52+'If Skadeforsikring NUF'!D52+KLP!D52+'DNB Bedriftspensjon'!D52+'KLP Skadeforsikring AS'!D52+'Landkreditt Forsikring'!D52+Insr!D52+'Nordea Liv '!D52+'Oslo Pensjonsforsikring'!D52+'Protector Forsikring'!D52+'SHB Liv'!D52+'Sparebank 1'!D52+'Storebrand Livsforsikring'!D52+'Telenor Forsikring'!D52+'Tryg Forsikring'!D52+'WaterCircle F'!D52</f>
        <v>0</v>
      </c>
      <c r="D52" s="27"/>
      <c r="E52" s="35"/>
      <c r="F52" s="5"/>
      <c r="G52" s="34"/>
      <c r="H52" s="33"/>
      <c r="I52" s="33"/>
      <c r="J52" s="32"/>
    </row>
    <row r="53" spans="1:10" s="418" customFormat="1" ht="15.75" customHeight="1" x14ac:dyDescent="0.25">
      <c r="A53" s="39" t="s">
        <v>376</v>
      </c>
      <c r="B53" s="236">
        <f>'Fremtind Livsforsikring'!B53+'Danica Pensjonsforsikring'!B53+'DNB Livsforsikring'!B53+'Eika Forsikring AS'!B53+'Frende Livsforsikring'!B53+'Frende Skadeforsikring'!B53+'Gjensidige Forsikring'!B53+'Gjensidige Pensjon'!B53+'Handelsbanken Liv'!B53+'If Skadeforsikring NUF'!B53+KLP!B53+'DNB Bedriftspensjon'!B53+'KLP Skadeforsikring AS'!B53+'Landkreditt Forsikring'!B53+Insr!B53+'Nordea Liv '!B53+'Oslo Pensjonsforsikring'!B53+'Protector Forsikring'!B53+'SHB Liv'!B53+'Sparebank 1'!B53+'Storebrand Livsforsikring'!B53+'Telenor Forsikring'!B53+'Tryg Forsikring'!B53+'WaterCircle F'!B53+'Codan Forsikring'!B53+'Euro Accident'!B53</f>
        <v>155462.67000000001</v>
      </c>
      <c r="C53" s="236">
        <f>'Fremtind Livsforsikring'!C53+'Danica Pensjonsforsikring'!C53+'DNB Livsforsikring'!C53+'Eika Forsikring AS'!C53+'Frende Livsforsikring'!C53+'Frende Skadeforsikring'!C53+'Gjensidige Forsikring'!C53+'Gjensidige Pensjon'!C53+'Handelsbanken Liv'!C53+'If Skadeforsikring NUF'!C53+KLP!C53+'DNB Bedriftspensjon'!C53+'KLP Skadeforsikring AS'!C53+'Landkreditt Forsikring'!C53+Insr!C53+'Nordea Liv '!C53+'Oslo Pensjonsforsikring'!C53+'Protector Forsikring'!C53+'SHB Liv'!C53+'Sparebank 1'!C53+'Storebrand Livsforsikring'!C53+'Telenor Forsikring'!C53+'Tryg Forsikring'!C53+'WaterCircle F'!C53+'Codan Forsikring'!C53+'Euro Accident'!C53</f>
        <v>257727.98700000002</v>
      </c>
      <c r="D53" s="24">
        <f t="shared" si="19"/>
        <v>65.8</v>
      </c>
      <c r="E53" s="419"/>
      <c r="F53" s="420"/>
      <c r="G53" s="32"/>
      <c r="H53" s="174"/>
      <c r="I53" s="174"/>
      <c r="J53" s="32"/>
    </row>
    <row r="54" spans="1:10" s="3" customFormat="1" ht="15.75" customHeight="1" x14ac:dyDescent="0.25">
      <c r="A54" s="38" t="s">
        <v>374</v>
      </c>
      <c r="B54" s="44">
        <f>'Fremtind Livsforsikring'!B54+'Danica Pensjonsforsikring'!B54+'DNB Livsforsikring'!B54+'Eika Forsikring AS'!B54+'Frende Livsforsikring'!B54+'Frende Skadeforsikring'!B54+'Gjensidige Forsikring'!B54+'Gjensidige Pensjon'!B54+'Handelsbanken Liv'!B54+'If Skadeforsikring NUF'!B54+KLP!B54+'DNB Bedriftspensjon'!B54+'KLP Skadeforsikring AS'!B54+'Landkreditt Forsikring'!B54+Insr!B54+'Nordea Liv '!B54+'Oslo Pensjonsforsikring'!B54+'Protector Forsikring'!B54+'SHB Liv'!B54+'Sparebank 1'!B54+'Storebrand Livsforsikring'!B54+'Telenor Forsikring'!B54+'Tryg Forsikring'!B54+'WaterCircle F'!B54+'Codan Forsikring'!B54+'Euro Accident'!B54</f>
        <v>155462.67000000001</v>
      </c>
      <c r="C54" s="44">
        <f>'Fremtind Livsforsikring'!C54+'Danica Pensjonsforsikring'!C54+'DNB Livsforsikring'!C54+'Eika Forsikring AS'!C54+'Frende Livsforsikring'!C54+'Frende Skadeforsikring'!C54+'Gjensidige Forsikring'!C54+'Gjensidige Pensjon'!C54+'Handelsbanken Liv'!C54+'If Skadeforsikring NUF'!C54+KLP!C54+'DNB Bedriftspensjon'!C54+'KLP Skadeforsikring AS'!C54+'Landkreditt Forsikring'!C54+Insr!C54+'Nordea Liv '!C54+'Oslo Pensjonsforsikring'!C54+'Protector Forsikring'!C54+'SHB Liv'!C54+'Sparebank 1'!C54+'Storebrand Livsforsikring'!C54+'Telenor Forsikring'!C54+'Tryg Forsikring'!C54+'WaterCircle F'!C54+'Codan Forsikring'!C54+'Euro Accident'!C54</f>
        <v>251603.10800000001</v>
      </c>
      <c r="D54" s="24">
        <f t="shared" si="19"/>
        <v>61.8</v>
      </c>
      <c r="E54" s="35"/>
      <c r="F54" s="5"/>
      <c r="G54" s="34"/>
      <c r="H54" s="33"/>
      <c r="I54" s="33"/>
      <c r="J54" s="32"/>
    </row>
    <row r="55" spans="1:10" s="3" customFormat="1" ht="15.75" customHeight="1" x14ac:dyDescent="0.25">
      <c r="A55" s="38" t="s">
        <v>375</v>
      </c>
      <c r="B55" s="44">
        <f>'Fremtind Livsforsikring'!B55+'Danica Pensjonsforsikring'!B55+'DNB Livsforsikring'!B55+'Eika Forsikring AS'!B55+'Frende Livsforsikring'!B55+'Frende Skadeforsikring'!B55+'Gjensidige Forsikring'!B55+'Gjensidige Pensjon'!B55+'Handelsbanken Liv'!B55+'If Skadeforsikring NUF'!B55+KLP!B55+'DNB Bedriftspensjon'!B55+'KLP Skadeforsikring AS'!B55+'Landkreditt Forsikring'!B55+Insr!B55+'Nordea Liv '!B55+'Oslo Pensjonsforsikring'!B55+'Protector Forsikring'!B55+'SHB Liv'!B55+'Sparebank 1'!B55+'Storebrand Livsforsikring'!B55+'Telenor Forsikring'!B55+'Tryg Forsikring'!B55+'WaterCircle F'!B55</f>
        <v>0</v>
      </c>
      <c r="C55" s="44">
        <f>'Fremtind Livsforsikring'!C55+'Danica Pensjonsforsikring'!C55+'DNB Livsforsikring'!C55+'Eika Forsikring AS'!C55+'Frende Livsforsikring'!C55+'Frende Skadeforsikring'!C55+'Gjensidige Forsikring'!C55+'Gjensidige Pensjon'!C55+'Handelsbanken Liv'!C55+'If Skadeforsikring NUF'!C55+KLP!C55+'DNB Bedriftspensjon'!C55+'KLP Skadeforsikring AS'!C55+'Landkreditt Forsikring'!C55+Insr!C55+'Nordea Liv '!C55+'Oslo Pensjonsforsikring'!C55+'Protector Forsikring'!C55+'SHB Liv'!C55+'Sparebank 1'!C55+'Storebrand Livsforsikring'!C55+'Telenor Forsikring'!C55+'Tryg Forsikring'!C55+'WaterCircle F'!C55</f>
        <v>5183.3109999999997</v>
      </c>
      <c r="D55" s="24" t="str">
        <f t="shared" si="19"/>
        <v xml:space="preserve">    ---- </v>
      </c>
      <c r="E55" s="35"/>
      <c r="F55" s="5"/>
      <c r="G55" s="34"/>
      <c r="H55" s="33"/>
      <c r="I55" s="33"/>
      <c r="J55" s="32"/>
    </row>
    <row r="56" spans="1:10" s="418" customFormat="1" ht="15.75" customHeight="1" x14ac:dyDescent="0.25">
      <c r="A56" s="39" t="s">
        <v>377</v>
      </c>
      <c r="B56" s="236">
        <f>'Fremtind Livsforsikring'!B56+'Danica Pensjonsforsikring'!B56+'DNB Livsforsikring'!B56+'Eika Forsikring AS'!B56+'Frende Livsforsikring'!B56+'Frende Skadeforsikring'!B56+'Gjensidige Forsikring'!B56+'Gjensidige Pensjon'!B56+'Handelsbanken Liv'!B56+'If Skadeforsikring NUF'!B56+KLP!B56+'DNB Bedriftspensjon'!B56+'KLP Skadeforsikring AS'!B56+'Landkreditt Forsikring'!B56+Insr!B56+'Nordea Liv '!B56+'Oslo Pensjonsforsikring'!B56+'Protector Forsikring'!B56+'SHB Liv'!B56+'Sparebank 1'!B56+'Storebrand Livsforsikring'!B56+'Telenor Forsikring'!B56+'Tryg Forsikring'!B56+'WaterCircle F'!B56+'Codan Forsikring'!B56+'Euro Accident'!B56</f>
        <v>118718.458</v>
      </c>
      <c r="C56" s="236">
        <f>'Fremtind Livsforsikring'!C56+'Danica Pensjonsforsikring'!C56+'DNB Livsforsikring'!C56+'Eika Forsikring AS'!C56+'Frende Livsforsikring'!C56+'Frende Skadeforsikring'!C56+'Gjensidige Forsikring'!C56+'Gjensidige Pensjon'!C56+'Handelsbanken Liv'!C56+'If Skadeforsikring NUF'!C56+KLP!C56+'DNB Bedriftspensjon'!C56+'KLP Skadeforsikring AS'!C56+'Landkreditt Forsikring'!C56+Insr!C56+'Nordea Liv '!C56+'Oslo Pensjonsforsikring'!C56+'Protector Forsikring'!C56+'SHB Liv'!C56+'Sparebank 1'!C56+'Storebrand Livsforsikring'!C56+'Telenor Forsikring'!C56+'Tryg Forsikring'!C56+'WaterCircle F'!C56+'Codan Forsikring'!C56+'Euro Accident'!C56</f>
        <v>121085.53399999999</v>
      </c>
      <c r="D56" s="24">
        <f t="shared" si="19"/>
        <v>2</v>
      </c>
      <c r="E56" s="419"/>
      <c r="F56" s="420"/>
      <c r="G56" s="32"/>
      <c r="H56" s="174"/>
      <c r="I56" s="174"/>
      <c r="J56" s="32"/>
    </row>
    <row r="57" spans="1:10" s="3" customFormat="1" ht="15.75" customHeight="1" x14ac:dyDescent="0.25">
      <c r="A57" s="38" t="s">
        <v>374</v>
      </c>
      <c r="B57" s="44">
        <f>'Fremtind Livsforsikring'!B57+'Danica Pensjonsforsikring'!B57+'DNB Livsforsikring'!B57+'Eika Forsikring AS'!B57+'Frende Livsforsikring'!B57+'Frende Skadeforsikring'!B57+'Gjensidige Forsikring'!B57+'Gjensidige Pensjon'!B57+'Handelsbanken Liv'!B57+'If Skadeforsikring NUF'!B57+KLP!B57+'DNB Bedriftspensjon'!B57+'KLP Skadeforsikring AS'!B57+'Landkreditt Forsikring'!B57+Insr!B57+'Nordea Liv '!B57+'Oslo Pensjonsforsikring'!B57+'Protector Forsikring'!B57+'SHB Liv'!B57+'Sparebank 1'!B57+'Storebrand Livsforsikring'!B57+'Telenor Forsikring'!B57+'Tryg Forsikring'!B57+'WaterCircle F'!B57+'Codan Forsikring'!B57+'Euro Accident'!B57</f>
        <v>118718.458</v>
      </c>
      <c r="C57" s="44">
        <f>'Fremtind Livsforsikring'!C57+'Danica Pensjonsforsikring'!C57+'DNB Livsforsikring'!C57+'Eika Forsikring AS'!C57+'Frende Livsforsikring'!C57+'Frende Skadeforsikring'!C57+'Gjensidige Forsikring'!C57+'Gjensidige Pensjon'!C57+'Handelsbanken Liv'!C57+'If Skadeforsikring NUF'!C57+KLP!C57+'DNB Bedriftspensjon'!C57+'KLP Skadeforsikring AS'!C57+'Landkreditt Forsikring'!C57+Insr!C57+'Nordea Liv '!C57+'Oslo Pensjonsforsikring'!C57+'Protector Forsikring'!C57+'SHB Liv'!C57+'Sparebank 1'!C57+'Storebrand Livsforsikring'!C57+'Telenor Forsikring'!C57+'Tryg Forsikring'!C57+'WaterCircle F'!C57+'Codan Forsikring'!C57+'Euro Accident'!C57</f>
        <v>121080.70899999997</v>
      </c>
      <c r="D57" s="24">
        <f t="shared" si="19"/>
        <v>2</v>
      </c>
      <c r="E57" s="35"/>
      <c r="F57" s="5"/>
      <c r="G57" s="34"/>
      <c r="H57" s="33"/>
      <c r="I57" s="33"/>
      <c r="J57" s="32"/>
    </row>
    <row r="58" spans="1:10" s="3" customFormat="1" ht="15.75" customHeight="1" x14ac:dyDescent="0.25">
      <c r="A58" s="38" t="s">
        <v>375</v>
      </c>
      <c r="B58" s="45">
        <f>'Fremtind Livsforsikring'!B58+'Danica Pensjonsforsikring'!B58+'DNB Livsforsikring'!B58+'Eika Forsikring AS'!B58+'Frende Livsforsikring'!B58+'Frende Skadeforsikring'!B58+'Gjensidige Forsikring'!B58+'Gjensidige Pensjon'!B58+'Handelsbanken Liv'!B58+'If Skadeforsikring NUF'!B58+KLP!B58+'DNB Bedriftspensjon'!B58+'KLP Skadeforsikring AS'!B58+'Landkreditt Forsikring'!B58+Insr!B58+'Nordea Liv '!B58+'Oslo Pensjonsforsikring'!B58+'Protector Forsikring'!B58+'SHB Liv'!B58+'Sparebank 1'!B58+'Storebrand Livsforsikring'!B58+'Telenor Forsikring'!B58+'Tryg Forsikring'!B58+'WaterCircle F'!B58</f>
        <v>0</v>
      </c>
      <c r="C58" s="45">
        <f>'Fremtind Livsforsikring'!C58+'Danica Pensjonsforsikring'!C58+'DNB Livsforsikring'!C58+'Eika Forsikring AS'!C58+'Frende Livsforsikring'!C58+'Frende Skadeforsikring'!C58+'Gjensidige Forsikring'!C58+'Gjensidige Pensjon'!C58+'Handelsbanken Liv'!C58+'If Skadeforsikring NUF'!C58+KLP!C58+'DNB Bedriftspensjon'!C58+'KLP Skadeforsikring AS'!C58+'Landkreditt Forsikring'!C58+Insr!C58+'Nordea Liv '!C58+'Oslo Pensjonsforsikring'!C58+'Protector Forsikring'!C58+'SHB Liv'!C58+'Sparebank 1'!C58+'Storebrand Livsforsikring'!C58+'Telenor Forsikring'!C58+'Tryg Forsikring'!C58+'WaterCircle F'!C58</f>
        <v>4.8250000000000002</v>
      </c>
      <c r="D58" s="36" t="str">
        <f t="shared" si="19"/>
        <v xml:space="preserve">    ---- </v>
      </c>
      <c r="E58" s="35"/>
      <c r="F58" s="5"/>
      <c r="G58" s="34"/>
      <c r="H58" s="33"/>
      <c r="I58" s="33"/>
      <c r="J58" s="32"/>
    </row>
    <row r="59" spans="1:10" s="3" customFormat="1" ht="15.75" customHeight="1" x14ac:dyDescent="0.3">
      <c r="A59" s="164"/>
      <c r="B59" s="30"/>
      <c r="C59" s="30"/>
      <c r="D59" s="30"/>
      <c r="E59" s="31"/>
      <c r="F59" s="31"/>
      <c r="G59" s="31"/>
      <c r="H59" s="31"/>
      <c r="I59" s="31"/>
      <c r="J59" s="31"/>
    </row>
    <row r="60" spans="1:10" ht="15.75" customHeight="1" x14ac:dyDescent="0.25">
      <c r="A60" s="155"/>
    </row>
    <row r="61" spans="1:10" ht="15.75" customHeight="1" x14ac:dyDescent="0.3">
      <c r="A61" s="147" t="s">
        <v>272</v>
      </c>
      <c r="C61" s="26"/>
      <c r="D61" s="25"/>
      <c r="E61" s="26"/>
      <c r="F61" s="26"/>
      <c r="G61" s="25"/>
      <c r="H61" s="26"/>
      <c r="I61" s="26"/>
      <c r="J61" s="25"/>
    </row>
    <row r="62" spans="1:10" ht="20.100000000000001" customHeight="1" x14ac:dyDescent="0.3">
      <c r="A62" s="149"/>
      <c r="B62" s="721"/>
      <c r="C62" s="721"/>
      <c r="D62" s="721"/>
      <c r="E62" s="721"/>
      <c r="F62" s="721"/>
      <c r="G62" s="721"/>
      <c r="H62" s="721"/>
      <c r="I62" s="721"/>
      <c r="J62" s="721"/>
    </row>
    <row r="63" spans="1:10" ht="15.75" customHeight="1" x14ac:dyDescent="0.25">
      <c r="A63" s="144"/>
      <c r="B63" s="718" t="s">
        <v>0</v>
      </c>
      <c r="C63" s="719"/>
      <c r="D63" s="719"/>
      <c r="E63" s="718" t="s">
        <v>1</v>
      </c>
      <c r="F63" s="719"/>
      <c r="G63" s="720"/>
      <c r="H63" s="719" t="s">
        <v>2</v>
      </c>
      <c r="I63" s="719"/>
      <c r="J63" s="720"/>
    </row>
    <row r="64" spans="1:10" ht="15.75" customHeight="1" x14ac:dyDescent="0.25">
      <c r="A64" s="140"/>
      <c r="B64" s="253" t="s">
        <v>435</v>
      </c>
      <c r="C64" s="253" t="s">
        <v>436</v>
      </c>
      <c r="D64" s="19" t="s">
        <v>3</v>
      </c>
      <c r="E64" s="253" t="s">
        <v>435</v>
      </c>
      <c r="F64" s="253" t="s">
        <v>436</v>
      </c>
      <c r="G64" s="19" t="s">
        <v>3</v>
      </c>
      <c r="H64" s="253" t="s">
        <v>435</v>
      </c>
      <c r="I64" s="253" t="s">
        <v>436</v>
      </c>
      <c r="J64" s="19" t="s">
        <v>3</v>
      </c>
    </row>
    <row r="65" spans="1:10" ht="15.75" customHeight="1" x14ac:dyDescent="0.25">
      <c r="A65" s="698"/>
      <c r="B65" s="15"/>
      <c r="C65" s="15"/>
      <c r="D65" s="17" t="s">
        <v>4</v>
      </c>
      <c r="E65" s="16"/>
      <c r="F65" s="16"/>
      <c r="G65" s="15" t="s">
        <v>4</v>
      </c>
      <c r="H65" s="16"/>
      <c r="I65" s="16"/>
      <c r="J65" s="15" t="s">
        <v>4</v>
      </c>
    </row>
    <row r="66" spans="1:10" s="43" customFormat="1" ht="15.75" customHeight="1" x14ac:dyDescent="0.25">
      <c r="A66" s="14" t="s">
        <v>23</v>
      </c>
      <c r="B66" s="330">
        <f>'Fremtind Livsforsikring'!B66+'Danica Pensjonsforsikring'!B66+'DNB Livsforsikring'!B66+'Eika Forsikring AS'!B66+'Frende Livsforsikring'!B66+'Frende Skadeforsikring'!B66+'Gjensidige Forsikring'!B66+'Gjensidige Pensjon'!B66+'Handelsbanken Liv'!B66+'If Skadeforsikring NUF'!B66+KLP!B66+'DNB Bedriftspensjon'!B66+'KLP Skadeforsikring AS'!B66+'Landkreditt Forsikring'!B66+Insr!B66+'Nordea Liv '!B66+'Oslo Pensjonsforsikring'!B66+'Protector Forsikring'!B66+'SHB Liv'!B66+'Sparebank 1'!B66+'Storebrand Livsforsikring'!B66+'Telenor Forsikring'!B66+'Tryg Forsikring'!B66+'WaterCircle F'!B66+'Codan Forsikring'!B66+'Euro Accident'!B66</f>
        <v>5925094.3501699995</v>
      </c>
      <c r="C66" s="236">
        <f>'Fremtind Livsforsikring'!C66+'Danica Pensjonsforsikring'!C66+'DNB Livsforsikring'!C66+'Eika Forsikring AS'!C66+'Frende Livsforsikring'!C66+'Frende Skadeforsikring'!C66+'Gjensidige Forsikring'!C66+'Gjensidige Pensjon'!C66+'Handelsbanken Liv'!C66+'If Skadeforsikring NUF'!C66+KLP!C66+'DNB Bedriftspensjon'!C66+'KLP Skadeforsikring AS'!C66+'Landkreditt Forsikring'!C66+Insr!C66+'Nordea Liv '!C66+'Oslo Pensjonsforsikring'!C66+'Protector Forsikring'!C66+'SHB Liv'!C66+'Sparebank 1'!C66+'Storebrand Livsforsikring'!C66+'Telenor Forsikring'!C66+'Tryg Forsikring'!C66+'WaterCircle F'!C66+'Codan Forsikring'!C66+'Euro Accident'!C66</f>
        <v>6273278.3742899997</v>
      </c>
      <c r="D66" s="24">
        <f t="shared" ref="D66:D111" si="20">IF(B66=0, "    ---- ", IF(ABS(ROUND(100/B66*C66-100,1))&lt;999,ROUND(100/B66*C66-100,1),IF(ROUND(100/B66*C66-100,1)&gt;999,999,-999)))</f>
        <v>5.9</v>
      </c>
      <c r="E66" s="236">
        <f>'Fremtind Livsforsikring'!F66+'Danica Pensjonsforsikring'!F66+'DNB Livsforsikring'!F66+'Eika Forsikring AS'!F66+'Frende Livsforsikring'!F66+'Frende Skadeforsikring'!F66+'Gjensidige Forsikring'!F66+'Gjensidige Pensjon'!F66+'Handelsbanken Liv'!F66+'If Skadeforsikring NUF'!F66+KLP!F66+'DNB Bedriftspensjon'!F66+'KLP Skadeforsikring AS'!F66+'Landkreditt Forsikring'!F66+Insr!F66+'Nordea Liv '!F66+'Oslo Pensjonsforsikring'!F66+'Protector Forsikring'!F66+'SHB Liv'!F66+'Sparebank 1'!F66+'Storebrand Livsforsikring'!F66+'Telenor Forsikring'!F66+'Tryg Forsikring'!F66+'WaterCircle F'!F66+'Codan Forsikring'!F66+'Euro Accident'!F66</f>
        <v>26015990.351750001</v>
      </c>
      <c r="F66" s="236">
        <f>'Fremtind Livsforsikring'!G66+'Danica Pensjonsforsikring'!G66+'DNB Livsforsikring'!G66+'Eika Forsikring AS'!G66+'Frende Livsforsikring'!G66+'Frende Skadeforsikring'!G66+'Gjensidige Forsikring'!G66+'Gjensidige Pensjon'!G66+'Handelsbanken Liv'!G66+'If Skadeforsikring NUF'!G66+KLP!G66+'DNB Bedriftspensjon'!G66+'KLP Skadeforsikring AS'!G66+'Landkreditt Forsikring'!G66+Insr!G66+'Nordea Liv '!G66+'Oslo Pensjonsforsikring'!G66+'Protector Forsikring'!G66+'SHB Liv'!G66+'Sparebank 1'!G66+'Storebrand Livsforsikring'!G66+'Telenor Forsikring'!G66+'Tryg Forsikring'!G66+'WaterCircle F'!G66+'Codan Forsikring'!G66+'Euro Accident'!G66</f>
        <v>28068883.722309999</v>
      </c>
      <c r="G66" s="171">
        <f t="shared" ref="G66" si="21">IF(E66=0, "    ---- ", IF(ABS(ROUND(100/E66*F66-100,1))&lt;999,ROUND(100/E66*F66-100,1),IF(ROUND(100/E66*F66-100,1)&gt;999,999,-999)))</f>
        <v>7.9</v>
      </c>
      <c r="H66" s="330">
        <f t="shared" ref="H66:H86" si="22">SUM(B66,E66)</f>
        <v>31941084.701920003</v>
      </c>
      <c r="I66" s="330">
        <f t="shared" ref="I66:I86" si="23">SUM(C66,F66)</f>
        <v>34342162.096599996</v>
      </c>
      <c r="J66" s="24">
        <f t="shared" ref="J66:J111" si="24">IF(H66=0, "    ---- ", IF(ABS(ROUND(100/H66*I66-100,1))&lt;999,ROUND(100/H66*I66-100,1),IF(ROUND(100/H66*I66-100,1)&gt;999,999,-999)))</f>
        <v>7.5</v>
      </c>
    </row>
    <row r="67" spans="1:10" ht="15.75" customHeight="1" x14ac:dyDescent="0.25">
      <c r="A67" s="21" t="s">
        <v>9</v>
      </c>
      <c r="B67" s="234">
        <f>'Fremtind Livsforsikring'!B67+'Danica Pensjonsforsikring'!B67+'DNB Livsforsikring'!B67+'Eika Forsikring AS'!B67+'Frende Livsforsikring'!B67+'Frende Skadeforsikring'!B67+'Gjensidige Forsikring'!B67+'Gjensidige Pensjon'!B67+'Handelsbanken Liv'!B67+'If Skadeforsikring NUF'!B67+KLP!B67+'DNB Bedriftspensjon'!B67+'KLP Skadeforsikring AS'!B67+'Landkreditt Forsikring'!B67+Insr!B67+'Nordea Liv '!B67+'Oslo Pensjonsforsikring'!B67+'Protector Forsikring'!B67+'SHB Liv'!B67+'Sparebank 1'!B67+'Storebrand Livsforsikring'!B67+'Telenor Forsikring'!B67+'Tryg Forsikring'!B67+'WaterCircle F'!B67+'Codan Forsikring'!B67+'Euro Accident'!B67</f>
        <v>4166328.131116244</v>
      </c>
      <c r="C67" s="234">
        <f>'Fremtind Livsforsikring'!C67+'Danica Pensjonsforsikring'!C67+'DNB Livsforsikring'!C67+'Eika Forsikring AS'!C67+'Frende Livsforsikring'!C67+'Frende Skadeforsikring'!C67+'Gjensidige Forsikring'!C67+'Gjensidige Pensjon'!C67+'Handelsbanken Liv'!C67+'If Skadeforsikring NUF'!C67+KLP!C67+'DNB Bedriftspensjon'!C67+'KLP Skadeforsikring AS'!C67+'Landkreditt Forsikring'!C67+Insr!C67+'Nordea Liv '!C67+'Oslo Pensjonsforsikring'!C67+'Protector Forsikring'!C67+'SHB Liv'!C67+'Sparebank 1'!C67+'Storebrand Livsforsikring'!C67+'Telenor Forsikring'!C67+'Tryg Forsikring'!C67+'WaterCircle F'!C67+'Codan Forsikring'!C67+'Euro Accident'!C67</f>
        <v>4460227.4679899085</v>
      </c>
      <c r="D67" s="23">
        <f t="shared" si="20"/>
        <v>7.1</v>
      </c>
      <c r="E67" s="44">
        <f>'Fremtind Livsforsikring'!F67+'Danica Pensjonsforsikring'!F67+'DNB Livsforsikring'!F67+'Eika Forsikring AS'!F67+'Frende Livsforsikring'!F67+'Frende Skadeforsikring'!F67+'Gjensidige Forsikring'!F67+'Gjensidige Pensjon'!F67+'Handelsbanken Liv'!F67+'If Skadeforsikring NUF'!F67+KLP!F67+'DNB Bedriftspensjon'!F67+'KLP Skadeforsikring AS'!F67+'Landkreditt Forsikring'!F67+Insr!F67+'Nordea Liv '!F67+'Oslo Pensjonsforsikring'!F67+'Protector Forsikring'!F67+'SHB Liv'!F67+'Sparebank 1'!F67+'Storebrand Livsforsikring'!F67+'Telenor Forsikring'!F67+'Tryg Forsikring'!F67+'WaterCircle F'!F67+'Codan Forsikring'!F67+'Euro Accident'!F67</f>
        <v>0</v>
      </c>
      <c r="F67" s="44">
        <f>'Fremtind Livsforsikring'!G67+'Danica Pensjonsforsikring'!G67+'DNB Livsforsikring'!G67+'Eika Forsikring AS'!G67+'Frende Livsforsikring'!G67+'Frende Skadeforsikring'!G67+'Gjensidige Forsikring'!G67+'Gjensidige Pensjon'!G67+'Handelsbanken Liv'!G67+'If Skadeforsikring NUF'!G67+KLP!G67+'DNB Bedriftspensjon'!G67+'KLP Skadeforsikring AS'!G67+'Landkreditt Forsikring'!G67+Insr!G67+'Nordea Liv '!G67+'Oslo Pensjonsforsikring'!G67+'Protector Forsikring'!G67+'SHB Liv'!G67+'Sparebank 1'!G67+'Storebrand Livsforsikring'!G67+'Telenor Forsikring'!G67+'Tryg Forsikring'!G67+'WaterCircle F'!G67+'Codan Forsikring'!G67+'Euro Accident'!G67</f>
        <v>0</v>
      </c>
      <c r="G67" s="166"/>
      <c r="H67" s="237">
        <f t="shared" si="22"/>
        <v>4166328.131116244</v>
      </c>
      <c r="I67" s="237">
        <f t="shared" si="23"/>
        <v>4460227.4679899085</v>
      </c>
      <c r="J67" s="23">
        <f t="shared" si="24"/>
        <v>7.1</v>
      </c>
    </row>
    <row r="68" spans="1:10" ht="15.75" customHeight="1" x14ac:dyDescent="0.25">
      <c r="A68" s="21" t="s">
        <v>10</v>
      </c>
      <c r="B68" s="234">
        <f>'Fremtind Livsforsikring'!B68+'Danica Pensjonsforsikring'!B68+'DNB Livsforsikring'!B68+'Eika Forsikring AS'!B68+'Frende Livsforsikring'!B68+'Frende Skadeforsikring'!B68+'Gjensidige Forsikring'!B68+'Gjensidige Pensjon'!B68+'Handelsbanken Liv'!B68+'If Skadeforsikring NUF'!B68+KLP!B68+'DNB Bedriftspensjon'!B68+'KLP Skadeforsikring AS'!B68+'Landkreditt Forsikring'!B68+Insr!B68+'Nordea Liv '!B68+'Oslo Pensjonsforsikring'!B68+'Protector Forsikring'!B68+'SHB Liv'!B68+'Sparebank 1'!B68+'Storebrand Livsforsikring'!B68+'Telenor Forsikring'!B68+'Tryg Forsikring'!B68+'WaterCircle F'!B68+'Codan Forsikring'!B68+'Euro Accident'!B68</f>
        <v>118405.78634999999</v>
      </c>
      <c r="C68" s="234">
        <f>'Fremtind Livsforsikring'!C68+'Danica Pensjonsforsikring'!C68+'DNB Livsforsikring'!C68+'Eika Forsikring AS'!C68+'Frende Livsforsikring'!C68+'Frende Skadeforsikring'!C68+'Gjensidige Forsikring'!C68+'Gjensidige Pensjon'!C68+'Handelsbanken Liv'!C68+'If Skadeforsikring NUF'!C68+KLP!C68+'DNB Bedriftspensjon'!C68+'KLP Skadeforsikring AS'!C68+'Landkreditt Forsikring'!C68+Insr!C68+'Nordea Liv '!C68+'Oslo Pensjonsforsikring'!C68+'Protector Forsikring'!C68+'SHB Liv'!C68+'Sparebank 1'!C68+'Storebrand Livsforsikring'!C68+'Telenor Forsikring'!C68+'Tryg Forsikring'!C68+'WaterCircle F'!C68+'Codan Forsikring'!C68+'Euro Accident'!C68</f>
        <v>34968.568589999995</v>
      </c>
      <c r="D68" s="23">
        <f t="shared" si="20"/>
        <v>-70.5</v>
      </c>
      <c r="E68" s="44">
        <f>'Fremtind Livsforsikring'!F68+'Danica Pensjonsforsikring'!F68+'DNB Livsforsikring'!F68+'Eika Forsikring AS'!F68+'Frende Livsforsikring'!F68+'Frende Skadeforsikring'!F68+'Gjensidige Forsikring'!F68+'Gjensidige Pensjon'!F68+'Handelsbanken Liv'!F68+'If Skadeforsikring NUF'!F68+KLP!F68+'DNB Bedriftspensjon'!F68+'KLP Skadeforsikring AS'!F68+'Landkreditt Forsikring'!F68+Insr!F68+'Nordea Liv '!F68+'Oslo Pensjonsforsikring'!F68+'Protector Forsikring'!F68+'SHB Liv'!F68+'Sparebank 1'!F68+'Storebrand Livsforsikring'!F68+'Telenor Forsikring'!F68+'Tryg Forsikring'!F68+'WaterCircle F'!F68+'Codan Forsikring'!F68+'Euro Accident'!F68</f>
        <v>24986974.430980001</v>
      </c>
      <c r="F68" s="44">
        <f>'Fremtind Livsforsikring'!G68+'Danica Pensjonsforsikring'!G68+'DNB Livsforsikring'!G68+'Eika Forsikring AS'!G68+'Frende Livsforsikring'!G68+'Frende Skadeforsikring'!G68+'Gjensidige Forsikring'!G68+'Gjensidige Pensjon'!G68+'Handelsbanken Liv'!G68+'If Skadeforsikring NUF'!G68+KLP!G68+'DNB Bedriftspensjon'!G68+'KLP Skadeforsikring AS'!G68+'Landkreditt Forsikring'!G68+Insr!G68+'Nordea Liv '!G68+'Oslo Pensjonsforsikring'!G68+'Protector Forsikring'!G68+'SHB Liv'!G68+'Sparebank 1'!G68+'Storebrand Livsforsikring'!G68+'Telenor Forsikring'!G68+'Tryg Forsikring'!G68+'WaterCircle F'!G68+'Codan Forsikring'!G68+'Euro Accident'!G68</f>
        <v>26951875.208689999</v>
      </c>
      <c r="G68" s="23">
        <f t="shared" ref="G68" si="25">IF(E68=0, "    ---- ", IF(ABS(ROUND(100/E68*F68-100,1))&lt;999,ROUND(100/E68*F68-100,1),IF(ROUND(100/E68*F68-100,1)&gt;999,999,-999)))</f>
        <v>7.9</v>
      </c>
      <c r="H68" s="237">
        <f t="shared" si="22"/>
        <v>25105380.217330001</v>
      </c>
      <c r="I68" s="237">
        <f t="shared" si="23"/>
        <v>26986843.777279999</v>
      </c>
      <c r="J68" s="23">
        <f t="shared" si="24"/>
        <v>7.5</v>
      </c>
    </row>
    <row r="69" spans="1:10" ht="15.75" customHeight="1" x14ac:dyDescent="0.25">
      <c r="A69" s="298" t="s">
        <v>378</v>
      </c>
      <c r="B69" s="235">
        <f>'Fremtind Livsforsikring'!B69+'Danica Pensjonsforsikring'!B69+'DNB Livsforsikring'!B69+'Eika Forsikring AS'!B69+'Frende Livsforsikring'!B69+'Frende Skadeforsikring'!B69+'Gjensidige Forsikring'!B69+'Gjensidige Pensjon'!B69+'Handelsbanken Liv'!B69+'If Skadeforsikring NUF'!B69+KLP!B69+'DNB Bedriftspensjon'!B69+'KLP Skadeforsikring AS'!B69+'Landkreditt Forsikring'!B69+Insr!B69+'Nordea Liv '!B69+'Oslo Pensjonsforsikring'!B69+'Protector Forsikring'!B69+'SHB Liv'!B69+'Sparebank 1'!B69+'Storebrand Livsforsikring'!B69+'Telenor Forsikring'!B69+'Tryg Forsikring'!B69+'WaterCircle F'!B69+'Codan Forsikring'!B69+'Euro Accident'!B69</f>
        <v>0</v>
      </c>
      <c r="C69" s="235">
        <f>'Fremtind Livsforsikring'!C69+'Danica Pensjonsforsikring'!C69+'DNB Livsforsikring'!C69+'Eika Forsikring AS'!C69+'Frende Livsforsikring'!C69+'Frende Skadeforsikring'!C69+'Gjensidige Forsikring'!C69+'Gjensidige Pensjon'!C69+'Handelsbanken Liv'!C69+'If Skadeforsikring NUF'!C69+KLP!C69+'DNB Bedriftspensjon'!C69+'KLP Skadeforsikring AS'!C69+'Landkreditt Forsikring'!C69+Insr!C69+'Nordea Liv '!C69+'Oslo Pensjonsforsikring'!C69+'Protector Forsikring'!C69+'SHB Liv'!C69+'Sparebank 1'!C69+'Storebrand Livsforsikring'!C69+'Telenor Forsikring'!C69+'Tryg Forsikring'!C69+'WaterCircle F'!C69+'Codan Forsikring'!C69+'Euro Accident'!C69</f>
        <v>0</v>
      </c>
      <c r="D69" s="27"/>
      <c r="E69" s="235">
        <f>'Fremtind Livsforsikring'!F69+'Danica Pensjonsforsikring'!F69+'DNB Livsforsikring'!F69+'Eika Forsikring AS'!F69+'Frende Livsforsikring'!F69+'Frende Skadeforsikring'!F69+'Gjensidige Forsikring'!F69+'Gjensidige Pensjon'!F69+'Handelsbanken Liv'!F69+'If Skadeforsikring NUF'!F69+KLP!F69+'DNB Bedriftspensjon'!F69+'KLP Skadeforsikring AS'!F69+'Landkreditt Forsikring'!F69+Insr!F69+'Nordea Liv '!F69+'Oslo Pensjonsforsikring'!F69+'Protector Forsikring'!F69+'SHB Liv'!F69+'Sparebank 1'!F69+'Storebrand Livsforsikring'!F69+'Telenor Forsikring'!F69+'Tryg Forsikring'!F69+'WaterCircle F'!F69+'Codan Forsikring'!F69+'Euro Accident'!F69</f>
        <v>0</v>
      </c>
      <c r="F69" s="235">
        <f>'Fremtind Livsforsikring'!G69+'Danica Pensjonsforsikring'!G69+'DNB Livsforsikring'!G69+'Eika Forsikring AS'!G69+'Frende Livsforsikring'!G69+'Frende Skadeforsikring'!G69+'Gjensidige Forsikring'!G69+'Gjensidige Pensjon'!G69+'Handelsbanken Liv'!G69+'If Skadeforsikring NUF'!G69+KLP!G69+'DNB Bedriftspensjon'!G69+'KLP Skadeforsikring AS'!G69+'Landkreditt Forsikring'!G69+Insr!G69+'Nordea Liv '!G69+'Oslo Pensjonsforsikring'!G69+'Protector Forsikring'!G69+'SHB Liv'!G69+'Sparebank 1'!G69+'Storebrand Livsforsikring'!G69+'Telenor Forsikring'!G69+'Tryg Forsikring'!G69+'WaterCircle F'!G69+'Codan Forsikring'!G69+'Euro Accident'!G69</f>
        <v>0</v>
      </c>
      <c r="G69" s="166"/>
      <c r="H69" s="235"/>
      <c r="I69" s="235"/>
      <c r="J69" s="23"/>
    </row>
    <row r="70" spans="1:10" ht="15.75" customHeight="1" x14ac:dyDescent="0.25">
      <c r="A70" s="298" t="s">
        <v>12</v>
      </c>
      <c r="B70" s="235">
        <f>'Fremtind Livsforsikring'!B70+'Danica Pensjonsforsikring'!B70+'DNB Livsforsikring'!B70+'Eika Forsikring AS'!B70+'Frende Livsforsikring'!B70+'Frende Skadeforsikring'!B70+'Gjensidige Forsikring'!B70+'Gjensidige Pensjon'!B70+'Handelsbanken Liv'!B70+'If Skadeforsikring NUF'!B70+KLP!B70+'DNB Bedriftspensjon'!B70+'KLP Skadeforsikring AS'!B70+'Landkreditt Forsikring'!B70+Insr!B70+'Nordea Liv '!B70+'Oslo Pensjonsforsikring'!B70+'Protector Forsikring'!B70+'SHB Liv'!B70+'Sparebank 1'!B70+'Storebrand Livsforsikring'!B70+'Telenor Forsikring'!B70+'Tryg Forsikring'!B70+'WaterCircle F'!B70+'Codan Forsikring'!B70+'Euro Accident'!B70</f>
        <v>0</v>
      </c>
      <c r="C70" s="235">
        <f>'Fremtind Livsforsikring'!C70+'Danica Pensjonsforsikring'!C70+'DNB Livsforsikring'!C70+'Eika Forsikring AS'!C70+'Frende Livsforsikring'!C70+'Frende Skadeforsikring'!C70+'Gjensidige Forsikring'!C70+'Gjensidige Pensjon'!C70+'Handelsbanken Liv'!C70+'If Skadeforsikring NUF'!C70+KLP!C70+'DNB Bedriftspensjon'!C70+'KLP Skadeforsikring AS'!C70+'Landkreditt Forsikring'!C70+Insr!C70+'Nordea Liv '!C70+'Oslo Pensjonsforsikring'!C70+'Protector Forsikring'!C70+'SHB Liv'!C70+'Sparebank 1'!C70+'Storebrand Livsforsikring'!C70+'Telenor Forsikring'!C70+'Tryg Forsikring'!C70+'WaterCircle F'!C70+'Codan Forsikring'!C70+'Euro Accident'!C70</f>
        <v>0</v>
      </c>
      <c r="D70" s="27"/>
      <c r="E70" s="235">
        <f>'Fremtind Livsforsikring'!F70+'Danica Pensjonsforsikring'!F70+'DNB Livsforsikring'!F70+'Eika Forsikring AS'!F70+'Frende Livsforsikring'!F70+'Frende Skadeforsikring'!F70+'Gjensidige Forsikring'!F70+'Gjensidige Pensjon'!F70+'Handelsbanken Liv'!F70+'If Skadeforsikring NUF'!F70+KLP!F70+'DNB Bedriftspensjon'!F70+'KLP Skadeforsikring AS'!F70+'Landkreditt Forsikring'!F70+Insr!F70+'Nordea Liv '!F70+'Oslo Pensjonsforsikring'!F70+'Protector Forsikring'!F70+'SHB Liv'!F70+'Sparebank 1'!F70+'Storebrand Livsforsikring'!F70+'Telenor Forsikring'!F70+'Tryg Forsikring'!F70+'WaterCircle F'!F70+'Codan Forsikring'!F70+'Euro Accident'!F70</f>
        <v>0</v>
      </c>
      <c r="F70" s="235">
        <f>'Fremtind Livsforsikring'!G70+'Danica Pensjonsforsikring'!G70+'DNB Livsforsikring'!G70+'Eika Forsikring AS'!G70+'Frende Livsforsikring'!G70+'Frende Skadeforsikring'!G70+'Gjensidige Forsikring'!G70+'Gjensidige Pensjon'!G70+'Handelsbanken Liv'!G70+'If Skadeforsikring NUF'!G70+KLP!G70+'DNB Bedriftspensjon'!G70+'KLP Skadeforsikring AS'!G70+'Landkreditt Forsikring'!G70+Insr!G70+'Nordea Liv '!G70+'Oslo Pensjonsforsikring'!G70+'Protector Forsikring'!G70+'SHB Liv'!G70+'Sparebank 1'!G70+'Storebrand Livsforsikring'!G70+'Telenor Forsikring'!G70+'Tryg Forsikring'!G70+'WaterCircle F'!G70+'Codan Forsikring'!G70+'Euro Accident'!G70</f>
        <v>0</v>
      </c>
      <c r="G70" s="166"/>
      <c r="H70" s="235"/>
      <c r="I70" s="235"/>
      <c r="J70" s="23"/>
    </row>
    <row r="71" spans="1:10" ht="15.75" customHeight="1" x14ac:dyDescent="0.25">
      <c r="A71" s="298" t="s">
        <v>13</v>
      </c>
      <c r="B71" s="235">
        <f>'Fremtind Livsforsikring'!B71+'Danica Pensjonsforsikring'!B71+'DNB Livsforsikring'!B71+'Eika Forsikring AS'!B71+'Frende Livsforsikring'!B71+'Frende Skadeforsikring'!B71+'Gjensidige Forsikring'!B71+'Gjensidige Pensjon'!B71+'Handelsbanken Liv'!B71+'If Skadeforsikring NUF'!B71+KLP!B71+'DNB Bedriftspensjon'!B71+'KLP Skadeforsikring AS'!B71+'Landkreditt Forsikring'!B71+Insr!B71+'Nordea Liv '!B71+'Oslo Pensjonsforsikring'!B71+'Protector Forsikring'!B71+'SHB Liv'!B71+'Sparebank 1'!B71+'Storebrand Livsforsikring'!B71+'Telenor Forsikring'!B71+'Tryg Forsikring'!B71+'WaterCircle F'!B71+'Codan Forsikring'!B71+'Euro Accident'!B71</f>
        <v>0</v>
      </c>
      <c r="C71" s="235">
        <f>'Fremtind Livsforsikring'!C71+'Danica Pensjonsforsikring'!C71+'DNB Livsforsikring'!C71+'Eika Forsikring AS'!C71+'Frende Livsforsikring'!C71+'Frende Skadeforsikring'!C71+'Gjensidige Forsikring'!C71+'Gjensidige Pensjon'!C71+'Handelsbanken Liv'!C71+'If Skadeforsikring NUF'!C71+KLP!C71+'DNB Bedriftspensjon'!C71+'KLP Skadeforsikring AS'!C71+'Landkreditt Forsikring'!C71+Insr!C71+'Nordea Liv '!C71+'Oslo Pensjonsforsikring'!C71+'Protector Forsikring'!C71+'SHB Liv'!C71+'Sparebank 1'!C71+'Storebrand Livsforsikring'!C71+'Telenor Forsikring'!C71+'Tryg Forsikring'!C71+'WaterCircle F'!C71+'Codan Forsikring'!C71+'Euro Accident'!C71</f>
        <v>0</v>
      </c>
      <c r="D71" s="27"/>
      <c r="E71" s="235">
        <f>'Fremtind Livsforsikring'!F71+'Danica Pensjonsforsikring'!F71+'DNB Livsforsikring'!F71+'Eika Forsikring AS'!F71+'Frende Livsforsikring'!F71+'Frende Skadeforsikring'!F71+'Gjensidige Forsikring'!F71+'Gjensidige Pensjon'!F71+'Handelsbanken Liv'!F71+'If Skadeforsikring NUF'!F71+KLP!F71+'DNB Bedriftspensjon'!F71+'KLP Skadeforsikring AS'!F71+'Landkreditt Forsikring'!F71+Insr!F71+'Nordea Liv '!F71+'Oslo Pensjonsforsikring'!F71+'Protector Forsikring'!F71+'SHB Liv'!F71+'Sparebank 1'!F71+'Storebrand Livsforsikring'!F71+'Telenor Forsikring'!F71+'Tryg Forsikring'!F71+'WaterCircle F'!F71+'Codan Forsikring'!F71+'Euro Accident'!F71</f>
        <v>0</v>
      </c>
      <c r="F71" s="235">
        <f>'Fremtind Livsforsikring'!G71+'Danica Pensjonsforsikring'!G71+'DNB Livsforsikring'!G71+'Eika Forsikring AS'!G71+'Frende Livsforsikring'!G71+'Frende Skadeforsikring'!G71+'Gjensidige Forsikring'!G71+'Gjensidige Pensjon'!G71+'Handelsbanken Liv'!G71+'If Skadeforsikring NUF'!G71+KLP!G71+'DNB Bedriftspensjon'!G71+'KLP Skadeforsikring AS'!G71+'Landkreditt Forsikring'!G71+Insr!G71+'Nordea Liv '!G71+'Oslo Pensjonsforsikring'!G71+'Protector Forsikring'!G71+'SHB Liv'!G71+'Sparebank 1'!G71+'Storebrand Livsforsikring'!G71+'Telenor Forsikring'!G71+'Tryg Forsikring'!G71+'WaterCircle F'!G71+'Codan Forsikring'!G71+'Euro Accident'!G71</f>
        <v>0</v>
      </c>
      <c r="G71" s="166"/>
      <c r="H71" s="235"/>
      <c r="I71" s="235"/>
      <c r="J71" s="23"/>
    </row>
    <row r="72" spans="1:10" ht="15.75" customHeight="1" x14ac:dyDescent="0.25">
      <c r="A72" s="298" t="s">
        <v>379</v>
      </c>
      <c r="B72" s="235">
        <f>'Fremtind Livsforsikring'!B72+'Danica Pensjonsforsikring'!B72+'DNB Livsforsikring'!B72+'Eika Forsikring AS'!B72+'Frende Livsforsikring'!B72+'Frende Skadeforsikring'!B72+'Gjensidige Forsikring'!B72+'Gjensidige Pensjon'!B72+'Handelsbanken Liv'!B72+'If Skadeforsikring NUF'!B72+KLP!B72+'DNB Bedriftspensjon'!B72+'KLP Skadeforsikring AS'!B72+'Landkreditt Forsikring'!B72+Insr!B72+'Nordea Liv '!B72+'Oslo Pensjonsforsikring'!B72+'Protector Forsikring'!B72+'SHB Liv'!B72+'Sparebank 1'!B72+'Storebrand Livsforsikring'!B72+'Telenor Forsikring'!B72+'Tryg Forsikring'!B72+'WaterCircle F'!B72+'Codan Forsikring'!B72+'Euro Accident'!B72</f>
        <v>0</v>
      </c>
      <c r="C72" s="235">
        <f>'Fremtind Livsforsikring'!C72+'Danica Pensjonsforsikring'!C72+'DNB Livsforsikring'!C72+'Eika Forsikring AS'!C72+'Frende Livsforsikring'!C72+'Frende Skadeforsikring'!C72+'Gjensidige Forsikring'!C72+'Gjensidige Pensjon'!C72+'Handelsbanken Liv'!C72+'If Skadeforsikring NUF'!C72+KLP!C72+'DNB Bedriftspensjon'!C72+'KLP Skadeforsikring AS'!C72+'Landkreditt Forsikring'!C72+Insr!C72+'Nordea Liv '!C72+'Oslo Pensjonsforsikring'!C72+'Protector Forsikring'!C72+'SHB Liv'!C72+'Sparebank 1'!C72+'Storebrand Livsforsikring'!C72+'Telenor Forsikring'!C72+'Tryg Forsikring'!C72+'WaterCircle F'!C72+'Codan Forsikring'!C72+'Euro Accident'!C72</f>
        <v>0</v>
      </c>
      <c r="D72" s="27"/>
      <c r="E72" s="235">
        <f>'Fremtind Livsforsikring'!F72+'Danica Pensjonsforsikring'!F72+'DNB Livsforsikring'!F72+'Eika Forsikring AS'!F72+'Frende Livsforsikring'!F72+'Frende Skadeforsikring'!F72+'Gjensidige Forsikring'!F72+'Gjensidige Pensjon'!F72+'Handelsbanken Liv'!F72+'If Skadeforsikring NUF'!F72+KLP!F72+'DNB Bedriftspensjon'!F72+'KLP Skadeforsikring AS'!F72+'Landkreditt Forsikring'!F72+Insr!F72+'Nordea Liv '!F72+'Oslo Pensjonsforsikring'!F72+'Protector Forsikring'!F72+'SHB Liv'!F72+'Sparebank 1'!F72+'Storebrand Livsforsikring'!F72+'Telenor Forsikring'!F72+'Tryg Forsikring'!F72+'WaterCircle F'!F72+'Codan Forsikring'!F72+'Euro Accident'!F72</f>
        <v>0</v>
      </c>
      <c r="F72" s="235">
        <f>'Fremtind Livsforsikring'!G72+'Danica Pensjonsforsikring'!G72+'DNB Livsforsikring'!G72+'Eika Forsikring AS'!G72+'Frende Livsforsikring'!G72+'Frende Skadeforsikring'!G72+'Gjensidige Forsikring'!G72+'Gjensidige Pensjon'!G72+'Handelsbanken Liv'!G72+'If Skadeforsikring NUF'!G72+KLP!G72+'DNB Bedriftspensjon'!G72+'KLP Skadeforsikring AS'!G72+'Landkreditt Forsikring'!G72+Insr!G72+'Nordea Liv '!G72+'Oslo Pensjonsforsikring'!G72+'Protector Forsikring'!G72+'SHB Liv'!G72+'Sparebank 1'!G72+'Storebrand Livsforsikring'!G72+'Telenor Forsikring'!G72+'Tryg Forsikring'!G72+'WaterCircle F'!G72+'Codan Forsikring'!G72+'Euro Accident'!G72</f>
        <v>0</v>
      </c>
      <c r="G72" s="166"/>
      <c r="H72" s="235"/>
      <c r="I72" s="235"/>
      <c r="J72" s="24"/>
    </row>
    <row r="73" spans="1:10" ht="15.75" customHeight="1" x14ac:dyDescent="0.25">
      <c r="A73" s="298" t="s">
        <v>12</v>
      </c>
      <c r="B73" s="235">
        <f>'Fremtind Livsforsikring'!B73+'Danica Pensjonsforsikring'!B73+'DNB Livsforsikring'!B73+'Eika Forsikring AS'!B73+'Frende Livsforsikring'!B73+'Frende Skadeforsikring'!B73+'Gjensidige Forsikring'!B73+'Gjensidige Pensjon'!B73+'Handelsbanken Liv'!B73+'If Skadeforsikring NUF'!B73+KLP!B73+'DNB Bedriftspensjon'!B73+'KLP Skadeforsikring AS'!B73+'Landkreditt Forsikring'!B73+Insr!B73+'Nordea Liv '!B73+'Oslo Pensjonsforsikring'!B73+'Protector Forsikring'!B73+'SHB Liv'!B73+'Sparebank 1'!B73+'Storebrand Livsforsikring'!B73+'Telenor Forsikring'!B73+'Tryg Forsikring'!B73+'WaterCircle F'!B73+'Codan Forsikring'!B73+'Euro Accident'!B73</f>
        <v>0</v>
      </c>
      <c r="C73" s="235">
        <f>'Fremtind Livsforsikring'!C73+'Danica Pensjonsforsikring'!C73+'DNB Livsforsikring'!C73+'Eika Forsikring AS'!C73+'Frende Livsforsikring'!C73+'Frende Skadeforsikring'!C73+'Gjensidige Forsikring'!C73+'Gjensidige Pensjon'!C73+'Handelsbanken Liv'!C73+'If Skadeforsikring NUF'!C73+KLP!C73+'DNB Bedriftspensjon'!C73+'KLP Skadeforsikring AS'!C73+'Landkreditt Forsikring'!C73+Insr!C73+'Nordea Liv '!C73+'Oslo Pensjonsforsikring'!C73+'Protector Forsikring'!C73+'SHB Liv'!C73+'Sparebank 1'!C73+'Storebrand Livsforsikring'!C73+'Telenor Forsikring'!C73+'Tryg Forsikring'!C73+'WaterCircle F'!C73+'Codan Forsikring'!C73+'Euro Accident'!C73</f>
        <v>0</v>
      </c>
      <c r="D73" s="27"/>
      <c r="E73" s="235">
        <f>'Fremtind Livsforsikring'!F73+'Danica Pensjonsforsikring'!F73+'DNB Livsforsikring'!F73+'Eika Forsikring AS'!F73+'Frende Livsforsikring'!F73+'Frende Skadeforsikring'!F73+'Gjensidige Forsikring'!F73+'Gjensidige Pensjon'!F73+'Handelsbanken Liv'!F73+'If Skadeforsikring NUF'!F73+KLP!F73+'DNB Bedriftspensjon'!F73+'KLP Skadeforsikring AS'!F73+'Landkreditt Forsikring'!F73+Insr!F73+'Nordea Liv '!F73+'Oslo Pensjonsforsikring'!F73+'Protector Forsikring'!F73+'SHB Liv'!F73+'Sparebank 1'!F73+'Storebrand Livsforsikring'!F73+'Telenor Forsikring'!F73+'Tryg Forsikring'!F73+'WaterCircle F'!F73+'Codan Forsikring'!F73+'Euro Accident'!F73</f>
        <v>0</v>
      </c>
      <c r="F73" s="235">
        <f>'Fremtind Livsforsikring'!G73+'Danica Pensjonsforsikring'!G73+'DNB Livsforsikring'!G73+'Eika Forsikring AS'!G73+'Frende Livsforsikring'!G73+'Frende Skadeforsikring'!G73+'Gjensidige Forsikring'!G73+'Gjensidige Pensjon'!G73+'Handelsbanken Liv'!G73+'If Skadeforsikring NUF'!G73+KLP!G73+'DNB Bedriftspensjon'!G73+'KLP Skadeforsikring AS'!G73+'Landkreditt Forsikring'!G73+Insr!G73+'Nordea Liv '!G73+'Oslo Pensjonsforsikring'!G73+'Protector Forsikring'!G73+'SHB Liv'!G73+'Sparebank 1'!G73+'Storebrand Livsforsikring'!G73+'Telenor Forsikring'!G73+'Tryg Forsikring'!G73+'WaterCircle F'!G73+'Codan Forsikring'!G73+'Euro Accident'!G73</f>
        <v>0</v>
      </c>
      <c r="G73" s="166"/>
      <c r="H73" s="235"/>
      <c r="I73" s="235"/>
      <c r="J73" s="23"/>
    </row>
    <row r="74" spans="1:10" s="3" customFormat="1" ht="15.75" customHeight="1" x14ac:dyDescent="0.25">
      <c r="A74" s="298" t="s">
        <v>13</v>
      </c>
      <c r="B74" s="235">
        <f>'Fremtind Livsforsikring'!B74+'Danica Pensjonsforsikring'!B74+'DNB Livsforsikring'!B74+'Eika Forsikring AS'!B74+'Frende Livsforsikring'!B74+'Frende Skadeforsikring'!B74+'Gjensidige Forsikring'!B74+'Gjensidige Pensjon'!B74+'Handelsbanken Liv'!B74+'If Skadeforsikring NUF'!B74+KLP!B74+'DNB Bedriftspensjon'!B74+'KLP Skadeforsikring AS'!B74+'Landkreditt Forsikring'!B74+Insr!B74+'Nordea Liv '!B74+'Oslo Pensjonsforsikring'!B74+'Protector Forsikring'!B74+'SHB Liv'!B74+'Sparebank 1'!B74+'Storebrand Livsforsikring'!B74+'Telenor Forsikring'!B74+'Tryg Forsikring'!B74+'WaterCircle F'!B74+'Codan Forsikring'!B74+'Euro Accident'!B74</f>
        <v>0</v>
      </c>
      <c r="C74" s="235">
        <f>'Fremtind Livsforsikring'!C74+'Danica Pensjonsforsikring'!C74+'DNB Livsforsikring'!C74+'Eika Forsikring AS'!C74+'Frende Livsforsikring'!C74+'Frende Skadeforsikring'!C74+'Gjensidige Forsikring'!C74+'Gjensidige Pensjon'!C74+'Handelsbanken Liv'!C74+'If Skadeforsikring NUF'!C74+KLP!C74+'DNB Bedriftspensjon'!C74+'KLP Skadeforsikring AS'!C74+'Landkreditt Forsikring'!C74+Insr!C74+'Nordea Liv '!C74+'Oslo Pensjonsforsikring'!C74+'Protector Forsikring'!C74+'SHB Liv'!C74+'Sparebank 1'!C74+'Storebrand Livsforsikring'!C74+'Telenor Forsikring'!C74+'Tryg Forsikring'!C74+'WaterCircle F'!C74+'Codan Forsikring'!C74+'Euro Accident'!C74</f>
        <v>0</v>
      </c>
      <c r="D74" s="27"/>
      <c r="E74" s="235">
        <f>'Fremtind Livsforsikring'!F74+'Danica Pensjonsforsikring'!F74+'DNB Livsforsikring'!F74+'Eika Forsikring AS'!F74+'Frende Livsforsikring'!F74+'Frende Skadeforsikring'!F74+'Gjensidige Forsikring'!F74+'Gjensidige Pensjon'!F74+'Handelsbanken Liv'!F74+'If Skadeforsikring NUF'!F74+KLP!F74+'DNB Bedriftspensjon'!F74+'KLP Skadeforsikring AS'!F74+'Landkreditt Forsikring'!F74+Insr!F74+'Nordea Liv '!F74+'Oslo Pensjonsforsikring'!F74+'Protector Forsikring'!F74+'SHB Liv'!F74+'Sparebank 1'!F74+'Storebrand Livsforsikring'!F74+'Telenor Forsikring'!F74+'Tryg Forsikring'!F74+'WaterCircle F'!F74+'Codan Forsikring'!F74+'Euro Accident'!F74</f>
        <v>0</v>
      </c>
      <c r="F74" s="235">
        <f>'Fremtind Livsforsikring'!G74+'Danica Pensjonsforsikring'!G74+'DNB Livsforsikring'!G74+'Eika Forsikring AS'!G74+'Frende Livsforsikring'!G74+'Frende Skadeforsikring'!G74+'Gjensidige Forsikring'!G74+'Gjensidige Pensjon'!G74+'Handelsbanken Liv'!G74+'If Skadeforsikring NUF'!G74+KLP!G74+'DNB Bedriftspensjon'!G74+'KLP Skadeforsikring AS'!G74+'Landkreditt Forsikring'!G74+Insr!G74+'Nordea Liv '!G74+'Oslo Pensjonsforsikring'!G74+'Protector Forsikring'!G74+'SHB Liv'!G74+'Sparebank 1'!G74+'Storebrand Livsforsikring'!G74+'Telenor Forsikring'!G74+'Tryg Forsikring'!G74+'WaterCircle F'!G74+'Codan Forsikring'!G74+'Euro Accident'!G74</f>
        <v>0</v>
      </c>
      <c r="G74" s="166"/>
      <c r="H74" s="235"/>
      <c r="I74" s="235"/>
      <c r="J74" s="23"/>
    </row>
    <row r="75" spans="1:10" s="3" customFormat="1" ht="15.75" customHeight="1" x14ac:dyDescent="0.3">
      <c r="A75" s="21" t="s">
        <v>348</v>
      </c>
      <c r="B75" s="44">
        <f>'Fremtind Livsforsikring'!B75+'Danica Pensjonsforsikring'!B75+'DNB Livsforsikring'!B75+'Eika Forsikring AS'!B75+'Frende Livsforsikring'!B75+'Frende Skadeforsikring'!B75+'Gjensidige Forsikring'!B75+'Gjensidige Pensjon'!B75+'Handelsbanken Liv'!B75+'If Skadeforsikring NUF'!B75+KLP!B75+'DNB Bedriftspensjon'!B75+'KLP Skadeforsikring AS'!B75+'Landkreditt Forsikring'!B75+Insr!B75+'Nordea Liv '!B75+'Oslo Pensjonsforsikring'!B75+'Protector Forsikring'!B75+'SHB Liv'!B75+'Sparebank 1'!B75+'Storebrand Livsforsikring'!B75+'Telenor Forsikring'!B75+'Tryg Forsikring'!B75+'WaterCircle F'!B75+'Codan Forsikring'!B75+'Euro Accident'!B75</f>
        <v>335864.80619999999</v>
      </c>
      <c r="C75" s="44">
        <f>'Fremtind Livsforsikring'!C75+'Danica Pensjonsforsikring'!C75+'DNB Livsforsikring'!C75+'Eika Forsikring AS'!C75+'Frende Livsforsikring'!C75+'Frende Skadeforsikring'!C75+'Gjensidige Forsikring'!C75+'Gjensidige Pensjon'!C75+'Handelsbanken Liv'!C75+'If Skadeforsikring NUF'!C75+KLP!C75+'DNB Bedriftspensjon'!C75+'KLP Skadeforsikring AS'!C75+'Landkreditt Forsikring'!C75+Insr!C75+'Nordea Liv '!C75+'Oslo Pensjonsforsikring'!C75+'Protector Forsikring'!C75+'SHB Liv'!C75+'Sparebank 1'!C75+'Storebrand Livsforsikring'!C75+'Telenor Forsikring'!C75+'Tryg Forsikring'!C75+'WaterCircle F'!C75+'Codan Forsikring'!C75+'Euro Accident'!C75</f>
        <v>409420.10761000001</v>
      </c>
      <c r="D75" s="23">
        <f t="shared" si="20"/>
        <v>21.9</v>
      </c>
      <c r="E75" s="44">
        <f>'Fremtind Livsforsikring'!F75+'Danica Pensjonsforsikring'!F75+'DNB Livsforsikring'!F75+'Eika Forsikring AS'!F75+'Frende Livsforsikring'!F75+'Frende Skadeforsikring'!F75+'Gjensidige Forsikring'!F75+'Gjensidige Pensjon'!F75+'Handelsbanken Liv'!F75+'If Skadeforsikring NUF'!F75+KLP!F75+'DNB Bedriftspensjon'!F75+'KLP Skadeforsikring AS'!F75+'Landkreditt Forsikring'!F75+Insr!F75+'Nordea Liv '!F75+'Oslo Pensjonsforsikring'!F75+'Protector Forsikring'!F75+'SHB Liv'!F75+'Sparebank 1'!F75+'Storebrand Livsforsikring'!F75+'Telenor Forsikring'!F75+'Tryg Forsikring'!F75+'WaterCircle F'!F75+'Codan Forsikring'!F75+'Euro Accident'!F75</f>
        <v>1029015.92077</v>
      </c>
      <c r="F75" s="44">
        <f>'Fremtind Livsforsikring'!G75+'Danica Pensjonsforsikring'!G75+'DNB Livsforsikring'!G75+'Eika Forsikring AS'!G75+'Frende Livsforsikring'!G75+'Frende Skadeforsikring'!G75+'Gjensidige Forsikring'!G75+'Gjensidige Pensjon'!G75+'Handelsbanken Liv'!G75+'If Skadeforsikring NUF'!G75+KLP!G75+'DNB Bedriftspensjon'!G75+'KLP Skadeforsikring AS'!G75+'Landkreditt Forsikring'!G75+Insr!G75+'Nordea Liv '!G75+'Oslo Pensjonsforsikring'!G75+'Protector Forsikring'!G75+'SHB Liv'!G75+'Sparebank 1'!G75+'Storebrand Livsforsikring'!G75+'Telenor Forsikring'!G75+'Tryg Forsikring'!G75+'WaterCircle F'!G75+'Codan Forsikring'!G75+'Euro Accident'!G75</f>
        <v>1117008.5136199999</v>
      </c>
      <c r="G75" s="241">
        <f t="shared" ref="G75" si="26">IF(E75=0, "    ---- ", IF(ABS(ROUND(100/E75*F75-100,1))&lt;999,ROUND(100/E75*F75-100,1),IF(ROUND(100/E75*F75-100,1)&gt;999,999,-999)))</f>
        <v>8.6</v>
      </c>
      <c r="H75" s="237">
        <f t="shared" si="22"/>
        <v>1364880.72697</v>
      </c>
      <c r="I75" s="237">
        <f t="shared" si="23"/>
        <v>1526428.6212299999</v>
      </c>
      <c r="J75" s="23">
        <f t="shared" si="24"/>
        <v>11.8</v>
      </c>
    </row>
    <row r="76" spans="1:10" s="3" customFormat="1" ht="15.75" customHeight="1" x14ac:dyDescent="0.25">
      <c r="A76" s="21" t="s">
        <v>347</v>
      </c>
      <c r="B76" s="44">
        <f>'Fremtind Livsforsikring'!B76+'Danica Pensjonsforsikring'!B76+'DNB Livsforsikring'!B76+'Eika Forsikring AS'!B76+'Frende Livsforsikring'!B76+'Frende Skadeforsikring'!B76+'Gjensidige Forsikring'!B76+'Gjensidige Pensjon'!B76+'Handelsbanken Liv'!B76+'If Skadeforsikring NUF'!B76+KLP!B76+'DNB Bedriftspensjon'!B76+'KLP Skadeforsikring AS'!B76+'Landkreditt Forsikring'!B76+Insr!B76+'Nordea Liv '!B76+'Oslo Pensjonsforsikring'!B76+'Protector Forsikring'!B76+'SHB Liv'!B76+'Sparebank 1'!B76+'Storebrand Livsforsikring'!B76+'Telenor Forsikring'!B76+'Tryg Forsikring'!B76+'WaterCircle F'!B76+'Codan Forsikring'!B76+'Euro Accident'!B76</f>
        <v>1304495.626503756</v>
      </c>
      <c r="C76" s="44">
        <f>'Fremtind Livsforsikring'!C76+'Danica Pensjonsforsikring'!C76+'DNB Livsforsikring'!C76+'Eika Forsikring AS'!C76+'Frende Livsforsikring'!C76+'Frende Skadeforsikring'!C76+'Gjensidige Forsikring'!C76+'Gjensidige Pensjon'!C76+'Handelsbanken Liv'!C76+'If Skadeforsikring NUF'!C76+KLP!C76+'DNB Bedriftspensjon'!C76+'KLP Skadeforsikring AS'!C76+'Landkreditt Forsikring'!C76+Insr!C76+'Nordea Liv '!C76+'Oslo Pensjonsforsikring'!C76+'Protector Forsikring'!C76+'SHB Liv'!C76+'Sparebank 1'!C76+'Storebrand Livsforsikring'!C76+'Telenor Forsikring'!C76+'Tryg Forsikring'!C76+'WaterCircle F'!C76+'Codan Forsikring'!C76+'Euro Accident'!C76</f>
        <v>1368662.230100092</v>
      </c>
      <c r="D76" s="23">
        <f t="shared" ref="D76" si="27">IF(B76=0, "    ---- ", IF(ABS(ROUND(100/B76*C76-100,1))&lt;999,ROUND(100/B76*C76-100,1),IF(ROUND(100/B76*C76-100,1)&gt;999,999,-999)))</f>
        <v>4.9000000000000004</v>
      </c>
      <c r="E76" s="44">
        <f>'Fremtind Livsforsikring'!F76+'Danica Pensjonsforsikring'!F76+'DNB Livsforsikring'!F76+'Eika Forsikring AS'!F76+'Frende Livsforsikring'!F76+'Frende Skadeforsikring'!F76+'Gjensidige Forsikring'!F76+'Gjensidige Pensjon'!F76+'Handelsbanken Liv'!F76+'If Skadeforsikring NUF'!F76+KLP!F76+'DNB Bedriftspensjon'!F76+'KLP Skadeforsikring AS'!F76+'Landkreditt Forsikring'!F76+Insr!F76+'Nordea Liv '!F76+'Oslo Pensjonsforsikring'!F76+'Protector Forsikring'!F76+'SHB Liv'!F76+'Sparebank 1'!F76+'Storebrand Livsforsikring'!F76+'Telenor Forsikring'!F76+'Tryg Forsikring'!F76+'WaterCircle F'!F76+'Codan Forsikring'!F76+'Euro Accident'!F76</f>
        <v>0</v>
      </c>
      <c r="F76" s="44">
        <f>'Fremtind Livsforsikring'!G76+'Danica Pensjonsforsikring'!G76+'DNB Livsforsikring'!G76+'Eika Forsikring AS'!G76+'Frende Livsforsikring'!G76+'Frende Skadeforsikring'!G76+'Gjensidige Forsikring'!G76+'Gjensidige Pensjon'!G76+'Handelsbanken Liv'!G76+'If Skadeforsikring NUF'!G76+KLP!G76+'DNB Bedriftspensjon'!G76+'KLP Skadeforsikring AS'!G76+'Landkreditt Forsikring'!G76+Insr!G76+'Nordea Liv '!G76+'Oslo Pensjonsforsikring'!G76+'Protector Forsikring'!G76+'SHB Liv'!G76+'Sparebank 1'!G76+'Storebrand Livsforsikring'!G76+'Telenor Forsikring'!G76+'Tryg Forsikring'!G76+'WaterCircle F'!G76+'Codan Forsikring'!G76+'Euro Accident'!G76</f>
        <v>0</v>
      </c>
      <c r="G76" s="166"/>
      <c r="H76" s="237">
        <f t="shared" ref="H76" si="28">SUM(B76,E76)</f>
        <v>1304495.626503756</v>
      </c>
      <c r="I76" s="237">
        <f t="shared" ref="I76" si="29">SUM(C76,F76)</f>
        <v>1368662.230100092</v>
      </c>
      <c r="J76" s="23">
        <f t="shared" ref="J76" si="30">IF(H76=0, "    ---- ", IF(ABS(ROUND(100/H76*I76-100,1))&lt;999,ROUND(100/H76*I76-100,1),IF(ROUND(100/H76*I76-100,1)&gt;999,999,-999)))</f>
        <v>4.9000000000000004</v>
      </c>
    </row>
    <row r="77" spans="1:10" ht="15.75" customHeight="1" x14ac:dyDescent="0.3">
      <c r="A77" s="21" t="s">
        <v>380</v>
      </c>
      <c r="B77" s="44">
        <f>'Fremtind Livsforsikring'!B77+'Danica Pensjonsforsikring'!B77+'DNB Livsforsikring'!B77+'Eika Forsikring AS'!B77+'Frende Livsforsikring'!B77+'Frende Skadeforsikring'!B77+'Gjensidige Forsikring'!B77+'Gjensidige Pensjon'!B77+'Handelsbanken Liv'!B77+'If Skadeforsikring NUF'!B77+KLP!B77+'DNB Bedriftspensjon'!B77+'KLP Skadeforsikring AS'!B77+'Landkreditt Forsikring'!B77+Insr!B77+'Nordea Liv '!B77+'Oslo Pensjonsforsikring'!B77+'Protector Forsikring'!B77+'SHB Liv'!B77+'Sparebank 1'!B77+'Storebrand Livsforsikring'!B77+'Telenor Forsikring'!B77+'Tryg Forsikring'!B77+'WaterCircle F'!B77+'Codan Forsikring'!B77+'Euro Accident'!B77</f>
        <v>4146249.595466244</v>
      </c>
      <c r="C77" s="234">
        <f>'Fremtind Livsforsikring'!C77+'Danica Pensjonsforsikring'!C77+'DNB Livsforsikring'!C77+'Eika Forsikring AS'!C77+'Frende Livsforsikring'!C77+'Frende Skadeforsikring'!C77+'Gjensidige Forsikring'!C77+'Gjensidige Pensjon'!C77+'Handelsbanken Liv'!C77+'If Skadeforsikring NUF'!C77+KLP!C77+'DNB Bedriftspensjon'!C77+'KLP Skadeforsikring AS'!C77+'Landkreditt Forsikring'!C77+Insr!C77+'Nordea Liv '!C77+'Oslo Pensjonsforsikring'!C77+'Protector Forsikring'!C77+'SHB Liv'!C77+'Sparebank 1'!C77+'Storebrand Livsforsikring'!C77+'Telenor Forsikring'!C77+'Tryg Forsikring'!C77+'WaterCircle F'!C77+'Codan Forsikring'!C77+'Euro Accident'!C77</f>
        <v>4402810.0495799081</v>
      </c>
      <c r="D77" s="23">
        <f t="shared" si="20"/>
        <v>6.2</v>
      </c>
      <c r="E77" s="44">
        <f>'Fremtind Livsforsikring'!F77+'Danica Pensjonsforsikring'!F77+'DNB Livsforsikring'!F77+'Eika Forsikring AS'!F77+'Frende Livsforsikring'!F77+'Frende Skadeforsikring'!F77+'Gjensidige Forsikring'!F77+'Gjensidige Pensjon'!F77+'Handelsbanken Liv'!F77+'If Skadeforsikring NUF'!F77+KLP!F77+'DNB Bedriftspensjon'!F77+'KLP Skadeforsikring AS'!F77+'Landkreditt Forsikring'!F77+Insr!F77+'Nordea Liv '!F77+'Oslo Pensjonsforsikring'!F77+'Protector Forsikring'!F77+'SHB Liv'!F77+'Sparebank 1'!F77+'Storebrand Livsforsikring'!F77+'Telenor Forsikring'!F77+'Tryg Forsikring'!F77+'WaterCircle F'!F77+'Codan Forsikring'!F77+'Euro Accident'!F77</f>
        <v>24975580.427460004</v>
      </c>
      <c r="F77" s="44">
        <f>'Fremtind Livsforsikring'!G77+'Danica Pensjonsforsikring'!G77+'DNB Livsforsikring'!G77+'Eika Forsikring AS'!G77+'Frende Livsforsikring'!G77+'Frende Skadeforsikring'!G77+'Gjensidige Forsikring'!G77+'Gjensidige Pensjon'!G77+'Handelsbanken Liv'!G77+'If Skadeforsikring NUF'!G77+KLP!G77+'DNB Bedriftspensjon'!G77+'KLP Skadeforsikring AS'!G77+'Landkreditt Forsikring'!G77+Insr!G77+'Nordea Liv '!G77+'Oslo Pensjonsforsikring'!G77+'Protector Forsikring'!G77+'SHB Liv'!G77+'Sparebank 1'!G77+'Storebrand Livsforsikring'!G77+'Telenor Forsikring'!G77+'Tryg Forsikring'!G77+'WaterCircle F'!G77+'Codan Forsikring'!G77+'Euro Accident'!G77</f>
        <v>26942305.405850001</v>
      </c>
      <c r="G77" s="241">
        <f t="shared" ref="G77" si="31">IF(E77=0, "    ---- ", IF(ABS(ROUND(100/E77*F77-100,1))&lt;999,ROUND(100/E77*F77-100,1),IF(ROUND(100/E77*F77-100,1)&gt;999,999,-999)))</f>
        <v>7.9</v>
      </c>
      <c r="H77" s="237">
        <f t="shared" si="22"/>
        <v>29121830.022926249</v>
      </c>
      <c r="I77" s="237">
        <f t="shared" si="23"/>
        <v>31345115.455429908</v>
      </c>
      <c r="J77" s="23">
        <f t="shared" si="24"/>
        <v>7.6</v>
      </c>
    </row>
    <row r="78" spans="1:10" ht="15.75" customHeight="1" x14ac:dyDescent="0.25">
      <c r="A78" s="21" t="s">
        <v>9</v>
      </c>
      <c r="B78" s="44">
        <f>'Fremtind Livsforsikring'!B78+'Danica Pensjonsforsikring'!B78+'DNB Livsforsikring'!B78+'Eika Forsikring AS'!B78+'Frende Livsforsikring'!B78+'Frende Skadeforsikring'!B78+'Gjensidige Forsikring'!B78+'Gjensidige Pensjon'!B78+'Handelsbanken Liv'!B78+'If Skadeforsikring NUF'!B78+KLP!B78+'DNB Bedriftspensjon'!B78+'KLP Skadeforsikring AS'!B78+'Landkreditt Forsikring'!B78+Insr!B78+'Nordea Liv '!B78+'Oslo Pensjonsforsikring'!B78+'Protector Forsikring'!B78+'SHB Liv'!B78+'Sparebank 1'!B78+'Storebrand Livsforsikring'!B78+'Telenor Forsikring'!B78+'Tryg Forsikring'!B78+'WaterCircle F'!B78+'Codan Forsikring'!B78+'Euro Accident'!B78</f>
        <v>4029741.2551162438</v>
      </c>
      <c r="C78" s="234">
        <f>'Fremtind Livsforsikring'!C78+'Danica Pensjonsforsikring'!C78+'DNB Livsforsikring'!C78+'Eika Forsikring AS'!C78+'Frende Livsforsikring'!C78+'Frende Skadeforsikring'!C78+'Gjensidige Forsikring'!C78+'Gjensidige Pensjon'!C78+'Handelsbanken Liv'!C78+'If Skadeforsikring NUF'!C78+KLP!C78+'DNB Bedriftspensjon'!C78+'KLP Skadeforsikring AS'!C78+'Landkreditt Forsikring'!C78+Insr!C78+'Nordea Liv '!C78+'Oslo Pensjonsforsikring'!C78+'Protector Forsikring'!C78+'SHB Liv'!C78+'Sparebank 1'!C78+'Storebrand Livsforsikring'!C78+'Telenor Forsikring'!C78+'Tryg Forsikring'!C78+'WaterCircle F'!C78+'Codan Forsikring'!C78+'Euro Accident'!C78</f>
        <v>4369550.9009899078</v>
      </c>
      <c r="D78" s="23">
        <f t="shared" si="20"/>
        <v>8.4</v>
      </c>
      <c r="E78" s="44">
        <f>'Fremtind Livsforsikring'!F78+'Danica Pensjonsforsikring'!F78+'DNB Livsforsikring'!F78+'Eika Forsikring AS'!F78+'Frende Livsforsikring'!F78+'Frende Skadeforsikring'!F78+'Gjensidige Forsikring'!F78+'Gjensidige Pensjon'!F78+'Handelsbanken Liv'!F78+'If Skadeforsikring NUF'!F78+KLP!F78+'DNB Bedriftspensjon'!F78+'KLP Skadeforsikring AS'!F78+'Landkreditt Forsikring'!F78+Insr!F78+'Nordea Liv '!F78+'Oslo Pensjonsforsikring'!F78+'Protector Forsikring'!F78+'SHB Liv'!F78+'Sparebank 1'!F78+'Storebrand Livsforsikring'!F78+'Telenor Forsikring'!F78+'Tryg Forsikring'!F78+'WaterCircle F'!F78+'Codan Forsikring'!F78+'Euro Accident'!F78</f>
        <v>0</v>
      </c>
      <c r="F78" s="44">
        <f>'Fremtind Livsforsikring'!G78+'Danica Pensjonsforsikring'!G78+'DNB Livsforsikring'!G78+'Eika Forsikring AS'!G78+'Frende Livsforsikring'!G78+'Frende Skadeforsikring'!G78+'Gjensidige Forsikring'!G78+'Gjensidige Pensjon'!G78+'Handelsbanken Liv'!G78+'If Skadeforsikring NUF'!G78+KLP!G78+'DNB Bedriftspensjon'!G78+'KLP Skadeforsikring AS'!G78+'Landkreditt Forsikring'!G78+Insr!G78+'Nordea Liv '!G78+'Oslo Pensjonsforsikring'!G78+'Protector Forsikring'!G78+'SHB Liv'!G78+'Sparebank 1'!G78+'Storebrand Livsforsikring'!G78+'Telenor Forsikring'!G78+'Tryg Forsikring'!G78+'WaterCircle F'!G78+'Codan Forsikring'!G78+'Euro Accident'!G78</f>
        <v>0</v>
      </c>
      <c r="G78" s="166"/>
      <c r="H78" s="237">
        <f t="shared" si="22"/>
        <v>4029741.2551162438</v>
      </c>
      <c r="I78" s="237">
        <f t="shared" si="23"/>
        <v>4369550.9009899078</v>
      </c>
      <c r="J78" s="23">
        <f t="shared" si="24"/>
        <v>8.4</v>
      </c>
    </row>
    <row r="79" spans="1:10" ht="15.75" customHeight="1" x14ac:dyDescent="0.3">
      <c r="A79" s="38" t="s">
        <v>421</v>
      </c>
      <c r="B79" s="44">
        <f>'Fremtind Livsforsikring'!B79+'Danica Pensjonsforsikring'!B79+'DNB Livsforsikring'!B79+'Eika Forsikring AS'!B79+'Frende Livsforsikring'!B79+'Frende Skadeforsikring'!B79+'Gjensidige Forsikring'!B79+'Gjensidige Pensjon'!B79+'Handelsbanken Liv'!B79+'If Skadeforsikring NUF'!B79+KLP!B79+'DNB Bedriftspensjon'!B79+'KLP Skadeforsikring AS'!B79+'Landkreditt Forsikring'!B79+Insr!B79+'Nordea Liv '!B79+'Oslo Pensjonsforsikring'!B79+'Protector Forsikring'!B79+'SHB Liv'!B79+'Sparebank 1'!B79+'Storebrand Livsforsikring'!B79+'Telenor Forsikring'!B79+'Tryg Forsikring'!B79+'WaterCircle F'!B79+'Codan Forsikring'!B79+'Euro Accident'!B79</f>
        <v>116508.34035</v>
      </c>
      <c r="C79" s="145">
        <f>'Fremtind Livsforsikring'!C79+'Danica Pensjonsforsikring'!C79+'DNB Livsforsikring'!C79+'Eika Forsikring AS'!C79+'Frende Livsforsikring'!C79+'Frende Skadeforsikring'!C79+'Gjensidige Forsikring'!C79+'Gjensidige Pensjon'!C79+'Handelsbanken Liv'!C79+'If Skadeforsikring NUF'!C79+KLP!C79+'DNB Bedriftspensjon'!C79+'KLP Skadeforsikring AS'!C79+'Landkreditt Forsikring'!C79+Insr!C79+'Nordea Liv '!C79+'Oslo Pensjonsforsikring'!C79+'Protector Forsikring'!C79+'SHB Liv'!C79+'Sparebank 1'!C79+'Storebrand Livsforsikring'!C79+'Telenor Forsikring'!C79+'Tryg Forsikring'!C79+'WaterCircle F'!C79+'Codan Forsikring'!C79+'Euro Accident'!C79</f>
        <v>33259.148589999997</v>
      </c>
      <c r="D79" s="23">
        <f t="shared" si="20"/>
        <v>-71.5</v>
      </c>
      <c r="E79" s="44">
        <f>'Fremtind Livsforsikring'!F79+'Danica Pensjonsforsikring'!F79+'DNB Livsforsikring'!F79+'Eika Forsikring AS'!F79+'Frende Livsforsikring'!F79+'Frende Skadeforsikring'!F79+'Gjensidige Forsikring'!F79+'Gjensidige Pensjon'!F79+'Handelsbanken Liv'!F79+'If Skadeforsikring NUF'!F79+KLP!F79+'DNB Bedriftspensjon'!F79+'KLP Skadeforsikring AS'!F79+'Landkreditt Forsikring'!F79+Insr!F79+'Nordea Liv '!F79+'Oslo Pensjonsforsikring'!F79+'Protector Forsikring'!F79+'SHB Liv'!F79+'Sparebank 1'!F79+'Storebrand Livsforsikring'!F79+'Telenor Forsikring'!F79+'Tryg Forsikring'!F79+'WaterCircle F'!F79+'Codan Forsikring'!F79+'Euro Accident'!F79</f>
        <v>24975580.427460004</v>
      </c>
      <c r="F79" s="44">
        <f>'Fremtind Livsforsikring'!G79+'Danica Pensjonsforsikring'!G79+'DNB Livsforsikring'!G79+'Eika Forsikring AS'!G79+'Frende Livsforsikring'!G79+'Frende Skadeforsikring'!G79+'Gjensidige Forsikring'!G79+'Gjensidige Pensjon'!G79+'Handelsbanken Liv'!G79+'If Skadeforsikring NUF'!G79+KLP!G79+'DNB Bedriftspensjon'!G79+'KLP Skadeforsikring AS'!G79+'Landkreditt Forsikring'!G79+Insr!G79+'Nordea Liv '!G79+'Oslo Pensjonsforsikring'!G79+'Protector Forsikring'!G79+'SHB Liv'!G79+'Sparebank 1'!G79+'Storebrand Livsforsikring'!G79+'Telenor Forsikring'!G79+'Tryg Forsikring'!G79+'WaterCircle F'!G79+'Codan Forsikring'!G79+'Euro Accident'!G79</f>
        <v>26942305.405850001</v>
      </c>
      <c r="G79" s="241">
        <f t="shared" ref="G79" si="32">IF(E79=0, "    ---- ", IF(ABS(ROUND(100/E79*F79-100,1))&lt;999,ROUND(100/E79*F79-100,1),IF(ROUND(100/E79*F79-100,1)&gt;999,999,-999)))</f>
        <v>7.9</v>
      </c>
      <c r="H79" s="237">
        <f t="shared" si="22"/>
        <v>25092088.767810002</v>
      </c>
      <c r="I79" s="237">
        <f t="shared" si="23"/>
        <v>26975564.554439999</v>
      </c>
      <c r="J79" s="23">
        <f t="shared" si="24"/>
        <v>7.5</v>
      </c>
    </row>
    <row r="80" spans="1:10" ht="15.75" customHeight="1" x14ac:dyDescent="0.25">
      <c r="A80" s="298" t="s">
        <v>378</v>
      </c>
      <c r="B80" s="235">
        <f>'Fremtind Livsforsikring'!B80+'Danica Pensjonsforsikring'!B80+'DNB Livsforsikring'!B80+'Eika Forsikring AS'!B80+'Frende Livsforsikring'!B80+'Frende Skadeforsikring'!B80+'Gjensidige Forsikring'!B80+'Gjensidige Pensjon'!B80+'Handelsbanken Liv'!B80+'If Skadeforsikring NUF'!B80+KLP!B80+'DNB Bedriftspensjon'!B80+'KLP Skadeforsikring AS'!B80+'Landkreditt Forsikring'!B80+Insr!B80+'Nordea Liv '!B80+'Oslo Pensjonsforsikring'!B80+'Protector Forsikring'!B80+'SHB Liv'!B80+'Sparebank 1'!B80+'Storebrand Livsforsikring'!B80+'Telenor Forsikring'!B80+'Tryg Forsikring'!B80+'WaterCircle F'!B80+'Codan Forsikring'!B80+'Euro Accident'!B80</f>
        <v>0</v>
      </c>
      <c r="C80" s="235">
        <f>'Fremtind Livsforsikring'!C80+'Danica Pensjonsforsikring'!C80+'DNB Livsforsikring'!C80+'Eika Forsikring AS'!C80+'Frende Livsforsikring'!C80+'Frende Skadeforsikring'!C80+'Gjensidige Forsikring'!C80+'Gjensidige Pensjon'!C80+'Handelsbanken Liv'!C80+'If Skadeforsikring NUF'!C80+KLP!C80+'DNB Bedriftspensjon'!C80+'KLP Skadeforsikring AS'!C80+'Landkreditt Forsikring'!C80+Insr!C80+'Nordea Liv '!C80+'Oslo Pensjonsforsikring'!C80+'Protector Forsikring'!C80+'SHB Liv'!C80+'Sparebank 1'!C80+'Storebrand Livsforsikring'!C80+'Telenor Forsikring'!C80+'Tryg Forsikring'!C80+'WaterCircle F'!C80+'Codan Forsikring'!C80+'Euro Accident'!C80</f>
        <v>0</v>
      </c>
      <c r="D80" s="27"/>
      <c r="E80" s="235">
        <f>'Fremtind Livsforsikring'!F80+'Danica Pensjonsforsikring'!F80+'DNB Livsforsikring'!F80+'Eika Forsikring AS'!F80+'Frende Livsforsikring'!F80+'Frende Skadeforsikring'!F80+'Gjensidige Forsikring'!F80+'Gjensidige Pensjon'!F80+'Handelsbanken Liv'!F80+'If Skadeforsikring NUF'!F80+KLP!F80+'DNB Bedriftspensjon'!F80+'KLP Skadeforsikring AS'!F80+'Landkreditt Forsikring'!F80+Insr!F80+'Nordea Liv '!F80+'Oslo Pensjonsforsikring'!F80+'Protector Forsikring'!F80+'SHB Liv'!F80+'Sparebank 1'!F80+'Storebrand Livsforsikring'!F80+'Telenor Forsikring'!F80+'Tryg Forsikring'!F80+'WaterCircle F'!F80+'Codan Forsikring'!F80+'Euro Accident'!F80</f>
        <v>0</v>
      </c>
      <c r="F80" s="235">
        <f>'Fremtind Livsforsikring'!G80+'Danica Pensjonsforsikring'!G80+'DNB Livsforsikring'!G80+'Eika Forsikring AS'!G80+'Frende Livsforsikring'!G80+'Frende Skadeforsikring'!G80+'Gjensidige Forsikring'!G80+'Gjensidige Pensjon'!G80+'Handelsbanken Liv'!G80+'If Skadeforsikring NUF'!G80+KLP!G80+'DNB Bedriftspensjon'!G80+'KLP Skadeforsikring AS'!G80+'Landkreditt Forsikring'!G80+Insr!G80+'Nordea Liv '!G80+'Oslo Pensjonsforsikring'!G80+'Protector Forsikring'!G80+'SHB Liv'!G80+'Sparebank 1'!G80+'Storebrand Livsforsikring'!G80+'Telenor Forsikring'!G80+'Tryg Forsikring'!G80+'WaterCircle F'!G80+'Codan Forsikring'!G80+'Euro Accident'!G80</f>
        <v>0</v>
      </c>
      <c r="G80" s="166"/>
      <c r="H80" s="235"/>
      <c r="I80" s="235"/>
      <c r="J80" s="23"/>
    </row>
    <row r="81" spans="1:13" ht="15.75" customHeight="1" x14ac:dyDescent="0.25">
      <c r="A81" s="298" t="s">
        <v>12</v>
      </c>
      <c r="B81" s="235">
        <f>'Fremtind Livsforsikring'!B81+'Danica Pensjonsforsikring'!B81+'DNB Livsforsikring'!B81+'Eika Forsikring AS'!B81+'Frende Livsforsikring'!B81+'Frende Skadeforsikring'!B81+'Gjensidige Forsikring'!B81+'Gjensidige Pensjon'!B81+'Handelsbanken Liv'!B81+'If Skadeforsikring NUF'!B81+KLP!B81+'DNB Bedriftspensjon'!B81+'KLP Skadeforsikring AS'!B81+'Landkreditt Forsikring'!B81+Insr!B81+'Nordea Liv '!B81+'Oslo Pensjonsforsikring'!B81+'Protector Forsikring'!B81+'SHB Liv'!B81+'Sparebank 1'!B81+'Storebrand Livsforsikring'!B81+'Telenor Forsikring'!B81+'Tryg Forsikring'!B81+'WaterCircle F'!B81+'Codan Forsikring'!B81+'Euro Accident'!B81</f>
        <v>0</v>
      </c>
      <c r="C81" s="235">
        <f>'Fremtind Livsforsikring'!C81+'Danica Pensjonsforsikring'!C81+'DNB Livsforsikring'!C81+'Eika Forsikring AS'!C81+'Frende Livsforsikring'!C81+'Frende Skadeforsikring'!C81+'Gjensidige Forsikring'!C81+'Gjensidige Pensjon'!C81+'Handelsbanken Liv'!C81+'If Skadeforsikring NUF'!C81+KLP!C81+'DNB Bedriftspensjon'!C81+'KLP Skadeforsikring AS'!C81+'Landkreditt Forsikring'!C81+Insr!C81+'Nordea Liv '!C81+'Oslo Pensjonsforsikring'!C81+'Protector Forsikring'!C81+'SHB Liv'!C81+'Sparebank 1'!C81+'Storebrand Livsforsikring'!C81+'Telenor Forsikring'!C81+'Tryg Forsikring'!C81+'WaterCircle F'!C81+'Codan Forsikring'!C81+'Euro Accident'!C81</f>
        <v>0</v>
      </c>
      <c r="D81" s="27"/>
      <c r="E81" s="235">
        <f>'Fremtind Livsforsikring'!F81+'Danica Pensjonsforsikring'!F81+'DNB Livsforsikring'!F81+'Eika Forsikring AS'!F81+'Frende Livsforsikring'!F81+'Frende Skadeforsikring'!F81+'Gjensidige Forsikring'!F81+'Gjensidige Pensjon'!F81+'Handelsbanken Liv'!F81+'If Skadeforsikring NUF'!F81+KLP!F81+'DNB Bedriftspensjon'!F81+'KLP Skadeforsikring AS'!F81+'Landkreditt Forsikring'!F81+Insr!F81+'Nordea Liv '!F81+'Oslo Pensjonsforsikring'!F81+'Protector Forsikring'!F81+'SHB Liv'!F81+'Sparebank 1'!F81+'Storebrand Livsforsikring'!F81+'Telenor Forsikring'!F81+'Tryg Forsikring'!F81+'WaterCircle F'!F81+'Codan Forsikring'!F81+'Euro Accident'!F81</f>
        <v>0</v>
      </c>
      <c r="F81" s="235">
        <f>'Fremtind Livsforsikring'!G81+'Danica Pensjonsforsikring'!G81+'DNB Livsforsikring'!G81+'Eika Forsikring AS'!G81+'Frende Livsforsikring'!G81+'Frende Skadeforsikring'!G81+'Gjensidige Forsikring'!G81+'Gjensidige Pensjon'!G81+'Handelsbanken Liv'!G81+'If Skadeforsikring NUF'!G81+KLP!G81+'DNB Bedriftspensjon'!G81+'KLP Skadeforsikring AS'!G81+'Landkreditt Forsikring'!G81+Insr!G81+'Nordea Liv '!G81+'Oslo Pensjonsforsikring'!G81+'Protector Forsikring'!G81+'SHB Liv'!G81+'Sparebank 1'!G81+'Storebrand Livsforsikring'!G81+'Telenor Forsikring'!G81+'Tryg Forsikring'!G81+'WaterCircle F'!G81+'Codan Forsikring'!G81+'Euro Accident'!G81</f>
        <v>0</v>
      </c>
      <c r="G81" s="166"/>
      <c r="H81" s="235"/>
      <c r="I81" s="235"/>
      <c r="J81" s="23"/>
    </row>
    <row r="82" spans="1:13" ht="15.75" customHeight="1" x14ac:dyDescent="0.25">
      <c r="A82" s="298" t="s">
        <v>13</v>
      </c>
      <c r="B82" s="235">
        <f>'Fremtind Livsforsikring'!B82+'Danica Pensjonsforsikring'!B82+'DNB Livsforsikring'!B82+'Eika Forsikring AS'!B82+'Frende Livsforsikring'!B82+'Frende Skadeforsikring'!B82+'Gjensidige Forsikring'!B82+'Gjensidige Pensjon'!B82+'Handelsbanken Liv'!B82+'If Skadeforsikring NUF'!B82+KLP!B82+'DNB Bedriftspensjon'!B82+'KLP Skadeforsikring AS'!B82+'Landkreditt Forsikring'!B82+Insr!B82+'Nordea Liv '!B82+'Oslo Pensjonsforsikring'!B82+'Protector Forsikring'!B82+'SHB Liv'!B82+'Sparebank 1'!B82+'Storebrand Livsforsikring'!B82+'Telenor Forsikring'!B82+'Tryg Forsikring'!B82+'WaterCircle F'!B82+'Codan Forsikring'!B82+'Euro Accident'!B82</f>
        <v>0</v>
      </c>
      <c r="C82" s="235">
        <f>'Fremtind Livsforsikring'!C82+'Danica Pensjonsforsikring'!C82+'DNB Livsforsikring'!C82+'Eika Forsikring AS'!C82+'Frende Livsforsikring'!C82+'Frende Skadeforsikring'!C82+'Gjensidige Forsikring'!C82+'Gjensidige Pensjon'!C82+'Handelsbanken Liv'!C82+'If Skadeforsikring NUF'!C82+KLP!C82+'DNB Bedriftspensjon'!C82+'KLP Skadeforsikring AS'!C82+'Landkreditt Forsikring'!C82+Insr!C82+'Nordea Liv '!C82+'Oslo Pensjonsforsikring'!C82+'Protector Forsikring'!C82+'SHB Liv'!C82+'Sparebank 1'!C82+'Storebrand Livsforsikring'!C82+'Telenor Forsikring'!C82+'Tryg Forsikring'!C82+'WaterCircle F'!C82+'Codan Forsikring'!C82+'Euro Accident'!C82</f>
        <v>0</v>
      </c>
      <c r="D82" s="27"/>
      <c r="E82" s="235">
        <f>'Fremtind Livsforsikring'!F82+'Danica Pensjonsforsikring'!F82+'DNB Livsforsikring'!F82+'Eika Forsikring AS'!F82+'Frende Livsforsikring'!F82+'Frende Skadeforsikring'!F82+'Gjensidige Forsikring'!F82+'Gjensidige Pensjon'!F82+'Handelsbanken Liv'!F82+'If Skadeforsikring NUF'!F82+KLP!F82+'DNB Bedriftspensjon'!F82+'KLP Skadeforsikring AS'!F82+'Landkreditt Forsikring'!F82+Insr!F82+'Nordea Liv '!F82+'Oslo Pensjonsforsikring'!F82+'Protector Forsikring'!F82+'SHB Liv'!F82+'Sparebank 1'!F82+'Storebrand Livsforsikring'!F82+'Telenor Forsikring'!F82+'Tryg Forsikring'!F82+'WaterCircle F'!F82+'Codan Forsikring'!F82+'Euro Accident'!F82</f>
        <v>0</v>
      </c>
      <c r="F82" s="235">
        <f>'Fremtind Livsforsikring'!G82+'Danica Pensjonsforsikring'!G82+'DNB Livsforsikring'!G82+'Eika Forsikring AS'!G82+'Frende Livsforsikring'!G82+'Frende Skadeforsikring'!G82+'Gjensidige Forsikring'!G82+'Gjensidige Pensjon'!G82+'Handelsbanken Liv'!G82+'If Skadeforsikring NUF'!G82+KLP!G82+'DNB Bedriftspensjon'!G82+'KLP Skadeforsikring AS'!G82+'Landkreditt Forsikring'!G82+Insr!G82+'Nordea Liv '!G82+'Oslo Pensjonsforsikring'!G82+'Protector Forsikring'!G82+'SHB Liv'!G82+'Sparebank 1'!G82+'Storebrand Livsforsikring'!G82+'Telenor Forsikring'!G82+'Tryg Forsikring'!G82+'WaterCircle F'!G82+'Codan Forsikring'!G82+'Euro Accident'!G82</f>
        <v>0</v>
      </c>
      <c r="G82" s="166"/>
      <c r="H82" s="235"/>
      <c r="I82" s="235"/>
      <c r="J82" s="23"/>
    </row>
    <row r="83" spans="1:13" ht="15.75" customHeight="1" x14ac:dyDescent="0.25">
      <c r="A83" s="298" t="s">
        <v>379</v>
      </c>
      <c r="B83" s="235">
        <f>'Fremtind Livsforsikring'!B83+'Danica Pensjonsforsikring'!B83+'DNB Livsforsikring'!B83+'Eika Forsikring AS'!B83+'Frende Livsforsikring'!B83+'Frende Skadeforsikring'!B83+'Gjensidige Forsikring'!B83+'Gjensidige Pensjon'!B83+'Handelsbanken Liv'!B83+'If Skadeforsikring NUF'!B83+KLP!B83+'DNB Bedriftspensjon'!B83+'KLP Skadeforsikring AS'!B83+'Landkreditt Forsikring'!B83+Insr!B83+'Nordea Liv '!B83+'Oslo Pensjonsforsikring'!B83+'Protector Forsikring'!B83+'SHB Liv'!B83+'Sparebank 1'!B83+'Storebrand Livsforsikring'!B83+'Telenor Forsikring'!B83+'Tryg Forsikring'!B83+'WaterCircle F'!B83+'Codan Forsikring'!B83+'Euro Accident'!B83</f>
        <v>0</v>
      </c>
      <c r="C83" s="235">
        <f>'Fremtind Livsforsikring'!C83+'Danica Pensjonsforsikring'!C83+'DNB Livsforsikring'!C83+'Eika Forsikring AS'!C83+'Frende Livsforsikring'!C83+'Frende Skadeforsikring'!C83+'Gjensidige Forsikring'!C83+'Gjensidige Pensjon'!C83+'Handelsbanken Liv'!C83+'If Skadeforsikring NUF'!C83+KLP!C83+'DNB Bedriftspensjon'!C83+'KLP Skadeforsikring AS'!C83+'Landkreditt Forsikring'!C83+Insr!C83+'Nordea Liv '!C83+'Oslo Pensjonsforsikring'!C83+'Protector Forsikring'!C83+'SHB Liv'!C83+'Sparebank 1'!C83+'Storebrand Livsforsikring'!C83+'Telenor Forsikring'!C83+'Tryg Forsikring'!C83+'WaterCircle F'!C83+'Codan Forsikring'!C83+'Euro Accident'!C83</f>
        <v>0</v>
      </c>
      <c r="D83" s="27"/>
      <c r="E83" s="235">
        <f>'Fremtind Livsforsikring'!F83+'Danica Pensjonsforsikring'!F83+'DNB Livsforsikring'!F83+'Eika Forsikring AS'!F83+'Frende Livsforsikring'!F83+'Frende Skadeforsikring'!F83+'Gjensidige Forsikring'!F83+'Gjensidige Pensjon'!F83+'Handelsbanken Liv'!F83+'If Skadeforsikring NUF'!F83+KLP!F83+'DNB Bedriftspensjon'!F83+'KLP Skadeforsikring AS'!F83+'Landkreditt Forsikring'!F83+Insr!F83+'Nordea Liv '!F83+'Oslo Pensjonsforsikring'!F83+'Protector Forsikring'!F83+'SHB Liv'!F83+'Sparebank 1'!F83+'Storebrand Livsforsikring'!F83+'Telenor Forsikring'!F83+'Tryg Forsikring'!F83+'WaterCircle F'!F83+'Codan Forsikring'!F83+'Euro Accident'!F83</f>
        <v>0</v>
      </c>
      <c r="F83" s="235">
        <f>'Fremtind Livsforsikring'!G83+'Danica Pensjonsforsikring'!G83+'DNB Livsforsikring'!G83+'Eika Forsikring AS'!G83+'Frende Livsforsikring'!G83+'Frende Skadeforsikring'!G83+'Gjensidige Forsikring'!G83+'Gjensidige Pensjon'!G83+'Handelsbanken Liv'!G83+'If Skadeforsikring NUF'!G83+KLP!G83+'DNB Bedriftspensjon'!G83+'KLP Skadeforsikring AS'!G83+'Landkreditt Forsikring'!G83+Insr!G83+'Nordea Liv '!G83+'Oslo Pensjonsforsikring'!G83+'Protector Forsikring'!G83+'SHB Liv'!G83+'Sparebank 1'!G83+'Storebrand Livsforsikring'!G83+'Telenor Forsikring'!G83+'Tryg Forsikring'!G83+'WaterCircle F'!G83+'Codan Forsikring'!G83+'Euro Accident'!G83</f>
        <v>0</v>
      </c>
      <c r="G83" s="166"/>
      <c r="H83" s="235"/>
      <c r="I83" s="235"/>
      <c r="J83" s="24"/>
    </row>
    <row r="84" spans="1:13" ht="15.75" customHeight="1" x14ac:dyDescent="0.25">
      <c r="A84" s="298" t="s">
        <v>12</v>
      </c>
      <c r="B84" s="235">
        <f>'Fremtind Livsforsikring'!B84+'Danica Pensjonsforsikring'!B84+'DNB Livsforsikring'!B84+'Eika Forsikring AS'!B84+'Frende Livsforsikring'!B84+'Frende Skadeforsikring'!B84+'Gjensidige Forsikring'!B84+'Gjensidige Pensjon'!B84+'Handelsbanken Liv'!B84+'If Skadeforsikring NUF'!B84+KLP!B84+'DNB Bedriftspensjon'!B84+'KLP Skadeforsikring AS'!B84+'Landkreditt Forsikring'!B84+Insr!B84+'Nordea Liv '!B84+'Oslo Pensjonsforsikring'!B84+'Protector Forsikring'!B84+'SHB Liv'!B84+'Sparebank 1'!B84+'Storebrand Livsforsikring'!B84+'Telenor Forsikring'!B84+'Tryg Forsikring'!B84+'WaterCircle F'!B84+'Codan Forsikring'!B84+'Euro Accident'!B84</f>
        <v>0</v>
      </c>
      <c r="C84" s="235">
        <f>'Fremtind Livsforsikring'!C84+'Danica Pensjonsforsikring'!C84+'DNB Livsforsikring'!C84+'Eika Forsikring AS'!C84+'Frende Livsforsikring'!C84+'Frende Skadeforsikring'!C84+'Gjensidige Forsikring'!C84+'Gjensidige Pensjon'!C84+'Handelsbanken Liv'!C84+'If Skadeforsikring NUF'!C84+KLP!C84+'DNB Bedriftspensjon'!C84+'KLP Skadeforsikring AS'!C84+'Landkreditt Forsikring'!C84+Insr!C84+'Nordea Liv '!C84+'Oslo Pensjonsforsikring'!C84+'Protector Forsikring'!C84+'SHB Liv'!C84+'Sparebank 1'!C84+'Storebrand Livsforsikring'!C84+'Telenor Forsikring'!C84+'Tryg Forsikring'!C84+'WaterCircle F'!C84+'Codan Forsikring'!C84+'Euro Accident'!C84</f>
        <v>0</v>
      </c>
      <c r="D84" s="27"/>
      <c r="E84" s="235">
        <f>'Fremtind Livsforsikring'!F84+'Danica Pensjonsforsikring'!F84+'DNB Livsforsikring'!F84+'Eika Forsikring AS'!F84+'Frende Livsforsikring'!F84+'Frende Skadeforsikring'!F84+'Gjensidige Forsikring'!F84+'Gjensidige Pensjon'!F84+'Handelsbanken Liv'!F84+'If Skadeforsikring NUF'!F84+KLP!F84+'DNB Bedriftspensjon'!F84+'KLP Skadeforsikring AS'!F84+'Landkreditt Forsikring'!F84+Insr!F84+'Nordea Liv '!F84+'Oslo Pensjonsforsikring'!F84+'Protector Forsikring'!F84+'SHB Liv'!F84+'Sparebank 1'!F84+'Storebrand Livsforsikring'!F84+'Telenor Forsikring'!F84+'Tryg Forsikring'!F84+'WaterCircle F'!F84+'Codan Forsikring'!F84+'Euro Accident'!F84</f>
        <v>0</v>
      </c>
      <c r="F84" s="235">
        <f>'Fremtind Livsforsikring'!G84+'Danica Pensjonsforsikring'!G84+'DNB Livsforsikring'!G84+'Eika Forsikring AS'!G84+'Frende Livsforsikring'!G84+'Frende Skadeforsikring'!G84+'Gjensidige Forsikring'!G84+'Gjensidige Pensjon'!G84+'Handelsbanken Liv'!G84+'If Skadeforsikring NUF'!G84+KLP!G84+'DNB Bedriftspensjon'!G84+'KLP Skadeforsikring AS'!G84+'Landkreditt Forsikring'!G84+Insr!G84+'Nordea Liv '!G84+'Oslo Pensjonsforsikring'!G84+'Protector Forsikring'!G84+'SHB Liv'!G84+'Sparebank 1'!G84+'Storebrand Livsforsikring'!G84+'Telenor Forsikring'!G84+'Tryg Forsikring'!G84+'WaterCircle F'!G84+'Codan Forsikring'!G84+'Euro Accident'!G84</f>
        <v>0</v>
      </c>
      <c r="G84" s="166"/>
      <c r="H84" s="235"/>
      <c r="I84" s="235"/>
      <c r="J84" s="23"/>
    </row>
    <row r="85" spans="1:13" ht="15.75" customHeight="1" x14ac:dyDescent="0.25">
      <c r="A85" s="298" t="s">
        <v>13</v>
      </c>
      <c r="B85" s="235">
        <f>'Fremtind Livsforsikring'!B85+'Danica Pensjonsforsikring'!B85+'DNB Livsforsikring'!B85+'Eika Forsikring AS'!B85+'Frende Livsforsikring'!B85+'Frende Skadeforsikring'!B85+'Gjensidige Forsikring'!B85+'Gjensidige Pensjon'!B85+'Handelsbanken Liv'!B85+'If Skadeforsikring NUF'!B85+KLP!B85+'DNB Bedriftspensjon'!B85+'KLP Skadeforsikring AS'!B85+'Landkreditt Forsikring'!B85+Insr!B85+'Nordea Liv '!B85+'Oslo Pensjonsforsikring'!B85+'Protector Forsikring'!B85+'SHB Liv'!B85+'Sparebank 1'!B85+'Storebrand Livsforsikring'!B85+'Telenor Forsikring'!B85+'Tryg Forsikring'!B85+'WaterCircle F'!B85+'Codan Forsikring'!B85+'Euro Accident'!B85</f>
        <v>0</v>
      </c>
      <c r="C85" s="235">
        <f>'Fremtind Livsforsikring'!C85+'Danica Pensjonsforsikring'!C85+'DNB Livsforsikring'!C85+'Eika Forsikring AS'!C85+'Frende Livsforsikring'!C85+'Frende Skadeforsikring'!C85+'Gjensidige Forsikring'!C85+'Gjensidige Pensjon'!C85+'Handelsbanken Liv'!C85+'If Skadeforsikring NUF'!C85+KLP!C85+'DNB Bedriftspensjon'!C85+'KLP Skadeforsikring AS'!C85+'Landkreditt Forsikring'!C85+Insr!C85+'Nordea Liv '!C85+'Oslo Pensjonsforsikring'!C85+'Protector Forsikring'!C85+'SHB Liv'!C85+'Sparebank 1'!C85+'Storebrand Livsforsikring'!C85+'Telenor Forsikring'!C85+'Tryg Forsikring'!C85+'WaterCircle F'!C85+'Codan Forsikring'!C85+'Euro Accident'!C85</f>
        <v>0</v>
      </c>
      <c r="D85" s="27"/>
      <c r="E85" s="235">
        <f>'Fremtind Livsforsikring'!F85+'Danica Pensjonsforsikring'!F85+'DNB Livsforsikring'!F85+'Eika Forsikring AS'!F85+'Frende Livsforsikring'!F85+'Frende Skadeforsikring'!F85+'Gjensidige Forsikring'!F85+'Gjensidige Pensjon'!F85+'Handelsbanken Liv'!F85+'If Skadeforsikring NUF'!F85+KLP!F85+'DNB Bedriftspensjon'!F85+'KLP Skadeforsikring AS'!F85+'Landkreditt Forsikring'!F85+Insr!F85+'Nordea Liv '!F85+'Oslo Pensjonsforsikring'!F85+'Protector Forsikring'!F85+'SHB Liv'!F85+'Sparebank 1'!F85+'Storebrand Livsforsikring'!F85+'Telenor Forsikring'!F85+'Tryg Forsikring'!F85+'WaterCircle F'!F85+'Codan Forsikring'!F85+'Euro Accident'!F85</f>
        <v>0</v>
      </c>
      <c r="F85" s="235">
        <f>'Fremtind Livsforsikring'!G85+'Danica Pensjonsforsikring'!G85+'DNB Livsforsikring'!G85+'Eika Forsikring AS'!G85+'Frende Livsforsikring'!G85+'Frende Skadeforsikring'!G85+'Gjensidige Forsikring'!G85+'Gjensidige Pensjon'!G85+'Handelsbanken Liv'!G85+'If Skadeforsikring NUF'!G85+KLP!G85+'DNB Bedriftspensjon'!G85+'KLP Skadeforsikring AS'!G85+'Landkreditt Forsikring'!G85+Insr!G85+'Nordea Liv '!G85+'Oslo Pensjonsforsikring'!G85+'Protector Forsikring'!G85+'SHB Liv'!G85+'Sparebank 1'!G85+'Storebrand Livsforsikring'!G85+'Telenor Forsikring'!G85+'Tryg Forsikring'!G85+'WaterCircle F'!G85+'Codan Forsikring'!G85+'Euro Accident'!G85</f>
        <v>0</v>
      </c>
      <c r="G85" s="166"/>
      <c r="H85" s="235"/>
      <c r="I85" s="235"/>
      <c r="J85" s="23"/>
    </row>
    <row r="86" spans="1:13" ht="15.75" customHeight="1" x14ac:dyDescent="0.3">
      <c r="A86" s="21" t="s">
        <v>381</v>
      </c>
      <c r="B86" s="234">
        <f>'Fremtind Livsforsikring'!B86+'Danica Pensjonsforsikring'!B86+'DNB Livsforsikring'!B86+'Eika Forsikring AS'!B86+'Frende Livsforsikring'!B86+'Frende Skadeforsikring'!B86+'Gjensidige Forsikring'!B86+'Gjensidige Pensjon'!B86+'Handelsbanken Liv'!B86+'If Skadeforsikring NUF'!B86+KLP!B86+'DNB Bedriftspensjon'!B86+'KLP Skadeforsikring AS'!B86+'Landkreditt Forsikring'!B86+Insr!B86+'Nordea Liv '!B86+'Oslo Pensjonsforsikring'!B86+'Protector Forsikring'!B86+'SHB Liv'!B86+'Sparebank 1'!B86+'Storebrand Livsforsikring'!B86+'Telenor Forsikring'!B86+'Tryg Forsikring'!B86+'WaterCircle F'!B86+'Codan Forsikring'!B86+'Euro Accident'!B86</f>
        <v>138484.345</v>
      </c>
      <c r="C86" s="234">
        <f>'Fremtind Livsforsikring'!C86+'Danica Pensjonsforsikring'!C86+'DNB Livsforsikring'!C86+'Eika Forsikring AS'!C86+'Frende Livsforsikring'!C86+'Frende Skadeforsikring'!C86+'Gjensidige Forsikring'!C86+'Gjensidige Pensjon'!C86+'Handelsbanken Liv'!C86+'If Skadeforsikring NUF'!C86+KLP!C86+'DNB Bedriftspensjon'!C86+'KLP Skadeforsikring AS'!C86+'Landkreditt Forsikring'!C86+Insr!C86+'Nordea Liv '!C86+'Oslo Pensjonsforsikring'!C86+'Protector Forsikring'!C86+'SHB Liv'!C86+'Sparebank 1'!C86+'Storebrand Livsforsikring'!C86+'Telenor Forsikring'!C86+'Tryg Forsikring'!C86+'WaterCircle F'!C86+'Codan Forsikring'!C86+'Euro Accident'!C86</f>
        <v>92385.418999999994</v>
      </c>
      <c r="D86" s="23">
        <f t="shared" si="20"/>
        <v>-33.299999999999997</v>
      </c>
      <c r="E86" s="44">
        <f>'Fremtind Livsforsikring'!F86+'Danica Pensjonsforsikring'!F86+'DNB Livsforsikring'!F86+'Eika Forsikring AS'!F86+'Frende Livsforsikring'!F86+'Frende Skadeforsikring'!F86+'Gjensidige Forsikring'!F86+'Gjensidige Pensjon'!F86+'Handelsbanken Liv'!F86+'If Skadeforsikring NUF'!F86+KLP!F86+'DNB Bedriftspensjon'!F86+'KLP Skadeforsikring AS'!F86+'Landkreditt Forsikring'!F86+Insr!F86+'Nordea Liv '!F86+'Oslo Pensjonsforsikring'!F86+'Protector Forsikring'!F86+'SHB Liv'!F86+'Sparebank 1'!F86+'Storebrand Livsforsikring'!F86+'Telenor Forsikring'!F86+'Tryg Forsikring'!F86+'WaterCircle F'!F86+'Codan Forsikring'!F86+'Euro Accident'!F86</f>
        <v>11394.00352</v>
      </c>
      <c r="F86" s="44">
        <f>'Fremtind Livsforsikring'!G86+'Danica Pensjonsforsikring'!G86+'DNB Livsforsikring'!G86+'Eika Forsikring AS'!G86+'Frende Livsforsikring'!G86+'Frende Skadeforsikring'!G86+'Gjensidige Forsikring'!G86+'Gjensidige Pensjon'!G86+'Handelsbanken Liv'!G86+'If Skadeforsikring NUF'!G86+KLP!G86+'DNB Bedriftspensjon'!G86+'KLP Skadeforsikring AS'!G86+'Landkreditt Forsikring'!G86+Insr!G86+'Nordea Liv '!G86+'Oslo Pensjonsforsikring'!G86+'Protector Forsikring'!G86+'SHB Liv'!G86+'Sparebank 1'!G86+'Storebrand Livsforsikring'!G86+'Telenor Forsikring'!G86+'Tryg Forsikring'!G86+'WaterCircle F'!G86+'Codan Forsikring'!G86+'Euro Accident'!G86</f>
        <v>9569.8028400000003</v>
      </c>
      <c r="G86" s="241">
        <f t="shared" ref="G86:G89" si="33">IF(E86=0, "    ---- ", IF(ABS(ROUND(100/E86*F86-100,1))&lt;999,ROUND(100/E86*F86-100,1),IF(ROUND(100/E86*F86-100,1)&gt;999,999,-999)))</f>
        <v>-16</v>
      </c>
      <c r="H86" s="237">
        <f t="shared" si="22"/>
        <v>149878.34852</v>
      </c>
      <c r="I86" s="237">
        <f t="shared" si="23"/>
        <v>101955.22184</v>
      </c>
      <c r="J86" s="23">
        <f t="shared" si="24"/>
        <v>-32</v>
      </c>
    </row>
    <row r="87" spans="1:13" s="43" customFormat="1" ht="15.75" customHeight="1" x14ac:dyDescent="0.3">
      <c r="A87" s="13" t="s">
        <v>363</v>
      </c>
      <c r="B87" s="310">
        <f>'Fremtind Livsforsikring'!B87+'Danica Pensjonsforsikring'!B87+'DNB Livsforsikring'!B87+'Eika Forsikring AS'!B87+'Frende Livsforsikring'!B87+'Frende Skadeforsikring'!B87+'Gjensidige Forsikring'!B87+'Gjensidige Pensjon'!B87+'Handelsbanken Liv'!B87+'If Skadeforsikring NUF'!B87+KLP!B87+'DNB Bedriftspensjon'!B87+'KLP Skadeforsikring AS'!B87+'Landkreditt Forsikring'!B87+Insr!B87+'Nordea Liv '!B87+'Oslo Pensjonsforsikring'!B87+'Protector Forsikring'!B87+'SHB Liv'!B87+'Sparebank 1'!B87+'Storebrand Livsforsikring'!B87+'Telenor Forsikring'!B87+'Tryg Forsikring'!B87+'WaterCircle F'!B87+'Codan Forsikring'!B87+'Euro Accident'!B87</f>
        <v>393430125.2764495</v>
      </c>
      <c r="C87" s="310">
        <f>'Fremtind Livsforsikring'!C87+'Danica Pensjonsforsikring'!C87+'DNB Livsforsikring'!C87+'Eika Forsikring AS'!C87+'Frende Livsforsikring'!C87+'Frende Skadeforsikring'!C87+'Gjensidige Forsikring'!C87+'Gjensidige Pensjon'!C87+'Handelsbanken Liv'!C87+'If Skadeforsikring NUF'!C87+KLP!C87+'DNB Bedriftspensjon'!C87+'KLP Skadeforsikring AS'!C87+'Landkreditt Forsikring'!C87+Insr!C87+'Nordea Liv '!C87+'Oslo Pensjonsforsikring'!C87+'Protector Forsikring'!C87+'SHB Liv'!C87+'Sparebank 1'!C87+'Storebrand Livsforsikring'!C87+'Telenor Forsikring'!C87+'Tryg Forsikring'!C87+'WaterCircle F'!C87+'Codan Forsikring'!C87+'Euro Accident'!C87</f>
        <v>401391176.2420643</v>
      </c>
      <c r="D87" s="24">
        <f t="shared" si="20"/>
        <v>2</v>
      </c>
      <c r="E87" s="236">
        <f>'Fremtind Livsforsikring'!F87+'Danica Pensjonsforsikring'!F87+'DNB Livsforsikring'!F87+'Eika Forsikring AS'!F87+'Frende Livsforsikring'!F87+'Frende Skadeforsikring'!F87+'Gjensidige Forsikring'!F87+'Gjensidige Pensjon'!F87+'Handelsbanken Liv'!F87+'If Skadeforsikring NUF'!F87+KLP!F87+'DNB Bedriftspensjon'!F87+'KLP Skadeforsikring AS'!F87+'Landkreditt Forsikring'!F87+Insr!F87+'Nordea Liv '!F87+'Oslo Pensjonsforsikring'!F87+'Protector Forsikring'!F87+'SHB Liv'!F87+'Sparebank 1'!F87+'Storebrand Livsforsikring'!F87+'Telenor Forsikring'!F87+'Tryg Forsikring'!F87+'WaterCircle F'!F87+'Codan Forsikring'!F87+'Euro Accident'!F87</f>
        <v>338274417.26129001</v>
      </c>
      <c r="F87" s="236">
        <f>'Fremtind Livsforsikring'!G87+'Danica Pensjonsforsikring'!G87+'DNB Livsforsikring'!G87+'Eika Forsikring AS'!G87+'Frende Livsforsikring'!G87+'Frende Skadeforsikring'!G87+'Gjensidige Forsikring'!G87+'Gjensidige Pensjon'!G87+'Handelsbanken Liv'!G87+'If Skadeforsikring NUF'!G87+KLP!G87+'DNB Bedriftspensjon'!G87+'KLP Skadeforsikring AS'!G87+'Landkreditt Forsikring'!G87+Insr!G87+'Nordea Liv '!G87+'Oslo Pensjonsforsikring'!G87+'Protector Forsikring'!G87+'SHB Liv'!G87+'Sparebank 1'!G87+'Storebrand Livsforsikring'!G87+'Telenor Forsikring'!G87+'Tryg Forsikring'!G87+'WaterCircle F'!G87+'Codan Forsikring'!G87+'Euro Accident'!G87</f>
        <v>425136544.02149999</v>
      </c>
      <c r="G87" s="241">
        <f t="shared" si="33"/>
        <v>25.7</v>
      </c>
      <c r="H87" s="330">
        <f t="shared" ref="H87:H111" si="34">SUM(B87,E87)</f>
        <v>731704542.53773952</v>
      </c>
      <c r="I87" s="330">
        <f t="shared" ref="I87:I111" si="35">SUM(C87,F87)</f>
        <v>826527720.26356435</v>
      </c>
      <c r="J87" s="24">
        <f t="shared" si="24"/>
        <v>13</v>
      </c>
      <c r="M87" s="143"/>
    </row>
    <row r="88" spans="1:13" ht="15.75" customHeight="1" x14ac:dyDescent="0.25">
      <c r="A88" s="21" t="s">
        <v>9</v>
      </c>
      <c r="B88" s="234">
        <f>'Fremtind Livsforsikring'!B88+'Danica Pensjonsforsikring'!B88+'DNB Livsforsikring'!B88+'Eika Forsikring AS'!B88+'Frende Livsforsikring'!B88+'Frende Skadeforsikring'!B88+'Gjensidige Forsikring'!B88+'Gjensidige Pensjon'!B88+'Handelsbanken Liv'!B88+'If Skadeforsikring NUF'!B88+KLP!B88+'DNB Bedriftspensjon'!B88+'KLP Skadeforsikring AS'!B88+'Landkreditt Forsikring'!B88+Insr!B88+'Nordea Liv '!B88+'Oslo Pensjonsforsikring'!B88+'Protector Forsikring'!B88+'SHB Liv'!B88+'Sparebank 1'!B88+'Storebrand Livsforsikring'!B88+'Telenor Forsikring'!B88+'Tryg Forsikring'!B88+'WaterCircle F'!B88+'Codan Forsikring'!B88+'Euro Accident'!B88</f>
        <v>381872588.3188628</v>
      </c>
      <c r="C88" s="234">
        <f>'Fremtind Livsforsikring'!C88+'Danica Pensjonsforsikring'!C88+'DNB Livsforsikring'!C88+'Eika Forsikring AS'!C88+'Frende Livsforsikring'!C88+'Frende Skadeforsikring'!C88+'Gjensidige Forsikring'!C88+'Gjensidige Pensjon'!C88+'Handelsbanken Liv'!C88+'If Skadeforsikring NUF'!C88+KLP!C88+'DNB Bedriftspensjon'!C88+'KLP Skadeforsikring AS'!C88+'Landkreditt Forsikring'!C88+Insr!C88+'Nordea Liv '!C88+'Oslo Pensjonsforsikring'!C88+'Protector Forsikring'!C88+'SHB Liv'!C88+'Sparebank 1'!C88+'Storebrand Livsforsikring'!C88+'Telenor Forsikring'!C88+'Tryg Forsikring'!C88+'WaterCircle F'!C88+'Codan Forsikring'!C88+'Euro Accident'!C88</f>
        <v>388272581.2256043</v>
      </c>
      <c r="D88" s="23">
        <f t="shared" si="20"/>
        <v>1.7</v>
      </c>
      <c r="E88" s="44">
        <f>'Fremtind Livsforsikring'!F88+'Danica Pensjonsforsikring'!F88+'DNB Livsforsikring'!F88+'Eika Forsikring AS'!F88+'Frende Livsforsikring'!F88+'Frende Skadeforsikring'!F88+'Gjensidige Forsikring'!F88+'Gjensidige Pensjon'!F88+'Handelsbanken Liv'!F88+'If Skadeforsikring NUF'!F88+KLP!F88+'DNB Bedriftspensjon'!F88+'KLP Skadeforsikring AS'!F88+'Landkreditt Forsikring'!F88+Insr!F88+'Nordea Liv '!F88+'Oslo Pensjonsforsikring'!F88+'Protector Forsikring'!F88+'SHB Liv'!F88+'Sparebank 1'!F88+'Storebrand Livsforsikring'!F88+'Telenor Forsikring'!F88+'Tryg Forsikring'!F88+'WaterCircle F'!F88+'Codan Forsikring'!F88+'Euro Accident'!F88</f>
        <v>0</v>
      </c>
      <c r="F88" s="44">
        <f>'Fremtind Livsforsikring'!G88+'Danica Pensjonsforsikring'!G88+'DNB Livsforsikring'!G88+'Eika Forsikring AS'!G88+'Frende Livsforsikring'!G88+'Frende Skadeforsikring'!G88+'Gjensidige Forsikring'!G88+'Gjensidige Pensjon'!G88+'Handelsbanken Liv'!G88+'If Skadeforsikring NUF'!G88+KLP!G88+'DNB Bedriftspensjon'!G88+'KLP Skadeforsikring AS'!G88+'Landkreditt Forsikring'!G88+Insr!G88+'Nordea Liv '!G88+'Oslo Pensjonsforsikring'!G88+'Protector Forsikring'!G88+'SHB Liv'!G88+'Sparebank 1'!G88+'Storebrand Livsforsikring'!G88+'Telenor Forsikring'!G88+'Tryg Forsikring'!G88+'WaterCircle F'!G88+'Codan Forsikring'!G88+'Euro Accident'!G88</f>
        <v>0</v>
      </c>
      <c r="G88" s="166"/>
      <c r="H88" s="237">
        <f t="shared" si="34"/>
        <v>381872588.3188628</v>
      </c>
      <c r="I88" s="237">
        <f t="shared" si="35"/>
        <v>388272581.2256043</v>
      </c>
      <c r="J88" s="23">
        <f t="shared" si="24"/>
        <v>1.7</v>
      </c>
    </row>
    <row r="89" spans="1:13" ht="15.75" customHeight="1" x14ac:dyDescent="0.3">
      <c r="A89" s="21" t="s">
        <v>10</v>
      </c>
      <c r="B89" s="234">
        <f>'Fremtind Livsforsikring'!B89+'Danica Pensjonsforsikring'!B89+'DNB Livsforsikring'!B89+'Eika Forsikring AS'!B89+'Frende Livsforsikring'!B89+'Frende Skadeforsikring'!B89+'Gjensidige Forsikring'!B89+'Gjensidige Pensjon'!B89+'Handelsbanken Liv'!B89+'If Skadeforsikring NUF'!B89+KLP!B89+'DNB Bedriftspensjon'!B89+'KLP Skadeforsikring AS'!B89+'Landkreditt Forsikring'!B89+Insr!B89+'Nordea Liv '!B89+'Oslo Pensjonsforsikring'!B89+'Protector Forsikring'!B89+'SHB Liv'!B89+'Sparebank 1'!B89+'Storebrand Livsforsikring'!B89+'Telenor Forsikring'!B89+'Tryg Forsikring'!B89+'WaterCircle F'!B89+'Codan Forsikring'!B89+'Euro Accident'!B89</f>
        <v>3168063.6674366803</v>
      </c>
      <c r="C89" s="234">
        <f>'Fremtind Livsforsikring'!C89+'Danica Pensjonsforsikring'!C89+'DNB Livsforsikring'!C89+'Eika Forsikring AS'!C89+'Frende Livsforsikring'!C89+'Frende Skadeforsikring'!C89+'Gjensidige Forsikring'!C89+'Gjensidige Pensjon'!C89+'Handelsbanken Liv'!C89+'If Skadeforsikring NUF'!C89+KLP!C89+'DNB Bedriftspensjon'!C89+'KLP Skadeforsikring AS'!C89+'Landkreditt Forsikring'!C89+Insr!C89+'Nordea Liv '!C89+'Oslo Pensjonsforsikring'!C89+'Protector Forsikring'!C89+'SHB Liv'!C89+'Sparebank 1'!C89+'Storebrand Livsforsikring'!C89+'Telenor Forsikring'!C89+'Tryg Forsikring'!C89+'WaterCircle F'!C89+'Codan Forsikring'!C89+'Euro Accident'!C89</f>
        <v>3086506.71734</v>
      </c>
      <c r="D89" s="23">
        <f t="shared" si="20"/>
        <v>-2.6</v>
      </c>
      <c r="E89" s="44">
        <f>'Fremtind Livsforsikring'!F89+'Danica Pensjonsforsikring'!F89+'DNB Livsforsikring'!F89+'Eika Forsikring AS'!F89+'Frende Livsforsikring'!F89+'Frende Skadeforsikring'!F89+'Gjensidige Forsikring'!F89+'Gjensidige Pensjon'!F89+'Handelsbanken Liv'!F89+'If Skadeforsikring NUF'!F89+KLP!F89+'DNB Bedriftspensjon'!F89+'KLP Skadeforsikring AS'!F89+'Landkreditt Forsikring'!F89+Insr!F89+'Nordea Liv '!F89+'Oslo Pensjonsforsikring'!F89+'Protector Forsikring'!F89+'SHB Liv'!F89+'Sparebank 1'!F89+'Storebrand Livsforsikring'!F89+'Telenor Forsikring'!F89+'Tryg Forsikring'!F89+'WaterCircle F'!F89+'Codan Forsikring'!F89+'Euro Accident'!F89</f>
        <v>335702118.27889997</v>
      </c>
      <c r="F89" s="44">
        <f>'Fremtind Livsforsikring'!G89+'Danica Pensjonsforsikring'!G89+'DNB Livsforsikring'!G89+'Eika Forsikring AS'!G89+'Frende Livsforsikring'!G89+'Frende Skadeforsikring'!G89+'Gjensidige Forsikring'!G89+'Gjensidige Pensjon'!G89+'Handelsbanken Liv'!G89+'If Skadeforsikring NUF'!G89+KLP!G89+'DNB Bedriftspensjon'!G89+'KLP Skadeforsikring AS'!G89+'Landkreditt Forsikring'!G89+Insr!G89+'Nordea Liv '!G89+'Oslo Pensjonsforsikring'!G89+'Protector Forsikring'!G89+'SHB Liv'!G89+'Sparebank 1'!G89+'Storebrand Livsforsikring'!G89+'Telenor Forsikring'!G89+'Tryg Forsikring'!G89+'WaterCircle F'!G89+'Codan Forsikring'!G89+'Euro Accident'!G89</f>
        <v>420757485.13576007</v>
      </c>
      <c r="G89" s="241">
        <f t="shared" si="33"/>
        <v>25.3</v>
      </c>
      <c r="H89" s="237">
        <f t="shared" si="34"/>
        <v>338870181.94633663</v>
      </c>
      <c r="I89" s="237">
        <f t="shared" si="35"/>
        <v>423843991.85310006</v>
      </c>
      <c r="J89" s="23">
        <f t="shared" si="24"/>
        <v>25.1</v>
      </c>
      <c r="L89" s="149"/>
    </row>
    <row r="90" spans="1:13" ht="15.75" customHeight="1" x14ac:dyDescent="0.25">
      <c r="A90" s="298" t="s">
        <v>378</v>
      </c>
      <c r="B90" s="235">
        <f>'Fremtind Livsforsikring'!B90+'Danica Pensjonsforsikring'!B90+'DNB Livsforsikring'!B90+'Eika Forsikring AS'!B90+'Frende Livsforsikring'!B90+'Frende Skadeforsikring'!B90+'Gjensidige Forsikring'!B90+'Gjensidige Pensjon'!B90+'Handelsbanken Liv'!B90+'If Skadeforsikring NUF'!B90+KLP!B90+'DNB Bedriftspensjon'!B90+'KLP Skadeforsikring AS'!B90+'Landkreditt Forsikring'!B90+Insr!B90+'Nordea Liv '!B90+'Oslo Pensjonsforsikring'!B90+'Protector Forsikring'!B90+'SHB Liv'!B90+'Sparebank 1'!B90+'Storebrand Livsforsikring'!B90+'Telenor Forsikring'!B90+'Tryg Forsikring'!B90+'WaterCircle F'!B90+'Codan Forsikring'!B90+'Euro Accident'!B90</f>
        <v>0</v>
      </c>
      <c r="C90" s="235">
        <f>'Fremtind Livsforsikring'!C90+'Danica Pensjonsforsikring'!C90+'DNB Livsforsikring'!C90+'Eika Forsikring AS'!C90+'Frende Livsforsikring'!C90+'Frende Skadeforsikring'!C90+'Gjensidige Forsikring'!C90+'Gjensidige Pensjon'!C90+'Handelsbanken Liv'!C90+'If Skadeforsikring NUF'!C90+KLP!C90+'DNB Bedriftspensjon'!C90+'KLP Skadeforsikring AS'!C90+'Landkreditt Forsikring'!C90+Insr!C90+'Nordea Liv '!C90+'Oslo Pensjonsforsikring'!C90+'Protector Forsikring'!C90+'SHB Liv'!C90+'Sparebank 1'!C90+'Storebrand Livsforsikring'!C90+'Telenor Forsikring'!C90+'Tryg Forsikring'!C90+'WaterCircle F'!C90+'Codan Forsikring'!C90+'Euro Accident'!C90</f>
        <v>0</v>
      </c>
      <c r="D90" s="27"/>
      <c r="E90" s="235">
        <f>'Fremtind Livsforsikring'!F90+'Danica Pensjonsforsikring'!F90+'DNB Livsforsikring'!F90+'Eika Forsikring AS'!F90+'Frende Livsforsikring'!F90+'Frende Skadeforsikring'!F90+'Gjensidige Forsikring'!F90+'Gjensidige Pensjon'!F90+'Handelsbanken Liv'!F90+'If Skadeforsikring NUF'!F90+KLP!F90+'DNB Bedriftspensjon'!F90+'KLP Skadeforsikring AS'!F90+'Landkreditt Forsikring'!F90+Insr!F90+'Nordea Liv '!F90+'Oslo Pensjonsforsikring'!F90+'Protector Forsikring'!F90+'SHB Liv'!F90+'Sparebank 1'!F90+'Storebrand Livsforsikring'!F90+'Telenor Forsikring'!F90+'Tryg Forsikring'!F90+'WaterCircle F'!F90+'Codan Forsikring'!F90+'Euro Accident'!F90</f>
        <v>0</v>
      </c>
      <c r="F90" s="235">
        <f>'Fremtind Livsforsikring'!G90+'Danica Pensjonsforsikring'!G90+'DNB Livsforsikring'!G90+'Eika Forsikring AS'!G90+'Frende Livsforsikring'!G90+'Frende Skadeforsikring'!G90+'Gjensidige Forsikring'!G90+'Gjensidige Pensjon'!G90+'Handelsbanken Liv'!G90+'If Skadeforsikring NUF'!G90+KLP!G90+'DNB Bedriftspensjon'!G90+'KLP Skadeforsikring AS'!G90+'Landkreditt Forsikring'!G90+Insr!G90+'Nordea Liv '!G90+'Oslo Pensjonsforsikring'!G90+'Protector Forsikring'!G90+'SHB Liv'!G90+'Sparebank 1'!G90+'Storebrand Livsforsikring'!G90+'Telenor Forsikring'!G90+'Tryg Forsikring'!G90+'WaterCircle F'!G90+'Codan Forsikring'!G90+'Euro Accident'!G90</f>
        <v>0</v>
      </c>
      <c r="G90" s="166"/>
      <c r="H90" s="235"/>
      <c r="I90" s="235"/>
      <c r="J90" s="23"/>
    </row>
    <row r="91" spans="1:13" ht="15.75" customHeight="1" x14ac:dyDescent="0.25">
      <c r="A91" s="298" t="s">
        <v>12</v>
      </c>
      <c r="B91" s="235">
        <f>'Fremtind Livsforsikring'!B91+'Danica Pensjonsforsikring'!B91+'DNB Livsforsikring'!B91+'Eika Forsikring AS'!B91+'Frende Livsforsikring'!B91+'Frende Skadeforsikring'!B91+'Gjensidige Forsikring'!B91+'Gjensidige Pensjon'!B91+'Handelsbanken Liv'!B91+'If Skadeforsikring NUF'!B91+KLP!B91+'DNB Bedriftspensjon'!B91+'KLP Skadeforsikring AS'!B91+'Landkreditt Forsikring'!B91+Insr!B91+'Nordea Liv '!B91+'Oslo Pensjonsforsikring'!B91+'Protector Forsikring'!B91+'SHB Liv'!B91+'Sparebank 1'!B91+'Storebrand Livsforsikring'!B91+'Telenor Forsikring'!B91+'Tryg Forsikring'!B91+'WaterCircle F'!B91+'Codan Forsikring'!B91+'Euro Accident'!B91</f>
        <v>0</v>
      </c>
      <c r="C91" s="235">
        <f>'Fremtind Livsforsikring'!C91+'Danica Pensjonsforsikring'!C91+'DNB Livsforsikring'!C91+'Eika Forsikring AS'!C91+'Frende Livsforsikring'!C91+'Frende Skadeforsikring'!C91+'Gjensidige Forsikring'!C91+'Gjensidige Pensjon'!C91+'Handelsbanken Liv'!C91+'If Skadeforsikring NUF'!C91+KLP!C91+'DNB Bedriftspensjon'!C91+'KLP Skadeforsikring AS'!C91+'Landkreditt Forsikring'!C91+Insr!C91+'Nordea Liv '!C91+'Oslo Pensjonsforsikring'!C91+'Protector Forsikring'!C91+'SHB Liv'!C91+'Sparebank 1'!C91+'Storebrand Livsforsikring'!C91+'Telenor Forsikring'!C91+'Tryg Forsikring'!C91+'WaterCircle F'!C91+'Codan Forsikring'!C91+'Euro Accident'!C91</f>
        <v>0</v>
      </c>
      <c r="D91" s="27"/>
      <c r="E91" s="235">
        <f>'Fremtind Livsforsikring'!F91+'Danica Pensjonsforsikring'!F91+'DNB Livsforsikring'!F91+'Eika Forsikring AS'!F91+'Frende Livsforsikring'!F91+'Frende Skadeforsikring'!F91+'Gjensidige Forsikring'!F91+'Gjensidige Pensjon'!F91+'Handelsbanken Liv'!F91+'If Skadeforsikring NUF'!F91+KLP!F91+'DNB Bedriftspensjon'!F91+'KLP Skadeforsikring AS'!F91+'Landkreditt Forsikring'!F91+Insr!F91+'Nordea Liv '!F91+'Oslo Pensjonsforsikring'!F91+'Protector Forsikring'!F91+'SHB Liv'!F91+'Sparebank 1'!F91+'Storebrand Livsforsikring'!F91+'Telenor Forsikring'!F91+'Tryg Forsikring'!F91+'WaterCircle F'!F91+'Codan Forsikring'!F91+'Euro Accident'!F91</f>
        <v>0</v>
      </c>
      <c r="F91" s="235">
        <f>'Fremtind Livsforsikring'!G91+'Danica Pensjonsforsikring'!G91+'DNB Livsforsikring'!G91+'Eika Forsikring AS'!G91+'Frende Livsforsikring'!G91+'Frende Skadeforsikring'!G91+'Gjensidige Forsikring'!G91+'Gjensidige Pensjon'!G91+'Handelsbanken Liv'!G91+'If Skadeforsikring NUF'!G91+KLP!G91+'DNB Bedriftspensjon'!G91+'KLP Skadeforsikring AS'!G91+'Landkreditt Forsikring'!G91+Insr!G91+'Nordea Liv '!G91+'Oslo Pensjonsforsikring'!G91+'Protector Forsikring'!G91+'SHB Liv'!G91+'Sparebank 1'!G91+'Storebrand Livsforsikring'!G91+'Telenor Forsikring'!G91+'Tryg Forsikring'!G91+'WaterCircle F'!G91+'Codan Forsikring'!G91+'Euro Accident'!G91</f>
        <v>0</v>
      </c>
      <c r="G91" s="166"/>
      <c r="H91" s="235"/>
      <c r="I91" s="235"/>
      <c r="J91" s="23"/>
    </row>
    <row r="92" spans="1:13" ht="15.75" customHeight="1" x14ac:dyDescent="0.25">
      <c r="A92" s="298" t="s">
        <v>13</v>
      </c>
      <c r="B92" s="235">
        <f>'Fremtind Livsforsikring'!B92+'Danica Pensjonsforsikring'!B92+'DNB Livsforsikring'!B92+'Eika Forsikring AS'!B92+'Frende Livsforsikring'!B92+'Frende Skadeforsikring'!B92+'Gjensidige Forsikring'!B92+'Gjensidige Pensjon'!B92+'Handelsbanken Liv'!B92+'If Skadeforsikring NUF'!B92+KLP!B92+'DNB Bedriftspensjon'!B92+'KLP Skadeforsikring AS'!B92+'Landkreditt Forsikring'!B92+Insr!B92+'Nordea Liv '!B92+'Oslo Pensjonsforsikring'!B92+'Protector Forsikring'!B92+'SHB Liv'!B92+'Sparebank 1'!B92+'Storebrand Livsforsikring'!B92+'Telenor Forsikring'!B92+'Tryg Forsikring'!B92+'WaterCircle F'!B92+'Codan Forsikring'!B92+'Euro Accident'!B92</f>
        <v>0</v>
      </c>
      <c r="C92" s="235">
        <f>'Fremtind Livsforsikring'!C92+'Danica Pensjonsforsikring'!C92+'DNB Livsforsikring'!C92+'Eika Forsikring AS'!C92+'Frende Livsforsikring'!C92+'Frende Skadeforsikring'!C92+'Gjensidige Forsikring'!C92+'Gjensidige Pensjon'!C92+'Handelsbanken Liv'!C92+'If Skadeforsikring NUF'!C92+KLP!C92+'DNB Bedriftspensjon'!C92+'KLP Skadeforsikring AS'!C92+'Landkreditt Forsikring'!C92+Insr!C92+'Nordea Liv '!C92+'Oslo Pensjonsforsikring'!C92+'Protector Forsikring'!C92+'SHB Liv'!C92+'Sparebank 1'!C92+'Storebrand Livsforsikring'!C92+'Telenor Forsikring'!C92+'Tryg Forsikring'!C92+'WaterCircle F'!C92+'Codan Forsikring'!C92+'Euro Accident'!C92</f>
        <v>0</v>
      </c>
      <c r="D92" s="27"/>
      <c r="E92" s="235">
        <f>'Fremtind Livsforsikring'!F92+'Danica Pensjonsforsikring'!F92+'DNB Livsforsikring'!F92+'Eika Forsikring AS'!F92+'Frende Livsforsikring'!F92+'Frende Skadeforsikring'!F92+'Gjensidige Forsikring'!F92+'Gjensidige Pensjon'!F92+'Handelsbanken Liv'!F92+'If Skadeforsikring NUF'!F92+KLP!F92+'DNB Bedriftspensjon'!F92+'KLP Skadeforsikring AS'!F92+'Landkreditt Forsikring'!F92+Insr!F92+'Nordea Liv '!F92+'Oslo Pensjonsforsikring'!F92+'Protector Forsikring'!F92+'SHB Liv'!F92+'Sparebank 1'!F92+'Storebrand Livsforsikring'!F92+'Telenor Forsikring'!F92+'Tryg Forsikring'!F92+'WaterCircle F'!F92+'Codan Forsikring'!F92+'Euro Accident'!F92</f>
        <v>0</v>
      </c>
      <c r="F92" s="235">
        <f>'Fremtind Livsforsikring'!G92+'Danica Pensjonsforsikring'!G92+'DNB Livsforsikring'!G92+'Eika Forsikring AS'!G92+'Frende Livsforsikring'!G92+'Frende Skadeforsikring'!G92+'Gjensidige Forsikring'!G92+'Gjensidige Pensjon'!G92+'Handelsbanken Liv'!G92+'If Skadeforsikring NUF'!G92+KLP!G92+'DNB Bedriftspensjon'!G92+'KLP Skadeforsikring AS'!G92+'Landkreditt Forsikring'!G92+Insr!G92+'Nordea Liv '!G92+'Oslo Pensjonsforsikring'!G92+'Protector Forsikring'!G92+'SHB Liv'!G92+'Sparebank 1'!G92+'Storebrand Livsforsikring'!G92+'Telenor Forsikring'!G92+'Tryg Forsikring'!G92+'WaterCircle F'!G92+'Codan Forsikring'!G92+'Euro Accident'!G92</f>
        <v>0</v>
      </c>
      <c r="G92" s="166"/>
      <c r="H92" s="235"/>
      <c r="I92" s="235"/>
      <c r="J92" s="23"/>
      <c r="M92" s="149"/>
    </row>
    <row r="93" spans="1:13" ht="15.75" customHeight="1" x14ac:dyDescent="0.25">
      <c r="A93" s="298" t="s">
        <v>379</v>
      </c>
      <c r="B93" s="235">
        <f>'Fremtind Livsforsikring'!B93+'Danica Pensjonsforsikring'!B93+'DNB Livsforsikring'!B93+'Eika Forsikring AS'!B93+'Frende Livsforsikring'!B93+'Frende Skadeforsikring'!B93+'Gjensidige Forsikring'!B93+'Gjensidige Pensjon'!B93+'Handelsbanken Liv'!B93+'If Skadeforsikring NUF'!B93+KLP!B93+'DNB Bedriftspensjon'!B93+'KLP Skadeforsikring AS'!B93+'Landkreditt Forsikring'!B93+Insr!B93+'Nordea Liv '!B93+'Oslo Pensjonsforsikring'!B93+'Protector Forsikring'!B93+'SHB Liv'!B93+'Sparebank 1'!B93+'Storebrand Livsforsikring'!B93+'Telenor Forsikring'!B93+'Tryg Forsikring'!B93+'WaterCircle F'!B93+'Codan Forsikring'!B93+'Euro Accident'!B93</f>
        <v>0</v>
      </c>
      <c r="C93" s="235">
        <f>'Fremtind Livsforsikring'!C93+'Danica Pensjonsforsikring'!C93+'DNB Livsforsikring'!C93+'Eika Forsikring AS'!C93+'Frende Livsforsikring'!C93+'Frende Skadeforsikring'!C93+'Gjensidige Forsikring'!C93+'Gjensidige Pensjon'!C93+'Handelsbanken Liv'!C93+'If Skadeforsikring NUF'!C93+KLP!C93+'DNB Bedriftspensjon'!C93+'KLP Skadeforsikring AS'!C93+'Landkreditt Forsikring'!C93+Insr!C93+'Nordea Liv '!C93+'Oslo Pensjonsforsikring'!C93+'Protector Forsikring'!C93+'SHB Liv'!C93+'Sparebank 1'!C93+'Storebrand Livsforsikring'!C93+'Telenor Forsikring'!C93+'Tryg Forsikring'!C93+'WaterCircle F'!C93+'Codan Forsikring'!C93+'Euro Accident'!C93</f>
        <v>0</v>
      </c>
      <c r="D93" s="27"/>
      <c r="E93" s="235">
        <f>'Fremtind Livsforsikring'!F93+'Danica Pensjonsforsikring'!F93+'DNB Livsforsikring'!F93+'Eika Forsikring AS'!F93+'Frende Livsforsikring'!F93+'Frende Skadeforsikring'!F93+'Gjensidige Forsikring'!F93+'Gjensidige Pensjon'!F93+'Handelsbanken Liv'!F93+'If Skadeforsikring NUF'!F93+KLP!F93+'DNB Bedriftspensjon'!F93+'KLP Skadeforsikring AS'!F93+'Landkreditt Forsikring'!F93+Insr!F93+'Nordea Liv '!F93+'Oslo Pensjonsforsikring'!F93+'Protector Forsikring'!F93+'SHB Liv'!F93+'Sparebank 1'!F93+'Storebrand Livsforsikring'!F93+'Telenor Forsikring'!F93+'Tryg Forsikring'!F93+'WaterCircle F'!F93+'Codan Forsikring'!F93+'Euro Accident'!F93</f>
        <v>0</v>
      </c>
      <c r="F93" s="235">
        <f>'Fremtind Livsforsikring'!G93+'Danica Pensjonsforsikring'!G93+'DNB Livsforsikring'!G93+'Eika Forsikring AS'!G93+'Frende Livsforsikring'!G93+'Frende Skadeforsikring'!G93+'Gjensidige Forsikring'!G93+'Gjensidige Pensjon'!G93+'Handelsbanken Liv'!G93+'If Skadeforsikring NUF'!G93+KLP!G93+'DNB Bedriftspensjon'!G93+'KLP Skadeforsikring AS'!G93+'Landkreditt Forsikring'!G93+Insr!G93+'Nordea Liv '!G93+'Oslo Pensjonsforsikring'!G93+'Protector Forsikring'!G93+'SHB Liv'!G93+'Sparebank 1'!G93+'Storebrand Livsforsikring'!G93+'Telenor Forsikring'!G93+'Tryg Forsikring'!G93+'WaterCircle F'!G93+'Codan Forsikring'!G93+'Euro Accident'!G93</f>
        <v>0</v>
      </c>
      <c r="G93" s="166"/>
      <c r="H93" s="235"/>
      <c r="I93" s="235"/>
      <c r="J93" s="23"/>
    </row>
    <row r="94" spans="1:13" ht="15.75" customHeight="1" x14ac:dyDescent="0.25">
      <c r="A94" s="298" t="s">
        <v>12</v>
      </c>
      <c r="B94" s="235">
        <f>'Fremtind Livsforsikring'!B94+'Danica Pensjonsforsikring'!B94+'DNB Livsforsikring'!B94+'Eika Forsikring AS'!B94+'Frende Livsforsikring'!B94+'Frende Skadeforsikring'!B94+'Gjensidige Forsikring'!B94+'Gjensidige Pensjon'!B94+'Handelsbanken Liv'!B94+'If Skadeforsikring NUF'!B94+KLP!B94+'DNB Bedriftspensjon'!B94+'KLP Skadeforsikring AS'!B94+'Landkreditt Forsikring'!B94+Insr!B94+'Nordea Liv '!B94+'Oslo Pensjonsforsikring'!B94+'Protector Forsikring'!B94+'SHB Liv'!B94+'Sparebank 1'!B94+'Storebrand Livsforsikring'!B94+'Telenor Forsikring'!B94+'Tryg Forsikring'!B94+'WaterCircle F'!B94+'Codan Forsikring'!B94+'Euro Accident'!B94</f>
        <v>0</v>
      </c>
      <c r="C94" s="235">
        <f>'Fremtind Livsforsikring'!C94+'Danica Pensjonsforsikring'!C94+'DNB Livsforsikring'!C94+'Eika Forsikring AS'!C94+'Frende Livsforsikring'!C94+'Frende Skadeforsikring'!C94+'Gjensidige Forsikring'!C94+'Gjensidige Pensjon'!C94+'Handelsbanken Liv'!C94+'If Skadeforsikring NUF'!C94+KLP!C94+'DNB Bedriftspensjon'!C94+'KLP Skadeforsikring AS'!C94+'Landkreditt Forsikring'!C94+Insr!C94+'Nordea Liv '!C94+'Oslo Pensjonsforsikring'!C94+'Protector Forsikring'!C94+'SHB Liv'!C94+'Sparebank 1'!C94+'Storebrand Livsforsikring'!C94+'Telenor Forsikring'!C94+'Tryg Forsikring'!C94+'WaterCircle F'!C94+'Codan Forsikring'!C94+'Euro Accident'!C94</f>
        <v>0</v>
      </c>
      <c r="D94" s="27"/>
      <c r="E94" s="235">
        <f>'Fremtind Livsforsikring'!F94+'Danica Pensjonsforsikring'!F94+'DNB Livsforsikring'!F94+'Eika Forsikring AS'!F94+'Frende Livsforsikring'!F94+'Frende Skadeforsikring'!F94+'Gjensidige Forsikring'!F94+'Gjensidige Pensjon'!F94+'Handelsbanken Liv'!F94+'If Skadeforsikring NUF'!F94+KLP!F94+'DNB Bedriftspensjon'!F94+'KLP Skadeforsikring AS'!F94+'Landkreditt Forsikring'!F94+Insr!F94+'Nordea Liv '!F94+'Oslo Pensjonsforsikring'!F94+'Protector Forsikring'!F94+'SHB Liv'!F94+'Sparebank 1'!F94+'Storebrand Livsforsikring'!F94+'Telenor Forsikring'!F94+'Tryg Forsikring'!F94+'WaterCircle F'!F94+'Codan Forsikring'!F94+'Euro Accident'!F94</f>
        <v>0</v>
      </c>
      <c r="F94" s="235">
        <f>'Fremtind Livsforsikring'!G94+'Danica Pensjonsforsikring'!G94+'DNB Livsforsikring'!G94+'Eika Forsikring AS'!G94+'Frende Livsforsikring'!G94+'Frende Skadeforsikring'!G94+'Gjensidige Forsikring'!G94+'Gjensidige Pensjon'!G94+'Handelsbanken Liv'!G94+'If Skadeforsikring NUF'!G94+KLP!G94+'DNB Bedriftspensjon'!G94+'KLP Skadeforsikring AS'!G94+'Landkreditt Forsikring'!G94+Insr!G94+'Nordea Liv '!G94+'Oslo Pensjonsforsikring'!G94+'Protector Forsikring'!G94+'SHB Liv'!G94+'Sparebank 1'!G94+'Storebrand Livsforsikring'!G94+'Telenor Forsikring'!G94+'Tryg Forsikring'!G94+'WaterCircle F'!G94+'Codan Forsikring'!G94+'Euro Accident'!G94</f>
        <v>0</v>
      </c>
      <c r="G94" s="166"/>
      <c r="H94" s="235"/>
      <c r="I94" s="235"/>
      <c r="J94" s="23"/>
    </row>
    <row r="95" spans="1:13" ht="15.75" customHeight="1" x14ac:dyDescent="0.25">
      <c r="A95" s="298" t="s">
        <v>13</v>
      </c>
      <c r="B95" s="235">
        <f>'Fremtind Livsforsikring'!B95+'Danica Pensjonsforsikring'!B95+'DNB Livsforsikring'!B95+'Eika Forsikring AS'!B95+'Frende Livsforsikring'!B95+'Frende Skadeforsikring'!B95+'Gjensidige Forsikring'!B95+'Gjensidige Pensjon'!B95+'Handelsbanken Liv'!B95+'If Skadeforsikring NUF'!B95+KLP!B95+'DNB Bedriftspensjon'!B95+'KLP Skadeforsikring AS'!B95+'Landkreditt Forsikring'!B95+Insr!B95+'Nordea Liv '!B95+'Oslo Pensjonsforsikring'!B95+'Protector Forsikring'!B95+'SHB Liv'!B95+'Sparebank 1'!B95+'Storebrand Livsforsikring'!B95+'Telenor Forsikring'!B95+'Tryg Forsikring'!B95+'WaterCircle F'!B95+'Codan Forsikring'!B95+'Euro Accident'!B95</f>
        <v>0</v>
      </c>
      <c r="C95" s="235">
        <f>'Fremtind Livsforsikring'!C95+'Danica Pensjonsforsikring'!C95+'DNB Livsforsikring'!C95+'Eika Forsikring AS'!C95+'Frende Livsforsikring'!C95+'Frende Skadeforsikring'!C95+'Gjensidige Forsikring'!C95+'Gjensidige Pensjon'!C95+'Handelsbanken Liv'!C95+'If Skadeforsikring NUF'!C95+KLP!C95+'DNB Bedriftspensjon'!C95+'KLP Skadeforsikring AS'!C95+'Landkreditt Forsikring'!C95+Insr!C95+'Nordea Liv '!C95+'Oslo Pensjonsforsikring'!C95+'Protector Forsikring'!C95+'SHB Liv'!C95+'Sparebank 1'!C95+'Storebrand Livsforsikring'!C95+'Telenor Forsikring'!C95+'Tryg Forsikring'!C95+'WaterCircle F'!C95+'Codan Forsikring'!C95+'Euro Accident'!C95</f>
        <v>0</v>
      </c>
      <c r="D95" s="27"/>
      <c r="E95" s="235">
        <f>'Fremtind Livsforsikring'!F95+'Danica Pensjonsforsikring'!F95+'DNB Livsforsikring'!F95+'Eika Forsikring AS'!F95+'Frende Livsforsikring'!F95+'Frende Skadeforsikring'!F95+'Gjensidige Forsikring'!F95+'Gjensidige Pensjon'!F95+'Handelsbanken Liv'!F95+'If Skadeforsikring NUF'!F95+KLP!F95+'DNB Bedriftspensjon'!F95+'KLP Skadeforsikring AS'!F95+'Landkreditt Forsikring'!F95+Insr!F95+'Nordea Liv '!F95+'Oslo Pensjonsforsikring'!F95+'Protector Forsikring'!F95+'SHB Liv'!F95+'Sparebank 1'!F95+'Storebrand Livsforsikring'!F95+'Telenor Forsikring'!F95+'Tryg Forsikring'!F95+'WaterCircle F'!F95+'Codan Forsikring'!F95+'Euro Accident'!F95</f>
        <v>0</v>
      </c>
      <c r="F95" s="235">
        <f>'Fremtind Livsforsikring'!G95+'Danica Pensjonsforsikring'!G95+'DNB Livsforsikring'!G95+'Eika Forsikring AS'!G95+'Frende Livsforsikring'!G95+'Frende Skadeforsikring'!G95+'Gjensidige Forsikring'!G95+'Gjensidige Pensjon'!G95+'Handelsbanken Liv'!G95+'If Skadeforsikring NUF'!G95+KLP!G95+'DNB Bedriftspensjon'!G95+'KLP Skadeforsikring AS'!G95+'Landkreditt Forsikring'!G95+Insr!G95+'Nordea Liv '!G95+'Oslo Pensjonsforsikring'!G95+'Protector Forsikring'!G95+'SHB Liv'!G95+'Sparebank 1'!G95+'Storebrand Livsforsikring'!G95+'Telenor Forsikring'!G95+'Tryg Forsikring'!G95+'WaterCircle F'!G95+'Codan Forsikring'!G95+'Euro Accident'!G95</f>
        <v>0</v>
      </c>
      <c r="G95" s="166"/>
      <c r="H95" s="235"/>
      <c r="I95" s="235"/>
      <c r="J95" s="23"/>
    </row>
    <row r="96" spans="1:13" ht="15.75" customHeight="1" x14ac:dyDescent="0.3">
      <c r="A96" s="21" t="s">
        <v>348</v>
      </c>
      <c r="B96" s="234">
        <f>'Fremtind Livsforsikring'!B96+'Danica Pensjonsforsikring'!B96+'DNB Livsforsikring'!B96+'Eika Forsikring AS'!B96+'Frende Livsforsikring'!B96+'Frende Skadeforsikring'!B96+'Gjensidige Forsikring'!B96+'Gjensidige Pensjon'!B96+'Handelsbanken Liv'!B96+'If Skadeforsikring NUF'!B96+KLP!B96+'DNB Bedriftspensjon'!B96+'KLP Skadeforsikring AS'!B96+'Landkreditt Forsikring'!B96+Insr!B96+'Nordea Liv '!B96+'Oslo Pensjonsforsikring'!B96+'Protector Forsikring'!B96+'SHB Liv'!B96+'Sparebank 1'!B96+'Storebrand Livsforsikring'!B96+'Telenor Forsikring'!B96+'Tryg Forsikring'!B96+'WaterCircle F'!B96+'Codan Forsikring'!B96+'Euro Accident'!B96</f>
        <v>1843898.0478699999</v>
      </c>
      <c r="C96" s="234">
        <f>'Fremtind Livsforsikring'!C96+'Danica Pensjonsforsikring'!C96+'DNB Livsforsikring'!C96+'Eika Forsikring AS'!C96+'Frende Livsforsikring'!C96+'Frende Skadeforsikring'!C96+'Gjensidige Forsikring'!C96+'Gjensidige Pensjon'!C96+'Handelsbanken Liv'!C96+'If Skadeforsikring NUF'!C96+KLP!C96+'DNB Bedriftspensjon'!C96+'KLP Skadeforsikring AS'!C96+'Landkreditt Forsikring'!C96+Insr!C96+'Nordea Liv '!C96+'Oslo Pensjonsforsikring'!C96+'Protector Forsikring'!C96+'SHB Liv'!C96+'Sparebank 1'!C96+'Storebrand Livsforsikring'!C96+'Telenor Forsikring'!C96+'Tryg Forsikring'!C96+'WaterCircle F'!C96+'Codan Forsikring'!C96+'Euro Accident'!C96</f>
        <v>2518065.5657200003</v>
      </c>
      <c r="D96" s="23">
        <f t="shared" si="20"/>
        <v>36.6</v>
      </c>
      <c r="E96" s="44">
        <f>'Fremtind Livsforsikring'!F96+'Danica Pensjonsforsikring'!F96+'DNB Livsforsikring'!F96+'Eika Forsikring AS'!F96+'Frende Livsforsikring'!F96+'Frende Skadeforsikring'!F96+'Gjensidige Forsikring'!F96+'Gjensidige Pensjon'!F96+'Handelsbanken Liv'!F96+'If Skadeforsikring NUF'!F96+KLP!F96+'DNB Bedriftspensjon'!F96+'KLP Skadeforsikring AS'!F96+'Landkreditt Forsikring'!F96+Insr!F96+'Nordea Liv '!F96+'Oslo Pensjonsforsikring'!F96+'Protector Forsikring'!F96+'SHB Liv'!F96+'Sparebank 1'!F96+'Storebrand Livsforsikring'!F96+'Telenor Forsikring'!F96+'Tryg Forsikring'!F96+'WaterCircle F'!F96+'Codan Forsikring'!F96+'Euro Accident'!F96</f>
        <v>2572298.98239</v>
      </c>
      <c r="F96" s="44">
        <f>'Fremtind Livsforsikring'!G96+'Danica Pensjonsforsikring'!G96+'DNB Livsforsikring'!G96+'Eika Forsikring AS'!G96+'Frende Livsforsikring'!G96+'Frende Skadeforsikring'!G96+'Gjensidige Forsikring'!G96+'Gjensidige Pensjon'!G96+'Handelsbanken Liv'!G96+'If Skadeforsikring NUF'!G96+KLP!G96+'DNB Bedriftspensjon'!G96+'KLP Skadeforsikring AS'!G96+'Landkreditt Forsikring'!G96+Insr!G96+'Nordea Liv '!G96+'Oslo Pensjonsforsikring'!G96+'Protector Forsikring'!G96+'SHB Liv'!G96+'Sparebank 1'!G96+'Storebrand Livsforsikring'!G96+'Telenor Forsikring'!G96+'Tryg Forsikring'!G96+'WaterCircle F'!G96+'Codan Forsikring'!G96+'Euro Accident'!G96</f>
        <v>4379058.8857399998</v>
      </c>
      <c r="G96" s="241">
        <f t="shared" ref="G96" si="36">IF(E96=0, "    ---- ", IF(ABS(ROUND(100/E96*F96-100,1))&lt;999,ROUND(100/E96*F96-100,1),IF(ROUND(100/E96*F96-100,1)&gt;999,999,-999)))</f>
        <v>70.2</v>
      </c>
      <c r="H96" s="237">
        <f t="shared" si="34"/>
        <v>4416197.0302600004</v>
      </c>
      <c r="I96" s="237">
        <f t="shared" si="35"/>
        <v>6897124.4514600001</v>
      </c>
      <c r="J96" s="23">
        <f t="shared" si="24"/>
        <v>56.2</v>
      </c>
    </row>
    <row r="97" spans="1:18" ht="15.75" customHeight="1" x14ac:dyDescent="0.25">
      <c r="A97" s="21" t="s">
        <v>347</v>
      </c>
      <c r="B97" s="234">
        <f>'Fremtind Livsforsikring'!B97+'Danica Pensjonsforsikring'!B97+'DNB Livsforsikring'!B97+'Eika Forsikring AS'!B97+'Frende Livsforsikring'!B97+'Frende Skadeforsikring'!B97+'Gjensidige Forsikring'!B97+'Gjensidige Pensjon'!B97+'Handelsbanken Liv'!B97+'If Skadeforsikring NUF'!B97+KLP!B97+'DNB Bedriftspensjon'!B97+'KLP Skadeforsikring AS'!B97+'Landkreditt Forsikring'!B97+Insr!B97+'Nordea Liv '!B97+'Oslo Pensjonsforsikring'!B97+'Protector Forsikring'!B97+'SHB Liv'!B97+'Sparebank 1'!B97+'Storebrand Livsforsikring'!B97+'Telenor Forsikring'!B97+'Tryg Forsikring'!B97+'WaterCircle F'!B97+'Codan Forsikring'!B97+'Euro Accident'!B97</f>
        <v>6545575.2422799999</v>
      </c>
      <c r="C97" s="234">
        <f>'Fremtind Livsforsikring'!C97+'Danica Pensjonsforsikring'!C97+'DNB Livsforsikring'!C97+'Eika Forsikring AS'!C97+'Frende Livsforsikring'!C97+'Frende Skadeforsikring'!C97+'Gjensidige Forsikring'!C97+'Gjensidige Pensjon'!C97+'Handelsbanken Liv'!C97+'If Skadeforsikring NUF'!C97+KLP!C97+'DNB Bedriftspensjon'!C97+'KLP Skadeforsikring AS'!C97+'Landkreditt Forsikring'!C97+Insr!C97+'Nordea Liv '!C97+'Oslo Pensjonsforsikring'!C97+'Protector Forsikring'!C97+'SHB Liv'!C97+'Sparebank 1'!C97+'Storebrand Livsforsikring'!C97+'Telenor Forsikring'!C97+'Tryg Forsikring'!C97+'WaterCircle F'!C97+'Codan Forsikring'!C97+'Euro Accident'!C97</f>
        <v>7514022.7334000003</v>
      </c>
      <c r="D97" s="23">
        <f t="shared" ref="D97" si="37">IF(B97=0, "    ---- ", IF(ABS(ROUND(100/B97*C97-100,1))&lt;999,ROUND(100/B97*C97-100,1),IF(ROUND(100/B97*C97-100,1)&gt;999,999,-999)))</f>
        <v>14.8</v>
      </c>
      <c r="E97" s="44">
        <f>'Fremtind Livsforsikring'!F97+'Danica Pensjonsforsikring'!F97+'DNB Livsforsikring'!F97+'Eika Forsikring AS'!F97+'Frende Livsforsikring'!F97+'Frende Skadeforsikring'!F97+'Gjensidige Forsikring'!F97+'Gjensidige Pensjon'!F97+'Handelsbanken Liv'!F97+'If Skadeforsikring NUF'!F97+KLP!F97+'DNB Bedriftspensjon'!F97+'KLP Skadeforsikring AS'!F97+'Landkreditt Forsikring'!F97+Insr!F97+'Nordea Liv '!F97+'Oslo Pensjonsforsikring'!F97+'Protector Forsikring'!F97+'SHB Liv'!F97+'Sparebank 1'!F97+'Storebrand Livsforsikring'!F97+'Telenor Forsikring'!F97+'Tryg Forsikring'!F97+'WaterCircle F'!F97+'Codan Forsikring'!F97+'Euro Accident'!F97</f>
        <v>0</v>
      </c>
      <c r="F97" s="44">
        <f>'Fremtind Livsforsikring'!G97+'Danica Pensjonsforsikring'!G97+'DNB Livsforsikring'!G97+'Eika Forsikring AS'!G97+'Frende Livsforsikring'!G97+'Frende Skadeforsikring'!G97+'Gjensidige Forsikring'!G97+'Gjensidige Pensjon'!G97+'Handelsbanken Liv'!G97+'If Skadeforsikring NUF'!G97+KLP!G97+'DNB Bedriftspensjon'!G97+'KLP Skadeforsikring AS'!G97+'Landkreditt Forsikring'!G97+Insr!G97+'Nordea Liv '!G97+'Oslo Pensjonsforsikring'!G97+'Protector Forsikring'!G97+'SHB Liv'!G97+'Sparebank 1'!G97+'Storebrand Livsforsikring'!G97+'Telenor Forsikring'!G97+'Tryg Forsikring'!G97+'WaterCircle F'!G97+'Codan Forsikring'!G97+'Euro Accident'!G97</f>
        <v>0</v>
      </c>
      <c r="G97" s="166"/>
      <c r="H97" s="237">
        <f t="shared" ref="H97" si="38">SUM(B97,E97)</f>
        <v>6545575.2422799999</v>
      </c>
      <c r="I97" s="237">
        <f t="shared" ref="I97" si="39">SUM(C97,F97)</f>
        <v>7514022.7334000003</v>
      </c>
      <c r="J97" s="23">
        <f t="shared" ref="J97" si="40">IF(H97=0, "    ---- ", IF(ABS(ROUND(100/H97*I97-100,1))&lt;999,ROUND(100/H97*I97-100,1),IF(ROUND(100/H97*I97-100,1)&gt;999,999,-999)))</f>
        <v>14.8</v>
      </c>
    </row>
    <row r="98" spans="1:18" ht="15.75" customHeight="1" x14ac:dyDescent="0.3">
      <c r="A98" s="21" t="s">
        <v>380</v>
      </c>
      <c r="B98" s="234">
        <f>'Fremtind Livsforsikring'!B98+'Danica Pensjonsforsikring'!B98+'DNB Livsforsikring'!B98+'Eika Forsikring AS'!B98+'Frende Livsforsikring'!B98+'Frende Skadeforsikring'!B98+'Gjensidige Forsikring'!B98+'Gjensidige Pensjon'!B98+'Handelsbanken Liv'!B98+'If Skadeforsikring NUF'!B98+KLP!B98+'DNB Bedriftspensjon'!B98+'KLP Skadeforsikring AS'!B98+'Landkreditt Forsikring'!B98+Insr!B98+'Nordea Liv '!B98+'Oslo Pensjonsforsikring'!B98+'Protector Forsikring'!B98+'SHB Liv'!B98+'Sparebank 1'!B98+'Storebrand Livsforsikring'!B98+'Telenor Forsikring'!B98+'Tryg Forsikring'!B98+'WaterCircle F'!B98+'Codan Forsikring'!B98+'Euro Accident'!B98</f>
        <v>380625351.5472995</v>
      </c>
      <c r="C98" s="234">
        <f>'Fremtind Livsforsikring'!C98+'Danica Pensjonsforsikring'!C98+'DNB Livsforsikring'!C98+'Eika Forsikring AS'!C98+'Frende Livsforsikring'!C98+'Frende Skadeforsikring'!C98+'Gjensidige Forsikring'!C98+'Gjensidige Pensjon'!C98+'Handelsbanken Liv'!C98+'If Skadeforsikring NUF'!C98+KLP!C98+'DNB Bedriftspensjon'!C98+'KLP Skadeforsikring AS'!C98+'Landkreditt Forsikring'!C98+Insr!C98+'Nordea Liv '!C98+'Oslo Pensjonsforsikring'!C98+'Protector Forsikring'!C98+'SHB Liv'!C98+'Sparebank 1'!C98+'Storebrand Livsforsikring'!C98+'Telenor Forsikring'!C98+'Tryg Forsikring'!C98+'WaterCircle F'!C98+'Codan Forsikring'!C98+'Euro Accident'!C98</f>
        <v>386910436.91994429</v>
      </c>
      <c r="D98" s="23">
        <f t="shared" si="20"/>
        <v>1.7</v>
      </c>
      <c r="E98" s="44">
        <f>'Fremtind Livsforsikring'!F98+'Danica Pensjonsforsikring'!F98+'DNB Livsforsikring'!F98+'Eika Forsikring AS'!F98+'Frende Livsforsikring'!F98+'Frende Skadeforsikring'!F98+'Gjensidige Forsikring'!F98+'Gjensidige Pensjon'!F98+'Handelsbanken Liv'!F98+'If Skadeforsikring NUF'!F98+KLP!F98+'DNB Bedriftspensjon'!F98+'KLP Skadeforsikring AS'!F98+'Landkreditt Forsikring'!F98+Insr!F98+'Nordea Liv '!F98+'Oslo Pensjonsforsikring'!F98+'Protector Forsikring'!F98+'SHB Liv'!F98+'Sparebank 1'!F98+'Storebrand Livsforsikring'!F98+'Telenor Forsikring'!F98+'Tryg Forsikring'!F98+'WaterCircle F'!F98+'Codan Forsikring'!F98+'Euro Accident'!F98</f>
        <v>334759243.01521003</v>
      </c>
      <c r="F98" s="44">
        <f>'Fremtind Livsforsikring'!G98+'Danica Pensjonsforsikring'!G98+'DNB Livsforsikring'!G98+'Eika Forsikring AS'!G98+'Frende Livsforsikring'!G98+'Frende Skadeforsikring'!G98+'Gjensidige Forsikring'!G98+'Gjensidige Pensjon'!G98+'Handelsbanken Liv'!G98+'If Skadeforsikring NUF'!G98+KLP!G98+'DNB Bedriftspensjon'!G98+'KLP Skadeforsikring AS'!G98+'Landkreditt Forsikring'!G98+Insr!G98+'Nordea Liv '!G98+'Oslo Pensjonsforsikring'!G98+'Protector Forsikring'!G98+'SHB Liv'!G98+'Sparebank 1'!G98+'Storebrand Livsforsikring'!G98+'Telenor Forsikring'!G98+'Tryg Forsikring'!G98+'WaterCircle F'!G98+'Codan Forsikring'!G98+'Euro Accident'!G98</f>
        <v>419690390.60719001</v>
      </c>
      <c r="G98" s="241">
        <f t="shared" ref="G98" si="41">IF(E98=0, "    ---- ", IF(ABS(ROUND(100/E98*F98-100,1))&lt;999,ROUND(100/E98*F98-100,1),IF(ROUND(100/E98*F98-100,1)&gt;999,999,-999)))</f>
        <v>25.4</v>
      </c>
      <c r="H98" s="237">
        <f t="shared" si="34"/>
        <v>715384594.56250954</v>
      </c>
      <c r="I98" s="237">
        <f t="shared" si="35"/>
        <v>806600827.5271343</v>
      </c>
      <c r="J98" s="23">
        <f t="shared" si="24"/>
        <v>12.8</v>
      </c>
    </row>
    <row r="99" spans="1:18" ht="15.75" customHeight="1" x14ac:dyDescent="0.25">
      <c r="A99" s="21" t="s">
        <v>9</v>
      </c>
      <c r="B99" s="234">
        <f>'Fremtind Livsforsikring'!B99+'Danica Pensjonsforsikring'!B99+'DNB Livsforsikring'!B99+'Eika Forsikring AS'!B99+'Frende Livsforsikring'!B99+'Frende Skadeforsikring'!B99+'Gjensidige Forsikring'!B99+'Gjensidige Pensjon'!B99+'Handelsbanken Liv'!B99+'If Skadeforsikring NUF'!B99+KLP!B99+'DNB Bedriftspensjon'!B99+'KLP Skadeforsikring AS'!B99+'Landkreditt Forsikring'!B99+Insr!B99+'Nordea Liv '!B99+'Oslo Pensjonsforsikring'!B99+'Protector Forsikring'!B99+'SHB Liv'!B99+'Sparebank 1'!B99+'Storebrand Livsforsikring'!B99+'Telenor Forsikring'!B99+'Tryg Forsikring'!B99+'WaterCircle F'!B99+'Codan Forsikring'!B99+'Euro Accident'!B99</f>
        <v>377457287.87986279</v>
      </c>
      <c r="C99" s="234">
        <f>'Fremtind Livsforsikring'!C99+'Danica Pensjonsforsikring'!C99+'DNB Livsforsikring'!C99+'Eika Forsikring AS'!C99+'Frende Livsforsikring'!C99+'Frende Skadeforsikring'!C99+'Gjensidige Forsikring'!C99+'Gjensidige Pensjon'!C99+'Handelsbanken Liv'!C99+'If Skadeforsikring NUF'!C99+KLP!C99+'DNB Bedriftspensjon'!C99+'KLP Skadeforsikring AS'!C99+'Landkreditt Forsikring'!C99+Insr!C99+'Nordea Liv '!C99+'Oslo Pensjonsforsikring'!C99+'Protector Forsikring'!C99+'SHB Liv'!C99+'Sparebank 1'!C99+'Storebrand Livsforsikring'!C99+'Telenor Forsikring'!C99+'Tryg Forsikring'!C99+'WaterCircle F'!C99+'Codan Forsikring'!C99+'Euro Accident'!C99</f>
        <v>383823930.20260429</v>
      </c>
      <c r="D99" s="23">
        <f t="shared" si="20"/>
        <v>1.7</v>
      </c>
      <c r="E99" s="44">
        <f>'Fremtind Livsforsikring'!F99+'Danica Pensjonsforsikring'!F99+'DNB Livsforsikring'!F99+'Eika Forsikring AS'!F99+'Frende Livsforsikring'!F99+'Frende Skadeforsikring'!F99+'Gjensidige Forsikring'!F99+'Gjensidige Pensjon'!F99+'Handelsbanken Liv'!F99+'If Skadeforsikring NUF'!F99+KLP!F99+'DNB Bedriftspensjon'!F99+'KLP Skadeforsikring AS'!F99+'Landkreditt Forsikring'!F99+Insr!F99+'Nordea Liv '!F99+'Oslo Pensjonsforsikring'!F99+'Protector Forsikring'!F99+'SHB Liv'!F99+'Sparebank 1'!F99+'Storebrand Livsforsikring'!F99+'Telenor Forsikring'!F99+'Tryg Forsikring'!F99+'WaterCircle F'!F99+'Codan Forsikring'!F99+'Euro Accident'!F99</f>
        <v>0</v>
      </c>
      <c r="F99" s="44">
        <f>'Fremtind Livsforsikring'!G99+'Danica Pensjonsforsikring'!G99+'DNB Livsforsikring'!G99+'Eika Forsikring AS'!G99+'Frende Livsforsikring'!G99+'Frende Skadeforsikring'!G99+'Gjensidige Forsikring'!G99+'Gjensidige Pensjon'!G99+'Handelsbanken Liv'!G99+'If Skadeforsikring NUF'!G99+KLP!G99+'DNB Bedriftspensjon'!G99+'KLP Skadeforsikring AS'!G99+'Landkreditt Forsikring'!G99+Insr!G99+'Nordea Liv '!G99+'Oslo Pensjonsforsikring'!G99+'Protector Forsikring'!G99+'SHB Liv'!G99+'Sparebank 1'!G99+'Storebrand Livsforsikring'!G99+'Telenor Forsikring'!G99+'Tryg Forsikring'!G99+'WaterCircle F'!G99+'Codan Forsikring'!G99+'Euro Accident'!G99</f>
        <v>0</v>
      </c>
      <c r="G99" s="166"/>
      <c r="H99" s="237">
        <f t="shared" si="34"/>
        <v>377457287.87986279</v>
      </c>
      <c r="I99" s="237">
        <f t="shared" si="35"/>
        <v>383823930.20260429</v>
      </c>
      <c r="J99" s="23">
        <f t="shared" si="24"/>
        <v>1.7</v>
      </c>
    </row>
    <row r="100" spans="1:18" ht="15.75" customHeight="1" x14ac:dyDescent="0.3">
      <c r="A100" s="38" t="s">
        <v>422</v>
      </c>
      <c r="B100" s="234">
        <f>'Fremtind Livsforsikring'!B100+'Danica Pensjonsforsikring'!B100+'DNB Livsforsikring'!B100+'Eika Forsikring AS'!B100+'Frende Livsforsikring'!B100+'Frende Skadeforsikring'!B100+'Gjensidige Forsikring'!B100+'Gjensidige Pensjon'!B100+'Handelsbanken Liv'!B100+'If Skadeforsikring NUF'!B100+KLP!B100+'DNB Bedriftspensjon'!B100+'KLP Skadeforsikring AS'!B100+'Landkreditt Forsikring'!B100+Insr!B100+'Nordea Liv '!B100+'Oslo Pensjonsforsikring'!B100+'Protector Forsikring'!B100+'SHB Liv'!B100+'Sparebank 1'!B100+'Storebrand Livsforsikring'!B100+'Telenor Forsikring'!B100+'Tryg Forsikring'!B100+'WaterCircle F'!B100+'Codan Forsikring'!B100+'Euro Accident'!B100</f>
        <v>3168063.6674366803</v>
      </c>
      <c r="C100" s="234">
        <f>'Fremtind Livsforsikring'!C100+'Danica Pensjonsforsikring'!C100+'DNB Livsforsikring'!C100+'Eika Forsikring AS'!C100+'Frende Livsforsikring'!C100+'Frende Skadeforsikring'!C100+'Gjensidige Forsikring'!C100+'Gjensidige Pensjon'!C100+'Handelsbanken Liv'!C100+'If Skadeforsikring NUF'!C100+KLP!C100+'DNB Bedriftspensjon'!C100+'KLP Skadeforsikring AS'!C100+'Landkreditt Forsikring'!C100+Insr!C100+'Nordea Liv '!C100+'Oslo Pensjonsforsikring'!C100+'Protector Forsikring'!C100+'SHB Liv'!C100+'Sparebank 1'!C100+'Storebrand Livsforsikring'!C100+'Telenor Forsikring'!C100+'Tryg Forsikring'!C100+'WaterCircle F'!C100+'Codan Forsikring'!C100+'Euro Accident'!C100</f>
        <v>3086506.71734</v>
      </c>
      <c r="D100" s="23">
        <f t="shared" si="20"/>
        <v>-2.6</v>
      </c>
      <c r="E100" s="44">
        <f>'Fremtind Livsforsikring'!F100+'Danica Pensjonsforsikring'!F100+'DNB Livsforsikring'!F100+'Eika Forsikring AS'!F100+'Frende Livsforsikring'!F100+'Frende Skadeforsikring'!F100+'Gjensidige Forsikring'!F100+'Gjensidige Pensjon'!F100+'Handelsbanken Liv'!F100+'If Skadeforsikring NUF'!F100+KLP!F100+'DNB Bedriftspensjon'!F100+'KLP Skadeforsikring AS'!F100+'Landkreditt Forsikring'!F100+Insr!F100+'Nordea Liv '!F100+'Oslo Pensjonsforsikring'!F100+'Protector Forsikring'!F100+'SHB Liv'!F100+'Sparebank 1'!F100+'Storebrand Livsforsikring'!F100+'Telenor Forsikring'!F100+'Tryg Forsikring'!F100+'WaterCircle F'!F100+'Codan Forsikring'!F100+'Euro Accident'!F100</f>
        <v>334759243.01521003</v>
      </c>
      <c r="F100" s="44">
        <f>'Fremtind Livsforsikring'!G100+'Danica Pensjonsforsikring'!G100+'DNB Livsforsikring'!G100+'Eika Forsikring AS'!G100+'Frende Livsforsikring'!G100+'Frende Skadeforsikring'!G100+'Gjensidige Forsikring'!G100+'Gjensidige Pensjon'!G100+'Handelsbanken Liv'!G100+'If Skadeforsikring NUF'!G100+KLP!G100+'DNB Bedriftspensjon'!G100+'KLP Skadeforsikring AS'!G100+'Landkreditt Forsikring'!G100+Insr!G100+'Nordea Liv '!G100+'Oslo Pensjonsforsikring'!G100+'Protector Forsikring'!G100+'SHB Liv'!G100+'Sparebank 1'!G100+'Storebrand Livsforsikring'!G100+'Telenor Forsikring'!G100+'Tryg Forsikring'!G100+'WaterCircle F'!G100+'Codan Forsikring'!G100+'Euro Accident'!G100</f>
        <v>419690390.60719001</v>
      </c>
      <c r="G100" s="241">
        <f t="shared" ref="G100" si="42">IF(E100=0, "    ---- ", IF(ABS(ROUND(100/E100*F100-100,1))&lt;999,ROUND(100/E100*F100-100,1),IF(ROUND(100/E100*F100-100,1)&gt;999,999,-999)))</f>
        <v>25.4</v>
      </c>
      <c r="H100" s="237">
        <f t="shared" si="34"/>
        <v>337927306.68264669</v>
      </c>
      <c r="I100" s="237">
        <f t="shared" si="35"/>
        <v>422776897.32453001</v>
      </c>
      <c r="J100" s="23">
        <f t="shared" si="24"/>
        <v>25.1</v>
      </c>
    </row>
    <row r="101" spans="1:18" ht="15.75" customHeight="1" x14ac:dyDescent="0.25">
      <c r="A101" s="298" t="s">
        <v>378</v>
      </c>
      <c r="B101" s="235">
        <f>'Fremtind Livsforsikring'!B101+'Danica Pensjonsforsikring'!B101+'DNB Livsforsikring'!B101+'Eika Forsikring AS'!B101+'Frende Livsforsikring'!B101+'Frende Skadeforsikring'!B101+'Gjensidige Forsikring'!B101+'Gjensidige Pensjon'!B101+'Handelsbanken Liv'!B101+'If Skadeforsikring NUF'!B101+KLP!B101+'DNB Bedriftspensjon'!B101+'KLP Skadeforsikring AS'!B101+'Landkreditt Forsikring'!B101+Insr!B101+'Nordea Liv '!B101+'Oslo Pensjonsforsikring'!B101+'Protector Forsikring'!B101+'SHB Liv'!B101+'Sparebank 1'!B101+'Storebrand Livsforsikring'!B101+'Telenor Forsikring'!B101+'Tryg Forsikring'!B101+'WaterCircle F'!B101+'Codan Forsikring'!B101+'Euro Accident'!B101</f>
        <v>0</v>
      </c>
      <c r="C101" s="235">
        <f>'Fremtind Livsforsikring'!C101+'Danica Pensjonsforsikring'!C101+'DNB Livsforsikring'!C101+'Eika Forsikring AS'!C101+'Frende Livsforsikring'!C101+'Frende Skadeforsikring'!C101+'Gjensidige Forsikring'!C101+'Gjensidige Pensjon'!C101+'Handelsbanken Liv'!C101+'If Skadeforsikring NUF'!C101+KLP!C101+'DNB Bedriftspensjon'!C101+'KLP Skadeforsikring AS'!C101+'Landkreditt Forsikring'!C101+Insr!C101+'Nordea Liv '!C101+'Oslo Pensjonsforsikring'!C101+'Protector Forsikring'!C101+'SHB Liv'!C101+'Sparebank 1'!C101+'Storebrand Livsforsikring'!C101+'Telenor Forsikring'!C101+'Tryg Forsikring'!C101+'WaterCircle F'!C101+'Codan Forsikring'!C101+'Euro Accident'!C101</f>
        <v>0</v>
      </c>
      <c r="D101" s="27"/>
      <c r="E101" s="235">
        <f>'Fremtind Livsforsikring'!F101+'Danica Pensjonsforsikring'!F101+'DNB Livsforsikring'!F101+'Eika Forsikring AS'!F101+'Frende Livsforsikring'!F101+'Frende Skadeforsikring'!F101+'Gjensidige Forsikring'!F101+'Gjensidige Pensjon'!F101+'Handelsbanken Liv'!F101+'If Skadeforsikring NUF'!F101+KLP!F101+'DNB Bedriftspensjon'!F101+'KLP Skadeforsikring AS'!F101+'Landkreditt Forsikring'!F101+Insr!F101+'Nordea Liv '!F101+'Oslo Pensjonsforsikring'!F101+'Protector Forsikring'!F101+'SHB Liv'!F101+'Sparebank 1'!F101+'Storebrand Livsforsikring'!F101+'Telenor Forsikring'!F101+'Tryg Forsikring'!F101+'WaterCircle F'!F101+'Codan Forsikring'!F101+'Euro Accident'!F101</f>
        <v>0</v>
      </c>
      <c r="F101" s="235">
        <f>'Fremtind Livsforsikring'!G101+'Danica Pensjonsforsikring'!G101+'DNB Livsforsikring'!G101+'Eika Forsikring AS'!G101+'Frende Livsforsikring'!G101+'Frende Skadeforsikring'!G101+'Gjensidige Forsikring'!G101+'Gjensidige Pensjon'!G101+'Handelsbanken Liv'!G101+'If Skadeforsikring NUF'!G101+KLP!G101+'DNB Bedriftspensjon'!G101+'KLP Skadeforsikring AS'!G101+'Landkreditt Forsikring'!G101+Insr!G101+'Nordea Liv '!G101+'Oslo Pensjonsforsikring'!G101+'Protector Forsikring'!G101+'SHB Liv'!G101+'Sparebank 1'!G101+'Storebrand Livsforsikring'!G101+'Telenor Forsikring'!G101+'Tryg Forsikring'!G101+'WaterCircle F'!G101+'Codan Forsikring'!G101+'Euro Accident'!G101</f>
        <v>0</v>
      </c>
      <c r="G101" s="166"/>
      <c r="H101" s="235"/>
      <c r="I101" s="235"/>
      <c r="J101" s="23"/>
    </row>
    <row r="102" spans="1:18" ht="15.75" customHeight="1" x14ac:dyDescent="0.25">
      <c r="A102" s="298" t="s">
        <v>12</v>
      </c>
      <c r="B102" s="235">
        <f>'Fremtind Livsforsikring'!B102+'Danica Pensjonsforsikring'!B102+'DNB Livsforsikring'!B102+'Eika Forsikring AS'!B102+'Frende Livsforsikring'!B102+'Frende Skadeforsikring'!B102+'Gjensidige Forsikring'!B102+'Gjensidige Pensjon'!B102+'Handelsbanken Liv'!B102+'If Skadeforsikring NUF'!B102+KLP!B102+'DNB Bedriftspensjon'!B102+'KLP Skadeforsikring AS'!B102+'Landkreditt Forsikring'!B102+Insr!B102+'Nordea Liv '!B102+'Oslo Pensjonsforsikring'!B102+'Protector Forsikring'!B102+'SHB Liv'!B102+'Sparebank 1'!B102+'Storebrand Livsforsikring'!B102+'Telenor Forsikring'!B102+'Tryg Forsikring'!B102+'WaterCircle F'!B102+'Codan Forsikring'!B102+'Euro Accident'!B102</f>
        <v>0</v>
      </c>
      <c r="C102" s="235">
        <f>'Fremtind Livsforsikring'!C102+'Danica Pensjonsforsikring'!C102+'DNB Livsforsikring'!C102+'Eika Forsikring AS'!C102+'Frende Livsforsikring'!C102+'Frende Skadeforsikring'!C102+'Gjensidige Forsikring'!C102+'Gjensidige Pensjon'!C102+'Handelsbanken Liv'!C102+'If Skadeforsikring NUF'!C102+KLP!C102+'DNB Bedriftspensjon'!C102+'KLP Skadeforsikring AS'!C102+'Landkreditt Forsikring'!C102+Insr!C102+'Nordea Liv '!C102+'Oslo Pensjonsforsikring'!C102+'Protector Forsikring'!C102+'SHB Liv'!C102+'Sparebank 1'!C102+'Storebrand Livsforsikring'!C102+'Telenor Forsikring'!C102+'Tryg Forsikring'!C102+'WaterCircle F'!C102+'Codan Forsikring'!C102+'Euro Accident'!C102</f>
        <v>0</v>
      </c>
      <c r="D102" s="27"/>
      <c r="E102" s="235">
        <f>'Fremtind Livsforsikring'!F102+'Danica Pensjonsforsikring'!F102+'DNB Livsforsikring'!F102+'Eika Forsikring AS'!F102+'Frende Livsforsikring'!F102+'Frende Skadeforsikring'!F102+'Gjensidige Forsikring'!F102+'Gjensidige Pensjon'!F102+'Handelsbanken Liv'!F102+'If Skadeforsikring NUF'!F102+KLP!F102+'DNB Bedriftspensjon'!F102+'KLP Skadeforsikring AS'!F102+'Landkreditt Forsikring'!F102+Insr!F102+'Nordea Liv '!F102+'Oslo Pensjonsforsikring'!F102+'Protector Forsikring'!F102+'SHB Liv'!F102+'Sparebank 1'!F102+'Storebrand Livsforsikring'!F102+'Telenor Forsikring'!F102+'Tryg Forsikring'!F102+'WaterCircle F'!F102+'Codan Forsikring'!F102+'Euro Accident'!F102</f>
        <v>0</v>
      </c>
      <c r="F102" s="235">
        <f>'Fremtind Livsforsikring'!G102+'Danica Pensjonsforsikring'!G102+'DNB Livsforsikring'!G102+'Eika Forsikring AS'!G102+'Frende Livsforsikring'!G102+'Frende Skadeforsikring'!G102+'Gjensidige Forsikring'!G102+'Gjensidige Pensjon'!G102+'Handelsbanken Liv'!G102+'If Skadeforsikring NUF'!G102+KLP!G102+'DNB Bedriftspensjon'!G102+'KLP Skadeforsikring AS'!G102+'Landkreditt Forsikring'!G102+Insr!G102+'Nordea Liv '!G102+'Oslo Pensjonsforsikring'!G102+'Protector Forsikring'!G102+'SHB Liv'!G102+'Sparebank 1'!G102+'Storebrand Livsforsikring'!G102+'Telenor Forsikring'!G102+'Tryg Forsikring'!G102+'WaterCircle F'!G102+'Codan Forsikring'!G102+'Euro Accident'!G102</f>
        <v>0</v>
      </c>
      <c r="G102" s="166"/>
      <c r="H102" s="235"/>
      <c r="I102" s="235"/>
      <c r="J102" s="23"/>
    </row>
    <row r="103" spans="1:18" ht="15.75" customHeight="1" x14ac:dyDescent="0.25">
      <c r="A103" s="298" t="s">
        <v>13</v>
      </c>
      <c r="B103" s="235">
        <f>'Fremtind Livsforsikring'!B103+'Danica Pensjonsforsikring'!B103+'DNB Livsforsikring'!B103+'Eika Forsikring AS'!B103+'Frende Livsforsikring'!B103+'Frende Skadeforsikring'!B103+'Gjensidige Forsikring'!B103+'Gjensidige Pensjon'!B103+'Handelsbanken Liv'!B103+'If Skadeforsikring NUF'!B103+KLP!B103+'DNB Bedriftspensjon'!B103+'KLP Skadeforsikring AS'!B103+'Landkreditt Forsikring'!B103+Insr!B103+'Nordea Liv '!B103+'Oslo Pensjonsforsikring'!B103+'Protector Forsikring'!B103+'SHB Liv'!B103+'Sparebank 1'!B103+'Storebrand Livsforsikring'!B103+'Telenor Forsikring'!B103+'Tryg Forsikring'!B103+'WaterCircle F'!B103+'Codan Forsikring'!B103+'Euro Accident'!B103</f>
        <v>0</v>
      </c>
      <c r="C103" s="235">
        <f>'Fremtind Livsforsikring'!C103+'Danica Pensjonsforsikring'!C103+'DNB Livsforsikring'!C103+'Eika Forsikring AS'!C103+'Frende Livsforsikring'!C103+'Frende Skadeforsikring'!C103+'Gjensidige Forsikring'!C103+'Gjensidige Pensjon'!C103+'Handelsbanken Liv'!C103+'If Skadeforsikring NUF'!C103+KLP!C103+'DNB Bedriftspensjon'!C103+'KLP Skadeforsikring AS'!C103+'Landkreditt Forsikring'!C103+Insr!C103+'Nordea Liv '!C103+'Oslo Pensjonsforsikring'!C103+'Protector Forsikring'!C103+'SHB Liv'!C103+'Sparebank 1'!C103+'Storebrand Livsforsikring'!C103+'Telenor Forsikring'!C103+'Tryg Forsikring'!C103+'WaterCircle F'!C103+'Codan Forsikring'!C103+'Euro Accident'!C103</f>
        <v>0</v>
      </c>
      <c r="D103" s="27"/>
      <c r="E103" s="235">
        <f>'Fremtind Livsforsikring'!F103+'Danica Pensjonsforsikring'!F103+'DNB Livsforsikring'!F103+'Eika Forsikring AS'!F103+'Frende Livsforsikring'!F103+'Frende Skadeforsikring'!F103+'Gjensidige Forsikring'!F103+'Gjensidige Pensjon'!F103+'Handelsbanken Liv'!F103+'If Skadeforsikring NUF'!F103+KLP!F103+'DNB Bedriftspensjon'!F103+'KLP Skadeforsikring AS'!F103+'Landkreditt Forsikring'!F103+Insr!F103+'Nordea Liv '!F103+'Oslo Pensjonsforsikring'!F103+'Protector Forsikring'!F103+'SHB Liv'!F103+'Sparebank 1'!F103+'Storebrand Livsforsikring'!F103+'Telenor Forsikring'!F103+'Tryg Forsikring'!F103+'WaterCircle F'!F103+'Codan Forsikring'!F103+'Euro Accident'!F103</f>
        <v>0</v>
      </c>
      <c r="F103" s="235">
        <f>'Fremtind Livsforsikring'!G103+'Danica Pensjonsforsikring'!G103+'DNB Livsforsikring'!G103+'Eika Forsikring AS'!G103+'Frende Livsforsikring'!G103+'Frende Skadeforsikring'!G103+'Gjensidige Forsikring'!G103+'Gjensidige Pensjon'!G103+'Handelsbanken Liv'!G103+'If Skadeforsikring NUF'!G103+KLP!G103+'DNB Bedriftspensjon'!G103+'KLP Skadeforsikring AS'!G103+'Landkreditt Forsikring'!G103+Insr!G103+'Nordea Liv '!G103+'Oslo Pensjonsforsikring'!G103+'Protector Forsikring'!G103+'SHB Liv'!G103+'Sparebank 1'!G103+'Storebrand Livsforsikring'!G103+'Telenor Forsikring'!G103+'Tryg Forsikring'!G103+'WaterCircle F'!G103+'Codan Forsikring'!G103+'Euro Accident'!G103</f>
        <v>0</v>
      </c>
      <c r="G103" s="166"/>
      <c r="H103" s="235"/>
      <c r="I103" s="235"/>
      <c r="J103" s="23"/>
    </row>
    <row r="104" spans="1:18" ht="15.75" customHeight="1" x14ac:dyDescent="0.25">
      <c r="A104" s="298" t="s">
        <v>379</v>
      </c>
      <c r="B104" s="235">
        <f>'Fremtind Livsforsikring'!B104+'Danica Pensjonsforsikring'!B104+'DNB Livsforsikring'!B104+'Eika Forsikring AS'!B104+'Frende Livsforsikring'!B104+'Frende Skadeforsikring'!B104+'Gjensidige Forsikring'!B104+'Gjensidige Pensjon'!B104+'Handelsbanken Liv'!B104+'If Skadeforsikring NUF'!B104+KLP!B104+'DNB Bedriftspensjon'!B104+'KLP Skadeforsikring AS'!B104+'Landkreditt Forsikring'!B104+Insr!B104+'Nordea Liv '!B104+'Oslo Pensjonsforsikring'!B104+'Protector Forsikring'!B104+'SHB Liv'!B104+'Sparebank 1'!B104+'Storebrand Livsforsikring'!B104+'Telenor Forsikring'!B104+'Tryg Forsikring'!B104+'WaterCircle F'!B104+'Codan Forsikring'!B104+'Euro Accident'!B104</f>
        <v>0</v>
      </c>
      <c r="C104" s="235">
        <f>'Fremtind Livsforsikring'!C104+'Danica Pensjonsforsikring'!C104+'DNB Livsforsikring'!C104+'Eika Forsikring AS'!C104+'Frende Livsforsikring'!C104+'Frende Skadeforsikring'!C104+'Gjensidige Forsikring'!C104+'Gjensidige Pensjon'!C104+'Handelsbanken Liv'!C104+'If Skadeforsikring NUF'!C104+KLP!C104+'DNB Bedriftspensjon'!C104+'KLP Skadeforsikring AS'!C104+'Landkreditt Forsikring'!C104+Insr!C104+'Nordea Liv '!C104+'Oslo Pensjonsforsikring'!C104+'Protector Forsikring'!C104+'SHB Liv'!C104+'Sparebank 1'!C104+'Storebrand Livsforsikring'!C104+'Telenor Forsikring'!C104+'Tryg Forsikring'!C104+'WaterCircle F'!C104+'Codan Forsikring'!C104+'Euro Accident'!C104</f>
        <v>0</v>
      </c>
      <c r="D104" s="27"/>
      <c r="E104" s="235">
        <f>'Fremtind Livsforsikring'!F104+'Danica Pensjonsforsikring'!F104+'DNB Livsforsikring'!F104+'Eika Forsikring AS'!F104+'Frende Livsforsikring'!F104+'Frende Skadeforsikring'!F104+'Gjensidige Forsikring'!F104+'Gjensidige Pensjon'!F104+'Handelsbanken Liv'!F104+'If Skadeforsikring NUF'!F104+KLP!F104+'DNB Bedriftspensjon'!F104+'KLP Skadeforsikring AS'!F104+'Landkreditt Forsikring'!F104+Insr!F104+'Nordea Liv '!F104+'Oslo Pensjonsforsikring'!F104+'Protector Forsikring'!F104+'SHB Liv'!F104+'Sparebank 1'!F104+'Storebrand Livsforsikring'!F104+'Telenor Forsikring'!F104+'Tryg Forsikring'!F104+'WaterCircle F'!F104+'Codan Forsikring'!F104+'Euro Accident'!F104</f>
        <v>0</v>
      </c>
      <c r="F104" s="235">
        <f>'Fremtind Livsforsikring'!G104+'Danica Pensjonsforsikring'!G104+'DNB Livsforsikring'!G104+'Eika Forsikring AS'!G104+'Frende Livsforsikring'!G104+'Frende Skadeforsikring'!G104+'Gjensidige Forsikring'!G104+'Gjensidige Pensjon'!G104+'Handelsbanken Liv'!G104+'If Skadeforsikring NUF'!G104+KLP!G104+'DNB Bedriftspensjon'!G104+'KLP Skadeforsikring AS'!G104+'Landkreditt Forsikring'!G104+Insr!G104+'Nordea Liv '!G104+'Oslo Pensjonsforsikring'!G104+'Protector Forsikring'!G104+'SHB Liv'!G104+'Sparebank 1'!G104+'Storebrand Livsforsikring'!G104+'Telenor Forsikring'!G104+'Tryg Forsikring'!G104+'WaterCircle F'!G104+'Codan Forsikring'!G104+'Euro Accident'!G104</f>
        <v>0</v>
      </c>
      <c r="G104" s="166"/>
      <c r="H104" s="235"/>
      <c r="I104" s="235"/>
      <c r="J104" s="23"/>
    </row>
    <row r="105" spans="1:18" ht="15.75" customHeight="1" x14ac:dyDescent="0.25">
      <c r="A105" s="298" t="s">
        <v>12</v>
      </c>
      <c r="B105" s="235">
        <f>'Fremtind Livsforsikring'!B105+'Danica Pensjonsforsikring'!B105+'DNB Livsforsikring'!B105+'Eika Forsikring AS'!B105+'Frende Livsforsikring'!B105+'Frende Skadeforsikring'!B105+'Gjensidige Forsikring'!B105+'Gjensidige Pensjon'!B105+'Handelsbanken Liv'!B105+'If Skadeforsikring NUF'!B105+KLP!B105+'DNB Bedriftspensjon'!B105+'KLP Skadeforsikring AS'!B105+'Landkreditt Forsikring'!B105+Insr!B105+'Nordea Liv '!B105+'Oslo Pensjonsforsikring'!B105+'Protector Forsikring'!B105+'SHB Liv'!B105+'Sparebank 1'!B105+'Storebrand Livsforsikring'!B105+'Telenor Forsikring'!B105+'Tryg Forsikring'!B105+'WaterCircle F'!B105+'Codan Forsikring'!B105+'Euro Accident'!B105</f>
        <v>0</v>
      </c>
      <c r="C105" s="235">
        <f>'Fremtind Livsforsikring'!C105+'Danica Pensjonsforsikring'!C105+'DNB Livsforsikring'!C105+'Eika Forsikring AS'!C105+'Frende Livsforsikring'!C105+'Frende Skadeforsikring'!C105+'Gjensidige Forsikring'!C105+'Gjensidige Pensjon'!C105+'Handelsbanken Liv'!C105+'If Skadeforsikring NUF'!C105+KLP!C105+'DNB Bedriftspensjon'!C105+'KLP Skadeforsikring AS'!C105+'Landkreditt Forsikring'!C105+Insr!C105+'Nordea Liv '!C105+'Oslo Pensjonsforsikring'!C105+'Protector Forsikring'!C105+'SHB Liv'!C105+'Sparebank 1'!C105+'Storebrand Livsforsikring'!C105+'Telenor Forsikring'!C105+'Tryg Forsikring'!C105+'WaterCircle F'!C105+'Codan Forsikring'!C105+'Euro Accident'!C105</f>
        <v>0</v>
      </c>
      <c r="D105" s="27"/>
      <c r="E105" s="235">
        <f>'Fremtind Livsforsikring'!F105+'Danica Pensjonsforsikring'!F105+'DNB Livsforsikring'!F105+'Eika Forsikring AS'!F105+'Frende Livsforsikring'!F105+'Frende Skadeforsikring'!F105+'Gjensidige Forsikring'!F105+'Gjensidige Pensjon'!F105+'Handelsbanken Liv'!F105+'If Skadeforsikring NUF'!F105+KLP!F105+'DNB Bedriftspensjon'!F105+'KLP Skadeforsikring AS'!F105+'Landkreditt Forsikring'!F105+Insr!F105+'Nordea Liv '!F105+'Oslo Pensjonsforsikring'!F105+'Protector Forsikring'!F105+'SHB Liv'!F105+'Sparebank 1'!F105+'Storebrand Livsforsikring'!F105+'Telenor Forsikring'!F105+'Tryg Forsikring'!F105+'WaterCircle F'!F105+'Codan Forsikring'!F105+'Euro Accident'!F105</f>
        <v>0</v>
      </c>
      <c r="F105" s="235">
        <f>'Fremtind Livsforsikring'!G105+'Danica Pensjonsforsikring'!G105+'DNB Livsforsikring'!G105+'Eika Forsikring AS'!G105+'Frende Livsforsikring'!G105+'Frende Skadeforsikring'!G105+'Gjensidige Forsikring'!G105+'Gjensidige Pensjon'!G105+'Handelsbanken Liv'!G105+'If Skadeforsikring NUF'!G105+KLP!G105+'DNB Bedriftspensjon'!G105+'KLP Skadeforsikring AS'!G105+'Landkreditt Forsikring'!G105+Insr!G105+'Nordea Liv '!G105+'Oslo Pensjonsforsikring'!G105+'Protector Forsikring'!G105+'SHB Liv'!G105+'Sparebank 1'!G105+'Storebrand Livsforsikring'!G105+'Telenor Forsikring'!G105+'Tryg Forsikring'!G105+'WaterCircle F'!G105+'Codan Forsikring'!G105+'Euro Accident'!G105</f>
        <v>0</v>
      </c>
      <c r="G105" s="166"/>
      <c r="H105" s="235"/>
      <c r="I105" s="235"/>
      <c r="J105" s="23"/>
    </row>
    <row r="106" spans="1:18" ht="15.75" customHeight="1" x14ac:dyDescent="0.25">
      <c r="A106" s="298" t="s">
        <v>13</v>
      </c>
      <c r="B106" s="235">
        <f>'Fremtind Livsforsikring'!B106+'Danica Pensjonsforsikring'!B106+'DNB Livsforsikring'!B106+'Eika Forsikring AS'!B106+'Frende Livsforsikring'!B106+'Frende Skadeforsikring'!B106+'Gjensidige Forsikring'!B106+'Gjensidige Pensjon'!B106+'Handelsbanken Liv'!B106+'If Skadeforsikring NUF'!B106+KLP!B106+'DNB Bedriftspensjon'!B106+'KLP Skadeforsikring AS'!B106+'Landkreditt Forsikring'!B106+Insr!B106+'Nordea Liv '!B106+'Oslo Pensjonsforsikring'!B106+'Protector Forsikring'!B106+'SHB Liv'!B106+'Sparebank 1'!B106+'Storebrand Livsforsikring'!B106+'Telenor Forsikring'!B106+'Tryg Forsikring'!B106+'WaterCircle F'!B106+'Codan Forsikring'!B106+'Euro Accident'!B106</f>
        <v>0</v>
      </c>
      <c r="C106" s="235">
        <f>'Fremtind Livsforsikring'!C106+'Danica Pensjonsforsikring'!C106+'DNB Livsforsikring'!C106+'Eika Forsikring AS'!C106+'Frende Livsforsikring'!C106+'Frende Skadeforsikring'!C106+'Gjensidige Forsikring'!C106+'Gjensidige Pensjon'!C106+'Handelsbanken Liv'!C106+'If Skadeforsikring NUF'!C106+KLP!C106+'DNB Bedriftspensjon'!C106+'KLP Skadeforsikring AS'!C106+'Landkreditt Forsikring'!C106+Insr!C106+'Nordea Liv '!C106+'Oslo Pensjonsforsikring'!C106+'Protector Forsikring'!C106+'SHB Liv'!C106+'Sparebank 1'!C106+'Storebrand Livsforsikring'!C106+'Telenor Forsikring'!C106+'Tryg Forsikring'!C106+'WaterCircle F'!C106+'Codan Forsikring'!C106+'Euro Accident'!C106</f>
        <v>0</v>
      </c>
      <c r="D106" s="27"/>
      <c r="E106" s="235">
        <f>'Fremtind Livsforsikring'!F106+'Danica Pensjonsforsikring'!F106+'DNB Livsforsikring'!F106+'Eika Forsikring AS'!F106+'Frende Livsforsikring'!F106+'Frende Skadeforsikring'!F106+'Gjensidige Forsikring'!F106+'Gjensidige Pensjon'!F106+'Handelsbanken Liv'!F106+'If Skadeforsikring NUF'!F106+KLP!F106+'DNB Bedriftspensjon'!F106+'KLP Skadeforsikring AS'!F106+'Landkreditt Forsikring'!F106+Insr!F106+'Nordea Liv '!F106+'Oslo Pensjonsforsikring'!F106+'Protector Forsikring'!F106+'SHB Liv'!F106+'Sparebank 1'!F106+'Storebrand Livsforsikring'!F106+'Telenor Forsikring'!F106+'Tryg Forsikring'!F106+'WaterCircle F'!F106+'Codan Forsikring'!F106+'Euro Accident'!F106</f>
        <v>0</v>
      </c>
      <c r="F106" s="235">
        <f>'Fremtind Livsforsikring'!G106+'Danica Pensjonsforsikring'!G106+'DNB Livsforsikring'!G106+'Eika Forsikring AS'!G106+'Frende Livsforsikring'!G106+'Frende Skadeforsikring'!G106+'Gjensidige Forsikring'!G106+'Gjensidige Pensjon'!G106+'Handelsbanken Liv'!G106+'If Skadeforsikring NUF'!G106+KLP!G106+'DNB Bedriftspensjon'!G106+'KLP Skadeforsikring AS'!G106+'Landkreditt Forsikring'!G106+Insr!G106+'Nordea Liv '!G106+'Oslo Pensjonsforsikring'!G106+'Protector Forsikring'!G106+'SHB Liv'!G106+'Sparebank 1'!G106+'Storebrand Livsforsikring'!G106+'Telenor Forsikring'!G106+'Tryg Forsikring'!G106+'WaterCircle F'!G106+'Codan Forsikring'!G106+'Euro Accident'!G106</f>
        <v>0</v>
      </c>
      <c r="G106" s="166"/>
      <c r="H106" s="235"/>
      <c r="I106" s="235"/>
      <c r="J106" s="23"/>
    </row>
    <row r="107" spans="1:18" ht="15.75" customHeight="1" x14ac:dyDescent="0.3">
      <c r="A107" s="21" t="s">
        <v>381</v>
      </c>
      <c r="B107" s="234">
        <f>'Fremtind Livsforsikring'!B107+'Danica Pensjonsforsikring'!B107+'DNB Livsforsikring'!B107+'Eika Forsikring AS'!B107+'Frende Livsforsikring'!B107+'Frende Skadeforsikring'!B107+'Gjensidige Forsikring'!B107+'Gjensidige Pensjon'!B107+'Handelsbanken Liv'!B107+'If Skadeforsikring NUF'!B107+KLP!B107+'DNB Bedriftspensjon'!B107+'KLP Skadeforsikring AS'!B107+'Landkreditt Forsikring'!B107+Insr!B107+'Nordea Liv '!B107+'Oslo Pensjonsforsikring'!B107+'Protector Forsikring'!B107+'SHB Liv'!B107+'Sparebank 1'!B107+'Storebrand Livsforsikring'!B107+'Telenor Forsikring'!B107+'Tryg Forsikring'!B107+'WaterCircle F'!B107+'Codan Forsikring'!B107+'Euro Accident'!B107</f>
        <v>4415300.4389999993</v>
      </c>
      <c r="C107" s="234">
        <f>'Fremtind Livsforsikring'!C107+'Danica Pensjonsforsikring'!C107+'DNB Livsforsikring'!C107+'Eika Forsikring AS'!C107+'Frende Livsforsikring'!C107+'Frende Skadeforsikring'!C107+'Gjensidige Forsikring'!C107+'Gjensidige Pensjon'!C107+'Handelsbanken Liv'!C107+'If Skadeforsikring NUF'!C107+KLP!C107+'DNB Bedriftspensjon'!C107+'KLP Skadeforsikring AS'!C107+'Landkreditt Forsikring'!C107+Insr!C107+'Nordea Liv '!C107+'Oslo Pensjonsforsikring'!C107+'Protector Forsikring'!C107+'SHB Liv'!C107+'Sparebank 1'!C107+'Storebrand Livsforsikring'!C107+'Telenor Forsikring'!C107+'Tryg Forsikring'!C107+'WaterCircle F'!C107+'Codan Forsikring'!C107+'Euro Accident'!C107</f>
        <v>4448650.9230000004</v>
      </c>
      <c r="D107" s="23">
        <f t="shared" si="20"/>
        <v>0.8</v>
      </c>
      <c r="E107" s="44">
        <f>'Fremtind Livsforsikring'!F107+'Danica Pensjonsforsikring'!F107+'DNB Livsforsikring'!F107+'Eika Forsikring AS'!F107+'Frende Livsforsikring'!F107+'Frende Skadeforsikring'!F107+'Gjensidige Forsikring'!F107+'Gjensidige Pensjon'!F107+'Handelsbanken Liv'!F107+'If Skadeforsikring NUF'!F107+KLP!F107+'DNB Bedriftspensjon'!F107+'KLP Skadeforsikring AS'!F107+'Landkreditt Forsikring'!F107+Insr!F107+'Nordea Liv '!F107+'Oslo Pensjonsforsikring'!F107+'Protector Forsikring'!F107+'SHB Liv'!F107+'Sparebank 1'!F107+'Storebrand Livsforsikring'!F107+'Telenor Forsikring'!F107+'Tryg Forsikring'!F107+'WaterCircle F'!F107+'Codan Forsikring'!F107+'Euro Accident'!F107</f>
        <v>942875.09768999997</v>
      </c>
      <c r="F107" s="44">
        <f>'Fremtind Livsforsikring'!G107+'Danica Pensjonsforsikring'!G107+'DNB Livsforsikring'!G107+'Eika Forsikring AS'!G107+'Frende Livsforsikring'!G107+'Frende Skadeforsikring'!G107+'Gjensidige Forsikring'!G107+'Gjensidige Pensjon'!G107+'Handelsbanken Liv'!G107+'If Skadeforsikring NUF'!G107+KLP!G107+'DNB Bedriftspensjon'!G107+'KLP Skadeforsikring AS'!G107+'Landkreditt Forsikring'!G107+Insr!G107+'Nordea Liv '!G107+'Oslo Pensjonsforsikring'!G107+'Protector Forsikring'!G107+'SHB Liv'!G107+'Sparebank 1'!G107+'Storebrand Livsforsikring'!G107+'Telenor Forsikring'!G107+'Tryg Forsikring'!G107+'WaterCircle F'!G107+'Codan Forsikring'!G107+'Euro Accident'!G107</f>
        <v>1067094.9315699998</v>
      </c>
      <c r="G107" s="241">
        <f t="shared" ref="G107:G109" si="43">IF(E107=0, "    ---- ", IF(ABS(ROUND(100/E107*F107-100,1))&lt;999,ROUND(100/E107*F107-100,1),IF(ROUND(100/E107*F107-100,1)&gt;999,999,-999)))</f>
        <v>13.2</v>
      </c>
      <c r="H107" s="237">
        <f t="shared" si="34"/>
        <v>5358175.5366899995</v>
      </c>
      <c r="I107" s="237">
        <f t="shared" si="35"/>
        <v>5515745.8545700004</v>
      </c>
      <c r="J107" s="23">
        <f t="shared" si="24"/>
        <v>2.9</v>
      </c>
    </row>
    <row r="108" spans="1:18" ht="15.75" customHeight="1" x14ac:dyDescent="0.3">
      <c r="A108" s="21" t="s">
        <v>382</v>
      </c>
      <c r="B108" s="234">
        <f>'Fremtind Livsforsikring'!B108+'Danica Pensjonsforsikring'!B108+'DNB Livsforsikring'!B108+'Eika Forsikring AS'!B108+'Frende Livsforsikring'!B108+'Frende Skadeforsikring'!B108+'Gjensidige Forsikring'!B108+'Gjensidige Pensjon'!B108+'Handelsbanken Liv'!B108+'If Skadeforsikring NUF'!B108+KLP!B108+'DNB Bedriftspensjon'!B108+'KLP Skadeforsikring AS'!B108+'Landkreditt Forsikring'!B108+Insr!B108+'Nordea Liv '!B108+'Oslo Pensjonsforsikring'!B108+'Protector Forsikring'!B108+'SHB Liv'!B108+'Sparebank 1'!B108+'Storebrand Livsforsikring'!B108+'Telenor Forsikring'!B108+'Tryg Forsikring'!B108+'WaterCircle F'!B108+'Codan Forsikring'!B108+'Euro Accident'!B108</f>
        <v>325354741.80301988</v>
      </c>
      <c r="C108" s="234">
        <f>'Fremtind Livsforsikring'!C108+'Danica Pensjonsforsikring'!C108+'DNB Livsforsikring'!C108+'Eika Forsikring AS'!C108+'Frende Livsforsikring'!C108+'Frende Skadeforsikring'!C108+'Gjensidige Forsikring'!C108+'Gjensidige Pensjon'!C108+'Handelsbanken Liv'!C108+'If Skadeforsikring NUF'!C108+KLP!C108+'DNB Bedriftspensjon'!C108+'KLP Skadeforsikring AS'!C108+'Landkreditt Forsikring'!C108+Insr!C108+'Nordea Liv '!C108+'Oslo Pensjonsforsikring'!C108+'Protector Forsikring'!C108+'SHB Liv'!C108+'Sparebank 1'!C108+'Storebrand Livsforsikring'!C108+'Telenor Forsikring'!C108+'Tryg Forsikring'!C108+'WaterCircle F'!C108+'Codan Forsikring'!C108+'Euro Accident'!C108</f>
        <v>334309567.87645888</v>
      </c>
      <c r="D108" s="23">
        <f t="shared" si="20"/>
        <v>2.8</v>
      </c>
      <c r="E108" s="44">
        <f>'Fremtind Livsforsikring'!F108+'Danica Pensjonsforsikring'!F108+'DNB Livsforsikring'!F108+'Eika Forsikring AS'!F108+'Frende Livsforsikring'!F108+'Frende Skadeforsikring'!F108+'Gjensidige Forsikring'!F108+'Gjensidige Pensjon'!F108+'Handelsbanken Liv'!F108+'If Skadeforsikring NUF'!F108+KLP!F108+'DNB Bedriftspensjon'!F108+'KLP Skadeforsikring AS'!F108+'Landkreditt Forsikring'!F108+Insr!F108+'Nordea Liv '!F108+'Oslo Pensjonsforsikring'!F108+'Protector Forsikring'!F108+'SHB Liv'!F108+'Sparebank 1'!F108+'Storebrand Livsforsikring'!F108+'Telenor Forsikring'!F108+'Tryg Forsikring'!F108+'WaterCircle F'!F108+'Codan Forsikring'!F108+'Euro Accident'!F108</f>
        <v>17343450.93</v>
      </c>
      <c r="F108" s="44">
        <f>'Fremtind Livsforsikring'!G108+'Danica Pensjonsforsikring'!G108+'DNB Livsforsikring'!G108+'Eika Forsikring AS'!G108+'Frende Livsforsikring'!G108+'Frende Skadeforsikring'!G108+'Gjensidige Forsikring'!G108+'Gjensidige Pensjon'!G108+'Handelsbanken Liv'!G108+'If Skadeforsikring NUF'!G108+KLP!G108+'DNB Bedriftspensjon'!G108+'KLP Skadeforsikring AS'!G108+'Landkreditt Forsikring'!G108+Insr!G108+'Nordea Liv '!G108+'Oslo Pensjonsforsikring'!G108+'Protector Forsikring'!G108+'SHB Liv'!G108+'Sparebank 1'!G108+'Storebrand Livsforsikring'!G108+'Telenor Forsikring'!G108+'Tryg Forsikring'!G108+'WaterCircle F'!G108+'Codan Forsikring'!G108+'Euro Accident'!G108</f>
        <v>20373786.065000001</v>
      </c>
      <c r="G108" s="241">
        <f t="shared" si="43"/>
        <v>17.5</v>
      </c>
      <c r="H108" s="237">
        <f t="shared" si="34"/>
        <v>342698192.73301989</v>
      </c>
      <c r="I108" s="237">
        <f t="shared" si="35"/>
        <v>354683353.94145888</v>
      </c>
      <c r="J108" s="23">
        <f t="shared" si="24"/>
        <v>3.5</v>
      </c>
    </row>
    <row r="109" spans="1:18" ht="15.75" customHeight="1" x14ac:dyDescent="0.3">
      <c r="A109" s="38" t="s">
        <v>438</v>
      </c>
      <c r="B109" s="234">
        <f>'Fremtind Livsforsikring'!B109+'Danica Pensjonsforsikring'!B109+'DNB Livsforsikring'!B109+'Eika Forsikring AS'!B109+'Frende Livsforsikring'!B109+'Frende Skadeforsikring'!B109+'Gjensidige Forsikring'!B109+'Gjensidige Pensjon'!B109+'Handelsbanken Liv'!B109+'If Skadeforsikring NUF'!B109+KLP!B109+'DNB Bedriftspensjon'!B109+'KLP Skadeforsikring AS'!B109+'Landkreditt Forsikring'!B109+Insr!B109+'Nordea Liv '!B109+'Oslo Pensjonsforsikring'!B109+'Protector Forsikring'!B109+'SHB Liv'!B109+'Sparebank 1'!B109+'Storebrand Livsforsikring'!B109+'Telenor Forsikring'!B109+'Tryg Forsikring'!B109+'WaterCircle F'!B109+'Codan Forsikring'!B109+'Euro Accident'!B109</f>
        <v>1046910.163851911</v>
      </c>
      <c r="C109" s="234">
        <f>'Fremtind Livsforsikring'!C109+'Danica Pensjonsforsikring'!C109+'DNB Livsforsikring'!C109+'Eika Forsikring AS'!C109+'Frende Livsforsikring'!C109+'Frende Skadeforsikring'!C109+'Gjensidige Forsikring'!C109+'Gjensidige Pensjon'!C109+'Handelsbanken Liv'!C109+'If Skadeforsikring NUF'!C109+KLP!C109+'DNB Bedriftspensjon'!C109+'KLP Skadeforsikring AS'!C109+'Landkreditt Forsikring'!C109+Insr!C109+'Nordea Liv '!C109+'Oslo Pensjonsforsikring'!C109+'Protector Forsikring'!C109+'SHB Liv'!C109+'Sparebank 1'!C109+'Storebrand Livsforsikring'!C109+'Telenor Forsikring'!C109+'Tryg Forsikring'!C109+'WaterCircle F'!C109+'Codan Forsikring'!C109+'Euro Accident'!C109</f>
        <v>1576718.8441099999</v>
      </c>
      <c r="D109" s="23">
        <f t="shared" si="20"/>
        <v>50.6</v>
      </c>
      <c r="E109" s="44">
        <f>'Fremtind Livsforsikring'!F109+'Danica Pensjonsforsikring'!F109+'DNB Livsforsikring'!F109+'Eika Forsikring AS'!F109+'Frende Livsforsikring'!F109+'Frende Skadeforsikring'!F109+'Gjensidige Forsikring'!F109+'Gjensidige Pensjon'!F109+'Handelsbanken Liv'!F109+'If Skadeforsikring NUF'!F109+KLP!F109+'DNB Bedriftspensjon'!F109+'KLP Skadeforsikring AS'!F109+'Landkreditt Forsikring'!F109+Insr!F109+'Nordea Liv '!F109+'Oslo Pensjonsforsikring'!F109+'Protector Forsikring'!F109+'SHB Liv'!F109+'Sparebank 1'!F109+'Storebrand Livsforsikring'!F109+'Telenor Forsikring'!F109+'Tryg Forsikring'!F109+'WaterCircle F'!F109+'Codan Forsikring'!F109+'Euro Accident'!F109</f>
        <v>118216168.193756</v>
      </c>
      <c r="F109" s="44">
        <f>'Fremtind Livsforsikring'!G109+'Danica Pensjonsforsikring'!G109+'DNB Livsforsikring'!G109+'Eika Forsikring AS'!G109+'Frende Livsforsikring'!G109+'Frende Skadeforsikring'!G109+'Gjensidige Forsikring'!G109+'Gjensidige Pensjon'!G109+'Handelsbanken Liv'!G109+'If Skadeforsikring NUF'!G109+KLP!G109+'DNB Bedriftspensjon'!G109+'KLP Skadeforsikring AS'!G109+'Landkreditt Forsikring'!G109+Insr!G109+'Nordea Liv '!G109+'Oslo Pensjonsforsikring'!G109+'Protector Forsikring'!G109+'SHB Liv'!G109+'Sparebank 1'!G109+'Storebrand Livsforsikring'!G109+'Telenor Forsikring'!G109+'Tryg Forsikring'!G109+'WaterCircle F'!G109+'Codan Forsikring'!G109+'Euro Accident'!G109</f>
        <v>151535831.53504598</v>
      </c>
      <c r="G109" s="241">
        <f t="shared" si="43"/>
        <v>28.2</v>
      </c>
      <c r="H109" s="237">
        <f t="shared" si="34"/>
        <v>119263078.35760792</v>
      </c>
      <c r="I109" s="237">
        <f t="shared" si="35"/>
        <v>153112550.37915599</v>
      </c>
      <c r="J109" s="23">
        <f t="shared" si="24"/>
        <v>28.4</v>
      </c>
      <c r="L109" s="3"/>
      <c r="M109" s="3"/>
      <c r="N109" s="3"/>
      <c r="O109" s="3"/>
      <c r="P109" s="3"/>
      <c r="Q109" s="3"/>
      <c r="R109" s="3"/>
    </row>
    <row r="110" spans="1:18" ht="15.75" customHeight="1" x14ac:dyDescent="0.25">
      <c r="A110" s="21" t="s">
        <v>384</v>
      </c>
      <c r="B110" s="234">
        <f>'Fremtind Livsforsikring'!B110+'Danica Pensjonsforsikring'!B110+'DNB Livsforsikring'!B110+'Eika Forsikring AS'!B110+'Frende Livsforsikring'!B110+'Frende Skadeforsikring'!B110+'Gjensidige Forsikring'!B110+'Gjensidige Pensjon'!B110+'Handelsbanken Liv'!B110+'If Skadeforsikring NUF'!B110+KLP!B110+'DNB Bedriftspensjon'!B110+'KLP Skadeforsikring AS'!B110+'Landkreditt Forsikring'!B110+Insr!B110+'Nordea Liv '!B110+'Oslo Pensjonsforsikring'!B110+'Protector Forsikring'!B110+'SHB Liv'!B110+'Sparebank 1'!B110+'Storebrand Livsforsikring'!B110+'Telenor Forsikring'!B110+'Tryg Forsikring'!B110+'WaterCircle F'!B110+'Codan Forsikring'!B110+'Euro Accident'!B110</f>
        <v>425956.26289000001</v>
      </c>
      <c r="C110" s="234">
        <f>'Fremtind Livsforsikring'!C110+'Danica Pensjonsforsikring'!C110+'DNB Livsforsikring'!C110+'Eika Forsikring AS'!C110+'Frende Livsforsikring'!C110+'Frende Skadeforsikring'!C110+'Gjensidige Forsikring'!C110+'Gjensidige Pensjon'!C110+'Handelsbanken Liv'!C110+'If Skadeforsikring NUF'!C110+KLP!C110+'DNB Bedriftspensjon'!C110+'KLP Skadeforsikring AS'!C110+'Landkreditt Forsikring'!C110+Insr!C110+'Nordea Liv '!C110+'Oslo Pensjonsforsikring'!C110+'Protector Forsikring'!C110+'SHB Liv'!C110+'Sparebank 1'!C110+'Storebrand Livsforsikring'!C110+'Telenor Forsikring'!C110+'Tryg Forsikring'!C110+'WaterCircle F'!C110+'Codan Forsikring'!C110+'Euro Accident'!C110</f>
        <v>719723.88043999998</v>
      </c>
      <c r="D110" s="23">
        <f t="shared" si="20"/>
        <v>69</v>
      </c>
      <c r="E110" s="44">
        <f>'Fremtind Livsforsikring'!F110+'Danica Pensjonsforsikring'!F110+'DNB Livsforsikring'!F110+'Eika Forsikring AS'!F110+'Frende Livsforsikring'!F110+'Frende Skadeforsikring'!F110+'Gjensidige Forsikring'!F110+'Gjensidige Pensjon'!F110+'Handelsbanken Liv'!F110+'If Skadeforsikring NUF'!F110+KLP!F110+'DNB Bedriftspensjon'!F110+'KLP Skadeforsikring AS'!F110+'Landkreditt Forsikring'!F110+Insr!F110+'Nordea Liv '!F110+'Oslo Pensjonsforsikring'!F110+'Protector Forsikring'!F110+'SHB Liv'!F110+'Sparebank 1'!F110+'Storebrand Livsforsikring'!F110+'Telenor Forsikring'!F110+'Tryg Forsikring'!F110+'WaterCircle F'!F110+'Codan Forsikring'!F110+'Euro Accident'!F110</f>
        <v>0</v>
      </c>
      <c r="F110" s="44">
        <f>'Fremtind Livsforsikring'!G110+'Danica Pensjonsforsikring'!G110+'DNB Livsforsikring'!G110+'Eika Forsikring AS'!G110+'Frende Livsforsikring'!G110+'Frende Skadeforsikring'!G110+'Gjensidige Forsikring'!G110+'Gjensidige Pensjon'!G110+'Handelsbanken Liv'!G110+'If Skadeforsikring NUF'!G110+KLP!G110+'DNB Bedriftspensjon'!G110+'KLP Skadeforsikring AS'!G110+'Landkreditt Forsikring'!G110+Insr!G110+'Nordea Liv '!G110+'Oslo Pensjonsforsikring'!G110+'Protector Forsikring'!G110+'SHB Liv'!G110+'Sparebank 1'!G110+'Storebrand Livsforsikring'!G110+'Telenor Forsikring'!G110+'Tryg Forsikring'!G110+'WaterCircle F'!G110+'Codan Forsikring'!G110+'Euro Accident'!G110</f>
        <v>0</v>
      </c>
      <c r="G110" s="166"/>
      <c r="H110" s="237">
        <f t="shared" si="34"/>
        <v>425956.26289000001</v>
      </c>
      <c r="I110" s="237">
        <f t="shared" si="35"/>
        <v>719723.88043999998</v>
      </c>
      <c r="J110" s="23">
        <f t="shared" si="24"/>
        <v>69</v>
      </c>
    </row>
    <row r="111" spans="1:18" s="43" customFormat="1" ht="15.75" customHeight="1" x14ac:dyDescent="0.3">
      <c r="A111" s="13" t="s">
        <v>364</v>
      </c>
      <c r="B111" s="310">
        <f>'Fremtind Livsforsikring'!B111+'Danica Pensjonsforsikring'!B111+'DNB Livsforsikring'!B111+'Eika Forsikring AS'!B111+'Frende Livsforsikring'!B111+'Frende Skadeforsikring'!B111+'Gjensidige Forsikring'!B111+'Gjensidige Pensjon'!B111+'Handelsbanken Liv'!B111+'If Skadeforsikring NUF'!B111+KLP!B111+'DNB Bedriftspensjon'!B111+'KLP Skadeforsikring AS'!B111+'Landkreditt Forsikring'!B111+Insr!B111+'Nordea Liv '!B111+'Oslo Pensjonsforsikring'!B111+'Protector Forsikring'!B111+'SHB Liv'!B111+'Sparebank 1'!B111+'Storebrand Livsforsikring'!B111+'Telenor Forsikring'!B111+'Tryg Forsikring'!B111+'WaterCircle F'!B111+'Codan Forsikring'!B111+'Euro Accident'!B111</f>
        <v>664553.65385999996</v>
      </c>
      <c r="C111" s="310">
        <f>'Fremtind Livsforsikring'!C111+'Danica Pensjonsforsikring'!C111+'DNB Livsforsikring'!C111+'Eika Forsikring AS'!C111+'Frende Livsforsikring'!C111+'Frende Skadeforsikring'!C111+'Gjensidige Forsikring'!C111+'Gjensidige Pensjon'!C111+'Handelsbanken Liv'!C111+'If Skadeforsikring NUF'!C111+KLP!C111+'DNB Bedriftspensjon'!C111+'KLP Skadeforsikring AS'!C111+'Landkreditt Forsikring'!C111+Insr!C111+'Nordea Liv '!C111+'Oslo Pensjonsforsikring'!C111+'Protector Forsikring'!C111+'SHB Liv'!C111+'Sparebank 1'!C111+'Storebrand Livsforsikring'!C111+'Telenor Forsikring'!C111+'Tryg Forsikring'!C111+'WaterCircle F'!C111+'Codan Forsikring'!C111+'Euro Accident'!C111</f>
        <v>459485.86124</v>
      </c>
      <c r="D111" s="24">
        <f t="shared" si="20"/>
        <v>-30.9</v>
      </c>
      <c r="E111" s="236">
        <f>'Fremtind Livsforsikring'!F111+'Danica Pensjonsforsikring'!F111+'DNB Livsforsikring'!F111+'Eika Forsikring AS'!F111+'Frende Livsforsikring'!F111+'Frende Skadeforsikring'!F111+'Gjensidige Forsikring'!F111+'Gjensidige Pensjon'!F111+'Handelsbanken Liv'!F111+'If Skadeforsikring NUF'!F111+KLP!F111+'DNB Bedriftspensjon'!F111+'KLP Skadeforsikring AS'!F111+'Landkreditt Forsikring'!F111+Insr!F111+'Nordea Liv '!F111+'Oslo Pensjonsforsikring'!F111+'Protector Forsikring'!F111+'SHB Liv'!F111+'Sparebank 1'!F111+'Storebrand Livsforsikring'!F111+'Telenor Forsikring'!F111+'Tryg Forsikring'!F111+'WaterCircle F'!F111+'Codan Forsikring'!F111+'Euro Accident'!F111</f>
        <v>14745075.340380002</v>
      </c>
      <c r="F111" s="236">
        <f>'Fremtind Livsforsikring'!G111+'Danica Pensjonsforsikring'!G111+'DNB Livsforsikring'!G111+'Eika Forsikring AS'!G111+'Frende Livsforsikring'!G111+'Frende Skadeforsikring'!G111+'Gjensidige Forsikring'!G111+'Gjensidige Pensjon'!G111+'Handelsbanken Liv'!G111+'If Skadeforsikring NUF'!G111+KLP!G111+'DNB Bedriftspensjon'!G111+'KLP Skadeforsikring AS'!G111+'Landkreditt Forsikring'!G111+Insr!G111+'Nordea Liv '!G111+'Oslo Pensjonsforsikring'!G111+'Protector Forsikring'!G111+'SHB Liv'!G111+'Sparebank 1'!G111+'Storebrand Livsforsikring'!G111+'Telenor Forsikring'!G111+'Tryg Forsikring'!G111+'WaterCircle F'!G111+'Codan Forsikring'!G111+'Euro Accident'!G111</f>
        <v>53008611.131979994</v>
      </c>
      <c r="G111" s="241">
        <f t="shared" ref="G111:G121" si="44">IF(E111=0, "    ---- ", IF(ABS(ROUND(100/E111*F111-100,1))&lt;999,ROUND(100/E111*F111-100,1),IF(ROUND(100/E111*F111-100,1)&gt;999,999,-999)))</f>
        <v>259.5</v>
      </c>
      <c r="H111" s="330">
        <f t="shared" si="34"/>
        <v>15409628.994240001</v>
      </c>
      <c r="I111" s="330">
        <f t="shared" si="35"/>
        <v>53468096.993219994</v>
      </c>
      <c r="J111" s="24">
        <f t="shared" si="24"/>
        <v>247</v>
      </c>
    </row>
    <row r="112" spans="1:18" ht="15.75" customHeight="1" x14ac:dyDescent="0.3">
      <c r="A112" s="21" t="s">
        <v>9</v>
      </c>
      <c r="B112" s="234">
        <f>'Fremtind Livsforsikring'!B112+'Danica Pensjonsforsikring'!B112+'DNB Livsforsikring'!B112+'Eika Forsikring AS'!B112+'Frende Livsforsikring'!B112+'Frende Skadeforsikring'!B112+'Gjensidige Forsikring'!B112+'Gjensidige Pensjon'!B112+'Handelsbanken Liv'!B112+'If Skadeforsikring NUF'!B112+KLP!B112+'DNB Bedriftspensjon'!B112+'KLP Skadeforsikring AS'!B112+'Landkreditt Forsikring'!B112+Insr!B112+'Nordea Liv '!B112+'Oslo Pensjonsforsikring'!B112+'Protector Forsikring'!B112+'SHB Liv'!B112+'Sparebank 1'!B112+'Storebrand Livsforsikring'!B112+'Telenor Forsikring'!B112+'Tryg Forsikring'!B112+'WaterCircle F'!B112+'Codan Forsikring'!B112+'Euro Accident'!B112</f>
        <v>263579.68152999994</v>
      </c>
      <c r="C112" s="234">
        <f>'Fremtind Livsforsikring'!C112+'Danica Pensjonsforsikring'!C112+'DNB Livsforsikring'!C112+'Eika Forsikring AS'!C112+'Frende Livsforsikring'!C112+'Frende Skadeforsikring'!C112+'Gjensidige Forsikring'!C112+'Gjensidige Pensjon'!C112+'Handelsbanken Liv'!C112+'If Skadeforsikring NUF'!C112+KLP!C112+'DNB Bedriftspensjon'!C112+'KLP Skadeforsikring AS'!C112+'Landkreditt Forsikring'!C112+Insr!C112+'Nordea Liv '!C112+'Oslo Pensjonsforsikring'!C112+'Protector Forsikring'!C112+'SHB Liv'!C112+'Sparebank 1'!C112+'Storebrand Livsforsikring'!C112+'Telenor Forsikring'!C112+'Tryg Forsikring'!C112+'WaterCircle F'!C112+'Codan Forsikring'!C112+'Euro Accident'!C112</f>
        <v>346062.54638000001</v>
      </c>
      <c r="D112" s="23">
        <f t="shared" ref="D112:D125" si="45">IF(B112=0, "    ---- ", IF(ABS(ROUND(100/B112*C112-100,1))&lt;999,ROUND(100/B112*C112-100,1),IF(ROUND(100/B112*C112-100,1)&gt;999,999,-999)))</f>
        <v>31.3</v>
      </c>
      <c r="E112" s="44">
        <f>'Fremtind Livsforsikring'!F112+'Danica Pensjonsforsikring'!F112+'DNB Livsforsikring'!F112+'Eika Forsikring AS'!F112+'Frende Livsforsikring'!F112+'Frende Skadeforsikring'!F112+'Gjensidige Forsikring'!F112+'Gjensidige Pensjon'!F112+'Handelsbanken Liv'!F112+'If Skadeforsikring NUF'!F112+KLP!F112+'DNB Bedriftspensjon'!F112+'KLP Skadeforsikring AS'!F112+'Landkreditt Forsikring'!F112+Insr!F112+'Nordea Liv '!F112+'Oslo Pensjonsforsikring'!F112+'Protector Forsikring'!F112+'SHB Liv'!F112+'Sparebank 1'!F112+'Storebrand Livsforsikring'!F112+'Telenor Forsikring'!F112+'Tryg Forsikring'!F112+'WaterCircle F'!F112+'Codan Forsikring'!F112+'Euro Accident'!F112</f>
        <v>4186.2830000000004</v>
      </c>
      <c r="F112" s="44">
        <f>'Fremtind Livsforsikring'!G112+'Danica Pensjonsforsikring'!G112+'DNB Livsforsikring'!G112+'Eika Forsikring AS'!G112+'Frende Livsforsikring'!G112+'Frende Skadeforsikring'!G112+'Gjensidige Forsikring'!G112+'Gjensidige Pensjon'!G112+'Handelsbanken Liv'!G112+'If Skadeforsikring NUF'!G112+KLP!G112+'DNB Bedriftspensjon'!G112+'KLP Skadeforsikring AS'!G112+'Landkreditt Forsikring'!G112+Insr!G112+'Nordea Liv '!G112+'Oslo Pensjonsforsikring'!G112+'Protector Forsikring'!G112+'SHB Liv'!G112+'Sparebank 1'!G112+'Storebrand Livsforsikring'!G112+'Telenor Forsikring'!G112+'Tryg Forsikring'!G112+'WaterCircle F'!G112+'Codan Forsikring'!G112+'Euro Accident'!G112</f>
        <v>11255.638000000001</v>
      </c>
      <c r="G112" s="241">
        <f t="shared" si="44"/>
        <v>168.9</v>
      </c>
      <c r="H112" s="237">
        <f t="shared" ref="H112:H126" si="46">SUM(B112,E112)</f>
        <v>267765.96452999994</v>
      </c>
      <c r="I112" s="237">
        <f t="shared" ref="I112:I126" si="47">SUM(C112,F112)</f>
        <v>357318.18437999999</v>
      </c>
      <c r="J112" s="23">
        <f t="shared" ref="J112:J125" si="48">IF(H112=0, "    ---- ", IF(ABS(ROUND(100/H112*I112-100,1))&lt;999,ROUND(100/H112*I112-100,1),IF(ROUND(100/H112*I112-100,1)&gt;999,999,-999)))</f>
        <v>33.4</v>
      </c>
    </row>
    <row r="113" spans="1:10" ht="15.75" customHeight="1" x14ac:dyDescent="0.3">
      <c r="A113" s="21" t="s">
        <v>10</v>
      </c>
      <c r="B113" s="234">
        <f>'Fremtind Livsforsikring'!B113+'Danica Pensjonsforsikring'!B113+'DNB Livsforsikring'!B113+'Eika Forsikring AS'!B113+'Frende Livsforsikring'!B113+'Frende Skadeforsikring'!B113+'Gjensidige Forsikring'!B113+'Gjensidige Pensjon'!B113+'Handelsbanken Liv'!B113+'If Skadeforsikring NUF'!B113+KLP!B113+'DNB Bedriftspensjon'!B113+'KLP Skadeforsikring AS'!B113+'Landkreditt Forsikring'!B113+Insr!B113+'Nordea Liv '!B113+'Oslo Pensjonsforsikring'!B113+'Protector Forsikring'!B113+'SHB Liv'!B113+'Sparebank 1'!B113+'Storebrand Livsforsikring'!B113+'Telenor Forsikring'!B113+'Tryg Forsikring'!B113+'WaterCircle F'!B113+'Codan Forsikring'!B113+'Euro Accident'!B113</f>
        <v>5095.6072700000004</v>
      </c>
      <c r="C113" s="234">
        <f>'Fremtind Livsforsikring'!C113+'Danica Pensjonsforsikring'!C113+'DNB Livsforsikring'!C113+'Eika Forsikring AS'!C113+'Frende Livsforsikring'!C113+'Frende Skadeforsikring'!C113+'Gjensidige Forsikring'!C113+'Gjensidige Pensjon'!C113+'Handelsbanken Liv'!C113+'If Skadeforsikring NUF'!C113+KLP!C113+'DNB Bedriftspensjon'!C113+'KLP Skadeforsikring AS'!C113+'Landkreditt Forsikring'!C113+Insr!C113+'Nordea Liv '!C113+'Oslo Pensjonsforsikring'!C113+'Protector Forsikring'!C113+'SHB Liv'!C113+'Sparebank 1'!C113+'Storebrand Livsforsikring'!C113+'Telenor Forsikring'!C113+'Tryg Forsikring'!C113+'WaterCircle F'!C113+'Codan Forsikring'!C113+'Euro Accident'!C113</f>
        <v>229.13946999999999</v>
      </c>
      <c r="D113" s="23">
        <f t="shared" si="45"/>
        <v>-95.5</v>
      </c>
      <c r="E113" s="44">
        <f>'Fremtind Livsforsikring'!F113+'Danica Pensjonsforsikring'!F113+'DNB Livsforsikring'!F113+'Eika Forsikring AS'!F113+'Frende Livsforsikring'!F113+'Frende Skadeforsikring'!F113+'Gjensidige Forsikring'!F113+'Gjensidige Pensjon'!F113+'Handelsbanken Liv'!F113+'If Skadeforsikring NUF'!F113+KLP!F113+'DNB Bedriftspensjon'!F113+'KLP Skadeforsikring AS'!F113+'Landkreditt Forsikring'!F113+Insr!F113+'Nordea Liv '!F113+'Oslo Pensjonsforsikring'!F113+'Protector Forsikring'!F113+'SHB Liv'!F113+'Sparebank 1'!F113+'Storebrand Livsforsikring'!F113+'Telenor Forsikring'!F113+'Tryg Forsikring'!F113+'WaterCircle F'!F113+'Codan Forsikring'!F113+'Euro Accident'!F113</f>
        <v>14671941.870380001</v>
      </c>
      <c r="F113" s="44">
        <f>'Fremtind Livsforsikring'!G113+'Danica Pensjonsforsikring'!G113+'DNB Livsforsikring'!G113+'Eika Forsikring AS'!G113+'Frende Livsforsikring'!G113+'Frende Skadeforsikring'!G113+'Gjensidige Forsikring'!G113+'Gjensidige Pensjon'!G113+'Handelsbanken Liv'!G113+'If Skadeforsikring NUF'!G113+KLP!G113+'DNB Bedriftspensjon'!G113+'KLP Skadeforsikring AS'!G113+'Landkreditt Forsikring'!G113+Insr!G113+'Nordea Liv '!G113+'Oslo Pensjonsforsikring'!G113+'Protector Forsikring'!G113+'SHB Liv'!G113+'Sparebank 1'!G113+'Storebrand Livsforsikring'!G113+'Telenor Forsikring'!G113+'Tryg Forsikring'!G113+'WaterCircle F'!G113+'Codan Forsikring'!G113+'Euro Accident'!G113</f>
        <v>52997355.49397999</v>
      </c>
      <c r="G113" s="241">
        <f t="shared" si="44"/>
        <v>261.2</v>
      </c>
      <c r="H113" s="237">
        <f t="shared" si="46"/>
        <v>14677037.477650002</v>
      </c>
      <c r="I113" s="237">
        <f t="shared" si="47"/>
        <v>52997584.633449994</v>
      </c>
      <c r="J113" s="24">
        <f t="shared" si="48"/>
        <v>261.10000000000002</v>
      </c>
    </row>
    <row r="114" spans="1:10" ht="15.75" customHeight="1" x14ac:dyDescent="0.3">
      <c r="A114" s="21" t="s">
        <v>26</v>
      </c>
      <c r="B114" s="234">
        <f>'Fremtind Livsforsikring'!B114+'Danica Pensjonsforsikring'!B114+'DNB Livsforsikring'!B114+'Eika Forsikring AS'!B114+'Frende Livsforsikring'!B114+'Frende Skadeforsikring'!B114+'Gjensidige Forsikring'!B114+'Gjensidige Pensjon'!B114+'Handelsbanken Liv'!B114+'If Skadeforsikring NUF'!B114+KLP!B114+'DNB Bedriftspensjon'!B114+'KLP Skadeforsikring AS'!B114+'Landkreditt Forsikring'!B114+Insr!B114+'Nordea Liv '!B114+'Oslo Pensjonsforsikring'!B114+'Protector Forsikring'!B114+'SHB Liv'!B114+'Sparebank 1'!B114+'Storebrand Livsforsikring'!B114+'Telenor Forsikring'!B114+'Tryg Forsikring'!B114+'WaterCircle F'!B114+'Codan Forsikring'!B114+'Euro Accident'!B114</f>
        <v>395878.36505999998</v>
      </c>
      <c r="C114" s="234">
        <f>'Fremtind Livsforsikring'!C114+'Danica Pensjonsforsikring'!C114+'DNB Livsforsikring'!C114+'Eika Forsikring AS'!C114+'Frende Livsforsikring'!C114+'Frende Skadeforsikring'!C114+'Gjensidige Forsikring'!C114+'Gjensidige Pensjon'!C114+'Handelsbanken Liv'!C114+'If Skadeforsikring NUF'!C114+KLP!C114+'DNB Bedriftspensjon'!C114+'KLP Skadeforsikring AS'!C114+'Landkreditt Forsikring'!C114+Insr!C114+'Nordea Liv '!C114+'Oslo Pensjonsforsikring'!C114+'Protector Forsikring'!C114+'SHB Liv'!C114+'Sparebank 1'!C114+'Storebrand Livsforsikring'!C114+'Telenor Forsikring'!C114+'Tryg Forsikring'!C114+'WaterCircle F'!C114+'Codan Forsikring'!C114+'Euro Accident'!C114</f>
        <v>113194.17539</v>
      </c>
      <c r="D114" s="23">
        <f t="shared" si="45"/>
        <v>-71.400000000000006</v>
      </c>
      <c r="E114" s="44">
        <f>'Fremtind Livsforsikring'!F114+'Danica Pensjonsforsikring'!F114+'DNB Livsforsikring'!F114+'Eika Forsikring AS'!F114+'Frende Livsforsikring'!F114+'Frende Skadeforsikring'!F114+'Gjensidige Forsikring'!F114+'Gjensidige Pensjon'!F114+'Handelsbanken Liv'!F114+'If Skadeforsikring NUF'!F114+KLP!F114+'DNB Bedriftspensjon'!F114+'KLP Skadeforsikring AS'!F114+'Landkreditt Forsikring'!F114+Insr!F114+'Nordea Liv '!F114+'Oslo Pensjonsforsikring'!F114+'Protector Forsikring'!F114+'SHB Liv'!F114+'Sparebank 1'!F114+'Storebrand Livsforsikring'!F114+'Telenor Forsikring'!F114+'Tryg Forsikring'!F114+'WaterCircle F'!F114+'Codan Forsikring'!F114+'Euro Accident'!F114</f>
        <v>68947.187000000005</v>
      </c>
      <c r="F114" s="44">
        <f>'Fremtind Livsforsikring'!G114+'Danica Pensjonsforsikring'!G114+'DNB Livsforsikring'!G114+'Eika Forsikring AS'!G114+'Frende Livsforsikring'!G114+'Frende Skadeforsikring'!G114+'Gjensidige Forsikring'!G114+'Gjensidige Pensjon'!G114+'Handelsbanken Liv'!G114+'If Skadeforsikring NUF'!G114+KLP!G114+'DNB Bedriftspensjon'!G114+'KLP Skadeforsikring AS'!G114+'Landkreditt Forsikring'!G114+Insr!G114+'Nordea Liv '!G114+'Oslo Pensjonsforsikring'!G114+'Protector Forsikring'!G114+'SHB Liv'!G114+'Sparebank 1'!G114+'Storebrand Livsforsikring'!G114+'Telenor Forsikring'!G114+'Tryg Forsikring'!G114+'WaterCircle F'!G114+'Codan Forsikring'!G114+'Euro Accident'!G114</f>
        <v>0</v>
      </c>
      <c r="G114" s="241">
        <f t="shared" si="44"/>
        <v>-100</v>
      </c>
      <c r="H114" s="237">
        <f t="shared" si="46"/>
        <v>464825.55206000002</v>
      </c>
      <c r="I114" s="237">
        <f t="shared" si="47"/>
        <v>113194.17539</v>
      </c>
      <c r="J114" s="24">
        <f t="shared" si="48"/>
        <v>-75.599999999999994</v>
      </c>
    </row>
    <row r="115" spans="1:10" ht="15.75" customHeight="1" x14ac:dyDescent="0.25">
      <c r="A115" s="298" t="s">
        <v>15</v>
      </c>
      <c r="B115" s="44">
        <f>'Fremtind Livsforsikring'!B115+'Danica Pensjonsforsikring'!B115+'DNB Livsforsikring'!B115+'Eika Forsikring AS'!B115+'Frende Livsforsikring'!B115+'Frende Skadeforsikring'!B115+'Gjensidige Forsikring'!B115+'Gjensidige Pensjon'!B115+'Handelsbanken Liv'!B115+'If Skadeforsikring NUF'!B115+KLP!B115+'DNB Bedriftspensjon'!B115+'KLP Skadeforsikring AS'!B115+'Landkreditt Forsikring'!B115+Insr!B115+'Nordea Liv '!B115+'Oslo Pensjonsforsikring'!B115+'Protector Forsikring'!B115+'SHB Liv'!B115+'Sparebank 1'!B115+'Storebrand Livsforsikring'!B115+'Telenor Forsikring'!B115+'Tryg Forsikring'!B115+'WaterCircle F'!B115+'Codan Forsikring'!B115+'Euro Accident'!B115</f>
        <v>0</v>
      </c>
      <c r="C115" s="44">
        <f>'Fremtind Livsforsikring'!C115+'Danica Pensjonsforsikring'!C115+'DNB Livsforsikring'!C115+'Eika Forsikring AS'!C115+'Frende Livsforsikring'!C115+'Frende Skadeforsikring'!C115+'Gjensidige Forsikring'!C115+'Gjensidige Pensjon'!C115+'Handelsbanken Liv'!C115+'If Skadeforsikring NUF'!C115+KLP!C115+'DNB Bedriftspensjon'!C115+'KLP Skadeforsikring AS'!C115+'Landkreditt Forsikring'!C115+Insr!C115+'Nordea Liv '!C115+'Oslo Pensjonsforsikring'!C115+'Protector Forsikring'!C115+'SHB Liv'!C115+'Sparebank 1'!C115+'Storebrand Livsforsikring'!C115+'Telenor Forsikring'!C115+'Tryg Forsikring'!C115+'WaterCircle F'!C115+'Codan Forsikring'!C115+'Euro Accident'!C115</f>
        <v>0</v>
      </c>
      <c r="D115" s="27"/>
      <c r="E115" s="44">
        <f>'Fremtind Livsforsikring'!F115+'Danica Pensjonsforsikring'!F115+'DNB Livsforsikring'!F115+'Eika Forsikring AS'!F115+'Frende Livsforsikring'!F115+'Frende Skadeforsikring'!F115+'Gjensidige Forsikring'!F115+'Gjensidige Pensjon'!F115+'Handelsbanken Liv'!F115+'If Skadeforsikring NUF'!F115+KLP!F115+'DNB Bedriftspensjon'!F115+'KLP Skadeforsikring AS'!F115+'Landkreditt Forsikring'!F115+Insr!F115+'Nordea Liv '!F115+'Oslo Pensjonsforsikring'!F115+'Protector Forsikring'!F115+'SHB Liv'!F115+'Sparebank 1'!F115+'Storebrand Livsforsikring'!F115+'Telenor Forsikring'!F115+'Tryg Forsikring'!F115+'WaterCircle F'!F115+'Codan Forsikring'!F115+'Euro Accident'!F115</f>
        <v>0</v>
      </c>
      <c r="F115" s="44">
        <f>'Fremtind Livsforsikring'!G115+'Danica Pensjonsforsikring'!G115+'DNB Livsforsikring'!G115+'Eika Forsikring AS'!G115+'Frende Livsforsikring'!G115+'Frende Skadeforsikring'!G115+'Gjensidige Forsikring'!G115+'Gjensidige Pensjon'!G115+'Handelsbanken Liv'!G115+'If Skadeforsikring NUF'!G115+KLP!G115+'DNB Bedriftspensjon'!G115+'KLP Skadeforsikring AS'!G115+'Landkreditt Forsikring'!G115+Insr!G115+'Nordea Liv '!G115+'Oslo Pensjonsforsikring'!G115+'Protector Forsikring'!G115+'SHB Liv'!G115+'Sparebank 1'!G115+'Storebrand Livsforsikring'!G115+'Telenor Forsikring'!G115+'Tryg Forsikring'!G115+'WaterCircle F'!G115+'Codan Forsikring'!G115+'Euro Accident'!G115</f>
        <v>0</v>
      </c>
      <c r="G115" s="166"/>
      <c r="H115" s="237">
        <f t="shared" si="46"/>
        <v>0</v>
      </c>
      <c r="I115" s="237">
        <f t="shared" si="47"/>
        <v>0</v>
      </c>
      <c r="J115" s="23"/>
    </row>
    <row r="116" spans="1:10" ht="15.75" customHeight="1" x14ac:dyDescent="0.3">
      <c r="A116" s="21" t="s">
        <v>385</v>
      </c>
      <c r="B116" s="234">
        <f>'Fremtind Livsforsikring'!B116+'Danica Pensjonsforsikring'!B116+'DNB Livsforsikring'!B116+'Eika Forsikring AS'!B116+'Frende Livsforsikring'!B116+'Frende Skadeforsikring'!B116+'Gjensidige Forsikring'!B116+'Gjensidige Pensjon'!B116+'Handelsbanken Liv'!B116+'If Skadeforsikring NUF'!B116+KLP!B116+'DNB Bedriftspensjon'!B116+'KLP Skadeforsikring AS'!B116+'Landkreditt Forsikring'!B116+Insr!B116+'Nordea Liv '!B116+'Oslo Pensjonsforsikring'!B116+'Protector Forsikring'!B116+'SHB Liv'!B116+'Sparebank 1'!B116+'Storebrand Livsforsikring'!B116+'Telenor Forsikring'!B116+'Tryg Forsikring'!B116+'WaterCircle F'!B116+'Codan Forsikring'!B116+'Euro Accident'!B116</f>
        <v>63722.621279999999</v>
      </c>
      <c r="C116" s="234">
        <f>'Fremtind Livsforsikring'!C116+'Danica Pensjonsforsikring'!C116+'DNB Livsforsikring'!C116+'Eika Forsikring AS'!C116+'Frende Livsforsikring'!C116+'Frende Skadeforsikring'!C116+'Gjensidige Forsikring'!C116+'Gjensidige Pensjon'!C116+'Handelsbanken Liv'!C116+'If Skadeforsikring NUF'!C116+KLP!C116+'DNB Bedriftspensjon'!C116+'KLP Skadeforsikring AS'!C116+'Landkreditt Forsikring'!C116+Insr!C116+'Nordea Liv '!C116+'Oslo Pensjonsforsikring'!C116+'Protector Forsikring'!C116+'SHB Liv'!C116+'Sparebank 1'!C116+'Storebrand Livsforsikring'!C116+'Telenor Forsikring'!C116+'Tryg Forsikring'!C116+'WaterCircle F'!C116+'Codan Forsikring'!C116+'Euro Accident'!C116</f>
        <v>73790.706789999997</v>
      </c>
      <c r="D116" s="23">
        <f t="shared" si="45"/>
        <v>15.8</v>
      </c>
      <c r="E116" s="44">
        <f>'Fremtind Livsforsikring'!F116+'Danica Pensjonsforsikring'!F116+'DNB Livsforsikring'!F116+'Eika Forsikring AS'!F116+'Frende Livsforsikring'!F116+'Frende Skadeforsikring'!F116+'Gjensidige Forsikring'!F116+'Gjensidige Pensjon'!F116+'Handelsbanken Liv'!F116+'If Skadeforsikring NUF'!F116+KLP!F116+'DNB Bedriftspensjon'!F116+'KLP Skadeforsikring AS'!F116+'Landkreditt Forsikring'!F116+Insr!F116+'Nordea Liv '!F116+'Oslo Pensjonsforsikring'!F116+'Protector Forsikring'!F116+'SHB Liv'!F116+'Sparebank 1'!F116+'Storebrand Livsforsikring'!F116+'Telenor Forsikring'!F116+'Tryg Forsikring'!F116+'WaterCircle F'!F116+'Codan Forsikring'!F116+'Euro Accident'!F116</f>
        <v>4186.2830000000004</v>
      </c>
      <c r="F116" s="44">
        <f>'Fremtind Livsforsikring'!G116+'Danica Pensjonsforsikring'!G116+'DNB Livsforsikring'!G116+'Eika Forsikring AS'!G116+'Frende Livsforsikring'!G116+'Frende Skadeforsikring'!G116+'Gjensidige Forsikring'!G116+'Gjensidige Pensjon'!G116+'Handelsbanken Liv'!G116+'If Skadeforsikring NUF'!G116+KLP!G116+'DNB Bedriftspensjon'!G116+'KLP Skadeforsikring AS'!G116+'Landkreditt Forsikring'!G116+Insr!G116+'Nordea Liv '!G116+'Oslo Pensjonsforsikring'!G116+'Protector Forsikring'!G116+'SHB Liv'!G116+'Sparebank 1'!G116+'Storebrand Livsforsikring'!G116+'Telenor Forsikring'!G116+'Tryg Forsikring'!G116+'WaterCircle F'!G116+'Codan Forsikring'!G116+'Euro Accident'!G116</f>
        <v>11255.638000000001</v>
      </c>
      <c r="G116" s="241">
        <f t="shared" si="44"/>
        <v>168.9</v>
      </c>
      <c r="H116" s="237">
        <f t="shared" si="46"/>
        <v>67908.904280000002</v>
      </c>
      <c r="I116" s="237">
        <f t="shared" si="47"/>
        <v>85046.344790000003</v>
      </c>
      <c r="J116" s="23">
        <f t="shared" si="48"/>
        <v>25.2</v>
      </c>
    </row>
    <row r="117" spans="1:10" ht="15.75" customHeight="1" x14ac:dyDescent="0.3">
      <c r="A117" s="21" t="s">
        <v>386</v>
      </c>
      <c r="B117" s="234">
        <f>'Fremtind Livsforsikring'!B117+'Danica Pensjonsforsikring'!B117+'DNB Livsforsikring'!B117+'Eika Forsikring AS'!B117+'Frende Livsforsikring'!B117+'Frende Skadeforsikring'!B117+'Gjensidige Forsikring'!B117+'Gjensidige Pensjon'!B117+'Handelsbanken Liv'!B117+'If Skadeforsikring NUF'!B117+KLP!B117+'DNB Bedriftspensjon'!B117+'KLP Skadeforsikring AS'!B117+'Landkreditt Forsikring'!B117+Insr!B117+'Nordea Liv '!B117+'Oslo Pensjonsforsikring'!B117+'Protector Forsikring'!B117+'SHB Liv'!B117+'Sparebank 1'!B117+'Storebrand Livsforsikring'!B117+'Telenor Forsikring'!B117+'Tryg Forsikring'!B117+'WaterCircle F'!B117+'Codan Forsikring'!B117+'Euro Accident'!B117</f>
        <v>0</v>
      </c>
      <c r="C117" s="234">
        <f>'Fremtind Livsforsikring'!C117+'Danica Pensjonsforsikring'!C117+'DNB Livsforsikring'!C117+'Eika Forsikring AS'!C117+'Frende Livsforsikring'!C117+'Frende Skadeforsikring'!C117+'Gjensidige Forsikring'!C117+'Gjensidige Pensjon'!C117+'Handelsbanken Liv'!C117+'If Skadeforsikring NUF'!C117+KLP!C117+'DNB Bedriftspensjon'!C117+'KLP Skadeforsikring AS'!C117+'Landkreditt Forsikring'!C117+Insr!C117+'Nordea Liv '!C117+'Oslo Pensjonsforsikring'!C117+'Protector Forsikring'!C117+'SHB Liv'!C117+'Sparebank 1'!C117+'Storebrand Livsforsikring'!C117+'Telenor Forsikring'!C117+'Tryg Forsikring'!C117+'WaterCircle F'!C117+'Codan Forsikring'!C117+'Euro Accident'!C117</f>
        <v>0</v>
      </c>
      <c r="D117" s="23"/>
      <c r="E117" s="44">
        <f>'Fremtind Livsforsikring'!F117+'Danica Pensjonsforsikring'!F117+'DNB Livsforsikring'!F117+'Eika Forsikring AS'!F117+'Frende Livsforsikring'!F117+'Frende Skadeforsikring'!F117+'Gjensidige Forsikring'!F117+'Gjensidige Pensjon'!F117+'Handelsbanken Liv'!F117+'If Skadeforsikring NUF'!F117+KLP!F117+'DNB Bedriftspensjon'!F117+'KLP Skadeforsikring AS'!F117+'Landkreditt Forsikring'!F117+Insr!F117+'Nordea Liv '!F117+'Oslo Pensjonsforsikring'!F117+'Protector Forsikring'!F117+'SHB Liv'!F117+'Sparebank 1'!F117+'Storebrand Livsforsikring'!F117+'Telenor Forsikring'!F117+'Tryg Forsikring'!F117+'WaterCircle F'!F117+'Codan Forsikring'!F117+'Euro Accident'!F117</f>
        <v>2368350.4905699999</v>
      </c>
      <c r="F117" s="44">
        <f>'Fremtind Livsforsikring'!G117+'Danica Pensjonsforsikring'!G117+'DNB Livsforsikring'!G117+'Eika Forsikring AS'!G117+'Frende Livsforsikring'!G117+'Frende Skadeforsikring'!G117+'Gjensidige Forsikring'!G117+'Gjensidige Pensjon'!G117+'Handelsbanken Liv'!G117+'If Skadeforsikring NUF'!G117+KLP!G117+'DNB Bedriftspensjon'!G117+'KLP Skadeforsikring AS'!G117+'Landkreditt Forsikring'!G117+Insr!G117+'Nordea Liv '!G117+'Oslo Pensjonsforsikring'!G117+'Protector Forsikring'!G117+'SHB Liv'!G117+'Sparebank 1'!G117+'Storebrand Livsforsikring'!G117+'Telenor Forsikring'!G117+'Tryg Forsikring'!G117+'WaterCircle F'!G117+'Codan Forsikring'!G117+'Euro Accident'!G117</f>
        <v>7537295.8789000018</v>
      </c>
      <c r="G117" s="241">
        <f t="shared" si="44"/>
        <v>218.3</v>
      </c>
      <c r="H117" s="237">
        <f t="shared" si="46"/>
        <v>2368350.4905699999</v>
      </c>
      <c r="I117" s="237">
        <f t="shared" si="47"/>
        <v>7537295.8789000018</v>
      </c>
      <c r="J117" s="23">
        <f t="shared" si="48"/>
        <v>218.3</v>
      </c>
    </row>
    <row r="118" spans="1:10" ht="15.75" customHeight="1" x14ac:dyDescent="0.25">
      <c r="A118" s="21" t="s">
        <v>384</v>
      </c>
      <c r="B118" s="234">
        <f>'Fremtind Livsforsikring'!B118+'Danica Pensjonsforsikring'!B118+'DNB Livsforsikring'!B118+'Eika Forsikring AS'!B118+'Frende Livsforsikring'!B118+'Frende Skadeforsikring'!B118+'Gjensidige Forsikring'!B118+'Gjensidige Pensjon'!B118+'Handelsbanken Liv'!B118+'If Skadeforsikring NUF'!B118+KLP!B118+'DNB Bedriftspensjon'!B118+'KLP Skadeforsikring AS'!B118+'Landkreditt Forsikring'!B118+Insr!B118+'Nordea Liv '!B118+'Oslo Pensjonsforsikring'!B118+'Protector Forsikring'!B118+'SHB Liv'!B118+'Sparebank 1'!B118+'Storebrand Livsforsikring'!B118+'Telenor Forsikring'!B118+'Tryg Forsikring'!B118+'WaterCircle F'!B118+'Codan Forsikring'!B118+'Euro Accident'!B118</f>
        <v>0</v>
      </c>
      <c r="C118" s="234">
        <f>'Fremtind Livsforsikring'!C118+'Danica Pensjonsforsikring'!C118+'DNB Livsforsikring'!C118+'Eika Forsikring AS'!C118+'Frende Livsforsikring'!C118+'Frende Skadeforsikring'!C118+'Gjensidige Forsikring'!C118+'Gjensidige Pensjon'!C118+'Handelsbanken Liv'!C118+'If Skadeforsikring NUF'!C118+KLP!C118+'DNB Bedriftspensjon'!C118+'KLP Skadeforsikring AS'!C118+'Landkreditt Forsikring'!C118+Insr!C118+'Nordea Liv '!C118+'Oslo Pensjonsforsikring'!C118+'Protector Forsikring'!C118+'SHB Liv'!C118+'Sparebank 1'!C118+'Storebrand Livsforsikring'!C118+'Telenor Forsikring'!C118+'Tryg Forsikring'!C118+'WaterCircle F'!C118+'Codan Forsikring'!C118+'Euro Accident'!C118</f>
        <v>0</v>
      </c>
      <c r="D118" s="23"/>
      <c r="E118" s="44">
        <f>'Fremtind Livsforsikring'!F118+'Danica Pensjonsforsikring'!F118+'DNB Livsforsikring'!F118+'Eika Forsikring AS'!F118+'Frende Livsforsikring'!F118+'Frende Skadeforsikring'!F118+'Gjensidige Forsikring'!F118+'Gjensidige Pensjon'!F118+'Handelsbanken Liv'!F118+'If Skadeforsikring NUF'!F118+KLP!F118+'DNB Bedriftspensjon'!F118+'KLP Skadeforsikring AS'!F118+'Landkreditt Forsikring'!F118+Insr!F118+'Nordea Liv '!F118+'Oslo Pensjonsforsikring'!F118+'Protector Forsikring'!F118+'SHB Liv'!F118+'Sparebank 1'!F118+'Storebrand Livsforsikring'!F118+'Telenor Forsikring'!F118+'Tryg Forsikring'!F118+'WaterCircle F'!F118+'Codan Forsikring'!F118+'Euro Accident'!F118</f>
        <v>0</v>
      </c>
      <c r="F118" s="44">
        <f>'Fremtind Livsforsikring'!G118+'Danica Pensjonsforsikring'!G118+'DNB Livsforsikring'!G118+'Eika Forsikring AS'!G118+'Frende Livsforsikring'!G118+'Frende Skadeforsikring'!G118+'Gjensidige Forsikring'!G118+'Gjensidige Pensjon'!G118+'Handelsbanken Liv'!G118+'If Skadeforsikring NUF'!G118+KLP!G118+'DNB Bedriftspensjon'!G118+'KLP Skadeforsikring AS'!G118+'Landkreditt Forsikring'!G118+Insr!G118+'Nordea Liv '!G118+'Oslo Pensjonsforsikring'!G118+'Protector Forsikring'!G118+'SHB Liv'!G118+'Sparebank 1'!G118+'Storebrand Livsforsikring'!G118+'Telenor Forsikring'!G118+'Tryg Forsikring'!G118+'WaterCircle F'!G118+'Codan Forsikring'!G118+'Euro Accident'!G118</f>
        <v>0</v>
      </c>
      <c r="G118" s="166"/>
      <c r="H118" s="237">
        <f t="shared" si="46"/>
        <v>0</v>
      </c>
      <c r="I118" s="237">
        <f t="shared" si="47"/>
        <v>0</v>
      </c>
      <c r="J118" s="23"/>
    </row>
    <row r="119" spans="1:10" s="43" customFormat="1" ht="15.75" customHeight="1" x14ac:dyDescent="0.3">
      <c r="A119" s="13" t="s">
        <v>365</v>
      </c>
      <c r="B119" s="330">
        <f>'Fremtind Livsforsikring'!B119+'Danica Pensjonsforsikring'!B119+'DNB Livsforsikring'!B119+'Eika Forsikring AS'!B119+'Frende Livsforsikring'!B119+'Frende Skadeforsikring'!B119+'Gjensidige Forsikring'!B119+'Gjensidige Pensjon'!B119+'Handelsbanken Liv'!B119+'If Skadeforsikring NUF'!B119+KLP!B119+'DNB Bedriftspensjon'!B119+'KLP Skadeforsikring AS'!B119+'Landkreditt Forsikring'!B119+Insr!B119+'Nordea Liv '!B119+'Oslo Pensjonsforsikring'!B119+'Protector Forsikring'!B119+'SHB Liv'!B119+'Sparebank 1'!B119+'Storebrand Livsforsikring'!B119+'Telenor Forsikring'!B119+'Tryg Forsikring'!B119+'WaterCircle F'!B119+'Codan Forsikring'!B119+'Euro Accident'!B119</f>
        <v>735115.97393999994</v>
      </c>
      <c r="C119" s="330">
        <f>'Fremtind Livsforsikring'!C119+'Danica Pensjonsforsikring'!C119+'DNB Livsforsikring'!C119+'Eika Forsikring AS'!C119+'Frende Livsforsikring'!C119+'Frende Skadeforsikring'!C119+'Gjensidige Forsikring'!C119+'Gjensidige Pensjon'!C119+'Handelsbanken Liv'!C119+'If Skadeforsikring NUF'!C119+KLP!C119+'DNB Bedriftspensjon'!C119+'KLP Skadeforsikring AS'!C119+'Landkreditt Forsikring'!C119+Insr!C119+'Nordea Liv '!C119+'Oslo Pensjonsforsikring'!C119+'Protector Forsikring'!C119+'SHB Liv'!C119+'Sparebank 1'!C119+'Storebrand Livsforsikring'!C119+'Telenor Forsikring'!C119+'Tryg Forsikring'!C119+'WaterCircle F'!C119+'Codan Forsikring'!C119+'Euro Accident'!C119</f>
        <v>454027.20446000004</v>
      </c>
      <c r="D119" s="24">
        <f t="shared" si="45"/>
        <v>-38.200000000000003</v>
      </c>
      <c r="E119" s="236">
        <f>'Fremtind Livsforsikring'!F119+'Danica Pensjonsforsikring'!F119+'DNB Livsforsikring'!F119+'Eika Forsikring AS'!F119+'Frende Livsforsikring'!F119+'Frende Skadeforsikring'!F119+'Gjensidige Forsikring'!F119+'Gjensidige Pensjon'!F119+'Handelsbanken Liv'!F119+'If Skadeforsikring NUF'!F119+KLP!F119+'DNB Bedriftspensjon'!F119+'KLP Skadeforsikring AS'!F119+'Landkreditt Forsikring'!F119+Insr!F119+'Nordea Liv '!F119+'Oslo Pensjonsforsikring'!F119+'Protector Forsikring'!F119+'SHB Liv'!F119+'Sparebank 1'!F119+'Storebrand Livsforsikring'!F119+'Telenor Forsikring'!F119+'Tryg Forsikring'!F119+'WaterCircle F'!F119+'Codan Forsikring'!F119+'Euro Accident'!F119</f>
        <v>14665945.305569999</v>
      </c>
      <c r="F119" s="236">
        <f>'Fremtind Livsforsikring'!G119+'Danica Pensjonsforsikring'!G119+'DNB Livsforsikring'!G119+'Eika Forsikring AS'!G119+'Frende Livsforsikring'!G119+'Frende Skadeforsikring'!G119+'Gjensidige Forsikring'!G119+'Gjensidige Pensjon'!G119+'Handelsbanken Liv'!G119+'If Skadeforsikring NUF'!G119+KLP!G119+'DNB Bedriftspensjon'!G119+'KLP Skadeforsikring AS'!G119+'Landkreditt Forsikring'!G119+Insr!G119+'Nordea Liv '!G119+'Oslo Pensjonsforsikring'!G119+'Protector Forsikring'!G119+'SHB Liv'!G119+'Sparebank 1'!G119+'Storebrand Livsforsikring'!G119+'Telenor Forsikring'!G119+'Tryg Forsikring'!G119+'WaterCircle F'!G119+'Codan Forsikring'!G119+'Euro Accident'!G119</f>
        <v>60821831.252059996</v>
      </c>
      <c r="G119" s="241">
        <f t="shared" si="44"/>
        <v>314.7</v>
      </c>
      <c r="H119" s="330">
        <f t="shared" si="46"/>
        <v>15401061.279509999</v>
      </c>
      <c r="I119" s="330">
        <f t="shared" si="47"/>
        <v>61275858.456519999</v>
      </c>
      <c r="J119" s="24">
        <f t="shared" si="48"/>
        <v>297.89999999999998</v>
      </c>
    </row>
    <row r="120" spans="1:10" ht="15.75" customHeight="1" x14ac:dyDescent="0.25">
      <c r="A120" s="21" t="s">
        <v>9</v>
      </c>
      <c r="B120" s="237">
        <f>'Fremtind Livsforsikring'!B120+'Danica Pensjonsforsikring'!B120+'DNB Livsforsikring'!B120+'Eika Forsikring AS'!B120+'Frende Livsforsikring'!B120+'Frende Skadeforsikring'!B120+'Gjensidige Forsikring'!B120+'Gjensidige Pensjon'!B120+'Handelsbanken Liv'!B120+'If Skadeforsikring NUF'!B120+KLP!B120+'DNB Bedriftspensjon'!B120+'KLP Skadeforsikring AS'!B120+'Landkreditt Forsikring'!B120+Insr!B120+'Nordea Liv '!B120+'Oslo Pensjonsforsikring'!B120+'Protector Forsikring'!B120+'SHB Liv'!B120+'Sparebank 1'!B120+'Storebrand Livsforsikring'!B120+'Telenor Forsikring'!B120+'Tryg Forsikring'!B120+'WaterCircle F'!B120+'Codan Forsikring'!B120+'Euro Accident'!B120</f>
        <v>562303.32900000003</v>
      </c>
      <c r="C120" s="237">
        <f>'Fremtind Livsforsikring'!C120+'Danica Pensjonsforsikring'!C120+'DNB Livsforsikring'!C120+'Eika Forsikring AS'!C120+'Frende Livsforsikring'!C120+'Frende Skadeforsikring'!C120+'Gjensidige Forsikring'!C120+'Gjensidige Pensjon'!C120+'Handelsbanken Liv'!C120+'If Skadeforsikring NUF'!C120+KLP!C120+'DNB Bedriftspensjon'!C120+'KLP Skadeforsikring AS'!C120+'Landkreditt Forsikring'!C120+Insr!C120+'Nordea Liv '!C120+'Oslo Pensjonsforsikring'!C120+'Protector Forsikring'!C120+'SHB Liv'!C120+'Sparebank 1'!C120+'Storebrand Livsforsikring'!C120+'Telenor Forsikring'!C120+'Tryg Forsikring'!C120+'WaterCircle F'!C120+'Codan Forsikring'!C120+'Euro Accident'!C120</f>
        <v>317392.66688999999</v>
      </c>
      <c r="D120" s="23">
        <f t="shared" si="45"/>
        <v>-43.6</v>
      </c>
      <c r="E120" s="44">
        <f>'Fremtind Livsforsikring'!F120+'Danica Pensjonsforsikring'!F120+'DNB Livsforsikring'!F120+'Eika Forsikring AS'!F120+'Frende Livsforsikring'!F120+'Frende Skadeforsikring'!F120+'Gjensidige Forsikring'!F120+'Gjensidige Pensjon'!F120+'Handelsbanken Liv'!F120+'If Skadeforsikring NUF'!F120+KLP!F120+'DNB Bedriftspensjon'!F120+'KLP Skadeforsikring AS'!F120+'Landkreditt Forsikring'!F120+Insr!F120+'Nordea Liv '!F120+'Oslo Pensjonsforsikring'!F120+'Protector Forsikring'!F120+'SHB Liv'!F120+'Sparebank 1'!F120+'Storebrand Livsforsikring'!F120+'Telenor Forsikring'!F120+'Tryg Forsikring'!F120+'WaterCircle F'!F120+'Codan Forsikring'!F120+'Euro Accident'!F120</f>
        <v>0</v>
      </c>
      <c r="F120" s="44">
        <f>'Fremtind Livsforsikring'!G120+'Danica Pensjonsforsikring'!G120+'DNB Livsforsikring'!G120+'Eika Forsikring AS'!G120+'Frende Livsforsikring'!G120+'Frende Skadeforsikring'!G120+'Gjensidige Forsikring'!G120+'Gjensidige Pensjon'!G120+'Handelsbanken Liv'!G120+'If Skadeforsikring NUF'!G120+KLP!G120+'DNB Bedriftspensjon'!G120+'KLP Skadeforsikring AS'!G120+'Landkreditt Forsikring'!G120+Insr!G120+'Nordea Liv '!G120+'Oslo Pensjonsforsikring'!G120+'Protector Forsikring'!G120+'SHB Liv'!G120+'Sparebank 1'!G120+'Storebrand Livsforsikring'!G120+'Telenor Forsikring'!G120+'Tryg Forsikring'!G120+'WaterCircle F'!G120+'Codan Forsikring'!G120+'Euro Accident'!G120</f>
        <v>0</v>
      </c>
      <c r="G120" s="166"/>
      <c r="H120" s="237">
        <f t="shared" si="46"/>
        <v>562303.32900000003</v>
      </c>
      <c r="I120" s="237">
        <f t="shared" si="47"/>
        <v>317392.66688999999</v>
      </c>
      <c r="J120" s="23">
        <f t="shared" si="48"/>
        <v>-43.6</v>
      </c>
    </row>
    <row r="121" spans="1:10" ht="15.75" customHeight="1" x14ac:dyDescent="0.3">
      <c r="A121" s="21" t="s">
        <v>10</v>
      </c>
      <c r="B121" s="237">
        <f>'Fremtind Livsforsikring'!B121+'Danica Pensjonsforsikring'!B121+'DNB Livsforsikring'!B121+'Eika Forsikring AS'!B121+'Frende Livsforsikring'!B121+'Frende Skadeforsikring'!B121+'Gjensidige Forsikring'!B121+'Gjensidige Pensjon'!B121+'Handelsbanken Liv'!B121+'If Skadeforsikring NUF'!B121+KLP!B121+'DNB Bedriftspensjon'!B121+'KLP Skadeforsikring AS'!B121+'Landkreditt Forsikring'!B121+Insr!B121+'Nordea Liv '!B121+'Oslo Pensjonsforsikring'!B121+'Protector Forsikring'!B121+'SHB Liv'!B121+'Sparebank 1'!B121+'Storebrand Livsforsikring'!B121+'Telenor Forsikring'!B121+'Tryg Forsikring'!B121+'WaterCircle F'!B121+'Codan Forsikring'!B121+'Euro Accident'!B121</f>
        <v>5506.1131000000005</v>
      </c>
      <c r="C121" s="237">
        <f>'Fremtind Livsforsikring'!C121+'Danica Pensjonsforsikring'!C121+'DNB Livsforsikring'!C121+'Eika Forsikring AS'!C121+'Frende Livsforsikring'!C121+'Frende Skadeforsikring'!C121+'Gjensidige Forsikring'!C121+'Gjensidige Pensjon'!C121+'Handelsbanken Liv'!C121+'If Skadeforsikring NUF'!C121+KLP!C121+'DNB Bedriftspensjon'!C121+'KLP Skadeforsikring AS'!C121+'Landkreditt Forsikring'!C121+Insr!C121+'Nordea Liv '!C121+'Oslo Pensjonsforsikring'!C121+'Protector Forsikring'!C121+'SHB Liv'!C121+'Sparebank 1'!C121+'Storebrand Livsforsikring'!C121+'Telenor Forsikring'!C121+'Tryg Forsikring'!C121+'WaterCircle F'!C121+'Codan Forsikring'!C121+'Euro Accident'!C121</f>
        <v>10249.906709999999</v>
      </c>
      <c r="D121" s="23">
        <f t="shared" si="45"/>
        <v>86.2</v>
      </c>
      <c r="E121" s="44">
        <f>'Fremtind Livsforsikring'!F121+'Danica Pensjonsforsikring'!F121+'DNB Livsforsikring'!F121+'Eika Forsikring AS'!F121+'Frende Livsforsikring'!F121+'Frende Skadeforsikring'!F121+'Gjensidige Forsikring'!F121+'Gjensidige Pensjon'!F121+'Handelsbanken Liv'!F121+'If Skadeforsikring NUF'!F121+KLP!F121+'DNB Bedriftspensjon'!F121+'KLP Skadeforsikring AS'!F121+'Landkreditt Forsikring'!F121+Insr!F121+'Nordea Liv '!F121+'Oslo Pensjonsforsikring'!F121+'Protector Forsikring'!F121+'SHB Liv'!F121+'Sparebank 1'!F121+'Storebrand Livsforsikring'!F121+'Telenor Forsikring'!F121+'Tryg Forsikring'!F121+'WaterCircle F'!F121+'Codan Forsikring'!F121+'Euro Accident'!F121</f>
        <v>14665945.305569999</v>
      </c>
      <c r="F121" s="44">
        <f>'Fremtind Livsforsikring'!G121+'Danica Pensjonsforsikring'!G121+'DNB Livsforsikring'!G121+'Eika Forsikring AS'!G121+'Frende Livsforsikring'!G121+'Frende Skadeforsikring'!G121+'Gjensidige Forsikring'!G121+'Gjensidige Pensjon'!G121+'Handelsbanken Liv'!G121+'If Skadeforsikring NUF'!G121+KLP!G121+'DNB Bedriftspensjon'!G121+'KLP Skadeforsikring AS'!G121+'Landkreditt Forsikring'!G121+Insr!G121+'Nordea Liv '!G121+'Oslo Pensjonsforsikring'!G121+'Protector Forsikring'!G121+'SHB Liv'!G121+'Sparebank 1'!G121+'Storebrand Livsforsikring'!G121+'Telenor Forsikring'!G121+'Tryg Forsikring'!G121+'WaterCircle F'!G121+'Codan Forsikring'!G121+'Euro Accident'!G121</f>
        <v>60821831.252059996</v>
      </c>
      <c r="G121" s="241">
        <f t="shared" si="44"/>
        <v>314.7</v>
      </c>
      <c r="H121" s="237">
        <f t="shared" si="46"/>
        <v>14671451.418669999</v>
      </c>
      <c r="I121" s="237">
        <f t="shared" si="47"/>
        <v>60832081.158769995</v>
      </c>
      <c r="J121" s="23">
        <f t="shared" si="48"/>
        <v>314.60000000000002</v>
      </c>
    </row>
    <row r="122" spans="1:10" ht="15.75" customHeight="1" x14ac:dyDescent="0.25">
      <c r="A122" s="21" t="s">
        <v>26</v>
      </c>
      <c r="B122" s="237">
        <f>'Fremtind Livsforsikring'!B122+'Danica Pensjonsforsikring'!B122+'DNB Livsforsikring'!B122+'Eika Forsikring AS'!B122+'Frende Livsforsikring'!B122+'Frende Skadeforsikring'!B122+'Gjensidige Forsikring'!B122+'Gjensidige Pensjon'!B122+'Handelsbanken Liv'!B122+'If Skadeforsikring NUF'!B122+KLP!B122+'DNB Bedriftspensjon'!B122+'KLP Skadeforsikring AS'!B122+'Landkreditt Forsikring'!B122+Insr!B122+'Nordea Liv '!B122+'Oslo Pensjonsforsikring'!B122+'Protector Forsikring'!B122+'SHB Liv'!B122+'Sparebank 1'!B122+'Storebrand Livsforsikring'!B122+'Telenor Forsikring'!B122+'Tryg Forsikring'!B122+'WaterCircle F'!B122+'Codan Forsikring'!B122+'Euro Accident'!B122</f>
        <v>167306.53184000001</v>
      </c>
      <c r="C122" s="237">
        <f>'Fremtind Livsforsikring'!C122+'Danica Pensjonsforsikring'!C122+'DNB Livsforsikring'!C122+'Eika Forsikring AS'!C122+'Frende Livsforsikring'!C122+'Frende Skadeforsikring'!C122+'Gjensidige Forsikring'!C122+'Gjensidige Pensjon'!C122+'Handelsbanken Liv'!C122+'If Skadeforsikring NUF'!C122+KLP!C122+'DNB Bedriftspensjon'!C122+'KLP Skadeforsikring AS'!C122+'Landkreditt Forsikring'!C122+Insr!C122+'Nordea Liv '!C122+'Oslo Pensjonsforsikring'!C122+'Protector Forsikring'!C122+'SHB Liv'!C122+'Sparebank 1'!C122+'Storebrand Livsforsikring'!C122+'Telenor Forsikring'!C122+'Tryg Forsikring'!C122+'WaterCircle F'!C122+'Codan Forsikring'!C122+'Euro Accident'!C122</f>
        <v>126384.63086</v>
      </c>
      <c r="D122" s="23">
        <f t="shared" si="45"/>
        <v>-24.5</v>
      </c>
      <c r="E122" s="44">
        <f>'Fremtind Livsforsikring'!F122+'Danica Pensjonsforsikring'!F122+'DNB Livsforsikring'!F122+'Eika Forsikring AS'!F122+'Frende Livsforsikring'!F122+'Frende Skadeforsikring'!F122+'Gjensidige Forsikring'!F122+'Gjensidige Pensjon'!F122+'Handelsbanken Liv'!F122+'If Skadeforsikring NUF'!F122+KLP!F122+'DNB Bedriftspensjon'!F122+'KLP Skadeforsikring AS'!F122+'Landkreditt Forsikring'!F122+Insr!F122+'Nordea Liv '!F122+'Oslo Pensjonsforsikring'!F122+'Protector Forsikring'!F122+'SHB Liv'!F122+'Sparebank 1'!F122+'Storebrand Livsforsikring'!F122+'Telenor Forsikring'!F122+'Tryg Forsikring'!F122+'WaterCircle F'!F122+'Codan Forsikring'!F122+'Euro Accident'!F122</f>
        <v>0</v>
      </c>
      <c r="F122" s="44">
        <f>'Fremtind Livsforsikring'!G122+'Danica Pensjonsforsikring'!G122+'DNB Livsforsikring'!G122+'Eika Forsikring AS'!G122+'Frende Livsforsikring'!G122+'Frende Skadeforsikring'!G122+'Gjensidige Forsikring'!G122+'Gjensidige Pensjon'!G122+'Handelsbanken Liv'!G122+'If Skadeforsikring NUF'!G122+KLP!G122+'DNB Bedriftspensjon'!G122+'KLP Skadeforsikring AS'!G122+'Landkreditt Forsikring'!G122+Insr!G122+'Nordea Liv '!G122+'Oslo Pensjonsforsikring'!G122+'Protector Forsikring'!G122+'SHB Liv'!G122+'Sparebank 1'!G122+'Storebrand Livsforsikring'!G122+'Telenor Forsikring'!G122+'Tryg Forsikring'!G122+'WaterCircle F'!G122+'Codan Forsikring'!G122+'Euro Accident'!G122</f>
        <v>0</v>
      </c>
      <c r="G122" s="166"/>
      <c r="H122" s="237">
        <f t="shared" si="46"/>
        <v>167306.53184000001</v>
      </c>
      <c r="I122" s="237">
        <f t="shared" si="47"/>
        <v>126384.63086</v>
      </c>
      <c r="J122" s="23">
        <f t="shared" si="48"/>
        <v>-24.5</v>
      </c>
    </row>
    <row r="123" spans="1:10" ht="15.75" customHeight="1" x14ac:dyDescent="0.25">
      <c r="A123" s="298" t="s">
        <v>14</v>
      </c>
      <c r="B123" s="44">
        <f>'Fremtind Livsforsikring'!B123+'Danica Pensjonsforsikring'!B123+'DNB Livsforsikring'!B123+'Eika Forsikring AS'!B123+'Frende Livsforsikring'!B123+'Frende Skadeforsikring'!B123+'Gjensidige Forsikring'!B123+'Gjensidige Pensjon'!B123+'Handelsbanken Liv'!B123+'If Skadeforsikring NUF'!B123+KLP!B123+'DNB Bedriftspensjon'!B123+'KLP Skadeforsikring AS'!B123+'Landkreditt Forsikring'!B123+Insr!B123+'Nordea Liv '!B123+'Oslo Pensjonsforsikring'!B123+'Protector Forsikring'!B123+'SHB Liv'!B123+'Sparebank 1'!B123+'Storebrand Livsforsikring'!B123+'Telenor Forsikring'!B123+'Tryg Forsikring'!B123+'WaterCircle F'!B123+'Codan Forsikring'!B123+'Euro Accident'!B123</f>
        <v>0</v>
      </c>
      <c r="C123" s="44">
        <f>'Fremtind Livsforsikring'!C123+'Danica Pensjonsforsikring'!C123+'DNB Livsforsikring'!C123+'Eika Forsikring AS'!C123+'Frende Livsforsikring'!C123+'Frende Skadeforsikring'!C123+'Gjensidige Forsikring'!C123+'Gjensidige Pensjon'!C123+'Handelsbanken Liv'!C123+'If Skadeforsikring NUF'!C123+KLP!C123+'DNB Bedriftspensjon'!C123+'KLP Skadeforsikring AS'!C123+'Landkreditt Forsikring'!C123+Insr!C123+'Nordea Liv '!C123+'Oslo Pensjonsforsikring'!C123+'Protector Forsikring'!C123+'SHB Liv'!C123+'Sparebank 1'!C123+'Storebrand Livsforsikring'!C123+'Telenor Forsikring'!C123+'Tryg Forsikring'!C123+'WaterCircle F'!C123+'Codan Forsikring'!C123+'Euro Accident'!C123</f>
        <v>0</v>
      </c>
      <c r="D123" s="27"/>
      <c r="E123" s="44">
        <f>'Fremtind Livsforsikring'!F123+'Danica Pensjonsforsikring'!F123+'DNB Livsforsikring'!F123+'Eika Forsikring AS'!F123+'Frende Livsforsikring'!F123+'Frende Skadeforsikring'!F123+'Gjensidige Forsikring'!F123+'Gjensidige Pensjon'!F123+'Handelsbanken Liv'!F123+'If Skadeforsikring NUF'!F123+KLP!F123+'DNB Bedriftspensjon'!F123+'KLP Skadeforsikring AS'!F123+'Landkreditt Forsikring'!F123+Insr!F123+'Nordea Liv '!F123+'Oslo Pensjonsforsikring'!F123+'Protector Forsikring'!F123+'SHB Liv'!F123+'Sparebank 1'!F123+'Storebrand Livsforsikring'!F123+'Telenor Forsikring'!F123+'Tryg Forsikring'!F123+'WaterCircle F'!F123+'Codan Forsikring'!F123+'Euro Accident'!F123</f>
        <v>0</v>
      </c>
      <c r="F123" s="44">
        <f>'Fremtind Livsforsikring'!G123+'Danica Pensjonsforsikring'!G123+'DNB Livsforsikring'!G123+'Eika Forsikring AS'!G123+'Frende Livsforsikring'!G123+'Frende Skadeforsikring'!G123+'Gjensidige Forsikring'!G123+'Gjensidige Pensjon'!G123+'Handelsbanken Liv'!G123+'If Skadeforsikring NUF'!G123+KLP!G123+'DNB Bedriftspensjon'!G123+'KLP Skadeforsikring AS'!G123+'Landkreditt Forsikring'!G123+Insr!G123+'Nordea Liv '!G123+'Oslo Pensjonsforsikring'!G123+'Protector Forsikring'!G123+'SHB Liv'!G123+'Sparebank 1'!G123+'Storebrand Livsforsikring'!G123+'Telenor Forsikring'!G123+'Tryg Forsikring'!G123+'WaterCircle F'!G123+'Codan Forsikring'!G123+'Euro Accident'!G123</f>
        <v>0</v>
      </c>
      <c r="G123" s="166"/>
      <c r="H123" s="237">
        <f t="shared" si="46"/>
        <v>0</v>
      </c>
      <c r="I123" s="237">
        <f t="shared" si="47"/>
        <v>0</v>
      </c>
      <c r="J123" s="23"/>
    </row>
    <row r="124" spans="1:10" ht="15.75" customHeight="1" x14ac:dyDescent="0.3">
      <c r="A124" s="21" t="s">
        <v>382</v>
      </c>
      <c r="B124" s="237">
        <f>'Fremtind Livsforsikring'!B124+'Danica Pensjonsforsikring'!B124+'DNB Livsforsikring'!B124+'Eika Forsikring AS'!B124+'Frende Livsforsikring'!B124+'Frende Skadeforsikring'!B124+'Gjensidige Forsikring'!B124+'Gjensidige Pensjon'!B124+'Handelsbanken Liv'!B124+'If Skadeforsikring NUF'!B124+KLP!B124+'DNB Bedriftspensjon'!B124+'KLP Skadeforsikring AS'!B124+'Landkreditt Forsikring'!B124+Insr!B124+'Nordea Liv '!B124+'Oslo Pensjonsforsikring'!B124+'Protector Forsikring'!B124+'SHB Liv'!B124+'Sparebank 1'!B124+'Storebrand Livsforsikring'!B124+'Telenor Forsikring'!B124+'Tryg Forsikring'!B124+'WaterCircle F'!B124+'Codan Forsikring'!B124+'Euro Accident'!B124</f>
        <v>47134.245999999999</v>
      </c>
      <c r="C124" s="237">
        <f>'Fremtind Livsforsikring'!C124+'Danica Pensjonsforsikring'!C124+'DNB Livsforsikring'!C124+'Eika Forsikring AS'!C124+'Frende Livsforsikring'!C124+'Frende Skadeforsikring'!C124+'Gjensidige Forsikring'!C124+'Gjensidige Pensjon'!C124+'Handelsbanken Liv'!C124+'If Skadeforsikring NUF'!C124+KLP!C124+'DNB Bedriftspensjon'!C124+'KLP Skadeforsikring AS'!C124+'Landkreditt Forsikring'!C124+Insr!C124+'Nordea Liv '!C124+'Oslo Pensjonsforsikring'!C124+'Protector Forsikring'!C124+'SHB Liv'!C124+'Sparebank 1'!C124+'Storebrand Livsforsikring'!C124+'Telenor Forsikring'!C124+'Tryg Forsikring'!C124+'WaterCircle F'!C124+'Codan Forsikring'!C124+'Euro Accident'!C124</f>
        <v>25438.027999999998</v>
      </c>
      <c r="D124" s="23">
        <f t="shared" si="45"/>
        <v>-46</v>
      </c>
      <c r="E124" s="44">
        <f>'Fremtind Livsforsikring'!F124+'Danica Pensjonsforsikring'!F124+'DNB Livsforsikring'!F124+'Eika Forsikring AS'!F124+'Frende Livsforsikring'!F124+'Frende Skadeforsikring'!F124+'Gjensidige Forsikring'!F124+'Gjensidige Pensjon'!F124+'Handelsbanken Liv'!F124+'If Skadeforsikring NUF'!F124+KLP!F124+'DNB Bedriftspensjon'!F124+'KLP Skadeforsikring AS'!F124+'Landkreditt Forsikring'!F124+Insr!F124+'Nordea Liv '!F124+'Oslo Pensjonsforsikring'!F124+'Protector Forsikring'!F124+'SHB Liv'!F124+'Sparebank 1'!F124+'Storebrand Livsforsikring'!F124+'Telenor Forsikring'!F124+'Tryg Forsikring'!F124+'WaterCircle F'!F124+'Codan Forsikring'!F124+'Euro Accident'!F124</f>
        <v>18657.546999999999</v>
      </c>
      <c r="F124" s="44">
        <f>'Fremtind Livsforsikring'!G124+'Danica Pensjonsforsikring'!G124+'DNB Livsforsikring'!G124+'Eika Forsikring AS'!G124+'Frende Livsforsikring'!G124+'Frende Skadeforsikring'!G124+'Gjensidige Forsikring'!G124+'Gjensidige Pensjon'!G124+'Handelsbanken Liv'!G124+'If Skadeforsikring NUF'!G124+KLP!G124+'DNB Bedriftspensjon'!G124+'KLP Skadeforsikring AS'!G124+'Landkreditt Forsikring'!G124+Insr!G124+'Nordea Liv '!G124+'Oslo Pensjonsforsikring'!G124+'Protector Forsikring'!G124+'SHB Liv'!G124+'Sparebank 1'!G124+'Storebrand Livsforsikring'!G124+'Telenor Forsikring'!G124+'Tryg Forsikring'!G124+'WaterCircle F'!G124+'Codan Forsikring'!G124+'Euro Accident'!G124</f>
        <v>42123.902000000002</v>
      </c>
      <c r="G124" s="241">
        <f t="shared" ref="G124:G125" si="49">IF(E124=0, "    ---- ", IF(ABS(ROUND(100/E124*F124-100,1))&lt;999,ROUND(100/E124*F124-100,1),IF(ROUND(100/E124*F124-100,1)&gt;999,999,-999)))</f>
        <v>125.8</v>
      </c>
      <c r="H124" s="237">
        <f t="shared" si="46"/>
        <v>65791.793000000005</v>
      </c>
      <c r="I124" s="237">
        <f t="shared" si="47"/>
        <v>67561.929999999993</v>
      </c>
      <c r="J124" s="23">
        <f t="shared" si="48"/>
        <v>2.7</v>
      </c>
    </row>
    <row r="125" spans="1:10" ht="15.75" customHeight="1" x14ac:dyDescent="0.3">
      <c r="A125" s="21" t="s">
        <v>383</v>
      </c>
      <c r="B125" s="237">
        <f>'Fremtind Livsforsikring'!B125+'Danica Pensjonsforsikring'!B125+'DNB Livsforsikring'!B125+'Eika Forsikring AS'!B125+'Frende Livsforsikring'!B125+'Frende Skadeforsikring'!B125+'Gjensidige Forsikring'!B125+'Gjensidige Pensjon'!B125+'Handelsbanken Liv'!B125+'If Skadeforsikring NUF'!B125+KLP!B125+'DNB Bedriftspensjon'!B125+'KLP Skadeforsikring AS'!B125+'Landkreditt Forsikring'!B125+Insr!B125+'Nordea Liv '!B125+'Oslo Pensjonsforsikring'!B125+'Protector Forsikring'!B125+'SHB Liv'!B125+'Sparebank 1'!B125+'Storebrand Livsforsikring'!B125+'Telenor Forsikring'!B125+'Tryg Forsikring'!B125+'WaterCircle F'!B125+'Codan Forsikring'!B125+'Euro Accident'!B125</f>
        <v>1367.04628</v>
      </c>
      <c r="C125" s="237">
        <f>'Fremtind Livsforsikring'!C125+'Danica Pensjonsforsikring'!C125+'DNB Livsforsikring'!C125+'Eika Forsikring AS'!C125+'Frende Livsforsikring'!C125+'Frende Skadeforsikring'!C125+'Gjensidige Forsikring'!C125+'Gjensidige Pensjon'!C125+'Handelsbanken Liv'!C125+'If Skadeforsikring NUF'!C125+KLP!C125+'DNB Bedriftspensjon'!C125+'KLP Skadeforsikring AS'!C125+'Landkreditt Forsikring'!C125+Insr!C125+'Nordea Liv '!C125+'Oslo Pensjonsforsikring'!C125+'Protector Forsikring'!C125+'SHB Liv'!C125+'Sparebank 1'!C125+'Storebrand Livsforsikring'!C125+'Telenor Forsikring'!C125+'Tryg Forsikring'!C125+'WaterCircle F'!C125+'Codan Forsikring'!C125+'Euro Accident'!C125</f>
        <v>2218.2343900000001</v>
      </c>
      <c r="D125" s="23">
        <f t="shared" si="45"/>
        <v>62.3</v>
      </c>
      <c r="E125" s="44">
        <f>'Fremtind Livsforsikring'!F125+'Danica Pensjonsforsikring'!F125+'DNB Livsforsikring'!F125+'Eika Forsikring AS'!F125+'Frende Livsforsikring'!F125+'Frende Skadeforsikring'!F125+'Gjensidige Forsikring'!F125+'Gjensidige Pensjon'!F125+'Handelsbanken Liv'!F125+'If Skadeforsikring NUF'!F125+KLP!F125+'DNB Bedriftspensjon'!F125+'KLP Skadeforsikring AS'!F125+'Landkreditt Forsikring'!F125+Insr!F125+'Nordea Liv '!F125+'Oslo Pensjonsforsikring'!F125+'Protector Forsikring'!F125+'SHB Liv'!F125+'Sparebank 1'!F125+'Storebrand Livsforsikring'!F125+'Telenor Forsikring'!F125+'Tryg Forsikring'!F125+'WaterCircle F'!F125+'Codan Forsikring'!F125+'Euro Accident'!F125</f>
        <v>2621068.21062</v>
      </c>
      <c r="F125" s="44">
        <f>'Fremtind Livsforsikring'!G125+'Danica Pensjonsforsikring'!G125+'DNB Livsforsikring'!G125+'Eika Forsikring AS'!G125+'Frende Livsforsikring'!G125+'Frende Skadeforsikring'!G125+'Gjensidige Forsikring'!G125+'Gjensidige Pensjon'!G125+'Handelsbanken Liv'!G125+'If Skadeforsikring NUF'!G125+KLP!G125+'DNB Bedriftspensjon'!G125+'KLP Skadeforsikring AS'!G125+'Landkreditt Forsikring'!G125+Insr!G125+'Nordea Liv '!G125+'Oslo Pensjonsforsikring'!G125+'Protector Forsikring'!G125+'SHB Liv'!G125+'Sparebank 1'!G125+'Storebrand Livsforsikring'!G125+'Telenor Forsikring'!G125+'Tryg Forsikring'!G125+'WaterCircle F'!G125+'Codan Forsikring'!G125+'Euro Accident'!G125</f>
        <v>23605981.111050002</v>
      </c>
      <c r="G125" s="241">
        <f t="shared" si="49"/>
        <v>800.6</v>
      </c>
      <c r="H125" s="237">
        <f t="shared" si="46"/>
        <v>2622435.2568999999</v>
      </c>
      <c r="I125" s="237">
        <f t="shared" si="47"/>
        <v>23608199.345440004</v>
      </c>
      <c r="J125" s="23">
        <f t="shared" si="48"/>
        <v>800.2</v>
      </c>
    </row>
    <row r="126" spans="1:10" ht="15.75" customHeight="1" x14ac:dyDescent="0.25">
      <c r="A126" s="10" t="s">
        <v>384</v>
      </c>
      <c r="B126" s="238">
        <f>'Fremtind Livsforsikring'!B126+'Danica Pensjonsforsikring'!B126+'DNB Livsforsikring'!B126+'Eika Forsikring AS'!B126+'Frende Livsforsikring'!B126+'Frende Skadeforsikring'!B126+'Gjensidige Forsikring'!B126+'Gjensidige Pensjon'!B126+'Handelsbanken Liv'!B126+'If Skadeforsikring NUF'!B126+KLP!B126+'DNB Bedriftspensjon'!B126+'KLP Skadeforsikring AS'!B126+'Landkreditt Forsikring'!B126+Insr!B126+'Nordea Liv '!B126+'Oslo Pensjonsforsikring'!B126+'Protector Forsikring'!B126+'SHB Liv'!B126+'Sparebank 1'!B126+'Storebrand Livsforsikring'!B126+'Telenor Forsikring'!B126+'Tryg Forsikring'!B126+'WaterCircle F'!B126+'Codan Forsikring'!B126+'Euro Accident'!B126</f>
        <v>0</v>
      </c>
      <c r="C126" s="239">
        <f>'Fremtind Livsforsikring'!C126+'Danica Pensjonsforsikring'!C126+'DNB Livsforsikring'!C126+'Eika Forsikring AS'!C126+'Frende Livsforsikring'!C126+'Frende Skadeforsikring'!C126+'Gjensidige Forsikring'!C126+'Gjensidige Pensjon'!C126+'Handelsbanken Liv'!C126+'If Skadeforsikring NUF'!C126+KLP!C126+'DNB Bedriftspensjon'!C126+'KLP Skadeforsikring AS'!C126+'Landkreditt Forsikring'!C126+Insr!C126+'Nordea Liv '!C126+'Oslo Pensjonsforsikring'!C126+'Protector Forsikring'!C126+'SHB Liv'!C126+'Sparebank 1'!C126+'Storebrand Livsforsikring'!C126+'Telenor Forsikring'!C126+'Tryg Forsikring'!C126+'WaterCircle F'!C126+'Codan Forsikring'!C126+'Euro Accident'!C126</f>
        <v>0</v>
      </c>
      <c r="D126" s="22"/>
      <c r="E126" s="45">
        <f>'Fremtind Livsforsikring'!F126+'Danica Pensjonsforsikring'!F126+'DNB Livsforsikring'!F126+'Eika Forsikring AS'!F126+'Frende Livsforsikring'!F126+'Frende Skadeforsikring'!F126+'Gjensidige Forsikring'!F126+'Gjensidige Pensjon'!F126+'Handelsbanken Liv'!F126+'If Skadeforsikring NUF'!F126+KLP!F126+'DNB Bedriftspensjon'!F126+'KLP Skadeforsikring AS'!F126+'Landkreditt Forsikring'!F126+Insr!F126+'Nordea Liv '!F126+'Oslo Pensjonsforsikring'!F126+'Protector Forsikring'!F126+'SHB Liv'!F126+'Sparebank 1'!F126+'Storebrand Livsforsikring'!F126+'Telenor Forsikring'!F126+'Tryg Forsikring'!F126+'WaterCircle F'!F126+'Codan Forsikring'!F126+'Euro Accident'!F126</f>
        <v>0</v>
      </c>
      <c r="F126" s="45">
        <f>'Fremtind Livsforsikring'!G126+'Danica Pensjonsforsikring'!G126+'DNB Livsforsikring'!G126+'Eika Forsikring AS'!G126+'Frende Livsforsikring'!G126+'Frende Skadeforsikring'!G126+'Gjensidige Forsikring'!G126+'Gjensidige Pensjon'!G126+'Handelsbanken Liv'!G126+'If Skadeforsikring NUF'!G126+KLP!G126+'DNB Bedriftspensjon'!G126+'KLP Skadeforsikring AS'!G126+'Landkreditt Forsikring'!G126+Insr!G126+'Nordea Liv '!G126+'Oslo Pensjonsforsikring'!G126+'Protector Forsikring'!G126+'SHB Liv'!G126+'Sparebank 1'!G126+'Storebrand Livsforsikring'!G126+'Telenor Forsikring'!G126+'Tryg Forsikring'!G126+'WaterCircle F'!G126+'Codan Forsikring'!G126+'Euro Accident'!G126</f>
        <v>0</v>
      </c>
      <c r="G126" s="167"/>
      <c r="H126" s="238">
        <f t="shared" si="46"/>
        <v>0</v>
      </c>
      <c r="I126" s="239">
        <f t="shared" si="47"/>
        <v>0</v>
      </c>
      <c r="J126" s="22"/>
    </row>
    <row r="127" spans="1:10" ht="15.75" customHeight="1" x14ac:dyDescent="0.25">
      <c r="A127" s="155"/>
    </row>
    <row r="128" spans="1:10" ht="15.75" customHeight="1" x14ac:dyDescent="0.25">
      <c r="A128" s="149"/>
    </row>
    <row r="129" spans="1:10" ht="15.75" customHeight="1" x14ac:dyDescent="0.3">
      <c r="A129" s="165" t="s">
        <v>27</v>
      </c>
    </row>
    <row r="130" spans="1:10" ht="15.75" customHeight="1" x14ac:dyDescent="0.3">
      <c r="A130" s="149"/>
      <c r="B130" s="721"/>
      <c r="C130" s="721"/>
      <c r="D130" s="721"/>
      <c r="E130" s="721"/>
      <c r="F130" s="721"/>
      <c r="G130" s="721"/>
      <c r="H130" s="721"/>
      <c r="I130" s="721"/>
      <c r="J130" s="721"/>
    </row>
    <row r="131" spans="1:10" s="3" customFormat="1" ht="20.100000000000001" customHeight="1" x14ac:dyDescent="0.25">
      <c r="A131" s="144"/>
      <c r="B131" s="718" t="s">
        <v>0</v>
      </c>
      <c r="C131" s="719"/>
      <c r="D131" s="720"/>
      <c r="E131" s="719" t="s">
        <v>1</v>
      </c>
      <c r="F131" s="719"/>
      <c r="G131" s="719"/>
      <c r="H131" s="718" t="s">
        <v>2</v>
      </c>
      <c r="I131" s="719"/>
      <c r="J131" s="720"/>
    </row>
    <row r="132" spans="1:10" s="3" customFormat="1" ht="15.75" customHeight="1" x14ac:dyDescent="0.25">
      <c r="A132" s="140"/>
      <c r="B132" s="253" t="s">
        <v>435</v>
      </c>
      <c r="C132" s="253" t="s">
        <v>436</v>
      </c>
      <c r="D132" s="19" t="s">
        <v>3</v>
      </c>
      <c r="E132" s="253" t="s">
        <v>435</v>
      </c>
      <c r="F132" s="253" t="s">
        <v>436</v>
      </c>
      <c r="G132" s="19" t="s">
        <v>3</v>
      </c>
      <c r="H132" s="253" t="s">
        <v>435</v>
      </c>
      <c r="I132" s="253" t="s">
        <v>436</v>
      </c>
      <c r="J132" s="19" t="s">
        <v>3</v>
      </c>
    </row>
    <row r="133" spans="1:10" s="3" customFormat="1" ht="15.75" customHeight="1" x14ac:dyDescent="0.25">
      <c r="A133" s="698"/>
      <c r="B133" s="15"/>
      <c r="C133" s="15"/>
      <c r="D133" s="17" t="s">
        <v>4</v>
      </c>
      <c r="E133" s="16"/>
      <c r="F133" s="16"/>
      <c r="G133" s="15" t="s">
        <v>4</v>
      </c>
      <c r="H133" s="16"/>
      <c r="I133" s="16"/>
      <c r="J133" s="15" t="s">
        <v>4</v>
      </c>
    </row>
    <row r="134" spans="1:10" s="418" customFormat="1" ht="15.75" customHeight="1" x14ac:dyDescent="0.25">
      <c r="A134" s="14" t="s">
        <v>387</v>
      </c>
      <c r="B134" s="236">
        <f>'Fremtind Livsforsikring'!B134+'Danica Pensjonsforsikring'!B134+'DNB Livsforsikring'!B134+'Eika Forsikring AS'!B134+'Frende Livsforsikring'!B134+'Frende Skadeforsikring'!B134+'Gjensidige Forsikring'!B134+'Gjensidige Pensjon'!B134+'Handelsbanken Liv'!B134+'If Skadeforsikring NUF'!B134+KLP!B134+'DNB Bedriftspensjon'!B134+'KLP Skadeforsikring AS'!B134+'Landkreditt Forsikring'!B134+Insr!B134+'Nordea Liv '!B134+'Oslo Pensjonsforsikring'!B134+'Protector Forsikring'!B134+'SHB Liv'!B134+'Sparebank 1'!B134+'Storebrand Livsforsikring'!B134+'Telenor Forsikring'!B134+'Tryg Forsikring'!B134+'WaterCircle F'!B134+'Codan Forsikring'!B134+'Euro Accident'!B134</f>
        <v>28836361.399250001</v>
      </c>
      <c r="C134" s="236">
        <f>'Fremtind Livsforsikring'!C134+'Danica Pensjonsforsikring'!C134+'DNB Livsforsikring'!C134+'Eika Forsikring AS'!C134+'Frende Livsforsikring'!C134+'Frende Skadeforsikring'!C134+'Gjensidige Forsikring'!C134+'Gjensidige Pensjon'!C134+'Handelsbanken Liv'!C134+'If Skadeforsikring NUF'!C134+KLP!C134+'DNB Bedriftspensjon'!C134+'KLP Skadeforsikring AS'!C134+'Landkreditt Forsikring'!C134+Insr!C134+'Nordea Liv '!C134+'Oslo Pensjonsforsikring'!C134+'Protector Forsikring'!C134+'SHB Liv'!C134+'Sparebank 1'!C134+'Storebrand Livsforsikring'!C134+'Telenor Forsikring'!C134+'Tryg Forsikring'!C134+'WaterCircle F'!C134+'Codan Forsikring'!C134+'Euro Accident'!C134</f>
        <v>47741240.697339997</v>
      </c>
      <c r="D134" s="11">
        <f t="shared" ref="D134:D137" si="50">IF(B134=0, "    ---- ", IF(ABS(ROUND(100/B134*C134-100,1))&lt;999,ROUND(100/B134*C134-100,1),IF(ROUND(100/B134*C134-100,1)&gt;999,999,-999)))</f>
        <v>65.599999999999994</v>
      </c>
      <c r="E134" s="236">
        <f>'Fremtind Livsforsikring'!F134+'Danica Pensjonsforsikring'!F134+'DNB Livsforsikring'!F134+'Eika Forsikring AS'!F134+'Frende Livsforsikring'!F134+'Frende Skadeforsikring'!F134+'Gjensidige Forsikring'!F134+'Gjensidige Pensjon'!F134+'Handelsbanken Liv'!F134+'If Skadeforsikring NUF'!F134+KLP!F134+'DNB Bedriftspensjon'!F134+'KLP Skadeforsikring AS'!F134+'Landkreditt Forsikring'!F134+Insr!F134+'Nordea Liv '!F134+'Oslo Pensjonsforsikring'!F134+'Protector Forsikring'!F134+'SHB Liv'!F134+'Sparebank 1'!F134+'Storebrand Livsforsikring'!F134+'Telenor Forsikring'!F134+'Tryg Forsikring'!F134+'WaterCircle F'!F134+'Codan Forsikring'!F134+'Euro Accident'!F134</f>
        <v>63880.035000000003</v>
      </c>
      <c r="F134" s="236">
        <f>'Fremtind Livsforsikring'!G134+'Danica Pensjonsforsikring'!G134+'DNB Livsforsikring'!G134+'Eika Forsikring AS'!G134+'Frende Livsforsikring'!G134+'Frende Skadeforsikring'!G134+'Gjensidige Forsikring'!G134+'Gjensidige Pensjon'!G134+'Handelsbanken Liv'!G134+'If Skadeforsikring NUF'!G134+KLP!G134+'DNB Bedriftspensjon'!G134+'KLP Skadeforsikring AS'!G134+'Landkreditt Forsikring'!G134+Insr!G134+'Nordea Liv '!G134+'Oslo Pensjonsforsikring'!G134+'Protector Forsikring'!G134+'SHB Liv'!G134+'Sparebank 1'!G134+'Storebrand Livsforsikring'!G134+'Telenor Forsikring'!G134+'Tryg Forsikring'!G134+'WaterCircle F'!G134+'Codan Forsikring'!G134+'Euro Accident'!G134</f>
        <v>116273.039</v>
      </c>
      <c r="G134" s="11">
        <f t="shared" ref="G134:G136" si="51">IF(E134=0, "    ---- ", IF(ABS(ROUND(100/E134*F134-100,1))&lt;999,ROUND(100/E134*F134-100,1),IF(ROUND(100/E134*F134-100,1)&gt;999,999,-999)))</f>
        <v>82</v>
      </c>
      <c r="H134" s="236">
        <f t="shared" ref="H134:I137" si="52">SUM(B134,E134)</f>
        <v>28900241.434250001</v>
      </c>
      <c r="I134" s="236">
        <f t="shared" si="52"/>
        <v>47857513.736339994</v>
      </c>
      <c r="J134" s="11">
        <f t="shared" ref="J134:J137" si="53">IF(H134=0, "    ---- ", IF(ABS(ROUND(100/H134*I134-100,1))&lt;999,ROUND(100/H134*I134-100,1),IF(ROUND(100/H134*I134-100,1)&gt;999,999,-999)))</f>
        <v>65.599999999999994</v>
      </c>
    </row>
    <row r="135" spans="1:10" s="418" customFormat="1" ht="15.75" customHeight="1" x14ac:dyDescent="0.25">
      <c r="A135" s="13" t="s">
        <v>388</v>
      </c>
      <c r="B135" s="236">
        <f>'Fremtind Livsforsikring'!B135+'Danica Pensjonsforsikring'!B135+'DNB Livsforsikring'!B135+'Eika Forsikring AS'!B135+'Frende Livsforsikring'!B135+'Frende Skadeforsikring'!B135+'Gjensidige Forsikring'!B135+'Gjensidige Pensjon'!B135+'Handelsbanken Liv'!B135+'If Skadeforsikring NUF'!B135+KLP!B135+'DNB Bedriftspensjon'!B135+'KLP Skadeforsikring AS'!B135+'Landkreditt Forsikring'!B135+Insr!B135+'Nordea Liv '!B135+'Oslo Pensjonsforsikring'!B135+'Protector Forsikring'!B135+'SHB Liv'!B135+'Sparebank 1'!B135+'Storebrand Livsforsikring'!B135+'Telenor Forsikring'!B135+'Tryg Forsikring'!B135+'WaterCircle F'!B135+'Codan Forsikring'!B135+'Euro Accident'!B135</f>
        <v>609403402.69496012</v>
      </c>
      <c r="C135" s="236">
        <f>'Fremtind Livsforsikring'!C135+'Danica Pensjonsforsikring'!C135+'DNB Livsforsikring'!C135+'Eika Forsikring AS'!C135+'Frende Livsforsikring'!C135+'Frende Skadeforsikring'!C135+'Gjensidige Forsikring'!C135+'Gjensidige Pensjon'!C135+'Handelsbanken Liv'!C135+'If Skadeforsikring NUF'!C135+KLP!C135+'DNB Bedriftspensjon'!C135+'KLP Skadeforsikring AS'!C135+'Landkreditt Forsikring'!C135+Insr!C135+'Nordea Liv '!C135+'Oslo Pensjonsforsikring'!C135+'Protector Forsikring'!C135+'SHB Liv'!C135+'Sparebank 1'!C135+'Storebrand Livsforsikring'!C135+'Telenor Forsikring'!C135+'Tryg Forsikring'!C135+'WaterCircle F'!C135+'Codan Forsikring'!C135+'Euro Accident'!C135</f>
        <v>665071384.51682997</v>
      </c>
      <c r="D135" s="11">
        <f t="shared" si="50"/>
        <v>9.1</v>
      </c>
      <c r="E135" s="236">
        <f>'Fremtind Livsforsikring'!F135+'Danica Pensjonsforsikring'!F135+'DNB Livsforsikring'!F135+'Eika Forsikring AS'!F135+'Frende Livsforsikring'!F135+'Frende Skadeforsikring'!F135+'Gjensidige Forsikring'!F135+'Gjensidige Pensjon'!F135+'Handelsbanken Liv'!F135+'If Skadeforsikring NUF'!F135+KLP!F135+'DNB Bedriftspensjon'!F135+'KLP Skadeforsikring AS'!F135+'Landkreditt Forsikring'!F135+Insr!F135+'Nordea Liv '!F135+'Oslo Pensjonsforsikring'!F135+'Protector Forsikring'!F135+'SHB Liv'!F135+'Sparebank 1'!F135+'Storebrand Livsforsikring'!F135+'Telenor Forsikring'!F135+'Tryg Forsikring'!F135+'WaterCircle F'!F135+'Codan Forsikring'!F135+'Euro Accident'!F135</f>
        <v>1974716.5681499999</v>
      </c>
      <c r="F135" s="236">
        <f>'Fremtind Livsforsikring'!G135+'Danica Pensjonsforsikring'!G135+'DNB Livsforsikring'!G135+'Eika Forsikring AS'!G135+'Frende Livsforsikring'!G135+'Frende Skadeforsikring'!G135+'Gjensidige Forsikring'!G135+'Gjensidige Pensjon'!G135+'Handelsbanken Liv'!G135+'If Skadeforsikring NUF'!G135+KLP!G135+'DNB Bedriftspensjon'!G135+'KLP Skadeforsikring AS'!G135+'Landkreditt Forsikring'!G135+Insr!G135+'Nordea Liv '!G135+'Oslo Pensjonsforsikring'!G135+'Protector Forsikring'!G135+'SHB Liv'!G135+'Sparebank 1'!G135+'Storebrand Livsforsikring'!G135+'Telenor Forsikring'!G135+'Tryg Forsikring'!G135+'WaterCircle F'!G135+'Codan Forsikring'!G135+'Euro Accident'!G135</f>
        <v>2172918.8607600001</v>
      </c>
      <c r="G135" s="11">
        <f t="shared" si="51"/>
        <v>10</v>
      </c>
      <c r="H135" s="236">
        <f t="shared" si="52"/>
        <v>611378119.26311016</v>
      </c>
      <c r="I135" s="236">
        <f t="shared" si="52"/>
        <v>667244303.37758994</v>
      </c>
      <c r="J135" s="11">
        <f t="shared" si="53"/>
        <v>9.1</v>
      </c>
    </row>
    <row r="136" spans="1:10" s="418" customFormat="1" ht="15.75" customHeight="1" x14ac:dyDescent="0.25">
      <c r="A136" s="13" t="s">
        <v>389</v>
      </c>
      <c r="B136" s="236">
        <f>'Fremtind Livsforsikring'!B136+'Danica Pensjonsforsikring'!B136+'DNB Livsforsikring'!B136+'Eika Forsikring AS'!B136+'Frende Livsforsikring'!B136+'Frende Skadeforsikring'!B136+'Gjensidige Forsikring'!B136+'Gjensidige Pensjon'!B136+'Handelsbanken Liv'!B136+'If Skadeforsikring NUF'!B136+KLP!B136+'DNB Bedriftspensjon'!B136+'KLP Skadeforsikring AS'!B136+'Landkreditt Forsikring'!B136+Insr!B136+'Nordea Liv '!B136+'Oslo Pensjonsforsikring'!B136+'Protector Forsikring'!B136+'SHB Liv'!B136+'Sparebank 1'!B136+'Storebrand Livsforsikring'!B136+'Telenor Forsikring'!B136+'Tryg Forsikring'!B136+'WaterCircle F'!B136+'Codan Forsikring'!B136+'Euro Accident'!B136</f>
        <v>3309007.423</v>
      </c>
      <c r="C136" s="236">
        <f>'Fremtind Livsforsikring'!C136+'Danica Pensjonsforsikring'!C136+'DNB Livsforsikring'!C136+'Eika Forsikring AS'!C136+'Frende Livsforsikring'!C136+'Frende Skadeforsikring'!C136+'Gjensidige Forsikring'!C136+'Gjensidige Pensjon'!C136+'Handelsbanken Liv'!C136+'If Skadeforsikring NUF'!C136+KLP!C136+'DNB Bedriftspensjon'!C136+'KLP Skadeforsikring AS'!C136+'Landkreditt Forsikring'!C136+Insr!C136+'Nordea Liv '!C136+'Oslo Pensjonsforsikring'!C136+'Protector Forsikring'!C136+'SHB Liv'!C136+'Sparebank 1'!C136+'Storebrand Livsforsikring'!C136+'Telenor Forsikring'!C136+'Tryg Forsikring'!C136+'WaterCircle F'!C136+'Codan Forsikring'!C136+'Euro Accident'!C136</f>
        <v>6400360.4139999999</v>
      </c>
      <c r="D136" s="11">
        <f t="shared" si="50"/>
        <v>93.4</v>
      </c>
      <c r="E136" s="236">
        <f>'Fremtind Livsforsikring'!F136+'Danica Pensjonsforsikring'!F136+'DNB Livsforsikring'!F136+'Eika Forsikring AS'!F136+'Frende Livsforsikring'!F136+'Frende Skadeforsikring'!F136+'Gjensidige Forsikring'!F136+'Gjensidige Pensjon'!F136+'Handelsbanken Liv'!F136+'If Skadeforsikring NUF'!F136+KLP!F136+'DNB Bedriftspensjon'!F136+'KLP Skadeforsikring AS'!F136+'Landkreditt Forsikring'!F136+Insr!F136+'Nordea Liv '!F136+'Oslo Pensjonsforsikring'!F136+'Protector Forsikring'!F136+'SHB Liv'!F136+'Sparebank 1'!F136+'Storebrand Livsforsikring'!F136+'Telenor Forsikring'!F136+'Tryg Forsikring'!F136+'WaterCircle F'!F136+'Codan Forsikring'!F136+'Euro Accident'!F136</f>
        <v>-462823.85</v>
      </c>
      <c r="F136" s="236">
        <f>'Fremtind Livsforsikring'!G136+'Danica Pensjonsforsikring'!G136+'DNB Livsforsikring'!G136+'Eika Forsikring AS'!G136+'Frende Livsforsikring'!G136+'Frende Skadeforsikring'!G136+'Gjensidige Forsikring'!G136+'Gjensidige Pensjon'!G136+'Handelsbanken Liv'!G136+'If Skadeforsikring NUF'!G136+KLP!G136+'DNB Bedriftspensjon'!G136+'KLP Skadeforsikring AS'!G136+'Landkreditt Forsikring'!G136+Insr!G136+'Nordea Liv '!G136+'Oslo Pensjonsforsikring'!G136+'Protector Forsikring'!G136+'SHB Liv'!G136+'Sparebank 1'!G136+'Storebrand Livsforsikring'!G136+'Telenor Forsikring'!G136+'Tryg Forsikring'!G136+'WaterCircle F'!G136+'Codan Forsikring'!G136+'Euro Accident'!G136</f>
        <v>0</v>
      </c>
      <c r="G136" s="11">
        <f t="shared" si="51"/>
        <v>-100</v>
      </c>
      <c r="H136" s="236">
        <f t="shared" si="52"/>
        <v>2846183.5729999999</v>
      </c>
      <c r="I136" s="236">
        <f t="shared" si="52"/>
        <v>6400360.4139999999</v>
      </c>
      <c r="J136" s="11">
        <f t="shared" si="53"/>
        <v>124.9</v>
      </c>
    </row>
    <row r="137" spans="1:10" s="418" customFormat="1" ht="15.75" customHeight="1" x14ac:dyDescent="0.25">
      <c r="A137" s="41" t="s">
        <v>390</v>
      </c>
      <c r="B137" s="281">
        <f>'Fremtind Livsforsikring'!B137+'Danica Pensjonsforsikring'!B137+'DNB Livsforsikring'!B137+'Eika Forsikring AS'!B137+'Frende Livsforsikring'!B137+'Frende Skadeforsikring'!B137+'Gjensidige Forsikring'!B137+'Gjensidige Pensjon'!B137+'Handelsbanken Liv'!B137+'If Skadeforsikring NUF'!B137+KLP!B137+'DNB Bedriftspensjon'!B137+'KLP Skadeforsikring AS'!B137+'Landkreditt Forsikring'!B137+Insr!B137+'Nordea Liv '!B137+'Oslo Pensjonsforsikring'!B137+'Protector Forsikring'!B137+'SHB Liv'!B137+'Sparebank 1'!B137+'Storebrand Livsforsikring'!B137+'Telenor Forsikring'!B137+'Tryg Forsikring'!B137+'WaterCircle F'!B137+'Codan Forsikring'!B137+'Euro Accident'!B137</f>
        <v>7708306.0199999996</v>
      </c>
      <c r="C137" s="281">
        <f>'Fremtind Livsforsikring'!C137+'Danica Pensjonsforsikring'!C137+'DNB Livsforsikring'!C137+'Eika Forsikring AS'!C137+'Frende Livsforsikring'!C137+'Frende Skadeforsikring'!C137+'Gjensidige Forsikring'!C137+'Gjensidige Pensjon'!C137+'Handelsbanken Liv'!C137+'If Skadeforsikring NUF'!C137+KLP!C137+'DNB Bedriftspensjon'!C137+'KLP Skadeforsikring AS'!C137+'Landkreditt Forsikring'!C137+Insr!C137+'Nordea Liv '!C137+'Oslo Pensjonsforsikring'!C137+'Protector Forsikring'!C137+'SHB Liv'!C137+'Sparebank 1'!C137+'Storebrand Livsforsikring'!C137+'Telenor Forsikring'!C137+'Tryg Forsikring'!C137+'WaterCircle F'!C137+'Codan Forsikring'!C137+'Euro Accident'!C137</f>
        <v>8346122.3590000002</v>
      </c>
      <c r="D137" s="9">
        <f t="shared" si="50"/>
        <v>8.3000000000000007</v>
      </c>
      <c r="E137" s="281">
        <f>'Fremtind Livsforsikring'!F137+'Danica Pensjonsforsikring'!F137+'DNB Livsforsikring'!F137+'Eika Forsikring AS'!F137+'Frende Livsforsikring'!F137+'Frende Skadeforsikring'!F137+'Gjensidige Forsikring'!F137+'Gjensidige Pensjon'!F137+'Handelsbanken Liv'!F137+'If Skadeforsikring NUF'!F137+KLP!F137+'DNB Bedriftspensjon'!F137+'KLP Skadeforsikring AS'!F137+'Landkreditt Forsikring'!F137+Insr!F137+'Nordea Liv '!F137+'Oslo Pensjonsforsikring'!F137+'Protector Forsikring'!F137+'SHB Liv'!F137+'Sparebank 1'!F137+'Storebrand Livsforsikring'!F137+'Telenor Forsikring'!F137+'Tryg Forsikring'!F137+'WaterCircle F'!F137+'Codan Forsikring'!F137+'Euro Accident'!F137</f>
        <v>0</v>
      </c>
      <c r="F137" s="281">
        <f>'Fremtind Livsforsikring'!G137+'Danica Pensjonsforsikring'!G137+'DNB Livsforsikring'!G137+'Eika Forsikring AS'!G137+'Frende Livsforsikring'!G137+'Frende Skadeforsikring'!G137+'Gjensidige Forsikring'!G137+'Gjensidige Pensjon'!G137+'Handelsbanken Liv'!G137+'If Skadeforsikring NUF'!G137+KLP!G137+'DNB Bedriftspensjon'!G137+'KLP Skadeforsikring AS'!G137+'Landkreditt Forsikring'!G137+Insr!G137+'Nordea Liv '!G137+'Oslo Pensjonsforsikring'!G137+'Protector Forsikring'!G137+'SHB Liv'!G137+'Sparebank 1'!G137+'Storebrand Livsforsikring'!G137+'Telenor Forsikring'!G137+'Tryg Forsikring'!G137+'WaterCircle F'!G137+'Codan Forsikring'!G137+'Euro Accident'!G137</f>
        <v>0</v>
      </c>
      <c r="G137" s="9"/>
      <c r="H137" s="281">
        <f t="shared" si="52"/>
        <v>7708306.0199999996</v>
      </c>
      <c r="I137" s="281">
        <f t="shared" si="52"/>
        <v>8346122.3590000002</v>
      </c>
      <c r="J137" s="9">
        <f t="shared" si="53"/>
        <v>8.3000000000000007</v>
      </c>
    </row>
    <row r="138" spans="1:10" s="3" customFormat="1" ht="15.75" customHeight="1" x14ac:dyDescent="0.25">
      <c r="A138" s="8"/>
      <c r="E138" s="7"/>
      <c r="F138" s="7"/>
      <c r="G138" s="6"/>
      <c r="H138" s="7"/>
      <c r="I138" s="7"/>
      <c r="J138" s="6"/>
    </row>
    <row r="139" spans="1:10" ht="15.75" customHeight="1" x14ac:dyDescent="0.25"/>
    <row r="140" spans="1:10" ht="15.75" customHeight="1" x14ac:dyDescent="0.25"/>
    <row r="141" spans="1:10" ht="15.75" customHeight="1" x14ac:dyDescent="0.25"/>
    <row r="142" spans="1:10" ht="15.75" customHeight="1" x14ac:dyDescent="0.25"/>
    <row r="143" spans="1:10" ht="15.75" customHeight="1" x14ac:dyDescent="0.25"/>
    <row r="144" spans="1:10"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sheetData>
  <mergeCells count="27">
    <mergeCell ref="B18:D18"/>
    <mergeCell ref="E18:G18"/>
    <mergeCell ref="H18:J18"/>
    <mergeCell ref="B2:D2"/>
    <mergeCell ref="E2:G2"/>
    <mergeCell ref="H2:J2"/>
    <mergeCell ref="B4:D4"/>
    <mergeCell ref="E4:G4"/>
    <mergeCell ref="H4:J4"/>
    <mergeCell ref="B63:D63"/>
    <mergeCell ref="E63:G63"/>
    <mergeCell ref="H63:J63"/>
    <mergeCell ref="B19:D19"/>
    <mergeCell ref="E19:G19"/>
    <mergeCell ref="H19:J19"/>
    <mergeCell ref="B62:D62"/>
    <mergeCell ref="E62:G62"/>
    <mergeCell ref="H62:J62"/>
    <mergeCell ref="B42:D42"/>
    <mergeCell ref="E42:G42"/>
    <mergeCell ref="H42:J42"/>
    <mergeCell ref="B131:D131"/>
    <mergeCell ref="E131:G131"/>
    <mergeCell ref="H131:J131"/>
    <mergeCell ref="B130:D130"/>
    <mergeCell ref="E130:G130"/>
    <mergeCell ref="H130:J130"/>
  </mergeCells>
  <conditionalFormatting sqref="H115:I115">
    <cfRule type="expression" dxfId="666" priority="46">
      <formula>kvartal&lt;4</formula>
    </cfRule>
  </conditionalFormatting>
  <conditionalFormatting sqref="H123:I123">
    <cfRule type="expression" dxfId="665" priority="45">
      <formula>kvartal&lt;4</formula>
    </cfRule>
  </conditionalFormatting>
  <conditionalFormatting sqref="A50:A52">
    <cfRule type="expression" dxfId="664" priority="41">
      <formula>kvartal &lt; 4</formula>
    </cfRule>
  </conditionalFormatting>
  <conditionalFormatting sqref="A69:A74">
    <cfRule type="expression" dxfId="663" priority="39">
      <formula>kvartal &lt; 4</formula>
    </cfRule>
  </conditionalFormatting>
  <conditionalFormatting sqref="A80:A85">
    <cfRule type="expression" dxfId="662" priority="38">
      <formula>kvartal &lt; 4</formula>
    </cfRule>
  </conditionalFormatting>
  <conditionalFormatting sqref="A90:A95">
    <cfRule type="expression" dxfId="661" priority="35">
      <formula>kvartal &lt; 4</formula>
    </cfRule>
  </conditionalFormatting>
  <conditionalFormatting sqref="A101:A106">
    <cfRule type="expression" dxfId="660" priority="34">
      <formula>kvartal &lt; 4</formula>
    </cfRule>
  </conditionalFormatting>
  <conditionalFormatting sqref="A115">
    <cfRule type="expression" dxfId="659" priority="33">
      <formula>kvartal &lt; 4</formula>
    </cfRule>
  </conditionalFormatting>
  <conditionalFormatting sqref="A123">
    <cfRule type="expression" dxfId="658" priority="32">
      <formula>kvartal &lt; 4</formula>
    </cfRule>
  </conditionalFormatting>
  <conditionalFormatting sqref="B115:C115">
    <cfRule type="expression" dxfId="657" priority="11">
      <formula>kvartal&lt;4</formula>
    </cfRule>
  </conditionalFormatting>
  <conditionalFormatting sqref="B123:C123">
    <cfRule type="expression" dxfId="656" priority="10">
      <formula>kvartal&lt;4</formula>
    </cfRule>
  </conditionalFormatting>
  <conditionalFormatting sqref="E115:F115">
    <cfRule type="expression" dxfId="655" priority="3">
      <formula>kvartal&lt;4</formula>
    </cfRule>
  </conditionalFormatting>
  <conditionalFormatting sqref="E123:F123">
    <cfRule type="expression" dxfId="654" priority="2">
      <formula>kvartal&lt;4</formula>
    </cfRule>
  </conditionalFormatting>
  <pageMargins left="0.23622047244094491" right="0.23622047244094491" top="0.62992125984251968" bottom="0.59055118110236227" header="0.51181102362204722" footer="0.51181102362204722"/>
  <pageSetup paperSize="9" scale="55" fitToHeight="4" orientation="portrait" horizontalDpi="360" verticalDpi="36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4B19-5AA5-4C19-88FF-6DC20058C969}">
  <dimension ref="A1:N144"/>
  <sheetViews>
    <sheetView showGridLines="0" workbookViewId="0"/>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419</v>
      </c>
      <c r="D1" s="26"/>
      <c r="E1" s="26"/>
      <c r="F1" s="26"/>
      <c r="G1" s="26"/>
      <c r="H1" s="26"/>
      <c r="I1" s="26"/>
      <c r="J1" s="26"/>
      <c r="K1" s="26"/>
      <c r="L1" s="26"/>
      <c r="M1" s="26"/>
    </row>
    <row r="2" spans="1:14" ht="15.6" x14ac:dyDescent="0.3">
      <c r="A2" s="165" t="s">
        <v>28</v>
      </c>
      <c r="B2" s="723"/>
      <c r="C2" s="723"/>
      <c r="D2" s="723"/>
      <c r="E2" s="670"/>
      <c r="F2" s="723"/>
      <c r="G2" s="723"/>
      <c r="H2" s="723"/>
      <c r="I2" s="670"/>
      <c r="J2" s="723"/>
      <c r="K2" s="723"/>
      <c r="L2" s="723"/>
      <c r="M2" s="670"/>
    </row>
    <row r="3" spans="1:14" ht="15.6" x14ac:dyDescent="0.3">
      <c r="A3" s="163"/>
      <c r="B3" s="670"/>
      <c r="C3" s="670"/>
      <c r="D3" s="670"/>
      <c r="E3" s="670"/>
      <c r="F3" s="670"/>
      <c r="G3" s="670"/>
      <c r="H3" s="670"/>
      <c r="I3" s="670"/>
      <c r="J3" s="670"/>
      <c r="K3" s="670"/>
      <c r="L3" s="670"/>
      <c r="M3" s="670"/>
    </row>
    <row r="4" spans="1:14" x14ac:dyDescent="0.25">
      <c r="A4" s="144"/>
      <c r="B4" s="724" t="s">
        <v>0</v>
      </c>
      <c r="C4" s="725"/>
      <c r="D4" s="725"/>
      <c r="E4" s="668"/>
      <c r="F4" s="724" t="s">
        <v>1</v>
      </c>
      <c r="G4" s="725"/>
      <c r="H4" s="725"/>
      <c r="I4" s="669"/>
      <c r="J4" s="724" t="s">
        <v>2</v>
      </c>
      <c r="K4" s="725"/>
      <c r="L4" s="725"/>
      <c r="M4" s="669"/>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c r="C7" s="309"/>
      <c r="D7" s="351"/>
      <c r="E7" s="11"/>
      <c r="F7" s="308"/>
      <c r="G7" s="309"/>
      <c r="H7" s="351"/>
      <c r="I7" s="160"/>
      <c r="J7" s="310"/>
      <c r="K7" s="311"/>
      <c r="L7" s="425"/>
      <c r="M7" s="11"/>
    </row>
    <row r="8" spans="1:14" ht="15.6" x14ac:dyDescent="0.25">
      <c r="A8" s="21" t="s">
        <v>25</v>
      </c>
      <c r="B8" s="286"/>
      <c r="C8" s="287"/>
      <c r="D8" s="166"/>
      <c r="E8" s="27"/>
      <c r="F8" s="290"/>
      <c r="G8" s="291"/>
      <c r="H8" s="166"/>
      <c r="I8" s="176"/>
      <c r="J8" s="234"/>
      <c r="K8" s="292"/>
      <c r="L8" s="166"/>
      <c r="M8" s="27"/>
    </row>
    <row r="9" spans="1:14" ht="15.6" x14ac:dyDescent="0.25">
      <c r="A9" s="21" t="s">
        <v>24</v>
      </c>
      <c r="B9" s="286"/>
      <c r="C9" s="287"/>
      <c r="D9" s="166"/>
      <c r="E9" s="27"/>
      <c r="F9" s="290"/>
      <c r="G9" s="291"/>
      <c r="H9" s="166"/>
      <c r="I9" s="176"/>
      <c r="J9" s="234"/>
      <c r="K9" s="292"/>
      <c r="L9" s="166"/>
      <c r="M9" s="27"/>
    </row>
    <row r="10" spans="1:14" ht="15.6" x14ac:dyDescent="0.25">
      <c r="A10" s="13" t="s">
        <v>363</v>
      </c>
      <c r="B10" s="312"/>
      <c r="C10" s="313"/>
      <c r="D10" s="171"/>
      <c r="E10" s="11"/>
      <c r="F10" s="312"/>
      <c r="G10" s="313"/>
      <c r="H10" s="171"/>
      <c r="I10" s="160"/>
      <c r="J10" s="310"/>
      <c r="K10" s="311"/>
      <c r="L10" s="426"/>
      <c r="M10" s="11"/>
    </row>
    <row r="11" spans="1:14" s="43" customFormat="1" ht="15.6" x14ac:dyDescent="0.25">
      <c r="A11" s="13" t="s">
        <v>364</v>
      </c>
      <c r="B11" s="312"/>
      <c r="C11" s="313"/>
      <c r="D11" s="171"/>
      <c r="E11" s="11"/>
      <c r="F11" s="312"/>
      <c r="G11" s="313"/>
      <c r="H11" s="171"/>
      <c r="I11" s="160"/>
      <c r="J11" s="310"/>
      <c r="K11" s="311"/>
      <c r="L11" s="426"/>
      <c r="M11" s="11"/>
      <c r="N11" s="143"/>
    </row>
    <row r="12" spans="1:14" s="43" customFormat="1" ht="15.6" x14ac:dyDescent="0.25">
      <c r="A12" s="41" t="s">
        <v>365</v>
      </c>
      <c r="B12" s="314"/>
      <c r="C12" s="315"/>
      <c r="D12" s="169"/>
      <c r="E12" s="36"/>
      <c r="F12" s="314"/>
      <c r="G12" s="315"/>
      <c r="H12" s="169"/>
      <c r="I12" s="169"/>
      <c r="J12" s="316"/>
      <c r="K12" s="317"/>
      <c r="L12" s="427"/>
      <c r="M12" s="36"/>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670"/>
      <c r="F18" s="726"/>
      <c r="G18" s="726"/>
      <c r="H18" s="726"/>
      <c r="I18" s="670"/>
      <c r="J18" s="726"/>
      <c r="K18" s="726"/>
      <c r="L18" s="726"/>
      <c r="M18" s="670"/>
    </row>
    <row r="19" spans="1:14" x14ac:dyDescent="0.25">
      <c r="A19" s="144"/>
      <c r="B19" s="724" t="s">
        <v>0</v>
      </c>
      <c r="C19" s="725"/>
      <c r="D19" s="725"/>
      <c r="E19" s="668"/>
      <c r="F19" s="724" t="s">
        <v>1</v>
      </c>
      <c r="G19" s="725"/>
      <c r="H19" s="725"/>
      <c r="I19" s="669"/>
      <c r="J19" s="724" t="s">
        <v>2</v>
      </c>
      <c r="K19" s="725"/>
      <c r="L19" s="725"/>
      <c r="M19" s="669"/>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414" t="s">
        <v>30</v>
      </c>
      <c r="F21" s="161"/>
      <c r="G21" s="161"/>
      <c r="H21" s="246" t="s">
        <v>4</v>
      </c>
      <c r="I21" s="156" t="s">
        <v>30</v>
      </c>
      <c r="J21" s="161"/>
      <c r="K21" s="161"/>
      <c r="L21" s="156" t="s">
        <v>4</v>
      </c>
      <c r="M21" s="156" t="s">
        <v>30</v>
      </c>
    </row>
    <row r="22" spans="1:14" ht="15.6" x14ac:dyDescent="0.25">
      <c r="A22" s="14" t="s">
        <v>23</v>
      </c>
      <c r="B22" s="312"/>
      <c r="C22" s="312"/>
      <c r="D22" s="351"/>
      <c r="E22" s="11"/>
      <c r="F22" s="320"/>
      <c r="G22" s="320"/>
      <c r="H22" s="351"/>
      <c r="I22" s="160"/>
      <c r="J22" s="318"/>
      <c r="K22" s="318"/>
      <c r="L22" s="425"/>
      <c r="M22" s="24"/>
    </row>
    <row r="23" spans="1:14" ht="15.6" x14ac:dyDescent="0.25">
      <c r="A23" s="581" t="s">
        <v>366</v>
      </c>
      <c r="B23" s="286"/>
      <c r="C23" s="286"/>
      <c r="D23" s="166"/>
      <c r="E23" s="11"/>
      <c r="F23" s="295"/>
      <c r="G23" s="295"/>
      <c r="H23" s="166"/>
      <c r="I23" s="240"/>
      <c r="J23" s="295"/>
      <c r="K23" s="295"/>
      <c r="L23" s="166"/>
      <c r="M23" s="23"/>
    </row>
    <row r="24" spans="1:14" ht="15.6" x14ac:dyDescent="0.25">
      <c r="A24" s="581" t="s">
        <v>367</v>
      </c>
      <c r="B24" s="286"/>
      <c r="C24" s="286"/>
      <c r="D24" s="166"/>
      <c r="E24" s="11"/>
      <c r="F24" s="295"/>
      <c r="G24" s="295"/>
      <c r="H24" s="166"/>
      <c r="I24" s="240"/>
      <c r="J24" s="295"/>
      <c r="K24" s="295"/>
      <c r="L24" s="166"/>
      <c r="M24" s="23"/>
    </row>
    <row r="25" spans="1:14" ht="15.6" x14ac:dyDescent="0.25">
      <c r="A25" s="581" t="s">
        <v>368</v>
      </c>
      <c r="B25" s="286"/>
      <c r="C25" s="286"/>
      <c r="D25" s="166"/>
      <c r="E25" s="11"/>
      <c r="F25" s="295"/>
      <c r="G25" s="295"/>
      <c r="H25" s="166"/>
      <c r="I25" s="240"/>
      <c r="J25" s="295"/>
      <c r="K25" s="295"/>
      <c r="L25" s="166"/>
      <c r="M25" s="23"/>
    </row>
    <row r="26" spans="1:14" ht="15.6" x14ac:dyDescent="0.25">
      <c r="A26" s="581" t="s">
        <v>369</v>
      </c>
      <c r="B26" s="286"/>
      <c r="C26" s="286"/>
      <c r="D26" s="166"/>
      <c r="E26" s="11"/>
      <c r="F26" s="295"/>
      <c r="G26" s="295"/>
      <c r="H26" s="166"/>
      <c r="I26" s="240"/>
      <c r="J26" s="295"/>
      <c r="K26" s="295"/>
      <c r="L26" s="166"/>
      <c r="M26" s="23"/>
    </row>
    <row r="27" spans="1:14" x14ac:dyDescent="0.25">
      <c r="A27" s="581" t="s">
        <v>11</v>
      </c>
      <c r="B27" s="286"/>
      <c r="C27" s="286"/>
      <c r="D27" s="166"/>
      <c r="E27" s="11"/>
      <c r="F27" s="295"/>
      <c r="G27" s="295"/>
      <c r="H27" s="166"/>
      <c r="I27" s="240"/>
      <c r="J27" s="295"/>
      <c r="K27" s="295"/>
      <c r="L27" s="166"/>
      <c r="M27" s="23"/>
    </row>
    <row r="28" spans="1:14" ht="15.6" x14ac:dyDescent="0.25">
      <c r="A28" s="49" t="s">
        <v>274</v>
      </c>
      <c r="B28" s="44"/>
      <c r="C28" s="292"/>
      <c r="D28" s="166"/>
      <c r="E28" s="11"/>
      <c r="F28" s="321"/>
      <c r="G28" s="321"/>
      <c r="H28" s="166"/>
      <c r="I28" s="176"/>
      <c r="J28" s="44"/>
      <c r="K28" s="44"/>
      <c r="L28" s="259"/>
      <c r="M28" s="23"/>
    </row>
    <row r="29" spans="1:14" s="3" customFormat="1" ht="15.6" x14ac:dyDescent="0.25">
      <c r="A29" s="13" t="s">
        <v>363</v>
      </c>
      <c r="B29" s="236"/>
      <c r="C29" s="236"/>
      <c r="D29" s="171"/>
      <c r="E29" s="11"/>
      <c r="F29" s="310"/>
      <c r="G29" s="310"/>
      <c r="H29" s="171"/>
      <c r="I29" s="160"/>
      <c r="J29" s="236"/>
      <c r="K29" s="236"/>
      <c r="L29" s="426"/>
      <c r="M29" s="24"/>
      <c r="N29" s="148"/>
    </row>
    <row r="30" spans="1:14" s="3" customFormat="1" ht="15.6" x14ac:dyDescent="0.25">
      <c r="A30" s="581" t="s">
        <v>366</v>
      </c>
      <c r="B30" s="286"/>
      <c r="C30" s="286"/>
      <c r="D30" s="166"/>
      <c r="E30" s="11"/>
      <c r="F30" s="295"/>
      <c r="G30" s="295"/>
      <c r="H30" s="166"/>
      <c r="I30" s="240"/>
      <c r="J30" s="295"/>
      <c r="K30" s="295"/>
      <c r="L30" s="166"/>
      <c r="M30" s="23"/>
      <c r="N30" s="148"/>
    </row>
    <row r="31" spans="1:14" s="3" customFormat="1" ht="15.6" x14ac:dyDescent="0.25">
      <c r="A31" s="581" t="s">
        <v>367</v>
      </c>
      <c r="B31" s="286"/>
      <c r="C31" s="286"/>
      <c r="D31" s="166"/>
      <c r="E31" s="11"/>
      <c r="F31" s="295"/>
      <c r="G31" s="295"/>
      <c r="H31" s="166"/>
      <c r="I31" s="240"/>
      <c r="J31" s="295"/>
      <c r="K31" s="295"/>
      <c r="L31" s="166"/>
      <c r="M31" s="23"/>
      <c r="N31" s="148"/>
    </row>
    <row r="32" spans="1:14" ht="15.6" x14ac:dyDescent="0.25">
      <c r="A32" s="581" t="s">
        <v>368</v>
      </c>
      <c r="B32" s="286"/>
      <c r="C32" s="286"/>
      <c r="D32" s="166"/>
      <c r="E32" s="11"/>
      <c r="F32" s="295"/>
      <c r="G32" s="295"/>
      <c r="H32" s="166"/>
      <c r="I32" s="240"/>
      <c r="J32" s="295"/>
      <c r="K32" s="295"/>
      <c r="L32" s="166"/>
      <c r="M32" s="23"/>
    </row>
    <row r="33" spans="1:14" ht="15.6" x14ac:dyDescent="0.25">
      <c r="A33" s="581" t="s">
        <v>369</v>
      </c>
      <c r="B33" s="286"/>
      <c r="C33" s="286"/>
      <c r="D33" s="166"/>
      <c r="E33" s="11"/>
      <c r="F33" s="295"/>
      <c r="G33" s="295"/>
      <c r="H33" s="166"/>
      <c r="I33" s="240"/>
      <c r="J33" s="295"/>
      <c r="K33" s="295"/>
      <c r="L33" s="166"/>
      <c r="M33" s="23"/>
    </row>
    <row r="34" spans="1:14" ht="15.6" x14ac:dyDescent="0.25">
      <c r="A34" s="13" t="s">
        <v>364</v>
      </c>
      <c r="B34" s="236"/>
      <c r="C34" s="311"/>
      <c r="D34" s="171"/>
      <c r="E34" s="11"/>
      <c r="F34" s="310"/>
      <c r="G34" s="311"/>
      <c r="H34" s="171"/>
      <c r="I34" s="160"/>
      <c r="J34" s="236"/>
      <c r="K34" s="236"/>
      <c r="L34" s="426"/>
      <c r="M34" s="24"/>
    </row>
    <row r="35" spans="1:14" ht="15.6" x14ac:dyDescent="0.25">
      <c r="A35" s="13" t="s">
        <v>365</v>
      </c>
      <c r="B35" s="236"/>
      <c r="C35" s="311"/>
      <c r="D35" s="171"/>
      <c r="E35" s="11"/>
      <c r="F35" s="310"/>
      <c r="G35" s="311"/>
      <c r="H35" s="171"/>
      <c r="I35" s="160"/>
      <c r="J35" s="236"/>
      <c r="K35" s="236"/>
      <c r="L35" s="426"/>
      <c r="M35" s="24"/>
    </row>
    <row r="36" spans="1:14" ht="15.6" x14ac:dyDescent="0.25">
      <c r="A36" s="12" t="s">
        <v>282</v>
      </c>
      <c r="B36" s="236"/>
      <c r="C36" s="311"/>
      <c r="D36" s="171"/>
      <c r="E36" s="11"/>
      <c r="F36" s="321"/>
      <c r="G36" s="322"/>
      <c r="H36" s="171"/>
      <c r="I36" s="428"/>
      <c r="J36" s="236"/>
      <c r="K36" s="236"/>
      <c r="L36" s="426"/>
      <c r="M36" s="24"/>
    </row>
    <row r="37" spans="1:14" ht="15.6" x14ac:dyDescent="0.25">
      <c r="A37" s="12" t="s">
        <v>371</v>
      </c>
      <c r="B37" s="236"/>
      <c r="C37" s="311"/>
      <c r="D37" s="171"/>
      <c r="E37" s="11"/>
      <c r="F37" s="321"/>
      <c r="G37" s="323"/>
      <c r="H37" s="171"/>
      <c r="I37" s="428"/>
      <c r="J37" s="236"/>
      <c r="K37" s="236"/>
      <c r="L37" s="426"/>
      <c r="M37" s="24"/>
    </row>
    <row r="38" spans="1:14" ht="15.6" x14ac:dyDescent="0.25">
      <c r="A38" s="12" t="s">
        <v>372</v>
      </c>
      <c r="B38" s="236"/>
      <c r="C38" s="311"/>
      <c r="D38" s="171"/>
      <c r="E38" s="24"/>
      <c r="F38" s="321"/>
      <c r="G38" s="322"/>
      <c r="H38" s="171"/>
      <c r="I38" s="428"/>
      <c r="J38" s="236"/>
      <c r="K38" s="236"/>
      <c r="L38" s="426"/>
      <c r="M38" s="24"/>
    </row>
    <row r="39" spans="1:14" ht="15.6" x14ac:dyDescent="0.25">
      <c r="A39" s="18" t="s">
        <v>373</v>
      </c>
      <c r="B39" s="281"/>
      <c r="C39" s="317"/>
      <c r="D39" s="169"/>
      <c r="E39" s="36"/>
      <c r="F39" s="324"/>
      <c r="G39" s="325"/>
      <c r="H39" s="169"/>
      <c r="I39" s="169"/>
      <c r="J39" s="236"/>
      <c r="K39" s="236"/>
      <c r="L39" s="427"/>
      <c r="M39" s="36"/>
    </row>
    <row r="40" spans="1:14" ht="15.6" x14ac:dyDescent="0.3">
      <c r="A40" s="47"/>
      <c r="B40" s="258"/>
      <c r="C40" s="258"/>
      <c r="D40" s="727"/>
      <c r="E40" s="727"/>
      <c r="F40" s="727"/>
      <c r="G40" s="727"/>
      <c r="H40" s="727"/>
      <c r="I40" s="727"/>
      <c r="J40" s="727"/>
      <c r="K40" s="727"/>
      <c r="L40" s="727"/>
      <c r="M40" s="671"/>
    </row>
    <row r="41" spans="1:14" x14ac:dyDescent="0.25">
      <c r="A41" s="155"/>
    </row>
    <row r="42" spans="1:14" ht="15.6" x14ac:dyDescent="0.3">
      <c r="A42" s="147" t="s">
        <v>271</v>
      </c>
      <c r="B42" s="723"/>
      <c r="C42" s="723"/>
      <c r="D42" s="723"/>
      <c r="E42" s="670"/>
      <c r="F42" s="728"/>
      <c r="G42" s="728"/>
      <c r="H42" s="728"/>
      <c r="I42" s="671"/>
      <c r="J42" s="728"/>
      <c r="K42" s="728"/>
      <c r="L42" s="728"/>
      <c r="M42" s="671"/>
    </row>
    <row r="43" spans="1:14" ht="15.6" x14ac:dyDescent="0.3">
      <c r="A43" s="163"/>
      <c r="B43" s="666"/>
      <c r="C43" s="666"/>
      <c r="D43" s="666"/>
      <c r="E43" s="666"/>
      <c r="F43" s="671"/>
      <c r="G43" s="671"/>
      <c r="H43" s="671"/>
      <c r="I43" s="671"/>
      <c r="J43" s="671"/>
      <c r="K43" s="671"/>
      <c r="L43" s="671"/>
      <c r="M43" s="671"/>
    </row>
    <row r="44" spans="1:14" ht="15.6" x14ac:dyDescent="0.3">
      <c r="A44" s="249"/>
      <c r="B44" s="724" t="s">
        <v>0</v>
      </c>
      <c r="C44" s="725"/>
      <c r="D44" s="725"/>
      <c r="E44" s="244"/>
      <c r="F44" s="671"/>
      <c r="G44" s="671"/>
      <c r="H44" s="671"/>
      <c r="I44" s="671"/>
      <c r="J44" s="671"/>
      <c r="K44" s="671"/>
      <c r="L44" s="671"/>
      <c r="M44" s="671"/>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c r="C47" s="313">
        <v>73022</v>
      </c>
      <c r="D47" s="425" t="str">
        <f t="shared" ref="D47:D57" si="0">IF(B47=0, "    ---- ", IF(ABS(ROUND(100/B47*C47-100,1))&lt;999,ROUND(100/B47*C47-100,1),IF(ROUND(100/B47*C47-100,1)&gt;999,999,-999)))</f>
        <v xml:space="preserve">    ---- </v>
      </c>
      <c r="E47" s="11">
        <f>IFERROR(100/'Skjema total MA'!C47*C47,0)</f>
        <v>1.6332762516677235</v>
      </c>
      <c r="F47" s="145"/>
      <c r="G47" s="33"/>
      <c r="H47" s="159"/>
      <c r="I47" s="159"/>
      <c r="J47" s="37"/>
      <c r="K47" s="37"/>
      <c r="L47" s="159"/>
      <c r="M47" s="159"/>
      <c r="N47" s="148"/>
    </row>
    <row r="48" spans="1:14" s="3" customFormat="1" ht="15.6" x14ac:dyDescent="0.25">
      <c r="A48" s="38" t="s">
        <v>374</v>
      </c>
      <c r="B48" s="286"/>
      <c r="C48" s="287">
        <v>73022</v>
      </c>
      <c r="D48" s="259" t="str">
        <f t="shared" si="0"/>
        <v xml:space="preserve">    ---- </v>
      </c>
      <c r="E48" s="27">
        <f>IFERROR(100/'Skjema total MA'!C48*C48,0)</f>
        <v>2.9124126782343165</v>
      </c>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v>4727</v>
      </c>
      <c r="D53" s="426" t="str">
        <f t="shared" si="0"/>
        <v xml:space="preserve">    ---- </v>
      </c>
      <c r="E53" s="11">
        <f>IFERROR(100/'Skjema total MA'!C53*C53,0)</f>
        <v>1.8341042643537193</v>
      </c>
      <c r="F53" s="145"/>
      <c r="G53" s="33"/>
      <c r="H53" s="145"/>
      <c r="I53" s="145"/>
      <c r="J53" s="33"/>
      <c r="K53" s="33"/>
      <c r="L53" s="159"/>
      <c r="M53" s="159"/>
      <c r="N53" s="148"/>
    </row>
    <row r="54" spans="1:14" s="3" customFormat="1" ht="15.6" x14ac:dyDescent="0.25">
      <c r="A54" s="38" t="s">
        <v>374</v>
      </c>
      <c r="B54" s="286"/>
      <c r="C54" s="287">
        <v>4727</v>
      </c>
      <c r="D54" s="259" t="str">
        <f t="shared" si="0"/>
        <v xml:space="preserve">    ---- </v>
      </c>
      <c r="E54" s="27">
        <f>IFERROR(100/'Skjema total MA'!C54*C54,0)</f>
        <v>1.8787526265375067</v>
      </c>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v>6212</v>
      </c>
      <c r="D56" s="426" t="str">
        <f t="shared" si="0"/>
        <v xml:space="preserve">    ---- </v>
      </c>
      <c r="E56" s="11">
        <f>IFERROR(100/'Skjema total MA'!C56*C56,0)</f>
        <v>5.1302577564715541</v>
      </c>
      <c r="F56" s="145"/>
      <c r="G56" s="33"/>
      <c r="H56" s="145"/>
      <c r="I56" s="145"/>
      <c r="J56" s="33"/>
      <c r="K56" s="33"/>
      <c r="L56" s="159"/>
      <c r="M56" s="159"/>
      <c r="N56" s="148"/>
    </row>
    <row r="57" spans="1:14" s="3" customFormat="1" ht="15.6" x14ac:dyDescent="0.25">
      <c r="A57" s="38" t="s">
        <v>374</v>
      </c>
      <c r="B57" s="286"/>
      <c r="C57" s="287">
        <v>6212</v>
      </c>
      <c r="D57" s="259" t="str">
        <f t="shared" si="0"/>
        <v xml:space="preserve">    ---- </v>
      </c>
      <c r="E57" s="27">
        <f>IFERROR(100/'Skjema total MA'!C57*C57,0)</f>
        <v>5.1304621944359452</v>
      </c>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670"/>
      <c r="F62" s="726"/>
      <c r="G62" s="726"/>
      <c r="H62" s="726"/>
      <c r="I62" s="670"/>
      <c r="J62" s="726"/>
      <c r="K62" s="726"/>
      <c r="L62" s="726"/>
      <c r="M62" s="670"/>
    </row>
    <row r="63" spans="1:14" x14ac:dyDescent="0.25">
      <c r="A63" s="144"/>
      <c r="B63" s="724" t="s">
        <v>0</v>
      </c>
      <c r="C63" s="725"/>
      <c r="D63" s="729"/>
      <c r="E63" s="667"/>
      <c r="F63" s="725" t="s">
        <v>1</v>
      </c>
      <c r="G63" s="725"/>
      <c r="H63" s="725"/>
      <c r="I63" s="669"/>
      <c r="J63" s="724" t="s">
        <v>2</v>
      </c>
      <c r="K63" s="725"/>
      <c r="L63" s="725"/>
      <c r="M63" s="669"/>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c r="C66" s="354"/>
      <c r="D66" s="351"/>
      <c r="E66" s="11"/>
      <c r="F66" s="353"/>
      <c r="G66" s="353"/>
      <c r="H66" s="351"/>
      <c r="I66" s="11"/>
      <c r="J66" s="311"/>
      <c r="K66" s="318"/>
      <c r="L66" s="426"/>
      <c r="M66" s="11"/>
    </row>
    <row r="67" spans="1:14" x14ac:dyDescent="0.25">
      <c r="A67" s="21" t="s">
        <v>9</v>
      </c>
      <c r="B67" s="44"/>
      <c r="C67" s="145"/>
      <c r="D67" s="166"/>
      <c r="E67" s="27"/>
      <c r="F67" s="234"/>
      <c r="G67" s="145"/>
      <c r="H67" s="166"/>
      <c r="I67" s="27"/>
      <c r="J67" s="292"/>
      <c r="K67" s="44"/>
      <c r="L67" s="259"/>
      <c r="M67" s="27"/>
    </row>
    <row r="68" spans="1:14" x14ac:dyDescent="0.25">
      <c r="A68" s="21" t="s">
        <v>10</v>
      </c>
      <c r="B68" s="296"/>
      <c r="C68" s="297"/>
      <c r="D68" s="166"/>
      <c r="E68" s="27"/>
      <c r="F68" s="296"/>
      <c r="G68" s="297"/>
      <c r="H68" s="166"/>
      <c r="I68" s="27"/>
      <c r="J68" s="292"/>
      <c r="K68" s="44"/>
      <c r="L68" s="259"/>
      <c r="M68" s="27"/>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c r="C77" s="234"/>
      <c r="D77" s="166"/>
      <c r="E77" s="27"/>
      <c r="F77" s="234"/>
      <c r="G77" s="145"/>
      <c r="H77" s="166"/>
      <c r="I77" s="27"/>
      <c r="J77" s="292"/>
      <c r="K77" s="44"/>
      <c r="L77" s="259"/>
      <c r="M77" s="27"/>
    </row>
    <row r="78" spans="1:14" x14ac:dyDescent="0.25">
      <c r="A78" s="21" t="s">
        <v>9</v>
      </c>
      <c r="B78" s="234"/>
      <c r="C78" s="145"/>
      <c r="D78" s="166"/>
      <c r="E78" s="27"/>
      <c r="F78" s="234"/>
      <c r="G78" s="145"/>
      <c r="H78" s="166"/>
      <c r="I78" s="27"/>
      <c r="J78" s="292"/>
      <c r="K78" s="44"/>
      <c r="L78" s="259"/>
      <c r="M78" s="27"/>
    </row>
    <row r="79" spans="1:14" x14ac:dyDescent="0.25">
      <c r="A79" s="38" t="s">
        <v>421</v>
      </c>
      <c r="B79" s="296"/>
      <c r="C79" s="297"/>
      <c r="D79" s="166"/>
      <c r="E79" s="27"/>
      <c r="F79" s="296"/>
      <c r="G79" s="297"/>
      <c r="H79" s="166"/>
      <c r="I79" s="27"/>
      <c r="J79" s="292"/>
      <c r="K79" s="44"/>
      <c r="L79" s="259"/>
      <c r="M79" s="27"/>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c r="C87" s="354"/>
      <c r="D87" s="171"/>
      <c r="E87" s="11"/>
      <c r="F87" s="353"/>
      <c r="G87" s="353"/>
      <c r="H87" s="171"/>
      <c r="I87" s="11"/>
      <c r="J87" s="311"/>
      <c r="K87" s="236"/>
      <c r="L87" s="426"/>
      <c r="M87" s="11"/>
    </row>
    <row r="88" spans="1:13" x14ac:dyDescent="0.25">
      <c r="A88" s="21" t="s">
        <v>9</v>
      </c>
      <c r="B88" s="234"/>
      <c r="C88" s="145"/>
      <c r="D88" s="166"/>
      <c r="E88" s="27"/>
      <c r="F88" s="234"/>
      <c r="G88" s="145"/>
      <c r="H88" s="166"/>
      <c r="I88" s="27"/>
      <c r="J88" s="292"/>
      <c r="K88" s="44"/>
      <c r="L88" s="259"/>
      <c r="M88" s="27"/>
    </row>
    <row r="89" spans="1:13" x14ac:dyDescent="0.25">
      <c r="A89" s="21" t="s">
        <v>10</v>
      </c>
      <c r="B89" s="234"/>
      <c r="C89" s="145"/>
      <c r="D89" s="166"/>
      <c r="E89" s="27"/>
      <c r="F89" s="234"/>
      <c r="G89" s="145"/>
      <c r="H89" s="166"/>
      <c r="I89" s="27"/>
      <c r="J89" s="292"/>
      <c r="K89" s="44"/>
      <c r="L89" s="259"/>
      <c r="M89" s="27"/>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c r="C98" s="234"/>
      <c r="D98" s="166"/>
      <c r="E98" s="27"/>
      <c r="F98" s="296"/>
      <c r="G98" s="296"/>
      <c r="H98" s="166"/>
      <c r="I98" s="27"/>
      <c r="J98" s="292"/>
      <c r="K98" s="44"/>
      <c r="L98" s="259"/>
      <c r="M98" s="27"/>
    </row>
    <row r="99" spans="1:13" x14ac:dyDescent="0.25">
      <c r="A99" s="21" t="s">
        <v>9</v>
      </c>
      <c r="B99" s="296"/>
      <c r="C99" s="297"/>
      <c r="D99" s="166"/>
      <c r="E99" s="27"/>
      <c r="F99" s="234"/>
      <c r="G99" s="145"/>
      <c r="H99" s="166"/>
      <c r="I99" s="27"/>
      <c r="J99" s="292"/>
      <c r="K99" s="44"/>
      <c r="L99" s="259"/>
      <c r="M99" s="27"/>
    </row>
    <row r="100" spans="1:13" ht="15.6" x14ac:dyDescent="0.25">
      <c r="A100" s="38" t="s">
        <v>422</v>
      </c>
      <c r="B100" s="296"/>
      <c r="C100" s="297"/>
      <c r="D100" s="166"/>
      <c r="E100" s="27"/>
      <c r="F100" s="234"/>
      <c r="G100" s="234"/>
      <c r="H100" s="166"/>
      <c r="I100" s="27"/>
      <c r="J100" s="292"/>
      <c r="K100" s="44"/>
      <c r="L100" s="259"/>
      <c r="M100" s="27"/>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c r="C108" s="234"/>
      <c r="D108" s="166"/>
      <c r="E108" s="27"/>
      <c r="F108" s="234"/>
      <c r="G108" s="234"/>
      <c r="H108" s="166"/>
      <c r="I108" s="27"/>
      <c r="J108" s="292"/>
      <c r="K108" s="44"/>
      <c r="L108" s="259"/>
      <c r="M108" s="27"/>
    </row>
    <row r="109" spans="1:13" ht="15.6" x14ac:dyDescent="0.25">
      <c r="A109" s="38" t="s">
        <v>437</v>
      </c>
      <c r="B109" s="234"/>
      <c r="C109" s="234"/>
      <c r="D109" s="166"/>
      <c r="E109" s="27"/>
      <c r="F109" s="234"/>
      <c r="G109" s="234"/>
      <c r="H109" s="166"/>
      <c r="I109" s="27"/>
      <c r="J109" s="292"/>
      <c r="K109" s="44"/>
      <c r="L109" s="259"/>
      <c r="M109" s="27"/>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c r="C111" s="159"/>
      <c r="D111" s="171"/>
      <c r="E111" s="11"/>
      <c r="F111" s="310"/>
      <c r="G111" s="159"/>
      <c r="H111" s="171"/>
      <c r="I111" s="11"/>
      <c r="J111" s="311"/>
      <c r="K111" s="236"/>
      <c r="L111" s="426"/>
      <c r="M111" s="11"/>
    </row>
    <row r="112" spans="1:13" x14ac:dyDescent="0.25">
      <c r="A112" s="21" t="s">
        <v>9</v>
      </c>
      <c r="B112" s="234"/>
      <c r="C112" s="145"/>
      <c r="D112" s="166"/>
      <c r="E112" s="27"/>
      <c r="F112" s="234"/>
      <c r="G112" s="145"/>
      <c r="H112" s="166"/>
      <c r="I112" s="27"/>
      <c r="J112" s="292"/>
      <c r="K112" s="44"/>
      <c r="L112" s="259"/>
      <c r="M112" s="27"/>
    </row>
    <row r="113" spans="1:14" x14ac:dyDescent="0.25">
      <c r="A113" s="21" t="s">
        <v>10</v>
      </c>
      <c r="B113" s="234"/>
      <c r="C113" s="145"/>
      <c r="D113" s="166"/>
      <c r="E113" s="27"/>
      <c r="F113" s="234"/>
      <c r="G113" s="145"/>
      <c r="H113" s="166"/>
      <c r="I113" s="27"/>
      <c r="J113" s="292"/>
      <c r="K113" s="44"/>
      <c r="L113" s="259"/>
      <c r="M113" s="27"/>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c r="G117" s="234"/>
      <c r="H117" s="166"/>
      <c r="I117" s="27"/>
      <c r="J117" s="292"/>
      <c r="K117" s="44"/>
      <c r="L117" s="259"/>
      <c r="M117" s="27"/>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c r="C119" s="159"/>
      <c r="D119" s="171"/>
      <c r="E119" s="11"/>
      <c r="F119" s="310"/>
      <c r="G119" s="159"/>
      <c r="H119" s="171"/>
      <c r="I119" s="11"/>
      <c r="J119" s="311"/>
      <c r="K119" s="236"/>
      <c r="L119" s="426"/>
      <c r="M119" s="11"/>
    </row>
    <row r="120" spans="1:14" x14ac:dyDescent="0.25">
      <c r="A120" s="21" t="s">
        <v>9</v>
      </c>
      <c r="B120" s="234"/>
      <c r="C120" s="145"/>
      <c r="D120" s="166"/>
      <c r="E120" s="27"/>
      <c r="F120" s="234"/>
      <c r="G120" s="145"/>
      <c r="H120" s="166"/>
      <c r="I120" s="27"/>
      <c r="J120" s="292"/>
      <c r="K120" s="44"/>
      <c r="L120" s="259"/>
      <c r="M120" s="27"/>
    </row>
    <row r="121" spans="1:14" x14ac:dyDescent="0.25">
      <c r="A121" s="21" t="s">
        <v>10</v>
      </c>
      <c r="B121" s="234"/>
      <c r="C121" s="145"/>
      <c r="D121" s="166"/>
      <c r="E121" s="27"/>
      <c r="F121" s="234"/>
      <c r="G121" s="145"/>
      <c r="H121" s="166"/>
      <c r="I121" s="27"/>
      <c r="J121" s="292"/>
      <c r="K121" s="44"/>
      <c r="L121" s="259"/>
      <c r="M121" s="27"/>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c r="G125" s="234"/>
      <c r="H125" s="166"/>
      <c r="I125" s="27"/>
      <c r="J125" s="292"/>
      <c r="K125" s="44"/>
      <c r="L125" s="259"/>
      <c r="M125" s="27"/>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670"/>
      <c r="F130" s="726"/>
      <c r="G130" s="726"/>
      <c r="H130" s="726"/>
      <c r="I130" s="670"/>
      <c r="J130" s="726"/>
      <c r="K130" s="726"/>
      <c r="L130" s="726"/>
      <c r="M130" s="670"/>
    </row>
    <row r="131" spans="1:14" s="3" customFormat="1" x14ac:dyDescent="0.25">
      <c r="A131" s="144"/>
      <c r="B131" s="724" t="s">
        <v>0</v>
      </c>
      <c r="C131" s="725"/>
      <c r="D131" s="725"/>
      <c r="E131" s="668"/>
      <c r="F131" s="724" t="s">
        <v>1</v>
      </c>
      <c r="G131" s="725"/>
      <c r="H131" s="725"/>
      <c r="I131" s="669"/>
      <c r="J131" s="724" t="s">
        <v>2</v>
      </c>
      <c r="K131" s="725"/>
      <c r="L131" s="725"/>
      <c r="M131" s="669"/>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115">
    <cfRule type="expression" dxfId="653" priority="42">
      <formula>kvartal &lt; 4</formula>
    </cfRule>
  </conditionalFormatting>
  <conditionalFormatting sqref="C115">
    <cfRule type="expression" dxfId="652" priority="41">
      <formula>kvartal &lt; 4</formula>
    </cfRule>
  </conditionalFormatting>
  <conditionalFormatting sqref="B123">
    <cfRule type="expression" dxfId="651" priority="40">
      <formula>kvartal &lt; 4</formula>
    </cfRule>
  </conditionalFormatting>
  <conditionalFormatting sqref="C123">
    <cfRule type="expression" dxfId="650" priority="39">
      <formula>kvartal &lt; 4</formula>
    </cfRule>
  </conditionalFormatting>
  <conditionalFormatting sqref="F115">
    <cfRule type="expression" dxfId="649" priority="28">
      <formula>kvartal &lt; 4</formula>
    </cfRule>
  </conditionalFormatting>
  <conditionalFormatting sqref="G115">
    <cfRule type="expression" dxfId="648" priority="27">
      <formula>kvartal &lt; 4</formula>
    </cfRule>
  </conditionalFormatting>
  <conditionalFormatting sqref="F123:G123">
    <cfRule type="expression" dxfId="647" priority="26">
      <formula>kvartal &lt; 4</formula>
    </cfRule>
  </conditionalFormatting>
  <conditionalFormatting sqref="J115:K115">
    <cfRule type="expression" dxfId="646" priority="9">
      <formula>kvartal &lt; 4</formula>
    </cfRule>
  </conditionalFormatting>
  <conditionalFormatting sqref="J123:K123">
    <cfRule type="expression" dxfId="645" priority="8">
      <formula>kvartal &lt; 4</formula>
    </cfRule>
  </conditionalFormatting>
  <conditionalFormatting sqref="A50:A52">
    <cfRule type="expression" dxfId="644" priority="7">
      <formula>kvartal &lt; 4</formula>
    </cfRule>
  </conditionalFormatting>
  <conditionalFormatting sqref="A69:A74">
    <cfRule type="expression" dxfId="643" priority="6">
      <formula>kvartal &lt; 4</formula>
    </cfRule>
  </conditionalFormatting>
  <conditionalFormatting sqref="A80:A85">
    <cfRule type="expression" dxfId="642" priority="5">
      <formula>kvartal &lt; 4</formula>
    </cfRule>
  </conditionalFormatting>
  <conditionalFormatting sqref="A90:A95">
    <cfRule type="expression" dxfId="641" priority="4">
      <formula>kvartal &lt; 4</formula>
    </cfRule>
  </conditionalFormatting>
  <conditionalFormatting sqref="A101:A106">
    <cfRule type="expression" dxfId="640" priority="3">
      <formula>kvartal &lt; 4</formula>
    </cfRule>
  </conditionalFormatting>
  <conditionalFormatting sqref="A115">
    <cfRule type="expression" dxfId="639" priority="2">
      <formula>kvartal &lt; 4</formula>
    </cfRule>
  </conditionalFormatting>
  <conditionalFormatting sqref="A123">
    <cfRule type="expression" dxfId="638" priority="1">
      <formula>kvartal &lt; 4</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Normal="100" workbookViewId="0">
      <selection activeCell="M34" sqref="M34"/>
    </sheetView>
  </sheetViews>
  <sheetFormatPr baseColWidth="10" defaultColWidth="11.44140625" defaultRowHeight="13.2" x14ac:dyDescent="0.25"/>
  <cols>
    <col min="1" max="1" width="41.5546875" style="149" customWidth="1"/>
    <col min="2" max="2" width="10.6640625" style="149" customWidth="1"/>
    <col min="3" max="3" width="11" style="149" customWidth="1"/>
    <col min="4" max="5" width="8.6640625" style="149" customWidth="1"/>
    <col min="6" max="7" width="10.6640625" style="149" customWidth="1"/>
    <col min="8" max="9" width="8.6640625" style="149" customWidth="1"/>
    <col min="10" max="11" width="10.6640625" style="149" customWidth="1"/>
    <col min="12" max="13" width="8.6640625" style="149" customWidth="1"/>
    <col min="14" max="14" width="11.44140625" style="149"/>
    <col min="15" max="16384" width="11.44140625" style="1"/>
  </cols>
  <sheetData>
    <row r="1" spans="1:14" x14ac:dyDescent="0.25">
      <c r="A1" s="172" t="s">
        <v>134</v>
      </c>
      <c r="B1" s="696"/>
      <c r="C1" s="250" t="s">
        <v>84</v>
      </c>
      <c r="D1" s="26"/>
      <c r="E1" s="26"/>
      <c r="F1" s="26"/>
      <c r="G1" s="26"/>
      <c r="H1" s="26"/>
      <c r="I1" s="26"/>
      <c r="J1" s="26"/>
      <c r="K1" s="26"/>
      <c r="L1" s="26"/>
      <c r="M1" s="26"/>
    </row>
    <row r="2" spans="1:14" ht="15.6" x14ac:dyDescent="0.3">
      <c r="A2" s="165" t="s">
        <v>28</v>
      </c>
      <c r="B2" s="723"/>
      <c r="C2" s="723"/>
      <c r="D2" s="723"/>
      <c r="E2" s="404"/>
      <c r="F2" s="723"/>
      <c r="G2" s="723"/>
      <c r="H2" s="723"/>
      <c r="I2" s="404"/>
      <c r="J2" s="723"/>
      <c r="K2" s="723"/>
      <c r="L2" s="723"/>
      <c r="M2" s="404"/>
    </row>
    <row r="3" spans="1:14" ht="15.6" x14ac:dyDescent="0.3">
      <c r="A3" s="163"/>
      <c r="B3" s="404"/>
      <c r="C3" s="404"/>
      <c r="D3" s="404"/>
      <c r="E3" s="404"/>
      <c r="F3" s="404"/>
      <c r="G3" s="404"/>
      <c r="H3" s="404"/>
      <c r="I3" s="404"/>
      <c r="J3" s="404"/>
      <c r="K3" s="404"/>
      <c r="L3" s="404"/>
      <c r="M3" s="404"/>
    </row>
    <row r="4" spans="1:14" x14ac:dyDescent="0.25">
      <c r="A4" s="144"/>
      <c r="B4" s="724" t="s">
        <v>0</v>
      </c>
      <c r="C4" s="725"/>
      <c r="D4" s="725"/>
      <c r="E4" s="403"/>
      <c r="F4" s="724" t="s">
        <v>1</v>
      </c>
      <c r="G4" s="725"/>
      <c r="H4" s="725"/>
      <c r="I4" s="406"/>
      <c r="J4" s="724" t="s">
        <v>2</v>
      </c>
      <c r="K4" s="725"/>
      <c r="L4" s="725"/>
      <c r="M4" s="406"/>
    </row>
    <row r="5" spans="1:14" x14ac:dyDescent="0.25">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5">
      <c r="A6" s="697"/>
      <c r="B6" s="156"/>
      <c r="C6" s="156"/>
      <c r="D6" s="248" t="s">
        <v>4</v>
      </c>
      <c r="E6" s="156" t="s">
        <v>30</v>
      </c>
      <c r="F6" s="161"/>
      <c r="G6" s="161"/>
      <c r="H6" s="246" t="s">
        <v>4</v>
      </c>
      <c r="I6" s="156" t="s">
        <v>30</v>
      </c>
      <c r="J6" s="161"/>
      <c r="K6" s="161"/>
      <c r="L6" s="246" t="s">
        <v>4</v>
      </c>
      <c r="M6" s="156" t="s">
        <v>30</v>
      </c>
    </row>
    <row r="7" spans="1:14" ht="15.6" x14ac:dyDescent="0.25">
      <c r="A7" s="14" t="s">
        <v>23</v>
      </c>
      <c r="B7" s="308">
        <v>209266.72899999999</v>
      </c>
      <c r="C7" s="309">
        <v>207341.53400000001</v>
      </c>
      <c r="D7" s="351">
        <f>IF(B7=0, "    ---- ", IF(ABS(ROUND(100/B7*C7-100,1))&lt;999,ROUND(100/B7*C7-100,1),IF(ROUND(100/B7*C7-100,1)&gt;999,999,-999)))</f>
        <v>-0.9</v>
      </c>
      <c r="E7" s="11">
        <f>IFERROR(100/'Skjema total MA'!C7*C7,0)</f>
        <v>5.4370636080898755</v>
      </c>
      <c r="F7" s="308">
        <v>197786.42</v>
      </c>
      <c r="G7" s="309">
        <v>214762.978</v>
      </c>
      <c r="H7" s="351">
        <f>IF(F7=0, "    ---- ", IF(ABS(ROUND(100/F7*G7-100,1))&lt;999,ROUND(100/F7*G7-100,1),IF(ROUND(100/F7*G7-100,1)&gt;999,999,-999)))</f>
        <v>8.6</v>
      </c>
      <c r="I7" s="160">
        <f>IFERROR(100/'Skjema total MA'!F7*G7,0)</f>
        <v>1.9728264484628955</v>
      </c>
      <c r="J7" s="310">
        <f t="shared" ref="J7:K12" si="0">SUM(B7,F7)</f>
        <v>407053.14899999998</v>
      </c>
      <c r="K7" s="311">
        <f t="shared" si="0"/>
        <v>422104.51199999999</v>
      </c>
      <c r="L7" s="425">
        <f>IF(J7=0, "    ---- ", IF(ABS(ROUND(100/J7*K7-100,1))&lt;999,ROUND(100/J7*K7-100,1),IF(ROUND(100/J7*K7-100,1)&gt;999,999,-999)))</f>
        <v>3.7</v>
      </c>
      <c r="M7" s="11">
        <f>IFERROR(100/'Skjema total MA'!I7*K7,0)</f>
        <v>2.8715493217956052</v>
      </c>
    </row>
    <row r="8" spans="1:14" ht="15.6" x14ac:dyDescent="0.25">
      <c r="A8" s="21" t="s">
        <v>25</v>
      </c>
      <c r="B8" s="286">
        <v>100129.08500000001</v>
      </c>
      <c r="C8" s="287">
        <v>103604.49800000001</v>
      </c>
      <c r="D8" s="166">
        <f t="shared" ref="D8:D10" si="1">IF(B8=0, "    ---- ", IF(ABS(ROUND(100/B8*C8-100,1))&lt;999,ROUND(100/B8*C8-100,1),IF(ROUND(100/B8*C8-100,1)&gt;999,999,-999)))</f>
        <v>3.5</v>
      </c>
      <c r="E8" s="27">
        <f>IFERROR(100/'Skjema total MA'!C8*C8,0)</f>
        <v>4.1767887942757111</v>
      </c>
      <c r="F8" s="290"/>
      <c r="G8" s="291"/>
      <c r="H8" s="166"/>
      <c r="I8" s="176"/>
      <c r="J8" s="234">
        <f t="shared" si="0"/>
        <v>100129.08500000001</v>
      </c>
      <c r="K8" s="292">
        <f t="shared" si="0"/>
        <v>103604.49800000001</v>
      </c>
      <c r="L8" s="166">
        <f t="shared" ref="L8:L9" si="2">IF(J8=0, "    ---- ", IF(ABS(ROUND(100/J8*K8-100,1))&lt;999,ROUND(100/J8*K8-100,1),IF(ROUND(100/J8*K8-100,1)&gt;999,999,-999)))</f>
        <v>3.5</v>
      </c>
      <c r="M8" s="27">
        <f>IFERROR(100/'Skjema total MA'!I8*K8,0)</f>
        <v>4.1767887942757111</v>
      </c>
    </row>
    <row r="9" spans="1:14" ht="15.6" x14ac:dyDescent="0.25">
      <c r="A9" s="21" t="s">
        <v>24</v>
      </c>
      <c r="B9" s="286">
        <v>49169.527000000002</v>
      </c>
      <c r="C9" s="287">
        <v>48558.667000000001</v>
      </c>
      <c r="D9" s="166">
        <f t="shared" si="1"/>
        <v>-1.2</v>
      </c>
      <c r="E9" s="27">
        <f>IFERROR(100/'Skjema total MA'!C9*C9,0)</f>
        <v>6.1220388032010424</v>
      </c>
      <c r="F9" s="290"/>
      <c r="G9" s="291"/>
      <c r="H9" s="166"/>
      <c r="I9" s="176"/>
      <c r="J9" s="234">
        <f t="shared" si="0"/>
        <v>49169.527000000002</v>
      </c>
      <c r="K9" s="292">
        <f t="shared" si="0"/>
        <v>48558.667000000001</v>
      </c>
      <c r="L9" s="166">
        <f t="shared" si="2"/>
        <v>-1.2</v>
      </c>
      <c r="M9" s="27">
        <f>IFERROR(100/'Skjema total MA'!I9*K9,0)</f>
        <v>6.1220388032010424</v>
      </c>
    </row>
    <row r="10" spans="1:14" ht="15.6" x14ac:dyDescent="0.25">
      <c r="A10" s="13" t="s">
        <v>363</v>
      </c>
      <c r="B10" s="312">
        <v>317063.30800000002</v>
      </c>
      <c r="C10" s="313">
        <v>305799.25699999998</v>
      </c>
      <c r="D10" s="171">
        <f t="shared" si="1"/>
        <v>-3.6</v>
      </c>
      <c r="E10" s="11">
        <f>IFERROR(100/'Skjema total MA'!C10*C10,0)</f>
        <v>1.7992111504644701</v>
      </c>
      <c r="F10" s="312">
        <v>2632585.7349999999</v>
      </c>
      <c r="G10" s="313">
        <v>3154571.977</v>
      </c>
      <c r="H10" s="171">
        <f t="shared" ref="H10:H12" si="3">IF(F10=0, "    ---- ", IF(ABS(ROUND(100/F10*G10-100,1))&lt;999,ROUND(100/F10*G10-100,1),IF(ROUND(100/F10*G10-100,1)&gt;999,999,-999)))</f>
        <v>19.8</v>
      </c>
      <c r="I10" s="160">
        <f>IFERROR(100/'Skjema total MA'!F10*G10,0)</f>
        <v>4.3094326582331428</v>
      </c>
      <c r="J10" s="310">
        <f t="shared" si="0"/>
        <v>2949649.0430000001</v>
      </c>
      <c r="K10" s="311">
        <f t="shared" si="0"/>
        <v>3460371.2340000002</v>
      </c>
      <c r="L10" s="426">
        <f t="shared" ref="L10:L12" si="4">IF(J10=0, "    ---- ", IF(ABS(ROUND(100/J10*K10-100,1))&lt;999,ROUND(100/J10*K10-100,1),IF(ROUND(100/J10*K10-100,1)&gt;999,999,-999)))</f>
        <v>17.3</v>
      </c>
      <c r="M10" s="11">
        <f>IFERROR(100/'Skjema total MA'!I10*K10,0)</f>
        <v>3.8364228811029597</v>
      </c>
    </row>
    <row r="11" spans="1:14" s="43" customFormat="1" ht="15.6" x14ac:dyDescent="0.25">
      <c r="A11" s="13" t="s">
        <v>364</v>
      </c>
      <c r="B11" s="312"/>
      <c r="C11" s="313"/>
      <c r="D11" s="171"/>
      <c r="E11" s="11"/>
      <c r="F11" s="312">
        <v>11632.317999999999</v>
      </c>
      <c r="G11" s="313">
        <v>3780.78</v>
      </c>
      <c r="H11" s="171">
        <f t="shared" si="3"/>
        <v>-67.5</v>
      </c>
      <c r="I11" s="160">
        <f>IFERROR(100/'Skjema total MA'!F11*G11,0)</f>
        <v>1.094936685776593</v>
      </c>
      <c r="J11" s="310">
        <f t="shared" si="0"/>
        <v>11632.317999999999</v>
      </c>
      <c r="K11" s="311">
        <f t="shared" si="0"/>
        <v>3780.78</v>
      </c>
      <c r="L11" s="426">
        <f t="shared" si="4"/>
        <v>-67.5</v>
      </c>
      <c r="M11" s="11">
        <f>IFERROR(100/'Skjema total MA'!I11*K11,0)</f>
        <v>0.97573911576046779</v>
      </c>
      <c r="N11" s="143"/>
    </row>
    <row r="12" spans="1:14" s="43" customFormat="1" ht="15.6" x14ac:dyDescent="0.25">
      <c r="A12" s="41" t="s">
        <v>365</v>
      </c>
      <c r="B12" s="314"/>
      <c r="C12" s="315"/>
      <c r="D12" s="169"/>
      <c r="E12" s="36"/>
      <c r="F12" s="314">
        <v>20637.371999999999</v>
      </c>
      <c r="G12" s="315">
        <v>34375.345000000001</v>
      </c>
      <c r="H12" s="169">
        <f t="shared" si="3"/>
        <v>66.599999999999994</v>
      </c>
      <c r="I12" s="169">
        <f>IFERROR(100/'Skjema total MA'!F12*G12,0)</f>
        <v>23.4679203752973</v>
      </c>
      <c r="J12" s="316">
        <f t="shared" si="0"/>
        <v>20637.371999999999</v>
      </c>
      <c r="K12" s="317">
        <f t="shared" si="0"/>
        <v>34375.345000000001</v>
      </c>
      <c r="L12" s="427">
        <f t="shared" si="4"/>
        <v>66.599999999999994</v>
      </c>
      <c r="M12" s="36">
        <f>IFERROR(100/'Skjema total MA'!I12*K12,0)</f>
        <v>22.439155576537736</v>
      </c>
      <c r="N12" s="143"/>
    </row>
    <row r="13" spans="1:14" s="43" customFormat="1" x14ac:dyDescent="0.25">
      <c r="A13" s="168"/>
      <c r="B13" s="145"/>
      <c r="C13" s="33"/>
      <c r="D13" s="159"/>
      <c r="E13" s="159"/>
      <c r="F13" s="145"/>
      <c r="G13" s="33"/>
      <c r="H13" s="159"/>
      <c r="I13" s="159"/>
      <c r="J13" s="48"/>
      <c r="K13" s="48"/>
      <c r="L13" s="159"/>
      <c r="M13" s="159"/>
      <c r="N13" s="143"/>
    </row>
    <row r="14" spans="1:14" x14ac:dyDescent="0.25">
      <c r="A14" s="153" t="s">
        <v>273</v>
      </c>
      <c r="B14" s="26"/>
    </row>
    <row r="15" spans="1:14" x14ac:dyDescent="0.25">
      <c r="F15" s="146"/>
      <c r="G15" s="146"/>
      <c r="H15" s="146"/>
      <c r="I15" s="146"/>
      <c r="J15" s="146"/>
      <c r="K15" s="146"/>
      <c r="L15" s="146"/>
      <c r="M15" s="146"/>
    </row>
    <row r="16" spans="1:14" s="3" customFormat="1" ht="15.6" x14ac:dyDescent="0.3">
      <c r="A16" s="164"/>
      <c r="B16" s="148"/>
      <c r="C16" s="154"/>
      <c r="D16" s="154"/>
      <c r="E16" s="154"/>
      <c r="F16" s="154"/>
      <c r="G16" s="154"/>
      <c r="H16" s="154"/>
      <c r="I16" s="154"/>
      <c r="J16" s="154"/>
      <c r="K16" s="154"/>
      <c r="L16" s="154"/>
      <c r="M16" s="154"/>
      <c r="N16" s="148"/>
    </row>
    <row r="17" spans="1:14" ht="15.6" x14ac:dyDescent="0.3">
      <c r="A17" s="147" t="s">
        <v>270</v>
      </c>
      <c r="B17" s="157"/>
      <c r="C17" s="157"/>
      <c r="D17" s="151"/>
      <c r="E17" s="151"/>
      <c r="F17" s="157"/>
      <c r="G17" s="157"/>
      <c r="H17" s="157"/>
      <c r="I17" s="157"/>
      <c r="J17" s="157"/>
      <c r="K17" s="157"/>
      <c r="L17" s="157"/>
      <c r="M17" s="157"/>
    </row>
    <row r="18" spans="1:14" ht="15.6" x14ac:dyDescent="0.3">
      <c r="B18" s="726"/>
      <c r="C18" s="726"/>
      <c r="D18" s="726"/>
      <c r="E18" s="404"/>
      <c r="F18" s="726"/>
      <c r="G18" s="726"/>
      <c r="H18" s="726"/>
      <c r="I18" s="404"/>
      <c r="J18" s="726"/>
      <c r="K18" s="726"/>
      <c r="L18" s="726"/>
      <c r="M18" s="404"/>
    </row>
    <row r="19" spans="1:14" x14ac:dyDescent="0.25">
      <c r="A19" s="144"/>
      <c r="B19" s="724" t="s">
        <v>0</v>
      </c>
      <c r="C19" s="725"/>
      <c r="D19" s="725"/>
      <c r="E19" s="403"/>
      <c r="F19" s="724" t="s">
        <v>1</v>
      </c>
      <c r="G19" s="725"/>
      <c r="H19" s="725"/>
      <c r="I19" s="406"/>
      <c r="J19" s="724" t="s">
        <v>2</v>
      </c>
      <c r="K19" s="725"/>
      <c r="L19" s="725"/>
      <c r="M19" s="406"/>
    </row>
    <row r="20" spans="1:14" x14ac:dyDescent="0.25">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5">
      <c r="A21" s="698"/>
      <c r="B21" s="156"/>
      <c r="C21" s="156"/>
      <c r="D21" s="248" t="s">
        <v>4</v>
      </c>
      <c r="E21" s="414" t="s">
        <v>30</v>
      </c>
      <c r="F21" s="161"/>
      <c r="G21" s="161"/>
      <c r="H21" s="246" t="s">
        <v>4</v>
      </c>
      <c r="I21" s="156" t="s">
        <v>30</v>
      </c>
      <c r="J21" s="161"/>
      <c r="K21" s="161"/>
      <c r="L21" s="156" t="s">
        <v>4</v>
      </c>
      <c r="M21" s="156" t="s">
        <v>30</v>
      </c>
    </row>
    <row r="22" spans="1:14" ht="15.6" x14ac:dyDescent="0.25">
      <c r="A22" s="14" t="s">
        <v>23</v>
      </c>
      <c r="B22" s="312">
        <v>10695.239</v>
      </c>
      <c r="C22" s="312">
        <v>10422.823</v>
      </c>
      <c r="D22" s="351">
        <f t="shared" ref="D22:D29" si="5">IF(B22=0, "    ---- ", IF(ABS(ROUND(100/B22*C22-100,1))&lt;999,ROUND(100/B22*C22-100,1),IF(ROUND(100/B22*C22-100,1)&gt;999,999,-999)))</f>
        <v>-2.5</v>
      </c>
      <c r="E22" s="11">
        <f>IFERROR(100/'Skjema total MA'!C22*C22,0)</f>
        <v>0.67844771235840873</v>
      </c>
      <c r="F22" s="320">
        <v>43229.690999999999</v>
      </c>
      <c r="G22" s="320">
        <v>47619.093999999997</v>
      </c>
      <c r="H22" s="351">
        <f t="shared" ref="H22:H35" si="6">IF(F22=0, "    ---- ", IF(ABS(ROUND(100/F22*G22-100,1))&lt;999,ROUND(100/F22*G22-100,1),IF(ROUND(100/F22*G22-100,1)&gt;999,999,-999)))</f>
        <v>10.199999999999999</v>
      </c>
      <c r="I22" s="160">
        <f>IFERROR(100/'Skjema total MA'!F22*G22,0)</f>
        <v>4.2424400259372312</v>
      </c>
      <c r="J22" s="318">
        <f t="shared" ref="J22:K35" si="7">SUM(B22,F22)</f>
        <v>53924.93</v>
      </c>
      <c r="K22" s="318">
        <f t="shared" si="7"/>
        <v>58041.917000000001</v>
      </c>
      <c r="L22" s="425">
        <f t="shared" ref="L22:L35" si="8">IF(J22=0, "    ---- ", IF(ABS(ROUND(100/J22*K22-100,1))&lt;999,ROUND(100/J22*K22-100,1),IF(ROUND(100/J22*K22-100,1)&gt;999,999,-999)))</f>
        <v>7.6</v>
      </c>
      <c r="M22" s="24">
        <f>IFERROR(100/'Skjema total MA'!I22*K22,0)</f>
        <v>2.1830766726188431</v>
      </c>
    </row>
    <row r="23" spans="1:14" ht="15.6" x14ac:dyDescent="0.25">
      <c r="A23" s="581" t="s">
        <v>366</v>
      </c>
      <c r="B23" s="286"/>
      <c r="C23" s="286"/>
      <c r="D23" s="166"/>
      <c r="E23" s="11"/>
      <c r="F23" s="295">
        <v>3334.837</v>
      </c>
      <c r="G23" s="295">
        <v>3842.5859999999998</v>
      </c>
      <c r="H23" s="166">
        <f t="shared" si="6"/>
        <v>15.2</v>
      </c>
      <c r="I23" s="240">
        <f>IFERROR(100/'Skjema total MA'!F23*G23,0)</f>
        <v>2.1817133285060439</v>
      </c>
      <c r="J23" s="295">
        <f t="shared" ref="J23:J26" si="9">SUM(B23,F23)</f>
        <v>3334.837</v>
      </c>
      <c r="K23" s="295">
        <f t="shared" ref="K23:K26" si="10">SUM(C23,G23)</f>
        <v>3842.5859999999998</v>
      </c>
      <c r="L23" s="166">
        <f t="shared" si="8"/>
        <v>15.2</v>
      </c>
      <c r="M23" s="23">
        <f>IFERROR(100/'Skjema total MA'!I23*K23,0)</f>
        <v>0.52210693453053358</v>
      </c>
    </row>
    <row r="24" spans="1:14" ht="15.6" x14ac:dyDescent="0.25">
      <c r="A24" s="581" t="s">
        <v>367</v>
      </c>
      <c r="B24" s="286"/>
      <c r="C24" s="286"/>
      <c r="D24" s="166"/>
      <c r="E24" s="11"/>
      <c r="F24" s="295">
        <v>463.31299999999999</v>
      </c>
      <c r="G24" s="295">
        <v>0</v>
      </c>
      <c r="H24" s="166">
        <f t="shared" si="6"/>
        <v>-100</v>
      </c>
      <c r="I24" s="240">
        <f>IFERROR(100/'Skjema total MA'!F24*G24,0)</f>
        <v>0</v>
      </c>
      <c r="J24" s="295">
        <f t="shared" si="9"/>
        <v>463.31299999999999</v>
      </c>
      <c r="K24" s="295">
        <f t="shared" si="10"/>
        <v>0</v>
      </c>
      <c r="L24" s="166">
        <f t="shared" si="8"/>
        <v>-100</v>
      </c>
      <c r="M24" s="23">
        <f>IFERROR(100/'Skjema total MA'!I24*K24,0)</f>
        <v>0</v>
      </c>
    </row>
    <row r="25" spans="1:14" ht="15.6" x14ac:dyDescent="0.25">
      <c r="A25" s="581" t="s">
        <v>368</v>
      </c>
      <c r="B25" s="286"/>
      <c r="C25" s="286"/>
      <c r="D25" s="166"/>
      <c r="E25" s="11"/>
      <c r="F25" s="295">
        <v>1005.172</v>
      </c>
      <c r="G25" s="295">
        <v>990.58299999999997</v>
      </c>
      <c r="H25" s="166">
        <f t="shared" si="6"/>
        <v>-1.5</v>
      </c>
      <c r="I25" s="240">
        <f>IFERROR(100/'Skjema total MA'!F25*G25,0)</f>
        <v>7.9693062685920495</v>
      </c>
      <c r="J25" s="295">
        <f t="shared" si="9"/>
        <v>1005.172</v>
      </c>
      <c r="K25" s="295">
        <f t="shared" si="10"/>
        <v>990.58299999999997</v>
      </c>
      <c r="L25" s="166">
        <f t="shared" si="8"/>
        <v>-1.5</v>
      </c>
      <c r="M25" s="23">
        <f>IFERROR(100/'Skjema total MA'!I25*K25,0)</f>
        <v>2.6030555620212765</v>
      </c>
    </row>
    <row r="26" spans="1:14" ht="15.6" x14ac:dyDescent="0.25">
      <c r="A26" s="581" t="s">
        <v>369</v>
      </c>
      <c r="B26" s="286"/>
      <c r="C26" s="286"/>
      <c r="D26" s="166"/>
      <c r="E26" s="11"/>
      <c r="F26" s="295">
        <v>38426.368999999999</v>
      </c>
      <c r="G26" s="295">
        <v>42785.925000000003</v>
      </c>
      <c r="H26" s="166">
        <f t="shared" si="6"/>
        <v>11.3</v>
      </c>
      <c r="I26" s="240">
        <f>IFERROR(100/'Skjema total MA'!F26*G26,0)</f>
        <v>4.578467806607966</v>
      </c>
      <c r="J26" s="295">
        <f t="shared" si="9"/>
        <v>38426.368999999999</v>
      </c>
      <c r="K26" s="295">
        <f t="shared" si="10"/>
        <v>42785.925000000003</v>
      </c>
      <c r="L26" s="166">
        <f t="shared" si="8"/>
        <v>11.3</v>
      </c>
      <c r="M26" s="23">
        <f>IFERROR(100/'Skjema total MA'!I26*K26,0)</f>
        <v>4.578467806607966</v>
      </c>
    </row>
    <row r="27" spans="1:14" x14ac:dyDescent="0.25">
      <c r="A27" s="581" t="s">
        <v>11</v>
      </c>
      <c r="B27" s="286"/>
      <c r="C27" s="286"/>
      <c r="D27" s="166"/>
      <c r="E27" s="11"/>
      <c r="F27" s="295"/>
      <c r="G27" s="295"/>
      <c r="H27" s="166"/>
      <c r="I27" s="240"/>
      <c r="J27" s="295"/>
      <c r="K27" s="295"/>
      <c r="L27" s="166"/>
      <c r="M27" s="23"/>
    </row>
    <row r="28" spans="1:14" ht="15.6" x14ac:dyDescent="0.25">
      <c r="A28" s="49" t="s">
        <v>274</v>
      </c>
      <c r="B28" s="44">
        <v>10695.239</v>
      </c>
      <c r="C28" s="292">
        <v>10422.823</v>
      </c>
      <c r="D28" s="166">
        <f t="shared" si="5"/>
        <v>-2.5</v>
      </c>
      <c r="E28" s="11">
        <f>IFERROR(100/'Skjema total MA'!C28*C28,0)</f>
        <v>0.61822225754235438</v>
      </c>
      <c r="F28" s="321"/>
      <c r="G28" s="321"/>
      <c r="H28" s="166"/>
      <c r="I28" s="176"/>
      <c r="J28" s="44">
        <f t="shared" si="7"/>
        <v>10695.239</v>
      </c>
      <c r="K28" s="44">
        <f t="shared" si="7"/>
        <v>10422.823</v>
      </c>
      <c r="L28" s="259">
        <f t="shared" si="8"/>
        <v>-2.5</v>
      </c>
      <c r="M28" s="23">
        <f>IFERROR(100/'Skjema total MA'!I28*K28,0)</f>
        <v>0.61822225754235438</v>
      </c>
    </row>
    <row r="29" spans="1:14" s="3" customFormat="1" ht="15.6" x14ac:dyDescent="0.25">
      <c r="A29" s="13" t="s">
        <v>363</v>
      </c>
      <c r="B29" s="236">
        <v>119080.289</v>
      </c>
      <c r="C29" s="236">
        <v>143270.58799999999</v>
      </c>
      <c r="D29" s="171">
        <f t="shared" si="5"/>
        <v>20.3</v>
      </c>
      <c r="E29" s="11">
        <f>IFERROR(100/'Skjema total MA'!C29*C29,0)</f>
        <v>0.318649669552721</v>
      </c>
      <c r="F29" s="310">
        <v>2074761.493</v>
      </c>
      <c r="G29" s="310">
        <v>2269450.6460000002</v>
      </c>
      <c r="H29" s="171">
        <f t="shared" si="6"/>
        <v>9.4</v>
      </c>
      <c r="I29" s="160">
        <f>IFERROR(100/'Skjema total MA'!F29*G29,0)</f>
        <v>8.8218062943495745</v>
      </c>
      <c r="J29" s="236">
        <f t="shared" si="7"/>
        <v>2193841.7820000001</v>
      </c>
      <c r="K29" s="236">
        <f t="shared" si="7"/>
        <v>2412721.2340000002</v>
      </c>
      <c r="L29" s="426">
        <f t="shared" si="8"/>
        <v>10</v>
      </c>
      <c r="M29" s="24">
        <f>IFERROR(100/'Skjema total MA'!I29*K29,0)</f>
        <v>3.4132338694293778</v>
      </c>
      <c r="N29" s="148"/>
    </row>
    <row r="30" spans="1:14" s="3" customFormat="1" ht="15.6" x14ac:dyDescent="0.25">
      <c r="A30" s="581" t="s">
        <v>366</v>
      </c>
      <c r="B30" s="286"/>
      <c r="C30" s="286"/>
      <c r="D30" s="166"/>
      <c r="E30" s="11"/>
      <c r="F30" s="295">
        <v>593683.84900000005</v>
      </c>
      <c r="G30" s="295">
        <v>632998.16</v>
      </c>
      <c r="H30" s="166">
        <f t="shared" si="6"/>
        <v>6.6</v>
      </c>
      <c r="I30" s="240">
        <f>IFERROR(100/'Skjema total MA'!F30*G30,0)</f>
        <v>15.397808698937226</v>
      </c>
      <c r="J30" s="295">
        <f t="shared" ref="J30:J33" si="11">SUM(B30,F30)</f>
        <v>593683.84900000005</v>
      </c>
      <c r="K30" s="295">
        <f t="shared" ref="K30:K33" si="12">SUM(C30,G30)</f>
        <v>632998.16</v>
      </c>
      <c r="L30" s="166">
        <f t="shared" si="8"/>
        <v>6.6</v>
      </c>
      <c r="M30" s="23">
        <f>IFERROR(100/'Skjema total MA'!I30*K30,0)</f>
        <v>3.6493271293066987</v>
      </c>
      <c r="N30" s="148"/>
    </row>
    <row r="31" spans="1:14" s="3" customFormat="1" ht="15.6" x14ac:dyDescent="0.25">
      <c r="A31" s="581" t="s">
        <v>367</v>
      </c>
      <c r="B31" s="286"/>
      <c r="C31" s="286"/>
      <c r="D31" s="166"/>
      <c r="E31" s="11"/>
      <c r="F31" s="295">
        <v>1150969.1299999999</v>
      </c>
      <c r="G31" s="295">
        <v>1175927.8149999999</v>
      </c>
      <c r="H31" s="166">
        <f t="shared" si="6"/>
        <v>2.2000000000000002</v>
      </c>
      <c r="I31" s="240">
        <f>IFERROR(100/'Skjema total MA'!F31*G31,0)</f>
        <v>12.534103430214648</v>
      </c>
      <c r="J31" s="295">
        <f t="shared" si="11"/>
        <v>1150969.1299999999</v>
      </c>
      <c r="K31" s="295">
        <f t="shared" si="12"/>
        <v>1175927.8149999999</v>
      </c>
      <c r="L31" s="166">
        <f t="shared" si="8"/>
        <v>2.2000000000000002</v>
      </c>
      <c r="M31" s="23">
        <f>IFERROR(100/'Skjema total MA'!I31*K31,0)</f>
        <v>3.6894585811604701</v>
      </c>
      <c r="N31" s="148"/>
    </row>
    <row r="32" spans="1:14" ht="15.6" x14ac:dyDescent="0.25">
      <c r="A32" s="581" t="s">
        <v>368</v>
      </c>
      <c r="B32" s="286"/>
      <c r="C32" s="286"/>
      <c r="D32" s="166"/>
      <c r="E32" s="11"/>
      <c r="F32" s="295">
        <v>83753.790999999997</v>
      </c>
      <c r="G32" s="295">
        <v>97131.565000000002</v>
      </c>
      <c r="H32" s="166">
        <f t="shared" si="6"/>
        <v>16</v>
      </c>
      <c r="I32" s="240">
        <f>IFERROR(100/'Skjema total MA'!F32*G32,0)</f>
        <v>1.6942430413777381</v>
      </c>
      <c r="J32" s="295">
        <f t="shared" si="11"/>
        <v>83753.790999999997</v>
      </c>
      <c r="K32" s="295">
        <f t="shared" si="12"/>
        <v>97131.565000000002</v>
      </c>
      <c r="L32" s="166">
        <f t="shared" si="8"/>
        <v>16</v>
      </c>
      <c r="M32" s="23">
        <f>IFERROR(100/'Skjema total MA'!I32*K32,0)</f>
        <v>1.1220506274997732</v>
      </c>
    </row>
    <row r="33" spans="1:14" ht="15.6" x14ac:dyDescent="0.25">
      <c r="A33" s="581" t="s">
        <v>369</v>
      </c>
      <c r="B33" s="286"/>
      <c r="C33" s="286"/>
      <c r="D33" s="166"/>
      <c r="E33" s="11"/>
      <c r="F33" s="295">
        <v>246354.723</v>
      </c>
      <c r="G33" s="295">
        <v>363393.10600000003</v>
      </c>
      <c r="H33" s="166">
        <f t="shared" si="6"/>
        <v>47.5</v>
      </c>
      <c r="I33" s="240">
        <f>IFERROR(100/'Skjema total MA'!F33*G33,0)</f>
        <v>5.5909732865578068</v>
      </c>
      <c r="J33" s="295">
        <f t="shared" si="11"/>
        <v>246354.723</v>
      </c>
      <c r="K33" s="295">
        <f t="shared" si="12"/>
        <v>363393.10600000003</v>
      </c>
      <c r="L33" s="166">
        <f t="shared" si="8"/>
        <v>47.5</v>
      </c>
      <c r="M33" s="23">
        <f>IFERROR(100/'Skjema total MA'!I33*K33,0)</f>
        <v>5.5909732865578068</v>
      </c>
    </row>
    <row r="34" spans="1:14" ht="15.6" x14ac:dyDescent="0.25">
      <c r="A34" s="13" t="s">
        <v>364</v>
      </c>
      <c r="B34" s="236"/>
      <c r="C34" s="311"/>
      <c r="D34" s="171"/>
      <c r="E34" s="11"/>
      <c r="F34" s="310">
        <v>9562.6149999999998</v>
      </c>
      <c r="G34" s="311">
        <v>13593.841</v>
      </c>
      <c r="H34" s="171">
        <f t="shared" si="6"/>
        <v>42.2</v>
      </c>
      <c r="I34" s="160">
        <f>IFERROR(100/'Skjema total MA'!F34*G34,0)</f>
        <v>18.916823701367523</v>
      </c>
      <c r="J34" s="236">
        <f t="shared" si="7"/>
        <v>9562.6149999999998</v>
      </c>
      <c r="K34" s="236">
        <f t="shared" si="7"/>
        <v>13593.841</v>
      </c>
      <c r="L34" s="426">
        <f t="shared" si="8"/>
        <v>42.2</v>
      </c>
      <c r="M34" s="24">
        <f>IFERROR(100/'Skjema total MA'!I34*K34,0)</f>
        <v>16.37975436145781</v>
      </c>
    </row>
    <row r="35" spans="1:14" ht="15.6" x14ac:dyDescent="0.25">
      <c r="A35" s="13" t="s">
        <v>365</v>
      </c>
      <c r="B35" s="236"/>
      <c r="C35" s="311"/>
      <c r="D35" s="171"/>
      <c r="E35" s="11"/>
      <c r="F35" s="310">
        <v>12921.367</v>
      </c>
      <c r="G35" s="311">
        <v>20930.88</v>
      </c>
      <c r="H35" s="171">
        <f t="shared" si="6"/>
        <v>62</v>
      </c>
      <c r="I35" s="160">
        <f>IFERROR(100/'Skjema total MA'!F35*G35,0)</f>
        <v>16.192556613218169</v>
      </c>
      <c r="J35" s="236">
        <f t="shared" si="7"/>
        <v>12921.367</v>
      </c>
      <c r="K35" s="236">
        <f t="shared" si="7"/>
        <v>20930.88</v>
      </c>
      <c r="L35" s="426">
        <f t="shared" si="8"/>
        <v>62</v>
      </c>
      <c r="M35" s="24">
        <f>IFERROR(100/'Skjema total MA'!I35*K35,0)</f>
        <v>37.815481275573724</v>
      </c>
    </row>
    <row r="36" spans="1:14" ht="15.6" x14ac:dyDescent="0.25">
      <c r="A36" s="12" t="s">
        <v>282</v>
      </c>
      <c r="B36" s="236"/>
      <c r="C36" s="311"/>
      <c r="D36" s="171"/>
      <c r="E36" s="11"/>
      <c r="F36" s="321"/>
      <c r="G36" s="322"/>
      <c r="H36" s="171"/>
      <c r="I36" s="428"/>
      <c r="J36" s="236"/>
      <c r="K36" s="236"/>
      <c r="L36" s="426"/>
      <c r="M36" s="24"/>
    </row>
    <row r="37" spans="1:14" ht="15.6" x14ac:dyDescent="0.25">
      <c r="A37" s="12" t="s">
        <v>371</v>
      </c>
      <c r="B37" s="236"/>
      <c r="C37" s="311"/>
      <c r="D37" s="171"/>
      <c r="E37" s="11"/>
      <c r="F37" s="321"/>
      <c r="G37" s="323"/>
      <c r="H37" s="171"/>
      <c r="I37" s="428"/>
      <c r="J37" s="236"/>
      <c r="K37" s="236"/>
      <c r="L37" s="426"/>
      <c r="M37" s="24"/>
    </row>
    <row r="38" spans="1:14" ht="15.6" x14ac:dyDescent="0.25">
      <c r="A38" s="12" t="s">
        <v>372</v>
      </c>
      <c r="B38" s="236"/>
      <c r="C38" s="311"/>
      <c r="D38" s="171"/>
      <c r="E38" s="24"/>
      <c r="F38" s="321"/>
      <c r="G38" s="322"/>
      <c r="H38" s="171"/>
      <c r="I38" s="428"/>
      <c r="J38" s="236"/>
      <c r="K38" s="236"/>
      <c r="L38" s="426"/>
      <c r="M38" s="24"/>
    </row>
    <row r="39" spans="1:14" ht="15.6" x14ac:dyDescent="0.25">
      <c r="A39" s="18" t="s">
        <v>373</v>
      </c>
      <c r="B39" s="281"/>
      <c r="C39" s="317"/>
      <c r="D39" s="169"/>
      <c r="E39" s="36"/>
      <c r="F39" s="324"/>
      <c r="G39" s="325"/>
      <c r="H39" s="169"/>
      <c r="I39" s="169"/>
      <c r="J39" s="236"/>
      <c r="K39" s="236"/>
      <c r="L39" s="427"/>
      <c r="M39" s="36"/>
    </row>
    <row r="40" spans="1:14" ht="15.6" x14ac:dyDescent="0.3">
      <c r="A40" s="47"/>
      <c r="B40" s="258"/>
      <c r="C40" s="258"/>
      <c r="D40" s="727"/>
      <c r="E40" s="727"/>
      <c r="F40" s="727"/>
      <c r="G40" s="727"/>
      <c r="H40" s="727"/>
      <c r="I40" s="727"/>
      <c r="J40" s="727"/>
      <c r="K40" s="727"/>
      <c r="L40" s="727"/>
      <c r="M40" s="405"/>
    </row>
    <row r="41" spans="1:14" x14ac:dyDescent="0.25">
      <c r="A41" s="155"/>
    </row>
    <row r="42" spans="1:14" ht="15.6" x14ac:dyDescent="0.3">
      <c r="A42" s="147" t="s">
        <v>271</v>
      </c>
      <c r="B42" s="723"/>
      <c r="C42" s="723"/>
      <c r="D42" s="723"/>
      <c r="E42" s="404"/>
      <c r="F42" s="728"/>
      <c r="G42" s="728"/>
      <c r="H42" s="728"/>
      <c r="I42" s="405"/>
      <c r="J42" s="728"/>
      <c r="K42" s="728"/>
      <c r="L42" s="728"/>
      <c r="M42" s="405"/>
    </row>
    <row r="43" spans="1:14" ht="15.6" x14ac:dyDescent="0.3">
      <c r="A43" s="163"/>
      <c r="B43" s="401"/>
      <c r="C43" s="401"/>
      <c r="D43" s="401"/>
      <c r="E43" s="401"/>
      <c r="F43" s="405"/>
      <c r="G43" s="405"/>
      <c r="H43" s="405"/>
      <c r="I43" s="405"/>
      <c r="J43" s="405"/>
      <c r="K43" s="405"/>
      <c r="L43" s="405"/>
      <c r="M43" s="405"/>
    </row>
    <row r="44" spans="1:14" ht="15.6" x14ac:dyDescent="0.3">
      <c r="A44" s="249"/>
      <c r="B44" s="724" t="s">
        <v>0</v>
      </c>
      <c r="C44" s="725"/>
      <c r="D44" s="725"/>
      <c r="E44" s="244"/>
      <c r="F44" s="405"/>
      <c r="G44" s="405"/>
      <c r="H44" s="405"/>
      <c r="I44" s="405"/>
      <c r="J44" s="405"/>
      <c r="K44" s="405"/>
      <c r="L44" s="405"/>
      <c r="M44" s="405"/>
    </row>
    <row r="45" spans="1:14" s="3" customFormat="1" x14ac:dyDescent="0.25">
      <c r="A45" s="140"/>
      <c r="B45" s="173" t="s">
        <v>435</v>
      </c>
      <c r="C45" s="173" t="s">
        <v>436</v>
      </c>
      <c r="D45" s="162" t="s">
        <v>3</v>
      </c>
      <c r="E45" s="162" t="s">
        <v>29</v>
      </c>
      <c r="F45" s="175"/>
      <c r="G45" s="175"/>
      <c r="H45" s="174"/>
      <c r="I45" s="174"/>
      <c r="J45" s="175"/>
      <c r="K45" s="175"/>
      <c r="L45" s="174"/>
      <c r="M45" s="174"/>
      <c r="N45" s="148"/>
    </row>
    <row r="46" spans="1:14" s="3" customFormat="1" x14ac:dyDescent="0.25">
      <c r="A46" s="698"/>
      <c r="B46" s="245"/>
      <c r="C46" s="245"/>
      <c r="D46" s="246" t="s">
        <v>4</v>
      </c>
      <c r="E46" s="156" t="s">
        <v>30</v>
      </c>
      <c r="F46" s="174"/>
      <c r="G46" s="174"/>
      <c r="H46" s="174"/>
      <c r="I46" s="174"/>
      <c r="J46" s="174"/>
      <c r="K46" s="174"/>
      <c r="L46" s="174"/>
      <c r="M46" s="174"/>
      <c r="N46" s="148"/>
    </row>
    <row r="47" spans="1:14" s="3" customFormat="1" ht="15.6" x14ac:dyDescent="0.25">
      <c r="A47" s="14" t="s">
        <v>23</v>
      </c>
      <c r="B47" s="312">
        <v>6193.2420000000002</v>
      </c>
      <c r="C47" s="313">
        <v>6059.9129999999996</v>
      </c>
      <c r="D47" s="425">
        <f t="shared" ref="D47:D48" si="13">IF(B47=0, "    ---- ", IF(ABS(ROUND(100/B47*C47-100,1))&lt;999,ROUND(100/B47*C47-100,1),IF(ROUND(100/B47*C47-100,1)&gt;999,999,-999)))</f>
        <v>-2.2000000000000002</v>
      </c>
      <c r="E47" s="11">
        <f>IFERROR(100/'Skjema total MA'!C47*C47,0)</f>
        <v>0.13554150790272124</v>
      </c>
      <c r="F47" s="145"/>
      <c r="G47" s="33"/>
      <c r="H47" s="159"/>
      <c r="I47" s="159"/>
      <c r="J47" s="37"/>
      <c r="K47" s="37"/>
      <c r="L47" s="159"/>
      <c r="M47" s="159"/>
      <c r="N47" s="148"/>
    </row>
    <row r="48" spans="1:14" s="3" customFormat="1" ht="15.6" x14ac:dyDescent="0.25">
      <c r="A48" s="38" t="s">
        <v>374</v>
      </c>
      <c r="B48" s="286">
        <v>6193.2420000000002</v>
      </c>
      <c r="C48" s="287">
        <v>6059.9129999999996</v>
      </c>
      <c r="D48" s="259">
        <f t="shared" si="13"/>
        <v>-2.2000000000000002</v>
      </c>
      <c r="E48" s="27">
        <f>IFERROR(100/'Skjema total MA'!C48*C48,0)</f>
        <v>0.24169383816106038</v>
      </c>
      <c r="F48" s="145"/>
      <c r="G48" s="33"/>
      <c r="H48" s="145"/>
      <c r="I48" s="145"/>
      <c r="J48" s="33"/>
      <c r="K48" s="33"/>
      <c r="L48" s="159"/>
      <c r="M48" s="159"/>
      <c r="N48" s="148"/>
    </row>
    <row r="49" spans="1:14" s="3" customFormat="1" ht="15.6" x14ac:dyDescent="0.25">
      <c r="A49" s="38" t="s">
        <v>375</v>
      </c>
      <c r="B49" s="44"/>
      <c r="C49" s="292"/>
      <c r="D49" s="259"/>
      <c r="E49" s="27"/>
      <c r="F49" s="145"/>
      <c r="G49" s="33"/>
      <c r="H49" s="145"/>
      <c r="I49" s="145"/>
      <c r="J49" s="37"/>
      <c r="K49" s="37"/>
      <c r="L49" s="159"/>
      <c r="M49" s="159"/>
      <c r="N49" s="148"/>
    </row>
    <row r="50" spans="1:14" s="3" customFormat="1" x14ac:dyDescent="0.25">
      <c r="A50" s="298" t="s">
        <v>6</v>
      </c>
      <c r="B50" s="321"/>
      <c r="C50" s="321"/>
      <c r="D50" s="259"/>
      <c r="E50" s="23"/>
      <c r="F50" s="145"/>
      <c r="G50" s="33"/>
      <c r="H50" s="145"/>
      <c r="I50" s="145"/>
      <c r="J50" s="33"/>
      <c r="K50" s="33"/>
      <c r="L50" s="159"/>
      <c r="M50" s="159"/>
      <c r="N50" s="148"/>
    </row>
    <row r="51" spans="1:14" s="3" customFormat="1" x14ac:dyDescent="0.25">
      <c r="A51" s="298" t="s">
        <v>7</v>
      </c>
      <c r="B51" s="321"/>
      <c r="C51" s="321"/>
      <c r="D51" s="259"/>
      <c r="E51" s="23"/>
      <c r="F51" s="145"/>
      <c r="G51" s="33"/>
      <c r="H51" s="145"/>
      <c r="I51" s="145"/>
      <c r="J51" s="33"/>
      <c r="K51" s="33"/>
      <c r="L51" s="159"/>
      <c r="M51" s="159"/>
      <c r="N51" s="148"/>
    </row>
    <row r="52" spans="1:14" s="3" customFormat="1" x14ac:dyDescent="0.25">
      <c r="A52" s="298" t="s">
        <v>8</v>
      </c>
      <c r="B52" s="321"/>
      <c r="C52" s="321"/>
      <c r="D52" s="259"/>
      <c r="E52" s="23"/>
      <c r="F52" s="145"/>
      <c r="G52" s="33"/>
      <c r="H52" s="145"/>
      <c r="I52" s="145"/>
      <c r="J52" s="33"/>
      <c r="K52" s="33"/>
      <c r="L52" s="159"/>
      <c r="M52" s="159"/>
      <c r="N52" s="148"/>
    </row>
    <row r="53" spans="1:14" s="3" customFormat="1" ht="15.6" x14ac:dyDescent="0.25">
      <c r="A53" s="39" t="s">
        <v>376</v>
      </c>
      <c r="B53" s="312"/>
      <c r="C53" s="313"/>
      <c r="D53" s="426"/>
      <c r="E53" s="11"/>
      <c r="F53" s="145"/>
      <c r="G53" s="33"/>
      <c r="H53" s="145"/>
      <c r="I53" s="145"/>
      <c r="J53" s="33"/>
      <c r="K53" s="33"/>
      <c r="L53" s="159"/>
      <c r="M53" s="159"/>
      <c r="N53" s="148"/>
    </row>
    <row r="54" spans="1:14" s="3" customFormat="1" ht="15.6" x14ac:dyDescent="0.25">
      <c r="A54" s="38" t="s">
        <v>374</v>
      </c>
      <c r="B54" s="286"/>
      <c r="C54" s="287"/>
      <c r="D54" s="259"/>
      <c r="E54" s="27"/>
      <c r="F54" s="145"/>
      <c r="G54" s="33"/>
      <c r="H54" s="145"/>
      <c r="I54" s="145"/>
      <c r="J54" s="33"/>
      <c r="K54" s="33"/>
      <c r="L54" s="159"/>
      <c r="M54" s="159"/>
      <c r="N54" s="148"/>
    </row>
    <row r="55" spans="1:14" s="3" customFormat="1" ht="15.6" x14ac:dyDescent="0.25">
      <c r="A55" s="38" t="s">
        <v>375</v>
      </c>
      <c r="B55" s="286"/>
      <c r="C55" s="287"/>
      <c r="D55" s="259"/>
      <c r="E55" s="27"/>
      <c r="F55" s="145"/>
      <c r="G55" s="33"/>
      <c r="H55" s="145"/>
      <c r="I55" s="145"/>
      <c r="J55" s="33"/>
      <c r="K55" s="33"/>
      <c r="L55" s="159"/>
      <c r="M55" s="159"/>
      <c r="N55" s="148"/>
    </row>
    <row r="56" spans="1:14" s="3" customFormat="1" ht="15.6" x14ac:dyDescent="0.25">
      <c r="A56" s="39" t="s">
        <v>377</v>
      </c>
      <c r="B56" s="312"/>
      <c r="C56" s="313"/>
      <c r="D56" s="426"/>
      <c r="E56" s="11"/>
      <c r="F56" s="145"/>
      <c r="G56" s="33"/>
      <c r="H56" s="145"/>
      <c r="I56" s="145"/>
      <c r="J56" s="33"/>
      <c r="K56" s="33"/>
      <c r="L56" s="159"/>
      <c r="M56" s="159"/>
      <c r="N56" s="148"/>
    </row>
    <row r="57" spans="1:14" s="3" customFormat="1" ht="15.6" x14ac:dyDescent="0.25">
      <c r="A57" s="38" t="s">
        <v>374</v>
      </c>
      <c r="B57" s="286"/>
      <c r="C57" s="287"/>
      <c r="D57" s="259"/>
      <c r="E57" s="27"/>
      <c r="F57" s="145"/>
      <c r="G57" s="33"/>
      <c r="H57" s="145"/>
      <c r="I57" s="145"/>
      <c r="J57" s="33"/>
      <c r="K57" s="33"/>
      <c r="L57" s="159"/>
      <c r="M57" s="159"/>
      <c r="N57" s="148"/>
    </row>
    <row r="58" spans="1:14" s="3" customFormat="1" ht="15.6" x14ac:dyDescent="0.25">
      <c r="A58" s="46" t="s">
        <v>375</v>
      </c>
      <c r="B58" s="288"/>
      <c r="C58" s="289"/>
      <c r="D58" s="260"/>
      <c r="E58" s="22"/>
      <c r="F58" s="145"/>
      <c r="G58" s="33"/>
      <c r="H58" s="145"/>
      <c r="I58" s="145"/>
      <c r="J58" s="33"/>
      <c r="K58" s="33"/>
      <c r="L58" s="159"/>
      <c r="M58" s="159"/>
      <c r="N58" s="148"/>
    </row>
    <row r="59" spans="1:14" s="3" customFormat="1" ht="15.6" x14ac:dyDescent="0.3">
      <c r="A59" s="164"/>
      <c r="B59" s="154"/>
      <c r="C59" s="154"/>
      <c r="D59" s="154"/>
      <c r="E59" s="154"/>
      <c r="F59" s="142"/>
      <c r="G59" s="142"/>
      <c r="H59" s="142"/>
      <c r="I59" s="142"/>
      <c r="J59" s="142"/>
      <c r="K59" s="142"/>
      <c r="L59" s="142"/>
      <c r="M59" s="142"/>
      <c r="N59" s="148"/>
    </row>
    <row r="60" spans="1:14" x14ac:dyDescent="0.25">
      <c r="A60" s="155"/>
    </row>
    <row r="61" spans="1:14" ht="15.6" x14ac:dyDescent="0.3">
      <c r="A61" s="147" t="s">
        <v>272</v>
      </c>
      <c r="C61" s="26"/>
      <c r="D61" s="26"/>
      <c r="E61" s="26"/>
      <c r="F61" s="26"/>
      <c r="G61" s="26"/>
      <c r="H61" s="26"/>
      <c r="I61" s="26"/>
      <c r="J61" s="26"/>
      <c r="K61" s="26"/>
      <c r="L61" s="26"/>
      <c r="M61" s="26"/>
    </row>
    <row r="62" spans="1:14" ht="15.6" x14ac:dyDescent="0.3">
      <c r="B62" s="726"/>
      <c r="C62" s="726"/>
      <c r="D62" s="726"/>
      <c r="E62" s="404"/>
      <c r="F62" s="726"/>
      <c r="G62" s="726"/>
      <c r="H62" s="726"/>
      <c r="I62" s="404"/>
      <c r="J62" s="726"/>
      <c r="K62" s="726"/>
      <c r="L62" s="726"/>
      <c r="M62" s="404"/>
    </row>
    <row r="63" spans="1:14" x14ac:dyDescent="0.25">
      <c r="A63" s="144"/>
      <c r="B63" s="724" t="s">
        <v>0</v>
      </c>
      <c r="C63" s="725"/>
      <c r="D63" s="729"/>
      <c r="E63" s="402"/>
      <c r="F63" s="725" t="s">
        <v>1</v>
      </c>
      <c r="G63" s="725"/>
      <c r="H63" s="725"/>
      <c r="I63" s="406"/>
      <c r="J63" s="724" t="s">
        <v>2</v>
      </c>
      <c r="K63" s="725"/>
      <c r="L63" s="725"/>
      <c r="M63" s="406"/>
    </row>
    <row r="64" spans="1:14" x14ac:dyDescent="0.25">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5">
      <c r="A65" s="698"/>
      <c r="B65" s="156"/>
      <c r="C65" s="156"/>
      <c r="D65" s="248" t="s">
        <v>4</v>
      </c>
      <c r="E65" s="156" t="s">
        <v>30</v>
      </c>
      <c r="F65" s="161"/>
      <c r="G65" s="161"/>
      <c r="H65" s="246" t="s">
        <v>4</v>
      </c>
      <c r="I65" s="156" t="s">
        <v>30</v>
      </c>
      <c r="J65" s="161"/>
      <c r="K65" s="206"/>
      <c r="L65" s="156" t="s">
        <v>4</v>
      </c>
      <c r="M65" s="156" t="s">
        <v>30</v>
      </c>
    </row>
    <row r="66" spans="1:14" ht="15.6" x14ac:dyDescent="0.25">
      <c r="A66" s="14" t="s">
        <v>23</v>
      </c>
      <c r="B66" s="354">
        <v>96731.383000000002</v>
      </c>
      <c r="C66" s="354">
        <v>101559.81600000001</v>
      </c>
      <c r="D66" s="351">
        <f t="shared" ref="D66:D120" si="14">IF(B66=0, "    ---- ", IF(ABS(ROUND(100/B66*C66-100,1))&lt;999,ROUND(100/B66*C66-100,1),IF(ROUND(100/B66*C66-100,1)&gt;999,999,-999)))</f>
        <v>5</v>
      </c>
      <c r="E66" s="11">
        <f>IFERROR(100/'Skjema total MA'!C66*C66,0)</f>
        <v>1.6189272967102211</v>
      </c>
      <c r="F66" s="353">
        <v>1319681.8370000001</v>
      </c>
      <c r="G66" s="353">
        <v>1465380.395</v>
      </c>
      <c r="H66" s="351">
        <f t="shared" ref="H66:H125" si="15">IF(F66=0, "    ---- ", IF(ABS(ROUND(100/F66*G66-100,1))&lt;999,ROUND(100/F66*G66-100,1),IF(ROUND(100/F66*G66-100,1)&gt;999,999,-999)))</f>
        <v>11</v>
      </c>
      <c r="I66" s="11">
        <f>IFERROR(100/'Skjema total MA'!F66*G66,0)</f>
        <v>5.2206578982521892</v>
      </c>
      <c r="J66" s="311">
        <f t="shared" ref="J66:K79" si="16">SUM(B66,F66)</f>
        <v>1416413.22</v>
      </c>
      <c r="K66" s="318">
        <f t="shared" si="16"/>
        <v>1566940.2110000001</v>
      </c>
      <c r="L66" s="426">
        <f t="shared" ref="L66:L125" si="17">IF(J66=0, "    ---- ", IF(ABS(ROUND(100/J66*K66-100,1))&lt;999,ROUND(100/J66*K66-100,1),IF(ROUND(100/J66*K66-100,1)&gt;999,999,-999)))</f>
        <v>10.6</v>
      </c>
      <c r="M66" s="11">
        <f>IFERROR(100/'Skjema total MA'!I66*K66,0)</f>
        <v>4.5627302282028808</v>
      </c>
    </row>
    <row r="67" spans="1:14" x14ac:dyDescent="0.25">
      <c r="A67" s="21" t="s">
        <v>9</v>
      </c>
      <c r="B67" s="44">
        <v>96731.383000000002</v>
      </c>
      <c r="C67" s="145">
        <v>101559.81600000001</v>
      </c>
      <c r="D67" s="166">
        <f t="shared" si="14"/>
        <v>5</v>
      </c>
      <c r="E67" s="27">
        <f>IFERROR(100/'Skjema total MA'!C67*C67,0)</f>
        <v>2.2770097877041682</v>
      </c>
      <c r="F67" s="234">
        <v>0</v>
      </c>
      <c r="G67" s="145">
        <v>0</v>
      </c>
      <c r="H67" s="166" t="str">
        <f t="shared" si="15"/>
        <v xml:space="preserve">    ---- </v>
      </c>
      <c r="I67" s="27">
        <f>IFERROR(100/'Skjema total MA'!F67*G67,0)</f>
        <v>0</v>
      </c>
      <c r="J67" s="292">
        <f t="shared" si="16"/>
        <v>96731.383000000002</v>
      </c>
      <c r="K67" s="44">
        <f t="shared" si="16"/>
        <v>101559.81600000001</v>
      </c>
      <c r="L67" s="259">
        <f t="shared" si="17"/>
        <v>5</v>
      </c>
      <c r="M67" s="27">
        <f>IFERROR(100/'Skjema total MA'!I67*K67,0)</f>
        <v>2.2770097877041682</v>
      </c>
    </row>
    <row r="68" spans="1:14" x14ac:dyDescent="0.25">
      <c r="A68" s="21" t="s">
        <v>10</v>
      </c>
      <c r="B68" s="296"/>
      <c r="C68" s="297"/>
      <c r="D68" s="166"/>
      <c r="E68" s="27"/>
      <c r="F68" s="296">
        <v>1319681.8370000001</v>
      </c>
      <c r="G68" s="297">
        <v>1465380.395</v>
      </c>
      <c r="H68" s="166">
        <f t="shared" si="15"/>
        <v>11</v>
      </c>
      <c r="I68" s="27">
        <f>IFERROR(100/'Skjema total MA'!F68*G68,0)</f>
        <v>5.4370257492418288</v>
      </c>
      <c r="J68" s="292">
        <f t="shared" si="16"/>
        <v>1319681.8370000001</v>
      </c>
      <c r="K68" s="44">
        <f t="shared" si="16"/>
        <v>1465380.395</v>
      </c>
      <c r="L68" s="259">
        <f t="shared" si="17"/>
        <v>11</v>
      </c>
      <c r="M68" s="27">
        <f>IFERROR(100/'Skjema total MA'!I68*K68,0)</f>
        <v>5.42998064943664</v>
      </c>
    </row>
    <row r="69" spans="1:14" ht="15.6" x14ac:dyDescent="0.25">
      <c r="A69" s="298" t="s">
        <v>378</v>
      </c>
      <c r="B69" s="290"/>
      <c r="C69" s="290"/>
      <c r="D69" s="166"/>
      <c r="E69" s="415"/>
      <c r="F69" s="290"/>
      <c r="G69" s="290"/>
      <c r="H69" s="166"/>
      <c r="I69" s="415"/>
      <c r="J69" s="290"/>
      <c r="K69" s="290"/>
      <c r="L69" s="166"/>
      <c r="M69" s="23"/>
    </row>
    <row r="70" spans="1:14" x14ac:dyDescent="0.25">
      <c r="A70" s="298" t="s">
        <v>12</v>
      </c>
      <c r="B70" s="290"/>
      <c r="C70" s="290"/>
      <c r="D70" s="166"/>
      <c r="E70" s="415"/>
      <c r="F70" s="290"/>
      <c r="G70" s="290"/>
      <c r="H70" s="166"/>
      <c r="I70" s="415"/>
      <c r="J70" s="290"/>
      <c r="K70" s="290"/>
      <c r="L70" s="166"/>
      <c r="M70" s="23"/>
    </row>
    <row r="71" spans="1:14" x14ac:dyDescent="0.25">
      <c r="A71" s="298" t="s">
        <v>13</v>
      </c>
      <c r="B71" s="290"/>
      <c r="C71" s="290"/>
      <c r="D71" s="166"/>
      <c r="E71" s="415"/>
      <c r="F71" s="290"/>
      <c r="G71" s="290"/>
      <c r="H71" s="166"/>
      <c r="I71" s="415"/>
      <c r="J71" s="290"/>
      <c r="K71" s="290"/>
      <c r="L71" s="166"/>
      <c r="M71" s="23"/>
    </row>
    <row r="72" spans="1:14" ht="15.6" x14ac:dyDescent="0.25">
      <c r="A72" s="298" t="s">
        <v>379</v>
      </c>
      <c r="B72" s="290"/>
      <c r="C72" s="290"/>
      <c r="D72" s="166"/>
      <c r="E72" s="415"/>
      <c r="F72" s="290"/>
      <c r="G72" s="290"/>
      <c r="H72" s="166"/>
      <c r="I72" s="415"/>
      <c r="J72" s="290"/>
      <c r="K72" s="290"/>
      <c r="L72" s="166"/>
      <c r="M72" s="23"/>
    </row>
    <row r="73" spans="1:14" x14ac:dyDescent="0.25">
      <c r="A73" s="298" t="s">
        <v>12</v>
      </c>
      <c r="B73" s="290"/>
      <c r="C73" s="290"/>
      <c r="D73" s="166"/>
      <c r="E73" s="415"/>
      <c r="F73" s="290"/>
      <c r="G73" s="290"/>
      <c r="H73" s="166"/>
      <c r="I73" s="415"/>
      <c r="J73" s="290"/>
      <c r="K73" s="290"/>
      <c r="L73" s="166"/>
      <c r="M73" s="23"/>
    </row>
    <row r="74" spans="1:14" s="3" customFormat="1" x14ac:dyDescent="0.25">
      <c r="A74" s="298" t="s">
        <v>13</v>
      </c>
      <c r="B74" s="290"/>
      <c r="C74" s="290"/>
      <c r="D74" s="166"/>
      <c r="E74" s="415"/>
      <c r="F74" s="290"/>
      <c r="G74" s="290"/>
      <c r="H74" s="166"/>
      <c r="I74" s="415"/>
      <c r="J74" s="290"/>
      <c r="K74" s="290"/>
      <c r="L74" s="166"/>
      <c r="M74" s="23"/>
      <c r="N74" s="148"/>
    </row>
    <row r="75" spans="1:14" s="3" customFormat="1" x14ac:dyDescent="0.25">
      <c r="A75" s="21" t="s">
        <v>348</v>
      </c>
      <c r="B75" s="234"/>
      <c r="C75" s="145"/>
      <c r="D75" s="166"/>
      <c r="E75" s="27"/>
      <c r="F75" s="234"/>
      <c r="G75" s="145"/>
      <c r="H75" s="166"/>
      <c r="I75" s="27"/>
      <c r="J75" s="292"/>
      <c r="K75" s="44"/>
      <c r="L75" s="259"/>
      <c r="M75" s="27"/>
      <c r="N75" s="148"/>
    </row>
    <row r="76" spans="1:14" s="3" customFormat="1" x14ac:dyDescent="0.25">
      <c r="A76" s="21" t="s">
        <v>347</v>
      </c>
      <c r="B76" s="234"/>
      <c r="C76" s="145"/>
      <c r="D76" s="166"/>
      <c r="E76" s="27"/>
      <c r="F76" s="234"/>
      <c r="G76" s="145"/>
      <c r="H76" s="166"/>
      <c r="I76" s="27"/>
      <c r="J76" s="292"/>
      <c r="K76" s="44"/>
      <c r="L76" s="259"/>
      <c r="M76" s="27"/>
      <c r="N76" s="148"/>
    </row>
    <row r="77" spans="1:14" ht="15.6" x14ac:dyDescent="0.25">
      <c r="A77" s="21" t="s">
        <v>380</v>
      </c>
      <c r="B77" s="234">
        <v>96731.383000000002</v>
      </c>
      <c r="C77" s="234">
        <v>101559.81600000001</v>
      </c>
      <c r="D77" s="166">
        <f t="shared" si="14"/>
        <v>5</v>
      </c>
      <c r="E77" s="27">
        <f>IFERROR(100/'Skjema total MA'!C77*C77,0)</f>
        <v>2.3067044650197954</v>
      </c>
      <c r="F77" s="234">
        <v>1319681.8370000001</v>
      </c>
      <c r="G77" s="145">
        <v>1465380.395</v>
      </c>
      <c r="H77" s="166">
        <f t="shared" si="15"/>
        <v>11</v>
      </c>
      <c r="I77" s="27">
        <f>IFERROR(100/'Skjema total MA'!F77*G77,0)</f>
        <v>5.4389569597923897</v>
      </c>
      <c r="J77" s="292">
        <f t="shared" si="16"/>
        <v>1416413.22</v>
      </c>
      <c r="K77" s="44">
        <f t="shared" si="16"/>
        <v>1566940.2110000001</v>
      </c>
      <c r="L77" s="259">
        <f t="shared" si="17"/>
        <v>10.6</v>
      </c>
      <c r="M77" s="27">
        <f>IFERROR(100/'Skjema total MA'!I77*K77,0)</f>
        <v>4.9989932665204444</v>
      </c>
    </row>
    <row r="78" spans="1:14" x14ac:dyDescent="0.25">
      <c r="A78" s="21" t="s">
        <v>9</v>
      </c>
      <c r="B78" s="234">
        <v>96731.383000000002</v>
      </c>
      <c r="C78" s="145">
        <v>101559.81600000001</v>
      </c>
      <c r="D78" s="166">
        <f t="shared" si="14"/>
        <v>5</v>
      </c>
      <c r="E78" s="27">
        <f>IFERROR(100/'Skjema total MA'!C78*C78,0)</f>
        <v>2.3242621107123833</v>
      </c>
      <c r="F78" s="234"/>
      <c r="G78" s="145"/>
      <c r="H78" s="166"/>
      <c r="I78" s="27"/>
      <c r="J78" s="292">
        <f t="shared" si="16"/>
        <v>96731.383000000002</v>
      </c>
      <c r="K78" s="44">
        <f t="shared" si="16"/>
        <v>101559.81600000001</v>
      </c>
      <c r="L78" s="259">
        <f t="shared" si="17"/>
        <v>5</v>
      </c>
      <c r="M78" s="27">
        <f>IFERROR(100/'Skjema total MA'!I78*K78,0)</f>
        <v>2.3242621107123833</v>
      </c>
    </row>
    <row r="79" spans="1:14" x14ac:dyDescent="0.25">
      <c r="A79" s="38" t="s">
        <v>421</v>
      </c>
      <c r="B79" s="296"/>
      <c r="C79" s="297"/>
      <c r="D79" s="166"/>
      <c r="E79" s="27"/>
      <c r="F79" s="296">
        <v>1319681.8370000001</v>
      </c>
      <c r="G79" s="297">
        <v>1465380.395</v>
      </c>
      <c r="H79" s="166">
        <f t="shared" si="15"/>
        <v>11</v>
      </c>
      <c r="I79" s="27">
        <f>IFERROR(100/'Skjema total MA'!F79*G79,0)</f>
        <v>5.4389569597923897</v>
      </c>
      <c r="J79" s="292">
        <f t="shared" si="16"/>
        <v>1319681.8370000001</v>
      </c>
      <c r="K79" s="44">
        <f t="shared" si="16"/>
        <v>1465380.395</v>
      </c>
      <c r="L79" s="259">
        <f t="shared" si="17"/>
        <v>11</v>
      </c>
      <c r="M79" s="27">
        <f>IFERROR(100/'Skjema total MA'!I79*K79,0)</f>
        <v>5.432251073161722</v>
      </c>
    </row>
    <row r="80" spans="1:14" ht="15.6" x14ac:dyDescent="0.25">
      <c r="A80" s="298" t="s">
        <v>378</v>
      </c>
      <c r="B80" s="290"/>
      <c r="C80" s="290"/>
      <c r="D80" s="166"/>
      <c r="E80" s="415"/>
      <c r="F80" s="290"/>
      <c r="G80" s="290"/>
      <c r="H80" s="166"/>
      <c r="I80" s="415"/>
      <c r="J80" s="290"/>
      <c r="K80" s="290"/>
      <c r="L80" s="166"/>
      <c r="M80" s="23"/>
    </row>
    <row r="81" spans="1:13" x14ac:dyDescent="0.25">
      <c r="A81" s="298" t="s">
        <v>12</v>
      </c>
      <c r="B81" s="290"/>
      <c r="C81" s="290"/>
      <c r="D81" s="166"/>
      <c r="E81" s="415"/>
      <c r="F81" s="290"/>
      <c r="G81" s="290"/>
      <c r="H81" s="166"/>
      <c r="I81" s="415"/>
      <c r="J81" s="290"/>
      <c r="K81" s="290"/>
      <c r="L81" s="166"/>
      <c r="M81" s="23"/>
    </row>
    <row r="82" spans="1:13" x14ac:dyDescent="0.25">
      <c r="A82" s="298" t="s">
        <v>13</v>
      </c>
      <c r="B82" s="290"/>
      <c r="C82" s="290"/>
      <c r="D82" s="166"/>
      <c r="E82" s="415"/>
      <c r="F82" s="290"/>
      <c r="G82" s="290"/>
      <c r="H82" s="166"/>
      <c r="I82" s="415"/>
      <c r="J82" s="290"/>
      <c r="K82" s="290"/>
      <c r="L82" s="166"/>
      <c r="M82" s="23"/>
    </row>
    <row r="83" spans="1:13" ht="15.6" x14ac:dyDescent="0.25">
      <c r="A83" s="298" t="s">
        <v>379</v>
      </c>
      <c r="B83" s="290"/>
      <c r="C83" s="290"/>
      <c r="D83" s="166"/>
      <c r="E83" s="415"/>
      <c r="F83" s="290"/>
      <c r="G83" s="290"/>
      <c r="H83" s="166"/>
      <c r="I83" s="415"/>
      <c r="J83" s="290"/>
      <c r="K83" s="290"/>
      <c r="L83" s="166"/>
      <c r="M83" s="23"/>
    </row>
    <row r="84" spans="1:13" x14ac:dyDescent="0.25">
      <c r="A84" s="298" t="s">
        <v>12</v>
      </c>
      <c r="B84" s="235"/>
      <c r="C84" s="294"/>
      <c r="D84" s="166"/>
      <c r="E84" s="415"/>
      <c r="F84" s="290"/>
      <c r="G84" s="290"/>
      <c r="H84" s="166"/>
      <c r="I84" s="415"/>
      <c r="J84" s="290"/>
      <c r="K84" s="290"/>
      <c r="L84" s="166"/>
      <c r="M84" s="23"/>
    </row>
    <row r="85" spans="1:13" x14ac:dyDescent="0.25">
      <c r="A85" s="298" t="s">
        <v>13</v>
      </c>
      <c r="B85" s="235"/>
      <c r="C85" s="294"/>
      <c r="D85" s="166"/>
      <c r="E85" s="415"/>
      <c r="F85" s="290"/>
      <c r="G85" s="290"/>
      <c r="H85" s="166"/>
      <c r="I85" s="415"/>
      <c r="J85" s="290"/>
      <c r="K85" s="290"/>
      <c r="L85" s="166"/>
      <c r="M85" s="23"/>
    </row>
    <row r="86" spans="1:13" ht="15.6" x14ac:dyDescent="0.25">
      <c r="A86" s="21" t="s">
        <v>381</v>
      </c>
      <c r="B86" s="234"/>
      <c r="C86" s="145"/>
      <c r="D86" s="166"/>
      <c r="E86" s="27"/>
      <c r="F86" s="234"/>
      <c r="G86" s="145"/>
      <c r="H86" s="166"/>
      <c r="I86" s="27"/>
      <c r="J86" s="292"/>
      <c r="K86" s="44"/>
      <c r="L86" s="259"/>
      <c r="M86" s="27"/>
    </row>
    <row r="87" spans="1:13" ht="15.6" x14ac:dyDescent="0.25">
      <c r="A87" s="13" t="s">
        <v>363</v>
      </c>
      <c r="B87" s="354">
        <v>850214.01100000006</v>
      </c>
      <c r="C87" s="354">
        <v>921177.37</v>
      </c>
      <c r="D87" s="171">
        <f t="shared" si="14"/>
        <v>8.3000000000000007</v>
      </c>
      <c r="E87" s="11">
        <f>IFERROR(100/'Skjema total MA'!C87*C87,0)</f>
        <v>0.22949616845699458</v>
      </c>
      <c r="F87" s="353">
        <v>17479496.629000001</v>
      </c>
      <c r="G87" s="353">
        <v>22105032.054000001</v>
      </c>
      <c r="H87" s="171">
        <f t="shared" si="15"/>
        <v>26.5</v>
      </c>
      <c r="I87" s="11">
        <f>IFERROR(100/'Skjema total MA'!F87*G87,0)</f>
        <v>5.1995135127414747</v>
      </c>
      <c r="J87" s="311">
        <f t="shared" ref="J87:K111" si="18">SUM(B87,F87)</f>
        <v>18329710.640000001</v>
      </c>
      <c r="K87" s="236">
        <f t="shared" si="18"/>
        <v>23026209.424000002</v>
      </c>
      <c r="L87" s="426">
        <f t="shared" si="17"/>
        <v>25.6</v>
      </c>
      <c r="M87" s="11">
        <f>IFERROR(100/'Skjema total MA'!I87*K87,0)</f>
        <v>2.7858968138004339</v>
      </c>
    </row>
    <row r="88" spans="1:13" x14ac:dyDescent="0.25">
      <c r="A88" s="21" t="s">
        <v>9</v>
      </c>
      <c r="B88" s="234">
        <v>850214.01100000006</v>
      </c>
      <c r="C88" s="145">
        <v>921177.37</v>
      </c>
      <c r="D88" s="166">
        <f t="shared" si="14"/>
        <v>8.3000000000000007</v>
      </c>
      <c r="E88" s="27">
        <f>IFERROR(100/'Skjema total MA'!C88*C88,0)</f>
        <v>0.23725017282761809</v>
      </c>
      <c r="F88" s="234"/>
      <c r="G88" s="145"/>
      <c r="H88" s="166"/>
      <c r="I88" s="27"/>
      <c r="J88" s="292">
        <f t="shared" si="18"/>
        <v>850214.01100000006</v>
      </c>
      <c r="K88" s="44">
        <f t="shared" si="18"/>
        <v>921177.37</v>
      </c>
      <c r="L88" s="259">
        <f t="shared" si="17"/>
        <v>8.3000000000000007</v>
      </c>
      <c r="M88" s="27">
        <f>IFERROR(100/'Skjema total MA'!I88*K88,0)</f>
        <v>0.23725017282761809</v>
      </c>
    </row>
    <row r="89" spans="1:13" x14ac:dyDescent="0.25">
      <c r="A89" s="21" t="s">
        <v>10</v>
      </c>
      <c r="B89" s="234"/>
      <c r="C89" s="145"/>
      <c r="D89" s="166"/>
      <c r="E89" s="27"/>
      <c r="F89" s="234">
        <v>17479496.629000001</v>
      </c>
      <c r="G89" s="145">
        <v>22105032.054000001</v>
      </c>
      <c r="H89" s="166">
        <f t="shared" si="15"/>
        <v>26.5</v>
      </c>
      <c r="I89" s="27">
        <f>IFERROR(100/'Skjema total MA'!F89*G89,0)</f>
        <v>5.2536277630016901</v>
      </c>
      <c r="J89" s="292">
        <f t="shared" si="18"/>
        <v>17479496.629000001</v>
      </c>
      <c r="K89" s="44">
        <f t="shared" si="18"/>
        <v>22105032.054000001</v>
      </c>
      <c r="L89" s="259">
        <f t="shared" si="17"/>
        <v>26.5</v>
      </c>
      <c r="M89" s="27">
        <f>IFERROR(100/'Skjema total MA'!I89*K89,0)</f>
        <v>5.2153699188595262</v>
      </c>
    </row>
    <row r="90" spans="1:13" ht="15.6" x14ac:dyDescent="0.25">
      <c r="A90" s="298" t="s">
        <v>378</v>
      </c>
      <c r="B90" s="290"/>
      <c r="C90" s="290"/>
      <c r="D90" s="166"/>
      <c r="E90" s="415"/>
      <c r="F90" s="290"/>
      <c r="G90" s="290"/>
      <c r="H90" s="166"/>
      <c r="I90" s="415"/>
      <c r="J90" s="290"/>
      <c r="K90" s="290"/>
      <c r="L90" s="166"/>
      <c r="M90" s="23"/>
    </row>
    <row r="91" spans="1:13" x14ac:dyDescent="0.25">
      <c r="A91" s="298" t="s">
        <v>12</v>
      </c>
      <c r="B91" s="290"/>
      <c r="C91" s="290"/>
      <c r="D91" s="166"/>
      <c r="E91" s="415"/>
      <c r="F91" s="290"/>
      <c r="G91" s="290"/>
      <c r="H91" s="166"/>
      <c r="I91" s="415"/>
      <c r="J91" s="290"/>
      <c r="K91" s="290"/>
      <c r="L91" s="166"/>
      <c r="M91" s="23"/>
    </row>
    <row r="92" spans="1:13" x14ac:dyDescent="0.25">
      <c r="A92" s="298" t="s">
        <v>13</v>
      </c>
      <c r="B92" s="290"/>
      <c r="C92" s="290"/>
      <c r="D92" s="166"/>
      <c r="E92" s="415"/>
      <c r="F92" s="290"/>
      <c r="G92" s="290"/>
      <c r="H92" s="166"/>
      <c r="I92" s="415"/>
      <c r="J92" s="290"/>
      <c r="K92" s="290"/>
      <c r="L92" s="166"/>
      <c r="M92" s="23"/>
    </row>
    <row r="93" spans="1:13" ht="15.6" x14ac:dyDescent="0.25">
      <c r="A93" s="298" t="s">
        <v>379</v>
      </c>
      <c r="B93" s="290"/>
      <c r="C93" s="290"/>
      <c r="D93" s="166"/>
      <c r="E93" s="415"/>
      <c r="F93" s="290"/>
      <c r="G93" s="290"/>
      <c r="H93" s="166"/>
      <c r="I93" s="415"/>
      <c r="J93" s="290"/>
      <c r="K93" s="290"/>
      <c r="L93" s="166"/>
      <c r="M93" s="23"/>
    </row>
    <row r="94" spans="1:13" x14ac:dyDescent="0.25">
      <c r="A94" s="298" t="s">
        <v>12</v>
      </c>
      <c r="B94" s="235"/>
      <c r="C94" s="294"/>
      <c r="D94" s="166"/>
      <c r="E94" s="415"/>
      <c r="F94" s="290"/>
      <c r="G94" s="290"/>
      <c r="H94" s="166"/>
      <c r="I94" s="415"/>
      <c r="J94" s="290"/>
      <c r="K94" s="290"/>
      <c r="L94" s="166"/>
      <c r="M94" s="23"/>
    </row>
    <row r="95" spans="1:13" x14ac:dyDescent="0.25">
      <c r="A95" s="298" t="s">
        <v>13</v>
      </c>
      <c r="B95" s="235"/>
      <c r="C95" s="294"/>
      <c r="D95" s="166"/>
      <c r="E95" s="415"/>
      <c r="F95" s="290"/>
      <c r="G95" s="290"/>
      <c r="H95" s="166"/>
      <c r="I95" s="415"/>
      <c r="J95" s="290"/>
      <c r="K95" s="290"/>
      <c r="L95" s="166"/>
      <c r="M95" s="23"/>
    </row>
    <row r="96" spans="1:13" x14ac:dyDescent="0.25">
      <c r="A96" s="21" t="s">
        <v>346</v>
      </c>
      <c r="B96" s="234"/>
      <c r="C96" s="145"/>
      <c r="D96" s="166"/>
      <c r="E96" s="27"/>
      <c r="F96" s="234"/>
      <c r="G96" s="145"/>
      <c r="H96" s="166"/>
      <c r="I96" s="27"/>
      <c r="J96" s="292"/>
      <c r="K96" s="44"/>
      <c r="L96" s="259"/>
      <c r="M96" s="27"/>
    </row>
    <row r="97" spans="1:13" x14ac:dyDescent="0.25">
      <c r="A97" s="21" t="s">
        <v>345</v>
      </c>
      <c r="B97" s="234"/>
      <c r="C97" s="145"/>
      <c r="D97" s="166"/>
      <c r="E97" s="27"/>
      <c r="F97" s="234"/>
      <c r="G97" s="145"/>
      <c r="H97" s="166"/>
      <c r="I97" s="27"/>
      <c r="J97" s="292"/>
      <c r="K97" s="44"/>
      <c r="L97" s="259"/>
      <c r="M97" s="27"/>
    </row>
    <row r="98" spans="1:13" ht="15.6" x14ac:dyDescent="0.25">
      <c r="A98" s="21" t="s">
        <v>380</v>
      </c>
      <c r="B98" s="234">
        <v>850214.01100000006</v>
      </c>
      <c r="C98" s="234">
        <v>921177.37</v>
      </c>
      <c r="D98" s="166">
        <f t="shared" si="14"/>
        <v>8.3000000000000007</v>
      </c>
      <c r="E98" s="27">
        <f>IFERROR(100/'Skjema total MA'!C98*C98,0)</f>
        <v>0.23808542807300931</v>
      </c>
      <c r="F98" s="296">
        <v>17479496.629000001</v>
      </c>
      <c r="G98" s="296">
        <v>22105032.054000001</v>
      </c>
      <c r="H98" s="166">
        <f t="shared" si="15"/>
        <v>26.5</v>
      </c>
      <c r="I98" s="27">
        <f>IFERROR(100/'Skjema total MA'!F98*G98,0)</f>
        <v>5.2669855085362789</v>
      </c>
      <c r="J98" s="292">
        <f t="shared" si="18"/>
        <v>18329710.640000001</v>
      </c>
      <c r="K98" s="44">
        <f t="shared" si="18"/>
        <v>23026209.424000002</v>
      </c>
      <c r="L98" s="259">
        <f t="shared" si="17"/>
        <v>25.6</v>
      </c>
      <c r="M98" s="27">
        <f>IFERROR(100/'Skjema total MA'!I98*K98,0)</f>
        <v>2.8547217704441783</v>
      </c>
    </row>
    <row r="99" spans="1:13" x14ac:dyDescent="0.25">
      <c r="A99" s="21" t="s">
        <v>9</v>
      </c>
      <c r="B99" s="296">
        <v>850214.01100000006</v>
      </c>
      <c r="C99" s="297">
        <v>921177.37</v>
      </c>
      <c r="D99" s="166">
        <f t="shared" si="14"/>
        <v>8.3000000000000007</v>
      </c>
      <c r="E99" s="27">
        <f>IFERROR(100/'Skjema total MA'!C99*C99,0)</f>
        <v>0.23999998372007439</v>
      </c>
      <c r="F99" s="234"/>
      <c r="G99" s="145"/>
      <c r="H99" s="166"/>
      <c r="I99" s="27"/>
      <c r="J99" s="292">
        <f t="shared" si="18"/>
        <v>850214.01100000006</v>
      </c>
      <c r="K99" s="44">
        <f t="shared" si="18"/>
        <v>921177.37</v>
      </c>
      <c r="L99" s="259">
        <f t="shared" si="17"/>
        <v>8.3000000000000007</v>
      </c>
      <c r="M99" s="27">
        <f>IFERROR(100/'Skjema total MA'!I99*K99,0)</f>
        <v>0.23999998372007439</v>
      </c>
    </row>
    <row r="100" spans="1:13" ht="15.6" x14ac:dyDescent="0.25">
      <c r="A100" s="38" t="s">
        <v>422</v>
      </c>
      <c r="B100" s="296"/>
      <c r="C100" s="297"/>
      <c r="D100" s="166"/>
      <c r="E100" s="27"/>
      <c r="F100" s="234">
        <v>17479496.629000001</v>
      </c>
      <c r="G100" s="234">
        <v>22105032.054000001</v>
      </c>
      <c r="H100" s="166">
        <f t="shared" si="15"/>
        <v>26.5</v>
      </c>
      <c r="I100" s="27">
        <f>IFERROR(100/'Skjema total MA'!F100*G100,0)</f>
        <v>5.2669855085362789</v>
      </c>
      <c r="J100" s="292">
        <f t="shared" si="18"/>
        <v>17479496.629000001</v>
      </c>
      <c r="K100" s="44">
        <f t="shared" si="18"/>
        <v>22105032.054000001</v>
      </c>
      <c r="L100" s="259">
        <f t="shared" si="17"/>
        <v>26.5</v>
      </c>
      <c r="M100" s="27">
        <f>IFERROR(100/'Skjema total MA'!I100*K100,0)</f>
        <v>5.2285335821062713</v>
      </c>
    </row>
    <row r="101" spans="1:13" ht="15.6" x14ac:dyDescent="0.25">
      <c r="A101" s="298" t="s">
        <v>378</v>
      </c>
      <c r="B101" s="290"/>
      <c r="C101" s="290"/>
      <c r="D101" s="166"/>
      <c r="E101" s="415"/>
      <c r="F101" s="290"/>
      <c r="G101" s="290"/>
      <c r="H101" s="166"/>
      <c r="I101" s="415"/>
      <c r="J101" s="290"/>
      <c r="K101" s="290"/>
      <c r="L101" s="166"/>
      <c r="M101" s="23"/>
    </row>
    <row r="102" spans="1:13" x14ac:dyDescent="0.25">
      <c r="A102" s="298" t="s">
        <v>12</v>
      </c>
      <c r="B102" s="290"/>
      <c r="C102" s="290"/>
      <c r="D102" s="166"/>
      <c r="E102" s="415"/>
      <c r="F102" s="290"/>
      <c r="G102" s="290"/>
      <c r="H102" s="166"/>
      <c r="I102" s="415"/>
      <c r="J102" s="290"/>
      <c r="K102" s="290"/>
      <c r="L102" s="166"/>
      <c r="M102" s="23"/>
    </row>
    <row r="103" spans="1:13" x14ac:dyDescent="0.25">
      <c r="A103" s="298" t="s">
        <v>13</v>
      </c>
      <c r="B103" s="290"/>
      <c r="C103" s="290"/>
      <c r="D103" s="166"/>
      <c r="E103" s="415"/>
      <c r="F103" s="290"/>
      <c r="G103" s="290"/>
      <c r="H103" s="166"/>
      <c r="I103" s="415"/>
      <c r="J103" s="290"/>
      <c r="K103" s="290"/>
      <c r="L103" s="166"/>
      <c r="M103" s="23"/>
    </row>
    <row r="104" spans="1:13" ht="15.6" x14ac:dyDescent="0.25">
      <c r="A104" s="298" t="s">
        <v>379</v>
      </c>
      <c r="B104" s="290"/>
      <c r="C104" s="290"/>
      <c r="D104" s="166"/>
      <c r="E104" s="415"/>
      <c r="F104" s="290"/>
      <c r="G104" s="290"/>
      <c r="H104" s="166"/>
      <c r="I104" s="415"/>
      <c r="J104" s="290"/>
      <c r="K104" s="290"/>
      <c r="L104" s="166"/>
      <c r="M104" s="23"/>
    </row>
    <row r="105" spans="1:13" x14ac:dyDescent="0.25">
      <c r="A105" s="298" t="s">
        <v>12</v>
      </c>
      <c r="B105" s="235"/>
      <c r="C105" s="294"/>
      <c r="D105" s="166"/>
      <c r="E105" s="415"/>
      <c r="F105" s="290"/>
      <c r="G105" s="290"/>
      <c r="H105" s="166"/>
      <c r="I105" s="415"/>
      <c r="J105" s="290"/>
      <c r="K105" s="290"/>
      <c r="L105" s="166"/>
      <c r="M105" s="23"/>
    </row>
    <row r="106" spans="1:13" x14ac:dyDescent="0.25">
      <c r="A106" s="298" t="s">
        <v>13</v>
      </c>
      <c r="B106" s="235"/>
      <c r="C106" s="294"/>
      <c r="D106" s="166"/>
      <c r="E106" s="415"/>
      <c r="F106" s="290"/>
      <c r="G106" s="290"/>
      <c r="H106" s="166"/>
      <c r="I106" s="415"/>
      <c r="J106" s="290"/>
      <c r="K106" s="290"/>
      <c r="L106" s="166"/>
      <c r="M106" s="23"/>
    </row>
    <row r="107" spans="1:13" ht="15.6" x14ac:dyDescent="0.25">
      <c r="A107" s="21" t="s">
        <v>381</v>
      </c>
      <c r="B107" s="234"/>
      <c r="C107" s="145"/>
      <c r="D107" s="166"/>
      <c r="E107" s="27"/>
      <c r="F107" s="234"/>
      <c r="G107" s="145"/>
      <c r="H107" s="166"/>
      <c r="I107" s="27"/>
      <c r="J107" s="292"/>
      <c r="K107" s="44"/>
      <c r="L107" s="259"/>
      <c r="M107" s="27"/>
    </row>
    <row r="108" spans="1:13" ht="15.6" x14ac:dyDescent="0.25">
      <c r="A108" s="21" t="s">
        <v>382</v>
      </c>
      <c r="B108" s="234">
        <v>189220.86300000001</v>
      </c>
      <c r="C108" s="234">
        <v>224635.22899999999</v>
      </c>
      <c r="D108" s="166">
        <f t="shared" si="14"/>
        <v>18.7</v>
      </c>
      <c r="E108" s="27">
        <f>IFERROR(100/'Skjema total MA'!C108*C108,0)</f>
        <v>6.7193778038387456E-2</v>
      </c>
      <c r="F108" s="234">
        <v>189220.86300000001</v>
      </c>
      <c r="G108" s="234">
        <v>224635.329</v>
      </c>
      <c r="H108" s="166">
        <f t="shared" si="15"/>
        <v>18.7</v>
      </c>
      <c r="I108" s="27">
        <f>IFERROR(100/'Skjema total MA'!F108*G108,0)</f>
        <v>1.1025703729455547</v>
      </c>
      <c r="J108" s="292">
        <f t="shared" si="18"/>
        <v>378441.72600000002</v>
      </c>
      <c r="K108" s="44">
        <f t="shared" si="18"/>
        <v>449270.55799999996</v>
      </c>
      <c r="L108" s="259">
        <f t="shared" si="17"/>
        <v>18.7</v>
      </c>
      <c r="M108" s="27">
        <f>IFERROR(100/'Skjema total MA'!I108*K108,0)</f>
        <v>0.12666806970426722</v>
      </c>
    </row>
    <row r="109" spans="1:13" ht="15.6" x14ac:dyDescent="0.25">
      <c r="A109" s="38" t="s">
        <v>437</v>
      </c>
      <c r="B109" s="234"/>
      <c r="C109" s="234"/>
      <c r="D109" s="166"/>
      <c r="E109" s="27"/>
      <c r="F109" s="234">
        <v>6045679.733</v>
      </c>
      <c r="G109" s="234">
        <v>8662425.6380000003</v>
      </c>
      <c r="H109" s="166">
        <f t="shared" si="15"/>
        <v>43.3</v>
      </c>
      <c r="I109" s="27">
        <f>IFERROR(100/'Skjema total MA'!F109*G109,0)</f>
        <v>5.7164206975012535</v>
      </c>
      <c r="J109" s="292">
        <f t="shared" si="18"/>
        <v>6045679.733</v>
      </c>
      <c r="K109" s="44">
        <f t="shared" si="18"/>
        <v>8662425.6380000003</v>
      </c>
      <c r="L109" s="259">
        <f t="shared" si="17"/>
        <v>43.3</v>
      </c>
      <c r="M109" s="27">
        <f>IFERROR(100/'Skjema total MA'!I109*K109,0)</f>
        <v>5.6575542739958573</v>
      </c>
    </row>
    <row r="110" spans="1:13" ht="15.6" x14ac:dyDescent="0.25">
      <c r="A110" s="21" t="s">
        <v>384</v>
      </c>
      <c r="B110" s="234"/>
      <c r="C110" s="234"/>
      <c r="D110" s="166"/>
      <c r="E110" s="27"/>
      <c r="F110" s="234"/>
      <c r="G110" s="234"/>
      <c r="H110" s="166"/>
      <c r="I110" s="27"/>
      <c r="J110" s="292"/>
      <c r="K110" s="44"/>
      <c r="L110" s="259"/>
      <c r="M110" s="27"/>
    </row>
    <row r="111" spans="1:13" ht="15.6" x14ac:dyDescent="0.25">
      <c r="A111" s="13" t="s">
        <v>364</v>
      </c>
      <c r="B111" s="310">
        <v>45761.972999999904</v>
      </c>
      <c r="C111" s="159">
        <v>19164.733</v>
      </c>
      <c r="D111" s="171">
        <f t="shared" si="14"/>
        <v>-58.1</v>
      </c>
      <c r="E111" s="11">
        <f>IFERROR(100/'Skjema total MA'!C111*C111,0)</f>
        <v>4.1709080989523244</v>
      </c>
      <c r="F111" s="310">
        <v>661394.89300000004</v>
      </c>
      <c r="G111" s="159">
        <v>3748748.287</v>
      </c>
      <c r="H111" s="171">
        <f t="shared" si="15"/>
        <v>466.8</v>
      </c>
      <c r="I111" s="11">
        <f>IFERROR(100/'Skjema total MA'!F111*G111,0)</f>
        <v>7.0719609643543127</v>
      </c>
      <c r="J111" s="311">
        <f t="shared" si="18"/>
        <v>707156.86599999992</v>
      </c>
      <c r="K111" s="236">
        <f t="shared" si="18"/>
        <v>3767913.02</v>
      </c>
      <c r="L111" s="426">
        <f t="shared" si="17"/>
        <v>432.8</v>
      </c>
      <c r="M111" s="11">
        <f>IFERROR(100/'Skjema total MA'!I111*K111,0)</f>
        <v>7.0470303449883192</v>
      </c>
    </row>
    <row r="112" spans="1:13" x14ac:dyDescent="0.25">
      <c r="A112" s="21" t="s">
        <v>9</v>
      </c>
      <c r="B112" s="234">
        <v>45761.972999999904</v>
      </c>
      <c r="C112" s="145">
        <v>19164.733</v>
      </c>
      <c r="D112" s="166">
        <f t="shared" si="14"/>
        <v>-58.1</v>
      </c>
      <c r="E112" s="27">
        <f>IFERROR(100/'Skjema total MA'!C112*C112,0)</f>
        <v>5.5379390808029925</v>
      </c>
      <c r="F112" s="234"/>
      <c r="G112" s="145"/>
      <c r="H112" s="166"/>
      <c r="I112" s="27"/>
      <c r="J112" s="292">
        <f t="shared" ref="J112:K125" si="19">SUM(B112,F112)</f>
        <v>45761.972999999904</v>
      </c>
      <c r="K112" s="44">
        <f t="shared" si="19"/>
        <v>19164.733</v>
      </c>
      <c r="L112" s="259">
        <f t="shared" si="17"/>
        <v>-58.1</v>
      </c>
      <c r="M112" s="27">
        <f>IFERROR(100/'Skjema total MA'!I112*K112,0)</f>
        <v>5.3634922144400941</v>
      </c>
    </row>
    <row r="113" spans="1:14" x14ac:dyDescent="0.25">
      <c r="A113" s="21" t="s">
        <v>10</v>
      </c>
      <c r="B113" s="234"/>
      <c r="C113" s="145"/>
      <c r="D113" s="166"/>
      <c r="E113" s="27"/>
      <c r="F113" s="234">
        <v>661394.89300000004</v>
      </c>
      <c r="G113" s="145">
        <v>3748748.287</v>
      </c>
      <c r="H113" s="166">
        <f t="shared" si="15"/>
        <v>466.8</v>
      </c>
      <c r="I113" s="27">
        <f>IFERROR(100/'Skjema total MA'!F113*G113,0)</f>
        <v>7.0734629153823025</v>
      </c>
      <c r="J113" s="292">
        <f t="shared" si="19"/>
        <v>661394.89300000004</v>
      </c>
      <c r="K113" s="44">
        <f t="shared" si="19"/>
        <v>3748748.287</v>
      </c>
      <c r="L113" s="259">
        <f t="shared" si="17"/>
        <v>466.8</v>
      </c>
      <c r="M113" s="27">
        <f>IFERROR(100/'Skjema total MA'!I113*K113,0)</f>
        <v>7.0734323326764166</v>
      </c>
    </row>
    <row r="114" spans="1:14" x14ac:dyDescent="0.25">
      <c r="A114" s="21" t="s">
        <v>26</v>
      </c>
      <c r="B114" s="234"/>
      <c r="C114" s="145"/>
      <c r="D114" s="166"/>
      <c r="E114" s="27"/>
      <c r="F114" s="234"/>
      <c r="G114" s="145"/>
      <c r="H114" s="166"/>
      <c r="I114" s="27"/>
      <c r="J114" s="292"/>
      <c r="K114" s="44"/>
      <c r="L114" s="259"/>
      <c r="M114" s="27"/>
    </row>
    <row r="115" spans="1:14" x14ac:dyDescent="0.25">
      <c r="A115" s="298" t="s">
        <v>15</v>
      </c>
      <c r="B115" s="286"/>
      <c r="C115" s="286"/>
      <c r="D115" s="166"/>
      <c r="E115" s="415"/>
      <c r="F115" s="286"/>
      <c r="G115" s="286"/>
      <c r="H115" s="166"/>
      <c r="I115" s="415"/>
      <c r="J115" s="295"/>
      <c r="K115" s="295"/>
      <c r="L115" s="166"/>
      <c r="M115" s="23"/>
    </row>
    <row r="116" spans="1:14" ht="15.6" x14ac:dyDescent="0.25">
      <c r="A116" s="21" t="s">
        <v>385</v>
      </c>
      <c r="B116" s="234"/>
      <c r="C116" s="234"/>
      <c r="D116" s="166"/>
      <c r="E116" s="27"/>
      <c r="F116" s="234"/>
      <c r="G116" s="234"/>
      <c r="H116" s="166"/>
      <c r="I116" s="27"/>
      <c r="J116" s="292"/>
      <c r="K116" s="44"/>
      <c r="L116" s="259"/>
      <c r="M116" s="27"/>
    </row>
    <row r="117" spans="1:14" ht="15.6" x14ac:dyDescent="0.25">
      <c r="A117" s="21" t="s">
        <v>386</v>
      </c>
      <c r="B117" s="234"/>
      <c r="C117" s="234"/>
      <c r="D117" s="166"/>
      <c r="E117" s="27"/>
      <c r="F117" s="234">
        <v>75918.547999999995</v>
      </c>
      <c r="G117" s="234">
        <v>108069.276</v>
      </c>
      <c r="H117" s="166">
        <f t="shared" si="15"/>
        <v>42.3</v>
      </c>
      <c r="I117" s="27">
        <f>IFERROR(100/'Skjema total MA'!F117*G117,0)</f>
        <v>1.433793733672184</v>
      </c>
      <c r="J117" s="292">
        <f t="shared" si="19"/>
        <v>75918.547999999995</v>
      </c>
      <c r="K117" s="44">
        <f t="shared" si="19"/>
        <v>108069.276</v>
      </c>
      <c r="L117" s="259">
        <f t="shared" si="17"/>
        <v>42.3</v>
      </c>
      <c r="M117" s="27">
        <f>IFERROR(100/'Skjema total MA'!I117*K117,0)</f>
        <v>1.433793733672184</v>
      </c>
    </row>
    <row r="118" spans="1:14" ht="15.6" x14ac:dyDescent="0.25">
      <c r="A118" s="21" t="s">
        <v>384</v>
      </c>
      <c r="B118" s="234"/>
      <c r="C118" s="234"/>
      <c r="D118" s="166"/>
      <c r="E118" s="27"/>
      <c r="F118" s="234"/>
      <c r="G118" s="234"/>
      <c r="H118" s="166"/>
      <c r="I118" s="27"/>
      <c r="J118" s="292"/>
      <c r="K118" s="44"/>
      <c r="L118" s="259"/>
      <c r="M118" s="27"/>
    </row>
    <row r="119" spans="1:14" ht="15.6" x14ac:dyDescent="0.25">
      <c r="A119" s="13" t="s">
        <v>365</v>
      </c>
      <c r="B119" s="310">
        <v>10681.975</v>
      </c>
      <c r="C119" s="159">
        <v>18334.780999999999</v>
      </c>
      <c r="D119" s="171">
        <f t="shared" si="14"/>
        <v>71.599999999999994</v>
      </c>
      <c r="E119" s="11">
        <f>IFERROR(100/'Skjema total MA'!C119*C119,0)</f>
        <v>4.0382560383813519</v>
      </c>
      <c r="F119" s="310">
        <v>474051.74200000003</v>
      </c>
      <c r="G119" s="159">
        <v>3454866.5010000002</v>
      </c>
      <c r="H119" s="171">
        <f t="shared" si="15"/>
        <v>628.79999999999995</v>
      </c>
      <c r="I119" s="11">
        <f>IFERROR(100/'Skjema total MA'!F119*G119,0)</f>
        <v>5.6803066101088273</v>
      </c>
      <c r="J119" s="311">
        <f t="shared" si="19"/>
        <v>484733.717</v>
      </c>
      <c r="K119" s="236">
        <f t="shared" si="19"/>
        <v>3473201.2820000001</v>
      </c>
      <c r="L119" s="426">
        <f t="shared" si="17"/>
        <v>616.5</v>
      </c>
      <c r="M119" s="11">
        <f>IFERROR(100/'Skjema total MA'!I119*K119,0)</f>
        <v>5.668139736409417</v>
      </c>
    </row>
    <row r="120" spans="1:14" x14ac:dyDescent="0.25">
      <c r="A120" s="21" t="s">
        <v>9</v>
      </c>
      <c r="B120" s="234">
        <v>10681.975</v>
      </c>
      <c r="C120" s="145">
        <v>18334.780999999999</v>
      </c>
      <c r="D120" s="166">
        <f t="shared" si="14"/>
        <v>71.599999999999994</v>
      </c>
      <c r="E120" s="27">
        <f>IFERROR(100/'Skjema total MA'!C120*C120,0)</f>
        <v>5.7766870229406884</v>
      </c>
      <c r="F120" s="234"/>
      <c r="G120" s="145"/>
      <c r="H120" s="166"/>
      <c r="I120" s="27"/>
      <c r="J120" s="292">
        <f t="shared" si="19"/>
        <v>10681.975</v>
      </c>
      <c r="K120" s="44">
        <f t="shared" si="19"/>
        <v>18334.780999999999</v>
      </c>
      <c r="L120" s="259">
        <f t="shared" si="17"/>
        <v>71.599999999999994</v>
      </c>
      <c r="M120" s="27">
        <f>IFERROR(100/'Skjema total MA'!I120*K120,0)</f>
        <v>5.7766870229406884</v>
      </c>
    </row>
    <row r="121" spans="1:14" x14ac:dyDescent="0.25">
      <c r="A121" s="21" t="s">
        <v>10</v>
      </c>
      <c r="B121" s="234"/>
      <c r="C121" s="145"/>
      <c r="D121" s="166"/>
      <c r="E121" s="27"/>
      <c r="F121" s="234">
        <v>474051.74200000003</v>
      </c>
      <c r="G121" s="145">
        <v>3454866.5010000002</v>
      </c>
      <c r="H121" s="166">
        <f t="shared" si="15"/>
        <v>628.79999999999995</v>
      </c>
      <c r="I121" s="27">
        <f>IFERROR(100/'Skjema total MA'!F121*G121,0)</f>
        <v>5.6803066101088273</v>
      </c>
      <c r="J121" s="292">
        <f t="shared" si="19"/>
        <v>474051.74200000003</v>
      </c>
      <c r="K121" s="44">
        <f t="shared" si="19"/>
        <v>3454866.5010000002</v>
      </c>
      <c r="L121" s="259">
        <f t="shared" si="17"/>
        <v>628.79999999999995</v>
      </c>
      <c r="M121" s="27">
        <f>IFERROR(100/'Skjema total MA'!I121*K121,0)</f>
        <v>5.6793495063614499</v>
      </c>
    </row>
    <row r="122" spans="1:14" x14ac:dyDescent="0.25">
      <c r="A122" s="21" t="s">
        <v>26</v>
      </c>
      <c r="B122" s="234"/>
      <c r="C122" s="145"/>
      <c r="D122" s="166"/>
      <c r="E122" s="27"/>
      <c r="F122" s="234"/>
      <c r="G122" s="145"/>
      <c r="H122" s="166"/>
      <c r="I122" s="27"/>
      <c r="J122" s="292"/>
      <c r="K122" s="44"/>
      <c r="L122" s="259"/>
      <c r="M122" s="27"/>
    </row>
    <row r="123" spans="1:14" x14ac:dyDescent="0.25">
      <c r="A123" s="298" t="s">
        <v>14</v>
      </c>
      <c r="B123" s="286"/>
      <c r="C123" s="286"/>
      <c r="D123" s="166"/>
      <c r="E123" s="415"/>
      <c r="F123" s="286"/>
      <c r="G123" s="286"/>
      <c r="H123" s="166"/>
      <c r="I123" s="415"/>
      <c r="J123" s="295"/>
      <c r="K123" s="295"/>
      <c r="L123" s="166"/>
      <c r="M123" s="23"/>
    </row>
    <row r="124" spans="1:14" ht="15.6" x14ac:dyDescent="0.25">
      <c r="A124" s="21" t="s">
        <v>391</v>
      </c>
      <c r="B124" s="234"/>
      <c r="C124" s="234"/>
      <c r="D124" s="166"/>
      <c r="E124" s="27"/>
      <c r="F124" s="234"/>
      <c r="G124" s="234"/>
      <c r="H124" s="166"/>
      <c r="I124" s="27"/>
      <c r="J124" s="292"/>
      <c r="K124" s="44"/>
      <c r="L124" s="259"/>
      <c r="M124" s="27"/>
    </row>
    <row r="125" spans="1:14" ht="15.6" x14ac:dyDescent="0.25">
      <c r="A125" s="21" t="s">
        <v>383</v>
      </c>
      <c r="B125" s="234"/>
      <c r="C125" s="234"/>
      <c r="D125" s="166"/>
      <c r="E125" s="27"/>
      <c r="F125" s="234">
        <v>156215.59899999999</v>
      </c>
      <c r="G125" s="234">
        <v>124199.042</v>
      </c>
      <c r="H125" s="166">
        <f t="shared" si="15"/>
        <v>-20.5</v>
      </c>
      <c r="I125" s="27">
        <f>IFERROR(100/'Skjema total MA'!F125*G125,0)</f>
        <v>0.52613378539840561</v>
      </c>
      <c r="J125" s="292">
        <f t="shared" si="19"/>
        <v>156215.59899999999</v>
      </c>
      <c r="K125" s="44">
        <f t="shared" si="19"/>
        <v>124199.042</v>
      </c>
      <c r="L125" s="259">
        <f t="shared" si="17"/>
        <v>-20.5</v>
      </c>
      <c r="M125" s="27">
        <f>IFERROR(100/'Skjema total MA'!I125*K125,0)</f>
        <v>0.52608434969009787</v>
      </c>
    </row>
    <row r="126" spans="1:14" ht="15.6" x14ac:dyDescent="0.25">
      <c r="A126" s="10" t="s">
        <v>384</v>
      </c>
      <c r="B126" s="45"/>
      <c r="C126" s="45"/>
      <c r="D126" s="167"/>
      <c r="E126" s="416"/>
      <c r="F126" s="45"/>
      <c r="G126" s="45"/>
      <c r="H126" s="167"/>
      <c r="I126" s="22"/>
      <c r="J126" s="293"/>
      <c r="K126" s="45"/>
      <c r="L126" s="260"/>
      <c r="M126" s="22"/>
    </row>
    <row r="127" spans="1:14" x14ac:dyDescent="0.25">
      <c r="A127" s="155"/>
      <c r="L127" s="26"/>
      <c r="M127" s="26"/>
      <c r="N127" s="26"/>
    </row>
    <row r="128" spans="1:14" x14ac:dyDescent="0.25">
      <c r="L128" s="26"/>
      <c r="M128" s="26"/>
      <c r="N128" s="26"/>
    </row>
    <row r="129" spans="1:14" ht="15.6" x14ac:dyDescent="0.3">
      <c r="A129" s="165" t="s">
        <v>27</v>
      </c>
    </row>
    <row r="130" spans="1:14" ht="15.6" x14ac:dyDescent="0.3">
      <c r="B130" s="726"/>
      <c r="C130" s="726"/>
      <c r="D130" s="726"/>
      <c r="E130" s="404"/>
      <c r="F130" s="726"/>
      <c r="G130" s="726"/>
      <c r="H130" s="726"/>
      <c r="I130" s="404"/>
      <c r="J130" s="726"/>
      <c r="K130" s="726"/>
      <c r="L130" s="726"/>
      <c r="M130" s="404"/>
    </row>
    <row r="131" spans="1:14" s="3" customFormat="1" x14ac:dyDescent="0.25">
      <c r="A131" s="144"/>
      <c r="B131" s="724" t="s">
        <v>0</v>
      </c>
      <c r="C131" s="725"/>
      <c r="D131" s="725"/>
      <c r="E131" s="403"/>
      <c r="F131" s="724" t="s">
        <v>1</v>
      </c>
      <c r="G131" s="725"/>
      <c r="H131" s="725"/>
      <c r="I131" s="406"/>
      <c r="J131" s="724" t="s">
        <v>2</v>
      </c>
      <c r="K131" s="725"/>
      <c r="L131" s="725"/>
      <c r="M131" s="406"/>
      <c r="N131" s="148"/>
    </row>
    <row r="132" spans="1:14" s="3" customFormat="1" x14ac:dyDescent="0.25">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5">
      <c r="A133" s="698"/>
      <c r="B133" s="156"/>
      <c r="C133" s="156"/>
      <c r="D133" s="248" t="s">
        <v>4</v>
      </c>
      <c r="E133" s="156" t="s">
        <v>30</v>
      </c>
      <c r="F133" s="161"/>
      <c r="G133" s="161"/>
      <c r="H133" s="206" t="s">
        <v>4</v>
      </c>
      <c r="I133" s="156" t="s">
        <v>30</v>
      </c>
      <c r="J133" s="156"/>
      <c r="K133" s="156"/>
      <c r="L133" s="150" t="s">
        <v>4</v>
      </c>
      <c r="M133" s="156" t="s">
        <v>30</v>
      </c>
      <c r="N133" s="148"/>
    </row>
    <row r="134" spans="1:14" s="3" customFormat="1" ht="15.6" x14ac:dyDescent="0.25">
      <c r="A134" s="14" t="s">
        <v>387</v>
      </c>
      <c r="B134" s="236"/>
      <c r="C134" s="311"/>
      <c r="D134" s="351"/>
      <c r="E134" s="11"/>
      <c r="F134" s="318"/>
      <c r="G134" s="319"/>
      <c r="H134" s="429"/>
      <c r="I134" s="24"/>
      <c r="J134" s="320"/>
      <c r="K134" s="320"/>
      <c r="L134" s="425"/>
      <c r="M134" s="11"/>
      <c r="N134" s="148"/>
    </row>
    <row r="135" spans="1:14" s="3" customFormat="1" ht="15.6" x14ac:dyDescent="0.25">
      <c r="A135" s="13" t="s">
        <v>392</v>
      </c>
      <c r="B135" s="236"/>
      <c r="C135" s="311"/>
      <c r="D135" s="171"/>
      <c r="E135" s="11"/>
      <c r="F135" s="236"/>
      <c r="G135" s="311"/>
      <c r="H135" s="430"/>
      <c r="I135" s="24"/>
      <c r="J135" s="310"/>
      <c r="K135" s="310"/>
      <c r="L135" s="426"/>
      <c r="M135" s="11"/>
      <c r="N135" s="148"/>
    </row>
    <row r="136" spans="1:14" s="3" customFormat="1" ht="15.6" x14ac:dyDescent="0.25">
      <c r="A136" s="13" t="s">
        <v>389</v>
      </c>
      <c r="B136" s="236"/>
      <c r="C136" s="311"/>
      <c r="D136" s="171"/>
      <c r="E136" s="11"/>
      <c r="F136" s="236"/>
      <c r="G136" s="311"/>
      <c r="H136" s="430"/>
      <c r="I136" s="24"/>
      <c r="J136" s="310"/>
      <c r="K136" s="310"/>
      <c r="L136" s="426"/>
      <c r="M136" s="11"/>
      <c r="N136" s="148"/>
    </row>
    <row r="137" spans="1:14" s="3" customFormat="1" ht="15.6" x14ac:dyDescent="0.25">
      <c r="A137" s="41" t="s">
        <v>390</v>
      </c>
      <c r="B137" s="281"/>
      <c r="C137" s="317"/>
      <c r="D137" s="169"/>
      <c r="E137" s="9"/>
      <c r="F137" s="281"/>
      <c r="G137" s="317"/>
      <c r="H137" s="431"/>
      <c r="I137" s="36"/>
      <c r="J137" s="316"/>
      <c r="K137" s="316"/>
      <c r="L137" s="427"/>
      <c r="M137" s="36"/>
      <c r="N137" s="148"/>
    </row>
    <row r="138" spans="1:14" s="3" customFormat="1" x14ac:dyDescent="0.25">
      <c r="A138" s="168"/>
      <c r="B138" s="33"/>
      <c r="C138" s="33"/>
      <c r="D138" s="159"/>
      <c r="E138" s="159"/>
      <c r="F138" s="33"/>
      <c r="G138" s="33"/>
      <c r="H138" s="159"/>
      <c r="I138" s="159"/>
      <c r="J138" s="33"/>
      <c r="K138" s="33"/>
      <c r="L138" s="159"/>
      <c r="M138" s="159"/>
      <c r="N138" s="148"/>
    </row>
    <row r="139" spans="1:14" x14ac:dyDescent="0.25">
      <c r="A139" s="168"/>
      <c r="B139" s="33"/>
      <c r="C139" s="33"/>
      <c r="D139" s="159"/>
      <c r="E139" s="159"/>
      <c r="F139" s="33"/>
      <c r="G139" s="33"/>
      <c r="H139" s="159"/>
      <c r="I139" s="159"/>
      <c r="J139" s="33"/>
      <c r="K139" s="33"/>
      <c r="L139" s="159"/>
      <c r="M139" s="159"/>
      <c r="N139" s="148"/>
    </row>
    <row r="140" spans="1:14" x14ac:dyDescent="0.25">
      <c r="A140" s="168"/>
      <c r="B140" s="33"/>
      <c r="C140" s="33"/>
      <c r="D140" s="159"/>
      <c r="E140" s="159"/>
      <c r="F140" s="33"/>
      <c r="G140" s="33"/>
      <c r="H140" s="159"/>
      <c r="I140" s="159"/>
      <c r="J140" s="33"/>
      <c r="K140" s="33"/>
      <c r="L140" s="159"/>
      <c r="M140" s="159"/>
      <c r="N140" s="148"/>
    </row>
    <row r="141" spans="1:14" x14ac:dyDescent="0.25">
      <c r="A141" s="146"/>
      <c r="B141" s="146"/>
      <c r="C141" s="146"/>
      <c r="D141" s="146"/>
      <c r="E141" s="146"/>
      <c r="F141" s="146"/>
      <c r="G141" s="146"/>
      <c r="H141" s="146"/>
      <c r="I141" s="146"/>
      <c r="J141" s="146"/>
      <c r="K141" s="146"/>
      <c r="L141" s="146"/>
      <c r="M141" s="146"/>
      <c r="N141" s="146"/>
    </row>
    <row r="142" spans="1:14" ht="15.6" x14ac:dyDescent="0.3">
      <c r="B142" s="142"/>
      <c r="C142" s="142"/>
      <c r="D142" s="142"/>
      <c r="E142" s="142"/>
      <c r="F142" s="142"/>
      <c r="G142" s="142"/>
      <c r="H142" s="142"/>
      <c r="I142" s="142"/>
      <c r="J142" s="142"/>
      <c r="K142" s="142"/>
      <c r="L142" s="142"/>
      <c r="M142" s="142"/>
      <c r="N142" s="142"/>
    </row>
    <row r="143" spans="1:14" ht="15.6" x14ac:dyDescent="0.3">
      <c r="B143" s="157"/>
      <c r="C143" s="157"/>
      <c r="D143" s="157"/>
      <c r="E143" s="157"/>
      <c r="F143" s="157"/>
      <c r="G143" s="157"/>
      <c r="H143" s="157"/>
      <c r="I143" s="157"/>
      <c r="J143" s="157"/>
      <c r="K143" s="157"/>
      <c r="L143" s="157"/>
      <c r="M143" s="157"/>
      <c r="N143" s="157"/>
    </row>
    <row r="144" spans="1:14" ht="15.6" x14ac:dyDescent="0.3">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115">
    <cfRule type="expression" dxfId="637" priority="45">
      <formula>kvartal &lt; 4</formula>
    </cfRule>
  </conditionalFormatting>
  <conditionalFormatting sqref="C115">
    <cfRule type="expression" dxfId="636" priority="44">
      <formula>kvartal &lt; 4</formula>
    </cfRule>
  </conditionalFormatting>
  <conditionalFormatting sqref="B123">
    <cfRule type="expression" dxfId="635" priority="43">
      <formula>kvartal &lt; 4</formula>
    </cfRule>
  </conditionalFormatting>
  <conditionalFormatting sqref="C123">
    <cfRule type="expression" dxfId="634" priority="42">
      <formula>kvartal &lt; 4</formula>
    </cfRule>
  </conditionalFormatting>
  <conditionalFormatting sqref="F115">
    <cfRule type="expression" dxfId="633" priority="31">
      <formula>kvartal &lt; 4</formula>
    </cfRule>
  </conditionalFormatting>
  <conditionalFormatting sqref="G115">
    <cfRule type="expression" dxfId="632" priority="30">
      <formula>kvartal &lt; 4</formula>
    </cfRule>
  </conditionalFormatting>
  <conditionalFormatting sqref="F123:G123">
    <cfRule type="expression" dxfId="631" priority="29">
      <formula>kvartal &lt; 4</formula>
    </cfRule>
  </conditionalFormatting>
  <conditionalFormatting sqref="J115:K115">
    <cfRule type="expression" dxfId="630" priority="12">
      <formula>kvartal &lt; 4</formula>
    </cfRule>
  </conditionalFormatting>
  <conditionalFormatting sqref="J123:K123">
    <cfRule type="expression" dxfId="629" priority="11">
      <formula>kvartal &lt; 4</formula>
    </cfRule>
  </conditionalFormatting>
  <conditionalFormatting sqref="A50:A52">
    <cfRule type="expression" dxfId="628" priority="8">
      <formula>kvartal &lt; 4</formula>
    </cfRule>
  </conditionalFormatting>
  <conditionalFormatting sqref="A69:A74">
    <cfRule type="expression" dxfId="627" priority="7">
      <formula>kvartal &lt; 4</formula>
    </cfRule>
  </conditionalFormatting>
  <conditionalFormatting sqref="A80:A85">
    <cfRule type="expression" dxfId="626" priority="6">
      <formula>kvartal &lt; 4</formula>
    </cfRule>
  </conditionalFormatting>
  <conditionalFormatting sqref="A90:A95">
    <cfRule type="expression" dxfId="625" priority="5">
      <formula>kvartal &lt; 4</formula>
    </cfRule>
  </conditionalFormatting>
  <conditionalFormatting sqref="A101:A106">
    <cfRule type="expression" dxfId="624" priority="4">
      <formula>kvartal &lt; 4</formula>
    </cfRule>
  </conditionalFormatting>
  <conditionalFormatting sqref="A115">
    <cfRule type="expression" dxfId="623" priority="3">
      <formula>kvartal &lt; 4</formula>
    </cfRule>
  </conditionalFormatting>
  <conditionalFormatting sqref="A123">
    <cfRule type="expression" dxfId="622" priority="2">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Q E A A B Q S w M E F A A C A A g A Q X 1 v U 2 j c L c e k A A A A 9 Q A A A B I A H A B D b 2 5 m a W c v U G F j a 2 F n Z S 5 4 b W w g o h g A K K A U A A A A A A A A A A A A A A A A A A A A A A A A A A A A h Y + x D o I w G I R f h X S n r T U m S H 7 K 4 C p q Y m J c a 6 n Q C M X Q Y n k 3 B x / J V x C j q J v j f X e X 3 N 2 v N 0 j 7 u g o u q r W 6 M Q m a Y I o C Z W S T a 1 M k q H P H M E I p h 4 2 Q J 1 G o Y A g b G / d W J 6 h 0 7 h w T 4 r 3 H f o q b t i C M 0 g n Z Z 8 u t L F U t Q m 2 s E 0 Y q 9 G n l / 1 u I w + 4 1 h j M 8 p 3 g W M U y B j A w y b b 4 + G + Y + 3 R 8 I i 6 5 y X a u 4 O Y S r N Z B R A n l f 4 A 9 Q S w M E F A A C A A g A Q X 1 v 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F 9 b 1 M G + v n p / g A A A G I B A A A T A B w A R m 9 y b X V s Y X M v U 2 V j d G l v b j E u b S C i G A A o o B Q A A A A A A A A A A A A A A A A A A A A A A A A A A A B 9 j 8 F K w 0 A Q h s 8 N 9 B 2 G P Z Q G 0 h A 9 C S E g p E G k U J Q E L a x L 2 D Q D x m y y d b I p l d K j j + K T 9 M W 6 s U X x 4 l x m Y P 5 v / v k 7 X J t K t 5 C e + 1 U 4 d s Z O 9 y o J S 5 h L I y E C h c Y B W w + S Z I M G 6 Q m p r O w i 2 a 1 R + X F P h K 1 5 1 l Q X W t d T d 8 + X V h e x H z 0 y c e C x b o 2 V C Q + + j y 0 q V a K 9 k b 4 r f / A p Z I d T l t 3 N 0 t X 8 J p k F w f X L v Q W o l Y p 5 w F S 1 z R t p J / 7 Y I 3 1 E L F k l M f C y 0 M L n m x y H T / I N Y W c t Z P e m W + G M R r f H L 7 I W D C a w 7 J s C y c 9 0 h j s z / Z u E H z 9 J 7 I O D C x P m D V i 9 l W S k u q D / s 4 u z 9 s I D C 5 l w n a r 9 z R i e A F B L A Q I t A B Q A A g A I A E F 9 b 1 N o 3 C 3 H p A A A A P U A A A A S A A A A A A A A A A A A A A A A A A A A A A B D b 2 5 m a W c v U G F j a 2 F n Z S 5 4 b W x Q S w E C L Q A U A A I A C A B B f W 9 T D 8 r p q 6 Q A A A D p A A A A E w A A A A A A A A A A A A A A A A D w A A A A W 0 N v b n R l b n R f V H l w Z X N d L n h t b F B L A Q I t A B Q A A g A I A E F 9 b 1 M G + v n p / g A A A G I B A A A T A A A A A A A A A A A A A A A A A O E B A A B G b 3 J t d W x h c y 9 T Z W N 0 a W 9 u M S 5 t U E s F B g A A A A A D A A M A w g A A A C w D A A A A A D 0 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U H V i b G l j P C 9 X b 3 J r Y m 9 v a 0 d y b 3 V w V H l w Z T 4 8 L 1 B l c m 1 p c 3 N p b 2 5 M a X N 0 P s M L A A A A A A A A o Q 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R h d G E 8 L 0 l 0 Z W 1 Q Y X R o P j w v S X R l b U x v Y 2 F 0 a W 9 u P j x T d G F i b G V F b n R y a W V z P j x F b n R y e S B U e X B l P S J J c 1 B y a X Z h d G U i I F Z h b H V l P S J s M C I g L z 4 8 R W 5 0 c n k g V H l w Z T 0 i Q n V m Z m V y T m V 4 d F J l Z n J l c 2 g i I F Z h b H V l P S J s M S I g L z 4 8 R W 5 0 c n k g V H l w Z T 0 i R m l s b E V u Y W J s Z W Q i I F Z h b H V l P S J s M C I g L z 4 8 R W 5 0 c n k g V H l w Z T 0 i R m l s b F R v R G F 0 Y U 1 v Z G V s R W 5 h Y m x l Z C I g V m F s d W U 9 I m w w I i A v P j x F b n R y e S B U e X B l P S J S Z X N 1 b H R U e X B l I i B W Y W x 1 Z T 0 i c 1 R h Y m x l I i A v P j x F b n R y e S B U e X B l P S J O Y W 1 l V X B k Y X R l Z E F m d G V y R m l s b C I g V m F s d W U 9 I m w w I i A v P j x F b n R y e S B U e X B l P S J G a W x s Z W R D b 2 1 w b G V 0 Z V J l c 3 V s d F R v V 2 9 y a 3 N o Z W V 0 I i B W Y W x 1 Z T 0 i b D E i I C 8 + P E V u d H J 5 I F R 5 c G U 9 I l J l Y 2 9 2 Z X J 5 V G F y Z 2 V 0 U 2 h l Z X Q i I F Z h b H V l P S J z Q X J r M i I g L z 4 8 R W 5 0 c n k g V H l w Z T 0 i U m V j b 3 Z l c n l U Y X J n Z X R D b 2 x 1 b W 4 i I F Z h b H V l P S J s M S I g L z 4 8 R W 5 0 c n k g V H l w Z T 0 i U m V j b 3 Z l c n l U Y X J n Z X R S b 3 c i I F Z h b H V l P S J s M S I g L z 4 8 R W 5 0 c n k g V H l w Z T 0 i U X V l c n l J R C I g V m F s d W U 9 I n M 0 Z T g z Y W R k O S 1 l Y 2 N i L T R l Z j Y t O W N m O C 0 2 Y j I 5 O G R m M D Q 0 Y z k i I C 8 + P E V u d H J 5 I F R 5 c G U 9 I k 5 h d m l n Y X R p b 2 5 T d G V w T m F t Z S I g V m F s d W U 9 I n N O Y X Z p Z 2 F 0 a W 9 u I i A v P j x F b n R y e S B U e X B l P S J G a W x s T G F z d F V w Z G F 0 Z W Q i I F Z h b H V l P S J k M j A y M S 0 x M S 0 x N F Q x N j o 0 M j o 1 M S 4 5 M D Q 4 O T E x W i I g L z 4 8 R W 5 0 c n k g V H l w Z T 0 i R m l s b E V y c m 9 y Q 2 9 1 b n Q i I F Z h b H V l P S J s M C I g L z 4 8 R W 5 0 c n k g V H l w Z T 0 i R m l s b E V y c m 9 y Q 2 9 k Z S I g V m F s d W U 9 I n N V b m t u b 3 d u I i A v P j x F b n R y e S B U e X B l P S J G a W x s Q 2 9 s d W 1 u V H l w Z X M i I F Z h b H V l P S J z Q m d J Q 0 F n S U N B Z 1 U 9 I i A v P j x F b n R y e S B U e X B l P S J G a W x s Q 2 9 s d W 1 u T m F t Z X M i I F Z h b H V l P S J z W y Z x d W 9 0 O 3 P D u G t l b s O 4 a 2 t l b C Z x d W 9 0 O y w m c X V v d D t z Z W x z a 2 F w X 2 l k J n F 1 b 3 Q 7 L C Z x d W 9 0 O 8 O l c i Z x d W 9 0 O y w m c X V v d D t r d m F y d G F s J n F 1 b 3 Q 7 L C Z x d W 9 0 O 3 R h Y m V s b F 9 p Z C Z x d W 9 0 O y w m c X V v d D t y Y W R f a W Q m c X V v d D s s J n F 1 b 3 Q 7 a 2 F 0 Z W d v c m l f a W Q m c X V v d D s s J n F 1 b 3 Q 7 d m V y Z G k m c X V v d D t d I i A v P j x F b n R y e S B U e X B l P S J G a W x s U 3 R h d H V z I i B W Y W x 1 Z T 0 i c 0 N v b X B s Z X R l I i A v P j x F b n R y e S B U e X B l P S J G a W x s Q 2 9 1 b n Q i I F Z h b H V l P S J s N z Y 2 N C I g L z 4 8 R W 5 0 c n k g V H l w Z T 0 i Q W R k Z W R U b 0 R h d G F N b 2 R l b C I g V m F s d W U 9 I m w w I i A v P j x F b n R y e S B U e X B l P S J S Z W x h d G l v b n N o a X B J b m Z v Q 2 9 u d G F p b m V y I i B W Y W x 1 Z T 0 i c 3 s m c X V v d D t j b 2 x 1 b W 5 D b 3 V u d C Z x d W 9 0 O z o 4 L C Z x d W 9 0 O 2 t l e U N v b H V t b k 5 h b W V z J n F 1 b 3 Q 7 O l t d L C Z x d W 9 0 O 3 F 1 Z X J 5 U m V s Y X R p b 2 5 z a G l w c y Z x d W 9 0 O z p b X S w m c X V v d D t j 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D b 2 x 1 b W 5 D b 3 V u d C Z x d W 9 0 O z o 4 L C Z x d W 9 0 O 0 t l e U N v b H V t b k 5 h b W V z J n F 1 b 3 Q 7 O l t d L C Z x d W 9 0 O 0 N v b H V t b k l k Z W 5 0 a X R p Z X M m c X V v d D s 6 W y Z x d W 9 0 O 1 N l Y 3 R p b 2 4 x L 0 R h d G E v S 2 l s Z G U u e 3 P D u G t l b s O 4 a 2 t l b C w w f S Z x d W 9 0 O y w m c X V v d D t T Z W N 0 a W 9 u M S 9 E Y X R h L 0 t p b G R l L n t z Z W x z a 2 F w X 2 l k L D F 9 J n F 1 b 3 Q 7 L C Z x d W 9 0 O 1 N l Y 3 R p b 2 4 x L 0 R h d G E v S 2 l s Z G U u e 8 O l c i w y f S Z x d W 9 0 O y w m c X V v d D t T Z W N 0 a W 9 u M S 9 E Y X R h L 0 t p b G R l L n t r d m F y d G F s L D N 9 J n F 1 b 3 Q 7 L C Z x d W 9 0 O 1 N l Y 3 R p b 2 4 x L 0 R h d G E v S 2 l s Z G U u e 3 R h Y m V s b F 9 p Z C w 0 f S Z x d W 9 0 O y w m c X V v d D t T Z W N 0 a W 9 u M S 9 E Y X R h L 0 t p b G R l L n t y Y W R f a W Q s N X 0 m c X V v d D s s J n F 1 b 3 Q 7 U 2 V j d G l v b j E v R G F 0 Y S 9 L a W x k Z S 5 7 a 2 F 0 Z W d v c m l f a W Q s N n 0 m c X V v d D s s J n F 1 b 3 Q 7 U 2 V j d G l v b j E v R G F 0 Y S 9 L a W x k Z S 5 7 d m V y Z G k s N 3 0 m c X V v d D t d L C Z x d W 9 0 O 1 J l b G F 0 a W 9 u c 2 h p c E l u Z m 8 m c X V v d D s 6 W 1 1 9 I i A v P j x F b n R y e S B U e X B l P S J G a W x s T 2 J q Z W N 0 V H l w Z S I g V m F s d W U 9 I n N D b 2 5 u Z W N 0 a W 9 u T 2 5 s e S I g L z 4 8 L 1 N 0 Y W J s Z U V u d H J p Z X M + P C 9 J d G V t P j x J d G V t P j x J d G V t T G 9 j Y X R p b 2 4 + P E l 0 Z W 1 U e X B l P k Z v c m 1 1 b G E 8 L 0 l 0 Z W 1 U e X B l P j x J d G V t U G F 0 a D 5 T Z W N 0 a W 9 u M S 9 E Y X R h L 0 t p b G R l P C 9 J d G V t U G F 0 a D 4 8 L 0 l 0 Z W 1 M b 2 N h d G l v b j 4 8 U 3 R h Y m x l R W 5 0 c m l l c y A v P j w v S X R l b T 4 8 S X R l b T 4 8 S X R l b U x v Y 2 F 0 a W 9 u P j x J d G V t V H l w Z T 5 G b 3 J t d W x h P C 9 J d G V t V H l w Z T 4 8 S X R l b V B h d G g + U 2 V j d G l v b j E v R G F 0 Y S 9 Q Y X J h b W V 0 Z X J W Z X J k a T w v S X R l b V B h d G g + P C 9 J d G V t T G 9 j Y X R p b 2 4 + P F N 0 Y W J s Z U V u d H J p Z X M g L z 4 8 L 0 l 0 Z W 0 + P C 9 J d G V t c z 4 8 L 0 x v Y 2 F s U G F j a 2 F n Z U 1 l d G F k Y X R h R m l s Z T 4 W A A A A U E s F B g A A A A A A A A A A A A A A A A A A A A A A A N o A A A A B A A A A 0 I y d 3 w E V 0 R G M e g D A T 8 K X 6 w E A A A B d c a Z j u A z 7 S L n 5 7 E n 7 v s v i A A A A A A I A A A A A A A N m A A D A A A A A E A A A A M c q B a / 6 0 J 6 v F v D m p 4 y y + w w A A A A A B I A A A K A A A A A Q A A A A H p f W v u + h H G t r C 8 f I n 2 W S 1 1 A A A A D d e G P + u g q u z 3 S Q N P v S w Q A r G u g f X 1 y t Z L h 8 P Z F s G X S F S v E C m M 2 t 4 l A h 4 k S J 9 I 6 I n Q / + r z 6 e i l A o K 2 h y N A I P e a E O l m G Y 0 R G R a k M k 2 G X t F i u 4 O h Q A A A B B B 0 h c h I 0 t k H 6 Q + 3 X i A k m a 3 0 I 6 4 Q = = < / 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2020-123998358-360</_dlc_DocId>
    <_dlc_DocIdUrl xmlns="6edf9311-6556-4af2-85ff-d57844cfe120">
      <Url>https://finansnorge.sharepoint.com/sites/intranett/arkiv/_layouts/15/DocIdRedir.aspx?ID=2020-123998358-360</Url>
      <Description>2020-123998358-360</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3E97A071-79CE-4198-824E-3DFE79C8DB1C}"/>
</file>

<file path=customXml/itemProps3.xml><?xml version="1.0" encoding="utf-8"?>
<ds:datastoreItem xmlns:ds="http://schemas.openxmlformats.org/officeDocument/2006/customXml" ds:itemID="{C5D75CC5-C11E-4490-AB34-361626316C3A}"/>
</file>

<file path=customXml/itemProps4.xml><?xml version="1.0" encoding="utf-8"?>
<ds:datastoreItem xmlns:ds="http://schemas.openxmlformats.org/officeDocument/2006/customXml" ds:itemID="{A88CC290-7310-4CD8-816A-D028FA35FA46}"/>
</file>

<file path=customXml/itemProps5.xml><?xml version="1.0" encoding="utf-8"?>
<ds:datastoreItem xmlns:ds="http://schemas.openxmlformats.org/officeDocument/2006/customXml" ds:itemID="{B7AD027E-9F4B-4CA1-985C-8ACAFC5549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37</vt:i4>
      </vt:variant>
      <vt:variant>
        <vt:lpstr>Navngitte områder</vt:lpstr>
      </vt:variant>
      <vt:variant>
        <vt:i4>4</vt:i4>
      </vt:variant>
    </vt:vector>
  </HeadingPairs>
  <TitlesOfParts>
    <vt:vector size="41" baseType="lpstr">
      <vt:lpstr>Forside</vt:lpstr>
      <vt:lpstr>Innhold</vt:lpstr>
      <vt:lpstr>Figurer</vt:lpstr>
      <vt:lpstr>Tabel 1.1</vt:lpstr>
      <vt:lpstr>Tabell 1.2</vt:lpstr>
      <vt:lpstr>Tabell 1.3</vt:lpstr>
      <vt:lpstr>Skjema total MA</vt:lpstr>
      <vt:lpstr>Codan Forsikring</vt:lpstr>
      <vt:lpstr>Danica Pensjonsforsikring</vt:lpstr>
      <vt:lpstr>DNB Bedriftspensjon</vt:lpstr>
      <vt:lpstr>DNB Livsforsikring</vt:lpstr>
      <vt:lpstr>Eika Forsikring AS</vt:lpstr>
      <vt:lpstr>Euro Accident</vt:lpstr>
      <vt:lpstr>Fremtind Livsforsikring</vt:lpstr>
      <vt:lpstr>Frende Livsforsikring</vt:lpstr>
      <vt:lpstr>Frende Skadeforsikring</vt:lpstr>
      <vt:lpstr>Gjensidige Forsikring</vt:lpstr>
      <vt:lpstr>Gjensidige Pensjon</vt:lpstr>
      <vt:lpstr>Handelsbanken Liv</vt:lpstr>
      <vt:lpstr>If Skadeforsikring NUF</vt:lpstr>
      <vt:lpstr>Insr</vt:lpstr>
      <vt:lpstr>KLP</vt:lpstr>
      <vt:lpstr>KLP Skadeforsikring AS</vt:lpstr>
      <vt:lpstr>Landkreditt Forsikring</vt:lpstr>
      <vt:lpstr>Nordea Liv </vt:lpstr>
      <vt:lpstr>Oslo Pensjonsforsikring</vt:lpstr>
      <vt:lpstr>Protector Forsikring</vt:lpstr>
      <vt:lpstr>SHB Liv</vt:lpstr>
      <vt:lpstr>Sparebank 1</vt:lpstr>
      <vt:lpstr>Storebrand Livsforsikring</vt:lpstr>
      <vt:lpstr>Telenor Forsikring</vt:lpstr>
      <vt:lpstr>Tryg Forsikring</vt:lpstr>
      <vt:lpstr>WaterCircle F</vt:lpstr>
      <vt:lpstr>Tabell 4</vt:lpstr>
      <vt:lpstr>Tabell 6</vt:lpstr>
      <vt:lpstr>Tabell 8</vt:lpstr>
      <vt:lpstr>Noter og kommentarer</vt:lpstr>
      <vt:lpstr>'Fremtind Livsforsikring'!Utskriftsområde</vt:lpstr>
      <vt:lpstr>Insr!Utskriftsområde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2021-11-15T15:27:11Z</cp:lastPrinted>
  <dcterms:created xsi:type="dcterms:W3CDTF">2010-12-15T10:21:26Z</dcterms:created>
  <dcterms:modified xsi:type="dcterms:W3CDTF">2022-05-25T15:57:00Z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b2998bd3-2d3e-47c1-a95d-0af65e04376d</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