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nnections.xml" ContentType="application/vnd.openxmlformats-officedocument.spreadsheetml.connection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Statistikk og analyse (FNF)\RMørk\Livstatistikk - fra fno - denne oppdateres\Faste statistikker\MA\2025\Q2-2025\Publisert\"/>
    </mc:Choice>
  </mc:AlternateContent>
  <xr:revisionPtr revIDLastSave="0" documentId="13_ncr:1_{B9900D9A-407B-4434-A2B9-084E9533277B}" xr6:coauthVersionLast="47" xr6:coauthVersionMax="47" xr10:uidLastSave="{00000000-0000-0000-0000-000000000000}"/>
  <bookViews>
    <workbookView xWindow="-120" yWindow="-120" windowWidth="29040" windowHeight="17520" tabRatio="835" activeTab="1" xr2:uid="{00000000-000D-0000-FFFF-FFFF00000000}"/>
  </bookViews>
  <sheets>
    <sheet name="Forside" sheetId="80" r:id="rId1"/>
    <sheet name="Innhold" sheetId="7" r:id="rId2"/>
    <sheet name="Figurer" sheetId="8" r:id="rId3"/>
    <sheet name="Tabel 1.1" sheetId="9" r:id="rId4"/>
    <sheet name="Tabell 1.2" sheetId="10" r:id="rId5"/>
    <sheet name="Tabell 1.3" sheetId="58" r:id="rId6"/>
    <sheet name="Skjema total MA" sheetId="4" r:id="rId7"/>
    <sheet name="DNB Livsforsikring" sheetId="13" r:id="rId8"/>
    <sheet name="Eika Forsikring AS" sheetId="19" r:id="rId9"/>
    <sheet name="Euro Accident" sheetId="77" r:id="rId10"/>
    <sheet name="Fremtind Livsforsikring" sheetId="16" r:id="rId11"/>
    <sheet name="Frende Livsforsikring" sheetId="20" r:id="rId12"/>
    <sheet name="Frende Skadeforsikring" sheetId="21" r:id="rId13"/>
    <sheet name="Gjensidige Forsikring" sheetId="22" r:id="rId14"/>
    <sheet name="Gjensidige Pensjon" sheetId="23" r:id="rId15"/>
    <sheet name="If Skadeforsikring NUF" sheetId="25" r:id="rId16"/>
    <sheet name="KLP" sheetId="26" r:id="rId17"/>
    <sheet name="KLP Skadeforsikring AS" sheetId="51" r:id="rId18"/>
    <sheet name="Landkreditt Forsikring" sheetId="40" r:id="rId19"/>
    <sheet name="Ly Forsikring" sheetId="78" r:id="rId20"/>
    <sheet name="Nordea Liv " sheetId="29" r:id="rId21"/>
    <sheet name="Oslo Forsikring" sheetId="81" r:id="rId22"/>
    <sheet name="Oslo Pensjonsforsikring" sheetId="34" r:id="rId23"/>
    <sheet name="Protector Forsikring" sheetId="72" r:id="rId24"/>
    <sheet name="Sparebank 1 Fors." sheetId="33" r:id="rId25"/>
    <sheet name="Storebrand Livsforsikring" sheetId="37" r:id="rId26"/>
    <sheet name="Telenor Forsikring" sheetId="38" r:id="rId27"/>
    <sheet name="Tryg Forsikring" sheetId="39" r:id="rId28"/>
    <sheet name="WaterCircles F" sheetId="74" r:id="rId29"/>
    <sheet name="Youplus Livsforsikring" sheetId="79" r:id="rId30"/>
    <sheet name="Tabell 4" sheetId="82" r:id="rId31"/>
    <sheet name="Tabell 6" sheetId="86" r:id="rId32"/>
    <sheet name="Tabell 8" sheetId="90" r:id="rId33"/>
    <sheet name="Noter og kommentarer" sheetId="3" r:id="rId34"/>
  </sheets>
  <externalReferences>
    <externalReference r:id="rId35"/>
  </externalReferences>
  <definedNames>
    <definedName name="Dag">#REF!</definedName>
    <definedName name="Dager">#REF!</definedName>
    <definedName name="dato">#REF!</definedName>
    <definedName name="Feilmelding">#REF!</definedName>
    <definedName name="FilNavn">[1]Oppslagstabeller!$N$5</definedName>
    <definedName name="Fjorårstall">#REF!</definedName>
    <definedName name="Koder2a">#REF!</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10">'Fremtind Livsforsikring'!$A$1:$M$137</definedName>
    <definedName name="_xlnm.Print_Area" localSheetId="33">'Noter og kommentarer'!$A$1:$L$43</definedName>
    <definedName name="_xlnm.Print_Area" localSheetId="6">'Skjema total MA'!$A$1:$J$138</definedName>
    <definedName name="år">#REF!</definedName>
    <definedName name="ÅrFratrek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3" i="86" l="1"/>
  <c r="O93" i="86"/>
  <c r="AB46" i="86"/>
  <c r="AB53" i="86"/>
  <c r="AB79" i="86"/>
  <c r="AB86" i="86"/>
  <c r="Y79" i="86"/>
  <c r="Y58" i="86"/>
  <c r="Y57" i="86"/>
  <c r="Y49" i="86"/>
  <c r="Y42" i="86"/>
  <c r="Y24" i="86"/>
  <c r="V79" i="86"/>
  <c r="V77" i="86"/>
  <c r="V21" i="86"/>
  <c r="P86" i="86"/>
  <c r="P84" i="86"/>
  <c r="P79" i="86"/>
  <c r="P52" i="86"/>
  <c r="M14" i="86"/>
  <c r="M16" i="86"/>
  <c r="M19" i="86"/>
  <c r="M34" i="86"/>
  <c r="M40" i="86"/>
  <c r="M49" i="86"/>
  <c r="M46" i="86"/>
  <c r="M71" i="86"/>
  <c r="M77" i="86"/>
  <c r="J75" i="86"/>
  <c r="J70" i="86"/>
  <c r="J36" i="86"/>
  <c r="J17" i="86"/>
  <c r="G18" i="86"/>
  <c r="G17" i="86"/>
  <c r="G23" i="86"/>
  <c r="G34" i="86"/>
  <c r="G37" i="86"/>
  <c r="G36" i="86"/>
  <c r="G42" i="86"/>
  <c r="G71" i="86"/>
  <c r="G79" i="86"/>
  <c r="G90" i="86"/>
  <c r="G89" i="86"/>
  <c r="D49" i="86"/>
  <c r="D46" i="86"/>
  <c r="AJ83" i="86"/>
  <c r="AG83" i="86"/>
  <c r="AB26" i="82"/>
  <c r="V34" i="82"/>
  <c r="P28" i="82"/>
  <c r="P43" i="82"/>
  <c r="J27" i="82"/>
  <c r="G34" i="82"/>
  <c r="G32" i="82"/>
  <c r="AI15" i="86" l="1"/>
  <c r="AJ75" i="86"/>
  <c r="AJ74" i="86"/>
  <c r="AG75" i="86"/>
  <c r="AG74" i="86"/>
  <c r="I80" i="86" l="1"/>
  <c r="I93" i="86" s="1"/>
  <c r="H80" i="86"/>
  <c r="H93" i="86" s="1"/>
  <c r="I39" i="86"/>
  <c r="H39" i="86"/>
  <c r="I35" i="86"/>
  <c r="H35" i="86"/>
  <c r="J35" i="86" s="1"/>
  <c r="I20" i="86"/>
  <c r="H20" i="86"/>
  <c r="I16" i="86"/>
  <c r="H16" i="86"/>
  <c r="I41" i="82"/>
  <c r="H41" i="82"/>
  <c r="I30" i="82"/>
  <c r="H30" i="82"/>
  <c r="I21" i="82"/>
  <c r="H21" i="82"/>
  <c r="I14" i="82"/>
  <c r="H14" i="82"/>
  <c r="H27" i="86" l="1"/>
  <c r="H29" i="86" s="1"/>
  <c r="J16" i="86"/>
  <c r="I27" i="86"/>
  <c r="I29" i="86" s="1"/>
  <c r="H35" i="82"/>
  <c r="H42" i="82" s="1"/>
  <c r="H44" i="82" s="1"/>
  <c r="H46" i="82" s="1"/>
  <c r="I35" i="82"/>
  <c r="I42" i="82" s="1"/>
  <c r="I44" i="82" s="1"/>
  <c r="I46" i="82" s="1"/>
  <c r="H45" i="86"/>
  <c r="H62" i="86" s="1"/>
  <c r="H64" i="86" s="1"/>
  <c r="I45" i="86"/>
  <c r="I62" i="86" s="1"/>
  <c r="I64" i="86" l="1"/>
  <c r="AA87" i="86"/>
  <c r="Z87" i="86"/>
  <c r="AA80" i="86"/>
  <c r="AA93" i="86" s="1"/>
  <c r="Z80" i="86"/>
  <c r="Z93" i="86" s="1"/>
  <c r="AA54" i="86"/>
  <c r="Z54" i="86"/>
  <c r="AA50" i="86"/>
  <c r="AA60" i="86" s="1"/>
  <c r="Z50" i="86"/>
  <c r="AA39" i="86"/>
  <c r="Z39" i="86"/>
  <c r="AA35" i="86"/>
  <c r="AA45" i="86" s="1"/>
  <c r="Z35" i="86"/>
  <c r="Z45" i="86" s="1"/>
  <c r="AA20" i="86"/>
  <c r="Z20" i="86"/>
  <c r="AA16" i="86"/>
  <c r="AA27" i="86" s="1"/>
  <c r="AA29" i="86" s="1"/>
  <c r="Z16" i="86"/>
  <c r="AA41" i="82"/>
  <c r="Z41" i="82"/>
  <c r="AA30" i="82"/>
  <c r="Z30" i="82"/>
  <c r="AA21" i="82"/>
  <c r="Z21" i="82"/>
  <c r="AA14" i="82"/>
  <c r="Z14" i="82"/>
  <c r="Z27" i="86" l="1"/>
  <c r="Z29" i="86" s="1"/>
  <c r="Z60" i="86"/>
  <c r="AB50" i="86"/>
  <c r="AA35" i="82"/>
  <c r="AA42" i="82" s="1"/>
  <c r="AA44" i="82" s="1"/>
  <c r="AA46" i="82" s="1"/>
  <c r="Z35" i="82"/>
  <c r="Z42" i="82" s="1"/>
  <c r="Z44" i="82" s="1"/>
  <c r="Z46" i="82" s="1"/>
  <c r="AA62" i="86"/>
  <c r="AA64" i="86" s="1"/>
  <c r="Z62" i="86"/>
  <c r="Z64" i="86" s="1"/>
  <c r="AD80" i="86" l="1"/>
  <c r="AD93" i="86" s="1"/>
  <c r="AC80" i="86"/>
  <c r="AC93" i="86" s="1"/>
  <c r="AD39" i="86"/>
  <c r="AC39" i="86"/>
  <c r="AC45" i="86" s="1"/>
  <c r="AC62" i="86" s="1"/>
  <c r="AD45" i="86"/>
  <c r="AD20" i="86"/>
  <c r="AC29" i="86"/>
  <c r="AD27" i="86"/>
  <c r="AD29" i="86" s="1"/>
  <c r="AG27" i="82"/>
  <c r="AG25" i="82"/>
  <c r="AD41" i="82"/>
  <c r="AC41" i="82"/>
  <c r="AD30" i="82"/>
  <c r="AC30" i="82"/>
  <c r="AD21" i="82"/>
  <c r="AC21" i="82"/>
  <c r="AD14" i="82"/>
  <c r="AC14" i="82"/>
  <c r="AC35" i="82" l="1"/>
  <c r="AC42" i="82" s="1"/>
  <c r="AC44" i="82" s="1"/>
  <c r="AC46" i="82" s="1"/>
  <c r="AD35" i="82"/>
  <c r="AD42" i="82" s="1"/>
  <c r="AD44" i="82" s="1"/>
  <c r="AD46" i="82" s="1"/>
  <c r="AD62" i="86"/>
  <c r="AD64" i="86" s="1"/>
  <c r="AC64" i="86"/>
  <c r="U90" i="86" l="1"/>
  <c r="T90" i="86"/>
  <c r="U80" i="86"/>
  <c r="U93" i="86" s="1"/>
  <c r="T80" i="86"/>
  <c r="U39" i="86"/>
  <c r="T39" i="86"/>
  <c r="U35" i="86"/>
  <c r="T35" i="86"/>
  <c r="U34" i="86"/>
  <c r="T34" i="86"/>
  <c r="U28" i="86"/>
  <c r="U20" i="86"/>
  <c r="T20" i="86"/>
  <c r="U16" i="86"/>
  <c r="T16" i="86"/>
  <c r="U15" i="86"/>
  <c r="U41" i="82"/>
  <c r="T41" i="82"/>
  <c r="U30" i="82"/>
  <c r="T30" i="82"/>
  <c r="U21" i="82"/>
  <c r="T21" i="82"/>
  <c r="U14" i="82"/>
  <c r="T14" i="82"/>
  <c r="U35" i="82" l="1"/>
  <c r="U42" i="82" s="1"/>
  <c r="U44" i="82" s="1"/>
  <c r="U46" i="82" s="1"/>
  <c r="T27" i="86"/>
  <c r="T29" i="86" s="1"/>
  <c r="U45" i="86"/>
  <c r="T35" i="82"/>
  <c r="T42" i="82" s="1"/>
  <c r="T44" i="82" s="1"/>
  <c r="T46" i="82" s="1"/>
  <c r="U27" i="86"/>
  <c r="U29" i="86" s="1"/>
  <c r="U62" i="86"/>
  <c r="U64" i="86" s="1"/>
  <c r="T45" i="86"/>
  <c r="T62" i="86" s="1"/>
  <c r="T64" i="86" s="1"/>
  <c r="T93" i="86"/>
  <c r="C87" i="86" l="1"/>
  <c r="B87" i="86"/>
  <c r="C80" i="86"/>
  <c r="C93" i="86" s="1"/>
  <c r="B80" i="86"/>
  <c r="B93" i="86" s="1"/>
  <c r="C54" i="86"/>
  <c r="B54" i="86"/>
  <c r="B60" i="86" s="1"/>
  <c r="C39" i="86"/>
  <c r="B39" i="86"/>
  <c r="C35" i="86"/>
  <c r="B35" i="86"/>
  <c r="C20" i="86"/>
  <c r="B20" i="86"/>
  <c r="C16" i="86"/>
  <c r="B16" i="86"/>
  <c r="B27" i="86" s="1"/>
  <c r="B29" i="86" s="1"/>
  <c r="B45" i="86" l="1"/>
  <c r="C27" i="86"/>
  <c r="C29" i="86" s="1"/>
  <c r="B62" i="86"/>
  <c r="B64" i="86" s="1"/>
  <c r="C45" i="86"/>
  <c r="C60" i="86"/>
  <c r="C62" i="86" s="1"/>
  <c r="C64" i="86" s="1"/>
  <c r="M26" i="82" l="1"/>
  <c r="M17" i="82"/>
  <c r="L41" i="82"/>
  <c r="K41" i="82"/>
  <c r="L30" i="82"/>
  <c r="K30" i="82"/>
  <c r="L21" i="82"/>
  <c r="K21" i="82"/>
  <c r="L14" i="82"/>
  <c r="K14" i="82"/>
  <c r="L35" i="82" l="1"/>
  <c r="K35" i="82"/>
  <c r="K42" i="82" s="1"/>
  <c r="K44" i="82" s="1"/>
  <c r="K46" i="82" s="1"/>
  <c r="L42" i="82"/>
  <c r="L44" i="82" s="1"/>
  <c r="L46" i="82" s="1"/>
  <c r="S58" i="86" l="1"/>
  <c r="S56" i="86"/>
  <c r="S49" i="86"/>
  <c r="S25" i="86"/>
  <c r="S24" i="86"/>
  <c r="S18" i="86"/>
  <c r="S17" i="86"/>
  <c r="S15" i="86"/>
  <c r="R87" i="86"/>
  <c r="Q87" i="86"/>
  <c r="R80" i="86"/>
  <c r="Q80" i="86"/>
  <c r="R54" i="86"/>
  <c r="R60" i="86" s="1"/>
  <c r="Q54" i="86"/>
  <c r="Q60" i="86" s="1"/>
  <c r="R39" i="86"/>
  <c r="Q39" i="86"/>
  <c r="R35" i="86"/>
  <c r="Q35" i="86"/>
  <c r="R20" i="86"/>
  <c r="Q20" i="86"/>
  <c r="R16" i="86"/>
  <c r="Q16" i="86"/>
  <c r="R41" i="82"/>
  <c r="Q41" i="82"/>
  <c r="R30" i="82"/>
  <c r="Q30" i="82"/>
  <c r="R21" i="82"/>
  <c r="Q21" i="82"/>
  <c r="R14" i="82"/>
  <c r="Q14" i="82"/>
  <c r="X87" i="86"/>
  <c r="W87" i="86"/>
  <c r="X80" i="86"/>
  <c r="X93" i="86" s="1"/>
  <c r="W80" i="86"/>
  <c r="X54" i="86"/>
  <c r="W54" i="86"/>
  <c r="W60" i="86" s="1"/>
  <c r="X60" i="86"/>
  <c r="X39" i="86"/>
  <c r="W39" i="86"/>
  <c r="X35" i="86"/>
  <c r="W35" i="86"/>
  <c r="X20" i="86"/>
  <c r="W20" i="86"/>
  <c r="X16" i="86"/>
  <c r="X27" i="86" s="1"/>
  <c r="X29" i="86" s="1"/>
  <c r="W16" i="86"/>
  <c r="W27" i="86" s="1"/>
  <c r="W29" i="86" s="1"/>
  <c r="R93" i="86" l="1"/>
  <c r="R27" i="86"/>
  <c r="R29" i="86" s="1"/>
  <c r="Q93" i="86"/>
  <c r="Q27" i="86"/>
  <c r="Q29" i="86" s="1"/>
  <c r="W45" i="86"/>
  <c r="W62" i="86" s="1"/>
  <c r="W64" i="86" s="1"/>
  <c r="W93" i="86"/>
  <c r="Q45" i="86"/>
  <c r="Q62" i="86" s="1"/>
  <c r="Q64" i="86" s="1"/>
  <c r="X45" i="86"/>
  <c r="X62" i="86" s="1"/>
  <c r="X64" i="86" s="1"/>
  <c r="R45" i="86"/>
  <c r="R62" i="86" s="1"/>
  <c r="R64" i="86" s="1"/>
  <c r="S16" i="86"/>
  <c r="R35" i="82"/>
  <c r="R42" i="82" s="1"/>
  <c r="R44" i="82" s="1"/>
  <c r="R46" i="82" s="1"/>
  <c r="Q35" i="82"/>
  <c r="Q42" i="82" s="1"/>
  <c r="Q44" i="82" s="1"/>
  <c r="Q46" i="82" s="1"/>
  <c r="E93" i="86" l="1"/>
  <c r="F80" i="86"/>
  <c r="F93" i="86" s="1"/>
  <c r="F39" i="86"/>
  <c r="E39" i="86"/>
  <c r="F35" i="86"/>
  <c r="E35" i="86"/>
  <c r="G35" i="86" s="1"/>
  <c r="E27" i="86"/>
  <c r="E29" i="86" s="1"/>
  <c r="AF29" i="86" s="1"/>
  <c r="F20" i="86"/>
  <c r="F16" i="86"/>
  <c r="G16" i="86" s="1"/>
  <c r="F41" i="82"/>
  <c r="E41" i="82"/>
  <c r="F30" i="82"/>
  <c r="AG30" i="82" s="1"/>
  <c r="E30" i="82"/>
  <c r="F21" i="82"/>
  <c r="F14" i="82"/>
  <c r="E14" i="82"/>
  <c r="AD17" i="90"/>
  <c r="AC17" i="90"/>
  <c r="D17" i="90"/>
  <c r="AD15" i="90"/>
  <c r="AC15" i="90"/>
  <c r="AB15" i="90"/>
  <c r="Y15" i="90"/>
  <c r="V15" i="90"/>
  <c r="S15" i="90"/>
  <c r="P15" i="90"/>
  <c r="M15" i="90"/>
  <c r="J15" i="90"/>
  <c r="G15" i="90"/>
  <c r="D15" i="90"/>
  <c r="AE13" i="90"/>
  <c r="AB13" i="90"/>
  <c r="Y13" i="90"/>
  <c r="V13" i="90"/>
  <c r="S13" i="90"/>
  <c r="P13" i="90"/>
  <c r="M13" i="90"/>
  <c r="J13" i="90"/>
  <c r="G13" i="90"/>
  <c r="D13" i="90"/>
  <c r="AE11" i="90"/>
  <c r="D11" i="90"/>
  <c r="G65" i="9"/>
  <c r="F27" i="86" l="1"/>
  <c r="F29" i="86" s="1"/>
  <c r="E35" i="82"/>
  <c r="E42" i="82" s="1"/>
  <c r="E44" i="82" s="1"/>
  <c r="E46" i="82" s="1"/>
  <c r="F35" i="82"/>
  <c r="F42" i="82" s="1"/>
  <c r="F44" i="82" s="1"/>
  <c r="F46" i="82" s="1"/>
  <c r="E45" i="86"/>
  <c r="E62" i="86" s="1"/>
  <c r="E64" i="86" s="1"/>
  <c r="F45" i="86"/>
  <c r="AE17" i="90"/>
  <c r="AE15" i="90"/>
  <c r="F62" i="86" l="1"/>
  <c r="F64" i="86" s="1"/>
  <c r="G64" i="86" s="1"/>
  <c r="AD8" i="90"/>
  <c r="AC8" i="90"/>
  <c r="AA8" i="90"/>
  <c r="Z8" i="90"/>
  <c r="X8" i="90"/>
  <c r="W8" i="90"/>
  <c r="U8" i="90"/>
  <c r="T8" i="90"/>
  <c r="R8" i="90"/>
  <c r="Q8" i="90"/>
  <c r="O8" i="90"/>
  <c r="N8" i="90"/>
  <c r="L8" i="90"/>
  <c r="K8" i="90"/>
  <c r="I8" i="90"/>
  <c r="H8" i="90"/>
  <c r="F8" i="90"/>
  <c r="E8" i="90"/>
  <c r="AI93" i="86"/>
  <c r="AF93" i="86"/>
  <c r="G93" i="86"/>
  <c r="AJ91" i="86"/>
  <c r="AI91" i="86"/>
  <c r="AG91" i="86"/>
  <c r="AF91" i="86"/>
  <c r="AE91" i="86"/>
  <c r="AB91" i="86"/>
  <c r="Y91" i="86"/>
  <c r="S91" i="86"/>
  <c r="P91" i="86"/>
  <c r="M91" i="86"/>
  <c r="J91" i="86"/>
  <c r="D91" i="86"/>
  <c r="AJ90" i="86"/>
  <c r="AI90" i="86"/>
  <c r="AG90" i="86"/>
  <c r="AF90" i="86"/>
  <c r="AE90" i="86"/>
  <c r="AB90" i="86"/>
  <c r="Y90" i="86"/>
  <c r="V90" i="86"/>
  <c r="S90" i="86"/>
  <c r="P90" i="86"/>
  <c r="M90" i="86"/>
  <c r="D90" i="86"/>
  <c r="AJ89" i="86"/>
  <c r="AI89" i="86"/>
  <c r="AG89" i="86"/>
  <c r="AF89" i="86"/>
  <c r="Y89" i="86"/>
  <c r="AJ88" i="86"/>
  <c r="AI88" i="86"/>
  <c r="AG88" i="86"/>
  <c r="AF88" i="86"/>
  <c r="AB88" i="86"/>
  <c r="Y88" i="86"/>
  <c r="S88" i="86"/>
  <c r="P88" i="86"/>
  <c r="M88" i="86"/>
  <c r="J88" i="86"/>
  <c r="G88" i="86"/>
  <c r="D88" i="86"/>
  <c r="AJ86" i="86"/>
  <c r="AI86" i="86"/>
  <c r="AG86" i="86"/>
  <c r="AF86" i="86"/>
  <c r="AJ85" i="86"/>
  <c r="AI85" i="86"/>
  <c r="AG85" i="86"/>
  <c r="AF85" i="86"/>
  <c r="Y85" i="86"/>
  <c r="P85" i="86"/>
  <c r="M85" i="86"/>
  <c r="D85" i="86"/>
  <c r="AJ84" i="86"/>
  <c r="AI84" i="86"/>
  <c r="AG84" i="86"/>
  <c r="AF84" i="86"/>
  <c r="AI83" i="86"/>
  <c r="AK83" i="86" s="1"/>
  <c r="AF83" i="86"/>
  <c r="AH83" i="86" s="1"/>
  <c r="AJ82" i="86"/>
  <c r="AI82" i="86"/>
  <c r="AG82" i="86"/>
  <c r="AF82" i="86"/>
  <c r="AB82" i="86"/>
  <c r="Y82" i="86"/>
  <c r="S82" i="86"/>
  <c r="P82" i="86"/>
  <c r="M82" i="86"/>
  <c r="D82" i="86"/>
  <c r="G80" i="86"/>
  <c r="AJ79" i="86"/>
  <c r="AI79" i="86"/>
  <c r="AG79" i="86"/>
  <c r="AF79" i="86"/>
  <c r="AJ78" i="86"/>
  <c r="AI78" i="86"/>
  <c r="AG78" i="86"/>
  <c r="AF78" i="86"/>
  <c r="AB78" i="86"/>
  <c r="D78" i="86"/>
  <c r="AJ77" i="86"/>
  <c r="AI77" i="86"/>
  <c r="AG77" i="86"/>
  <c r="AF77" i="86"/>
  <c r="AE77" i="86"/>
  <c r="AB77" i="86"/>
  <c r="Y77" i="86"/>
  <c r="S77" i="86"/>
  <c r="P77" i="86"/>
  <c r="D77" i="86"/>
  <c r="AJ76" i="86"/>
  <c r="AI76" i="86"/>
  <c r="AG76" i="86"/>
  <c r="AF76" i="86"/>
  <c r="AE76" i="86"/>
  <c r="AB76" i="86"/>
  <c r="Y76" i="86"/>
  <c r="V76" i="86"/>
  <c r="S76" i="86"/>
  <c r="P76" i="86"/>
  <c r="M76" i="86"/>
  <c r="J76" i="86"/>
  <c r="G76" i="86"/>
  <c r="D76" i="86"/>
  <c r="AI75" i="86"/>
  <c r="AK75" i="86" s="1"/>
  <c r="AF75" i="86"/>
  <c r="AH75" i="86" s="1"/>
  <c r="AB75" i="86"/>
  <c r="P75" i="86"/>
  <c r="AI74" i="86"/>
  <c r="AK74" i="86" s="1"/>
  <c r="AF74" i="86"/>
  <c r="AH74" i="86" s="1"/>
  <c r="J74" i="86"/>
  <c r="AJ73" i="86"/>
  <c r="AI73" i="86"/>
  <c r="AG73" i="86"/>
  <c r="AF73" i="86"/>
  <c r="AE73" i="86"/>
  <c r="AB73" i="86"/>
  <c r="Y73" i="86"/>
  <c r="V73" i="86"/>
  <c r="S73" i="86"/>
  <c r="P73" i="86"/>
  <c r="M73" i="86"/>
  <c r="J73" i="86"/>
  <c r="G73" i="86"/>
  <c r="D73" i="86"/>
  <c r="AJ71" i="86"/>
  <c r="AI71" i="86"/>
  <c r="AG71" i="86"/>
  <c r="AF71" i="86"/>
  <c r="AB71" i="86"/>
  <c r="S71" i="86"/>
  <c r="P71" i="86"/>
  <c r="D71" i="86"/>
  <c r="AJ70" i="86"/>
  <c r="AI70" i="86"/>
  <c r="AG70" i="86"/>
  <c r="AF70" i="86"/>
  <c r="AB70" i="86"/>
  <c r="Y70" i="86"/>
  <c r="S70" i="86"/>
  <c r="P70" i="86"/>
  <c r="M70" i="86"/>
  <c r="D70" i="86"/>
  <c r="AJ69" i="86"/>
  <c r="AI69" i="86"/>
  <c r="AG69" i="86"/>
  <c r="AF69" i="86"/>
  <c r="AE69" i="86"/>
  <c r="AB69" i="86"/>
  <c r="Y69" i="86"/>
  <c r="V69" i="86"/>
  <c r="S69" i="86"/>
  <c r="P69" i="86"/>
  <c r="M69" i="86"/>
  <c r="J69" i="86"/>
  <c r="G69" i="86"/>
  <c r="D69" i="86"/>
  <c r="AJ68" i="86"/>
  <c r="AI68" i="86"/>
  <c r="AG68" i="86"/>
  <c r="AF68" i="86"/>
  <c r="AE68" i="86"/>
  <c r="AB68" i="86"/>
  <c r="Y68" i="86"/>
  <c r="V68" i="86"/>
  <c r="S68" i="86"/>
  <c r="P68" i="86"/>
  <c r="M68" i="86"/>
  <c r="J68" i="86"/>
  <c r="G68" i="86"/>
  <c r="D68" i="86"/>
  <c r="AI64" i="86"/>
  <c r="AF64" i="86"/>
  <c r="G62" i="86"/>
  <c r="AJ61" i="86"/>
  <c r="AI61" i="86"/>
  <c r="AG61" i="86"/>
  <c r="AF61" i="86"/>
  <c r="AJ59" i="86"/>
  <c r="AG59" i="86"/>
  <c r="Y59" i="86"/>
  <c r="S59" i="86"/>
  <c r="P59" i="86"/>
  <c r="AJ58" i="86"/>
  <c r="AI58" i="86"/>
  <c r="AG58" i="86"/>
  <c r="AF58" i="86"/>
  <c r="AB58" i="86"/>
  <c r="P58" i="86"/>
  <c r="AJ57" i="86"/>
  <c r="AI57" i="86"/>
  <c r="AG57" i="86"/>
  <c r="AF57" i="86"/>
  <c r="AB57" i="86"/>
  <c r="P57" i="86"/>
  <c r="D57" i="86"/>
  <c r="AJ56" i="86"/>
  <c r="AG56" i="86"/>
  <c r="Y56" i="86"/>
  <c r="P56" i="86"/>
  <c r="M56" i="86"/>
  <c r="D56" i="86"/>
  <c r="AJ55" i="86"/>
  <c r="AG55" i="86"/>
  <c r="AB55" i="86"/>
  <c r="Y55" i="86"/>
  <c r="S55" i="86"/>
  <c r="P55" i="86"/>
  <c r="M55" i="86"/>
  <c r="AF55" i="86"/>
  <c r="D55" i="86"/>
  <c r="AJ53" i="86"/>
  <c r="AI53" i="86"/>
  <c r="AG53" i="86"/>
  <c r="AF53" i="86"/>
  <c r="AJ52" i="86"/>
  <c r="AI52" i="86"/>
  <c r="AG52" i="86"/>
  <c r="AF52" i="86"/>
  <c r="AJ51" i="86"/>
  <c r="AI51" i="86"/>
  <c r="AG51" i="86"/>
  <c r="AF51" i="86"/>
  <c r="P51" i="86"/>
  <c r="AJ49" i="86"/>
  <c r="AI49" i="86"/>
  <c r="AG49" i="86"/>
  <c r="AF49" i="86"/>
  <c r="AB49" i="86"/>
  <c r="P49" i="86"/>
  <c r="AJ48" i="86"/>
  <c r="AI48" i="86"/>
  <c r="AG48" i="86"/>
  <c r="AF48" i="86"/>
  <c r="AH48" i="86" s="1"/>
  <c r="AJ46" i="86"/>
  <c r="AI46" i="86"/>
  <c r="AG46" i="86"/>
  <c r="AF46" i="86"/>
  <c r="Y46" i="86"/>
  <c r="S46" i="86"/>
  <c r="J46" i="86"/>
  <c r="G46" i="86"/>
  <c r="G45" i="86"/>
  <c r="AJ44" i="86"/>
  <c r="AI44" i="86"/>
  <c r="AG44" i="86"/>
  <c r="AF44" i="86"/>
  <c r="Y44" i="86"/>
  <c r="S44" i="86"/>
  <c r="P44" i="86"/>
  <c r="M44" i="86"/>
  <c r="J44" i="86"/>
  <c r="G44" i="86"/>
  <c r="D44" i="86"/>
  <c r="AJ43" i="86"/>
  <c r="AI43" i="86"/>
  <c r="AG43" i="86"/>
  <c r="AF43" i="86"/>
  <c r="AB43" i="86"/>
  <c r="Y43" i="86"/>
  <c r="V43" i="86"/>
  <c r="S43" i="86"/>
  <c r="P43" i="86"/>
  <c r="D43" i="86"/>
  <c r="AJ42" i="86"/>
  <c r="AI42" i="86"/>
  <c r="AG42" i="86"/>
  <c r="AF42" i="86"/>
  <c r="V42" i="86"/>
  <c r="P42" i="86"/>
  <c r="D42" i="86"/>
  <c r="AJ41" i="86"/>
  <c r="AI41" i="86"/>
  <c r="AG41" i="86"/>
  <c r="AF41" i="86"/>
  <c r="AE41" i="86"/>
  <c r="AB41" i="86"/>
  <c r="Y41" i="86"/>
  <c r="V41" i="86"/>
  <c r="S41" i="86"/>
  <c r="P41" i="86"/>
  <c r="M41" i="86"/>
  <c r="J41" i="86"/>
  <c r="G41" i="86"/>
  <c r="D41" i="86"/>
  <c r="AJ40" i="86"/>
  <c r="AI40" i="86"/>
  <c r="AG40" i="86"/>
  <c r="AF40" i="86"/>
  <c r="AB40" i="86"/>
  <c r="Y40" i="86"/>
  <c r="V40" i="86"/>
  <c r="S40" i="86"/>
  <c r="P40" i="86"/>
  <c r="J40" i="86"/>
  <c r="G40" i="86"/>
  <c r="D40" i="86"/>
  <c r="G39" i="86"/>
  <c r="AJ38" i="86"/>
  <c r="AG38" i="86"/>
  <c r="V38" i="86"/>
  <c r="P38" i="86"/>
  <c r="M38" i="86"/>
  <c r="AJ37" i="86"/>
  <c r="AI37" i="86"/>
  <c r="AG37" i="86"/>
  <c r="AF37" i="86"/>
  <c r="Y37" i="86"/>
  <c r="S37" i="86"/>
  <c r="D37" i="86"/>
  <c r="AJ36" i="86"/>
  <c r="AI36" i="86"/>
  <c r="AG36" i="86"/>
  <c r="AF36" i="86"/>
  <c r="Y36" i="86"/>
  <c r="V36" i="86"/>
  <c r="S36" i="86"/>
  <c r="D36" i="86"/>
  <c r="AJ34" i="86"/>
  <c r="AI34" i="86"/>
  <c r="AG34" i="86"/>
  <c r="AF34" i="86"/>
  <c r="AB34" i="86"/>
  <c r="Y34" i="86"/>
  <c r="V34" i="86"/>
  <c r="S34" i="86"/>
  <c r="P34" i="86"/>
  <c r="D34" i="86"/>
  <c r="AJ33" i="86"/>
  <c r="AI33" i="86"/>
  <c r="AG33" i="86"/>
  <c r="AF33" i="86"/>
  <c r="D33" i="86"/>
  <c r="G29" i="86"/>
  <c r="AJ28" i="86"/>
  <c r="AG28" i="86"/>
  <c r="AE28" i="86"/>
  <c r="AB28" i="86"/>
  <c r="Y28" i="86"/>
  <c r="V28" i="86"/>
  <c r="S28" i="86"/>
  <c r="P28" i="86"/>
  <c r="M28" i="86"/>
  <c r="J28" i="86"/>
  <c r="G28" i="86"/>
  <c r="G27" i="86"/>
  <c r="AJ26" i="86"/>
  <c r="AI26" i="86"/>
  <c r="AK26" i="86" s="1"/>
  <c r="AG26" i="86"/>
  <c r="AF26" i="86"/>
  <c r="AH26" i="86" s="1"/>
  <c r="AJ25" i="86"/>
  <c r="AI25" i="86"/>
  <c r="AG25" i="86"/>
  <c r="AF25" i="86"/>
  <c r="Y25" i="86"/>
  <c r="P25" i="86"/>
  <c r="J25" i="86"/>
  <c r="G25" i="86"/>
  <c r="D25" i="86"/>
  <c r="AJ24" i="86"/>
  <c r="AI24" i="86"/>
  <c r="AG24" i="86"/>
  <c r="AF24" i="86"/>
  <c r="AB24" i="86"/>
  <c r="V24" i="86"/>
  <c r="P24" i="86"/>
  <c r="D24" i="86"/>
  <c r="AJ23" i="86"/>
  <c r="AI23" i="86"/>
  <c r="AG23" i="86"/>
  <c r="AF23" i="86"/>
  <c r="AE23" i="86"/>
  <c r="Y23" i="86"/>
  <c r="S23" i="86"/>
  <c r="P23" i="86"/>
  <c r="D23" i="86"/>
  <c r="AJ22" i="86"/>
  <c r="AI22" i="86"/>
  <c r="AG22" i="86"/>
  <c r="AF22" i="86"/>
  <c r="AB22" i="86"/>
  <c r="Y22" i="86"/>
  <c r="V22" i="86"/>
  <c r="S22" i="86"/>
  <c r="P22" i="86"/>
  <c r="M22" i="86"/>
  <c r="J22" i="86"/>
  <c r="G22" i="86"/>
  <c r="D22" i="86"/>
  <c r="AJ21" i="86"/>
  <c r="AI21" i="86"/>
  <c r="AG21" i="86"/>
  <c r="AF21" i="86"/>
  <c r="AB21" i="86"/>
  <c r="Y21" i="86"/>
  <c r="S21" i="86"/>
  <c r="P21" i="86"/>
  <c r="M21" i="86"/>
  <c r="J21" i="86"/>
  <c r="D21" i="86"/>
  <c r="G20" i="86"/>
  <c r="AJ19" i="86"/>
  <c r="AG19" i="86"/>
  <c r="V19" i="86"/>
  <c r="P19" i="86"/>
  <c r="AJ18" i="86"/>
  <c r="AI18" i="86"/>
  <c r="AG18" i="86"/>
  <c r="AF18" i="86"/>
  <c r="Y18" i="86"/>
  <c r="P18" i="86"/>
  <c r="AJ17" i="86"/>
  <c r="AI17" i="86"/>
  <c r="AG17" i="86"/>
  <c r="AF17" i="86"/>
  <c r="Y17" i="86"/>
  <c r="V17" i="86"/>
  <c r="P17" i="86"/>
  <c r="AJ15" i="86"/>
  <c r="AG15" i="86"/>
  <c r="AB15" i="86"/>
  <c r="Y15" i="86"/>
  <c r="V15" i="86"/>
  <c r="P15" i="86"/>
  <c r="AJ14" i="86"/>
  <c r="AI14" i="86"/>
  <c r="AG14" i="86"/>
  <c r="AF14" i="86"/>
  <c r="P14" i="86"/>
  <c r="F8" i="86"/>
  <c r="I8" i="86" s="1"/>
  <c r="L8" i="86" s="1"/>
  <c r="O8" i="86" s="1"/>
  <c r="R8" i="86" s="1"/>
  <c r="U8" i="86" s="1"/>
  <c r="X8" i="86" s="1"/>
  <c r="AA8" i="86" s="1"/>
  <c r="AD8" i="86" s="1"/>
  <c r="AG8" i="86" s="1"/>
  <c r="AJ8" i="86" s="1"/>
  <c r="E8" i="86"/>
  <c r="H8" i="86" s="1"/>
  <c r="K8" i="86" s="1"/>
  <c r="N8" i="86" s="1"/>
  <c r="Q8" i="86" s="1"/>
  <c r="T8" i="86" s="1"/>
  <c r="W8" i="86" s="1"/>
  <c r="Z8" i="86" s="1"/>
  <c r="AC8" i="86" s="1"/>
  <c r="AF8" i="86" s="1"/>
  <c r="AI8" i="86" s="1"/>
  <c r="AG45" i="82"/>
  <c r="AF45" i="82"/>
  <c r="AE45" i="82"/>
  <c r="S45" i="82"/>
  <c r="P45" i="82"/>
  <c r="AG43" i="82"/>
  <c r="AF43" i="82"/>
  <c r="AB43" i="82"/>
  <c r="Y43" i="82"/>
  <c r="V43" i="82"/>
  <c r="S43" i="82"/>
  <c r="G43" i="82"/>
  <c r="D43" i="82"/>
  <c r="P41" i="82"/>
  <c r="AG40" i="82"/>
  <c r="AF40" i="82"/>
  <c r="AB40" i="82"/>
  <c r="Y40" i="82"/>
  <c r="V40" i="82"/>
  <c r="S40" i="82"/>
  <c r="P40" i="82"/>
  <c r="M40" i="82"/>
  <c r="G40" i="82"/>
  <c r="D40" i="82"/>
  <c r="AG39" i="82"/>
  <c r="AF39" i="82"/>
  <c r="AB39" i="82"/>
  <c r="Y39" i="82"/>
  <c r="V39" i="82"/>
  <c r="S39" i="82"/>
  <c r="P39" i="82"/>
  <c r="D39" i="82"/>
  <c r="AG38" i="82"/>
  <c r="AF38" i="82"/>
  <c r="AE38" i="82"/>
  <c r="AB38" i="82"/>
  <c r="Y38" i="82"/>
  <c r="V38" i="82"/>
  <c r="S38" i="82"/>
  <c r="P38" i="82"/>
  <c r="M38" i="82"/>
  <c r="J38" i="82"/>
  <c r="G38" i="82"/>
  <c r="D38" i="82"/>
  <c r="AG34" i="82"/>
  <c r="AF34" i="82"/>
  <c r="AB34" i="82"/>
  <c r="Y34" i="82"/>
  <c r="S34" i="82"/>
  <c r="P34" i="82"/>
  <c r="D34" i="82"/>
  <c r="AG33" i="82"/>
  <c r="AF33" i="82"/>
  <c r="AE33" i="82"/>
  <c r="AB33" i="82"/>
  <c r="Y33" i="82"/>
  <c r="S33" i="82"/>
  <c r="P33" i="82"/>
  <c r="M33" i="82"/>
  <c r="J33" i="82"/>
  <c r="G33" i="82"/>
  <c r="D33" i="82"/>
  <c r="AG32" i="82"/>
  <c r="AF32" i="82"/>
  <c r="AE32" i="82"/>
  <c r="AB32" i="82"/>
  <c r="Y32" i="82"/>
  <c r="V32" i="82"/>
  <c r="S32" i="82"/>
  <c r="P32" i="82"/>
  <c r="M32" i="82"/>
  <c r="D32" i="82"/>
  <c r="AG31" i="82"/>
  <c r="AF31" i="82"/>
  <c r="AB31" i="82"/>
  <c r="Y31" i="82"/>
  <c r="S31" i="82"/>
  <c r="P31" i="82"/>
  <c r="M31" i="82"/>
  <c r="D31" i="82"/>
  <c r="AG29" i="82"/>
  <c r="AF29" i="82"/>
  <c r="AE29" i="82"/>
  <c r="AB29" i="82"/>
  <c r="S29" i="82"/>
  <c r="D29" i="82"/>
  <c r="AG28" i="82"/>
  <c r="AF28" i="82"/>
  <c r="AB28" i="82"/>
  <c r="J28" i="82"/>
  <c r="D28" i="82"/>
  <c r="AF27" i="82"/>
  <c r="AH27" i="82" s="1"/>
  <c r="AB27" i="82"/>
  <c r="AG26" i="82"/>
  <c r="AF26" i="82"/>
  <c r="Y26" i="82"/>
  <c r="V26" i="82"/>
  <c r="S26" i="82"/>
  <c r="P26" i="82"/>
  <c r="D26" i="82"/>
  <c r="AF25" i="82"/>
  <c r="AH25" i="82" s="1"/>
  <c r="AG24" i="82"/>
  <c r="AF24" i="82"/>
  <c r="AB24" i="82"/>
  <c r="Y24" i="82"/>
  <c r="S24" i="82"/>
  <c r="M24" i="82"/>
  <c r="D24" i="82"/>
  <c r="AG23" i="82"/>
  <c r="AE23" i="82"/>
  <c r="AB23" i="82"/>
  <c r="Y23" i="82"/>
  <c r="V23" i="82"/>
  <c r="S23" i="82"/>
  <c r="P23" i="82"/>
  <c r="AF23" i="82"/>
  <c r="J23" i="82"/>
  <c r="G23" i="82"/>
  <c r="D23" i="82"/>
  <c r="AJ20" i="82"/>
  <c r="AI20" i="82"/>
  <c r="AG20" i="82"/>
  <c r="AF20" i="82"/>
  <c r="AE20" i="82"/>
  <c r="AB20" i="82"/>
  <c r="Y20" i="82"/>
  <c r="S20" i="82"/>
  <c r="P20" i="82"/>
  <c r="M20" i="82"/>
  <c r="G20" i="82"/>
  <c r="D20" i="82"/>
  <c r="AJ19" i="82"/>
  <c r="AG19" i="82"/>
  <c r="Y19" i="82"/>
  <c r="V19" i="82"/>
  <c r="S19" i="82"/>
  <c r="P19" i="82"/>
  <c r="M19" i="82"/>
  <c r="J19" i="82"/>
  <c r="G19" i="82"/>
  <c r="D19" i="82"/>
  <c r="AJ17" i="82"/>
  <c r="AI17" i="82"/>
  <c r="AG17" i="82"/>
  <c r="AF17" i="82"/>
  <c r="AB17" i="82"/>
  <c r="Y17" i="82"/>
  <c r="V17" i="82"/>
  <c r="S17" i="82"/>
  <c r="P17" i="82"/>
  <c r="G17" i="82"/>
  <c r="D17" i="82"/>
  <c r="AJ16" i="82"/>
  <c r="AI16" i="82"/>
  <c r="AG16" i="82"/>
  <c r="AF16" i="82"/>
  <c r="AB16" i="82"/>
  <c r="Y16" i="82"/>
  <c r="S16" i="82"/>
  <c r="P16" i="82"/>
  <c r="M16" i="82"/>
  <c r="D16" i="82"/>
  <c r="AJ15" i="82"/>
  <c r="AI15" i="82"/>
  <c r="AG15" i="82"/>
  <c r="AF15" i="82"/>
  <c r="AE15" i="82"/>
  <c r="AB15" i="82"/>
  <c r="Y15" i="82"/>
  <c r="V15" i="82"/>
  <c r="S15" i="82"/>
  <c r="P15" i="82"/>
  <c r="M15" i="82"/>
  <c r="J15" i="82"/>
  <c r="G15" i="82"/>
  <c r="D15" i="82"/>
  <c r="P14" i="82"/>
  <c r="AJ13" i="82"/>
  <c r="AI13" i="82"/>
  <c r="AG13" i="82"/>
  <c r="AF13" i="82"/>
  <c r="AE13" i="82"/>
  <c r="AB13" i="82"/>
  <c r="Y13" i="82"/>
  <c r="S13" i="82"/>
  <c r="P13" i="82"/>
  <c r="M13" i="82"/>
  <c r="D13" i="82"/>
  <c r="AJ12" i="82"/>
  <c r="AI12" i="82"/>
  <c r="AG12" i="82"/>
  <c r="AF12" i="82"/>
  <c r="AE12" i="82"/>
  <c r="AB12" i="82"/>
  <c r="Y12" i="82"/>
  <c r="S12" i="82"/>
  <c r="M12" i="82"/>
  <c r="J12" i="82"/>
  <c r="G12" i="82"/>
  <c r="D12" i="82"/>
  <c r="AJ11" i="82"/>
  <c r="AI11" i="82"/>
  <c r="AG11" i="82"/>
  <c r="AF11" i="82"/>
  <c r="AE11" i="82"/>
  <c r="AB11" i="82"/>
  <c r="Y11" i="82"/>
  <c r="V11" i="82"/>
  <c r="S11" i="82"/>
  <c r="P11" i="82"/>
  <c r="M11" i="82"/>
  <c r="J11" i="82"/>
  <c r="G11" i="82"/>
  <c r="D11" i="82"/>
  <c r="AJ8" i="82"/>
  <c r="AI8" i="82"/>
  <c r="AG8" i="82"/>
  <c r="AF8" i="82"/>
  <c r="AD8" i="82"/>
  <c r="AC8" i="82"/>
  <c r="AA8" i="82"/>
  <c r="Z8" i="82"/>
  <c r="X8" i="82"/>
  <c r="W8" i="82"/>
  <c r="U8" i="82"/>
  <c r="T8" i="82"/>
  <c r="R8" i="82"/>
  <c r="Q8" i="82"/>
  <c r="O8" i="82"/>
  <c r="N8" i="82"/>
  <c r="L8" i="82"/>
  <c r="K8" i="82"/>
  <c r="I8" i="82"/>
  <c r="H8" i="82"/>
  <c r="F8" i="82"/>
  <c r="E8" i="82"/>
  <c r="AH24" i="82" l="1"/>
  <c r="AK76" i="86"/>
  <c r="AH76" i="86"/>
  <c r="G41" i="82"/>
  <c r="AH23" i="86"/>
  <c r="AH52" i="86"/>
  <c r="C11" i="58"/>
  <c r="C12" i="58"/>
  <c r="AH17" i="86"/>
  <c r="AH21" i="86"/>
  <c r="AK25" i="86"/>
  <c r="B19" i="58"/>
  <c r="B18" i="58"/>
  <c r="AH55" i="86"/>
  <c r="C25" i="58"/>
  <c r="B11" i="58"/>
  <c r="B10" i="58"/>
  <c r="C13" i="58"/>
  <c r="B9" i="58"/>
  <c r="C19" i="58"/>
  <c r="C18" i="58"/>
  <c r="AK43" i="86"/>
  <c r="B22" i="58"/>
  <c r="C10" i="58"/>
  <c r="C9" i="58"/>
  <c r="C22" i="58"/>
  <c r="C30" i="58"/>
  <c r="B20" i="58"/>
  <c r="B28" i="58"/>
  <c r="AH32" i="82"/>
  <c r="AH38" i="82"/>
  <c r="C20" i="58"/>
  <c r="AK48" i="86"/>
  <c r="B27" i="58"/>
  <c r="C28" i="58"/>
  <c r="C26" i="58"/>
  <c r="B29" i="58"/>
  <c r="C17" i="58"/>
  <c r="C14" i="58"/>
  <c r="C27" i="58"/>
  <c r="C29" i="58"/>
  <c r="C21" i="58"/>
  <c r="B17" i="58"/>
  <c r="Y41" i="82"/>
  <c r="AH45" i="82"/>
  <c r="AK57" i="86"/>
  <c r="AH91" i="86"/>
  <c r="S41" i="82"/>
  <c r="AE41" i="82"/>
  <c r="AH73" i="86"/>
  <c r="V41" i="82"/>
  <c r="AH22" i="86"/>
  <c r="J41" i="82"/>
  <c r="AK44" i="86"/>
  <c r="D35" i="86"/>
  <c r="AK70" i="86"/>
  <c r="AH90" i="86"/>
  <c r="AH71" i="86"/>
  <c r="AK78" i="86"/>
  <c r="AK12" i="82"/>
  <c r="AK18" i="86"/>
  <c r="AH11" i="82"/>
  <c r="AH41" i="86"/>
  <c r="AK24" i="86"/>
  <c r="AK58" i="86"/>
  <c r="AH13" i="82"/>
  <c r="J20" i="86"/>
  <c r="AH37" i="86"/>
  <c r="G30" i="82"/>
  <c r="AF28" i="86"/>
  <c r="AH28" i="86" s="1"/>
  <c r="V39" i="86"/>
  <c r="AK46" i="86"/>
  <c r="AK52" i="86"/>
  <c r="AH58" i="86"/>
  <c r="AK71" i="86"/>
  <c r="AH23" i="82"/>
  <c r="AK13" i="82"/>
  <c r="AH28" i="82"/>
  <c r="AH33" i="86"/>
  <c r="AK40" i="86"/>
  <c r="AH42" i="86"/>
  <c r="AK69" i="86"/>
  <c r="AB30" i="82"/>
  <c r="M41" i="82"/>
  <c r="AH44" i="86"/>
  <c r="AK51" i="86"/>
  <c r="S87" i="86"/>
  <c r="AH16" i="82"/>
  <c r="S21" i="82"/>
  <c r="V16" i="86"/>
  <c r="AK36" i="86"/>
  <c r="AK77" i="86"/>
  <c r="AH61" i="86"/>
  <c r="AH69" i="86"/>
  <c r="V14" i="82"/>
  <c r="AH20" i="82"/>
  <c r="P30" i="82"/>
  <c r="AH34" i="82"/>
  <c r="AH14" i="86"/>
  <c r="AH24" i="86"/>
  <c r="AH43" i="86"/>
  <c r="AH88" i="86"/>
  <c r="AH15" i="82"/>
  <c r="AH26" i="82"/>
  <c r="AH39" i="82"/>
  <c r="AH43" i="82"/>
  <c r="D20" i="86"/>
  <c r="AG39" i="86"/>
  <c r="AK20" i="82"/>
  <c r="AK14" i="86"/>
  <c r="P35" i="86"/>
  <c r="AH46" i="86"/>
  <c r="AH70" i="86"/>
  <c r="AH77" i="86"/>
  <c r="J80" i="86"/>
  <c r="AK88" i="86"/>
  <c r="AK15" i="82"/>
  <c r="AH25" i="86"/>
  <c r="S35" i="86"/>
  <c r="AK79" i="86"/>
  <c r="S14" i="82"/>
  <c r="AK17" i="82"/>
  <c r="AH29" i="82"/>
  <c r="J30" i="82"/>
  <c r="Y30" i="82"/>
  <c r="AK17" i="86"/>
  <c r="Y20" i="86"/>
  <c r="V35" i="86"/>
  <c r="M39" i="86"/>
  <c r="AH49" i="86"/>
  <c r="AH78" i="86"/>
  <c r="AK86" i="86"/>
  <c r="Y14" i="82"/>
  <c r="AF19" i="82"/>
  <c r="AH19" i="82" s="1"/>
  <c r="J21" i="82"/>
  <c r="V21" i="82"/>
  <c r="AH31" i="82"/>
  <c r="AB41" i="82"/>
  <c r="S20" i="86"/>
  <c r="AH57" i="86"/>
  <c r="AK90" i="86"/>
  <c r="AH12" i="82"/>
  <c r="AB14" i="82"/>
  <c r="AK16" i="82"/>
  <c r="AH40" i="82"/>
  <c r="AG41" i="82"/>
  <c r="Y54" i="86"/>
  <c r="AK73" i="86"/>
  <c r="AF19" i="86"/>
  <c r="AH19" i="86" s="1"/>
  <c r="J14" i="82"/>
  <c r="D21" i="82"/>
  <c r="M23" i="82"/>
  <c r="AF41" i="82"/>
  <c r="P39" i="86"/>
  <c r="AB39" i="86"/>
  <c r="AH68" i="86"/>
  <c r="AI14" i="82"/>
  <c r="AH17" i="82"/>
  <c r="D30" i="82"/>
  <c r="AH18" i="86"/>
  <c r="D54" i="86"/>
  <c r="P54" i="86"/>
  <c r="AK21" i="86"/>
  <c r="AJ14" i="82"/>
  <c r="AK11" i="82"/>
  <c r="D14" i="82"/>
  <c r="M14" i="82"/>
  <c r="AB19" i="82"/>
  <c r="AH33" i="82"/>
  <c r="AH79" i="86"/>
  <c r="V80" i="86"/>
  <c r="AE20" i="86"/>
  <c r="AK33" i="86"/>
  <c r="AH36" i="86"/>
  <c r="AK42" i="86"/>
  <c r="AH51" i="86"/>
  <c r="AH85" i="86"/>
  <c r="AK23" i="86"/>
  <c r="AJ50" i="86"/>
  <c r="AK68" i="86"/>
  <c r="AK89" i="86"/>
  <c r="AK34" i="86"/>
  <c r="AK49" i="86"/>
  <c r="AH53" i="86"/>
  <c r="AH82" i="86"/>
  <c r="AF15" i="86"/>
  <c r="AH15" i="86" s="1"/>
  <c r="P20" i="86"/>
  <c r="D39" i="86"/>
  <c r="AH40" i="86"/>
  <c r="AK41" i="86"/>
  <c r="AK53" i="86"/>
  <c r="AK61" i="86"/>
  <c r="AK82" i="86"/>
  <c r="AH86" i="86"/>
  <c r="AK91" i="86"/>
  <c r="AB21" i="82"/>
  <c r="AE21" i="82"/>
  <c r="AE14" i="82"/>
  <c r="G21" i="82"/>
  <c r="P21" i="82"/>
  <c r="V30" i="82"/>
  <c r="G14" i="82"/>
  <c r="AF14" i="82"/>
  <c r="AI19" i="82"/>
  <c r="AK19" i="82" s="1"/>
  <c r="Y21" i="82"/>
  <c r="AG21" i="82"/>
  <c r="AE30" i="82"/>
  <c r="D41" i="82"/>
  <c r="AG14" i="82"/>
  <c r="AI21" i="82"/>
  <c r="AJ21" i="82"/>
  <c r="AE19" i="82"/>
  <c r="S30" i="82"/>
  <c r="AI20" i="86"/>
  <c r="M20" i="86"/>
  <c r="AE39" i="86"/>
  <c r="AJ54" i="86"/>
  <c r="AG54" i="86"/>
  <c r="AG16" i="86"/>
  <c r="AF20" i="86"/>
  <c r="AG20" i="86"/>
  <c r="AF59" i="86"/>
  <c r="AH59" i="86" s="1"/>
  <c r="AI59" i="86"/>
  <c r="AK59" i="86" s="1"/>
  <c r="M59" i="86"/>
  <c r="AJ20" i="86"/>
  <c r="AB19" i="86"/>
  <c r="AI19" i="86"/>
  <c r="M87" i="86"/>
  <c r="AI87" i="86"/>
  <c r="D15" i="86"/>
  <c r="AB20" i="86"/>
  <c r="AI28" i="86"/>
  <c r="AK28" i="86" s="1"/>
  <c r="D28" i="86"/>
  <c r="Y16" i="86"/>
  <c r="AF35" i="86"/>
  <c r="AI38" i="86"/>
  <c r="AF38" i="86"/>
  <c r="AH38" i="86" s="1"/>
  <c r="AB38" i="86"/>
  <c r="P16" i="86"/>
  <c r="AK22" i="86"/>
  <c r="M35" i="86"/>
  <c r="V20" i="86"/>
  <c r="AH34" i="86"/>
  <c r="AK37" i="86"/>
  <c r="P50" i="86"/>
  <c r="S54" i="86"/>
  <c r="AB80" i="86"/>
  <c r="AK85" i="86"/>
  <c r="D87" i="86"/>
  <c r="Y87" i="86"/>
  <c r="AF87" i="86"/>
  <c r="AJ16" i="86"/>
  <c r="AF39" i="86"/>
  <c r="P87" i="86"/>
  <c r="S80" i="86"/>
  <c r="AJ87" i="86"/>
  <c r="AH89" i="86"/>
  <c r="AF56" i="86"/>
  <c r="AH56" i="86" s="1"/>
  <c r="AI56" i="86"/>
  <c r="AK56" i="86" s="1"/>
  <c r="AF80" i="86"/>
  <c r="Y39" i="86"/>
  <c r="AF50" i="86"/>
  <c r="AB56" i="86"/>
  <c r="AE80" i="86"/>
  <c r="AB87" i="86"/>
  <c r="S39" i="86"/>
  <c r="D80" i="86"/>
  <c r="M80" i="86"/>
  <c r="AG35" i="86"/>
  <c r="Y35" i="86"/>
  <c r="AJ35" i="86"/>
  <c r="J39" i="86"/>
  <c r="AI50" i="86"/>
  <c r="P80" i="86"/>
  <c r="Y80" i="86"/>
  <c r="AI80" i="86"/>
  <c r="AG50" i="86"/>
  <c r="AI55" i="86"/>
  <c r="AJ80" i="86"/>
  <c r="AI39" i="86"/>
  <c r="AG87" i="86"/>
  <c r="AJ39" i="86"/>
  <c r="AG80" i="86"/>
  <c r="O1" i="81"/>
  <c r="Y45" i="86" l="1"/>
  <c r="V27" i="86"/>
  <c r="Y93" i="86"/>
  <c r="AF30" i="82"/>
  <c r="AH30" i="82" s="1"/>
  <c r="D45" i="86"/>
  <c r="J42" i="82"/>
  <c r="S35" i="82"/>
  <c r="B14" i="58"/>
  <c r="AK55" i="86"/>
  <c r="B25" i="58"/>
  <c r="AK38" i="86"/>
  <c r="B21" i="58"/>
  <c r="B26" i="58"/>
  <c r="B30" i="58"/>
  <c r="AK15" i="86"/>
  <c r="B12" i="58"/>
  <c r="AK19" i="86"/>
  <c r="B13" i="58"/>
  <c r="Y27" i="86"/>
  <c r="P35" i="82"/>
  <c r="J29" i="86"/>
  <c r="J27" i="86"/>
  <c r="J35" i="82"/>
  <c r="D93" i="86"/>
  <c r="AK14" i="82"/>
  <c r="AH41" i="82"/>
  <c r="AF54" i="86"/>
  <c r="AH54" i="86" s="1"/>
  <c r="V35" i="82"/>
  <c r="AI16" i="86"/>
  <c r="AK16" i="86" s="1"/>
  <c r="AI54" i="86"/>
  <c r="M30" i="82"/>
  <c r="AI35" i="86"/>
  <c r="AB16" i="86"/>
  <c r="AG60" i="86"/>
  <c r="AF27" i="86"/>
  <c r="J93" i="86"/>
  <c r="Y60" i="86"/>
  <c r="AF16" i="86"/>
  <c r="AH16" i="86" s="1"/>
  <c r="D48" i="81"/>
  <c r="AK21" i="82"/>
  <c r="D60" i="86"/>
  <c r="AJ93" i="86"/>
  <c r="P45" i="86"/>
  <c r="AH14" i="82"/>
  <c r="AB54" i="86"/>
  <c r="S60" i="86"/>
  <c r="S93" i="86"/>
  <c r="AH87" i="86"/>
  <c r="V45" i="86"/>
  <c r="AK87" i="86"/>
  <c r="M93" i="86"/>
  <c r="AG45" i="86"/>
  <c r="AJ45" i="86"/>
  <c r="AH50" i="86"/>
  <c r="AB60" i="86"/>
  <c r="P27" i="86"/>
  <c r="AB35" i="86"/>
  <c r="P93" i="86"/>
  <c r="Y29" i="86"/>
  <c r="V29" i="86"/>
  <c r="P42" i="82"/>
  <c r="AK50" i="86"/>
  <c r="AH80" i="86"/>
  <c r="M45" i="86"/>
  <c r="AH20" i="86"/>
  <c r="D27" i="86"/>
  <c r="Y35" i="82"/>
  <c r="AE35" i="82"/>
  <c r="AG35" i="82"/>
  <c r="D35" i="82"/>
  <c r="AK39" i="86"/>
  <c r="AH35" i="86"/>
  <c r="M54" i="86"/>
  <c r="S27" i="86"/>
  <c r="AB35" i="82"/>
  <c r="AH39" i="86"/>
  <c r="AK20" i="86"/>
  <c r="M21" i="82"/>
  <c r="J44" i="82"/>
  <c r="AG93" i="86"/>
  <c r="AJ27" i="86"/>
  <c r="AG27" i="86"/>
  <c r="AB93" i="86"/>
  <c r="J45" i="86"/>
  <c r="S45" i="86"/>
  <c r="M27" i="86"/>
  <c r="AF21" i="82"/>
  <c r="AK80" i="86"/>
  <c r="AJ60" i="86"/>
  <c r="V93" i="86"/>
  <c r="AE93" i="86"/>
  <c r="P60" i="86"/>
  <c r="G35" i="82"/>
  <c r="H23" i="9"/>
  <c r="Y62" i="86" l="1"/>
  <c r="C23" i="9"/>
  <c r="G23" i="9"/>
  <c r="G59" i="9" s="1"/>
  <c r="D47" i="81"/>
  <c r="AE64" i="86"/>
  <c r="AK35" i="86"/>
  <c r="S42" i="82"/>
  <c r="V42" i="82"/>
  <c r="AI45" i="86"/>
  <c r="F21" i="58" s="1"/>
  <c r="G25" i="58"/>
  <c r="G28" i="58"/>
  <c r="G30" i="58"/>
  <c r="G26" i="58"/>
  <c r="G27" i="58"/>
  <c r="G29" i="58"/>
  <c r="G17" i="58"/>
  <c r="G22" i="58"/>
  <c r="G21" i="58"/>
  <c r="G19" i="58"/>
  <c r="G20" i="58"/>
  <c r="G18" i="58"/>
  <c r="AB27" i="86"/>
  <c r="AI60" i="86"/>
  <c r="AB29" i="86"/>
  <c r="AK54" i="86"/>
  <c r="AI27" i="86"/>
  <c r="AK27" i="86" s="1"/>
  <c r="AB45" i="86"/>
  <c r="AF60" i="86"/>
  <c r="G42" i="82"/>
  <c r="M35" i="82"/>
  <c r="AF42" i="82"/>
  <c r="AF45" i="86"/>
  <c r="S44" i="82"/>
  <c r="J62" i="86"/>
  <c r="AG29" i="86"/>
  <c r="AJ29" i="86"/>
  <c r="AG42" i="82"/>
  <c r="P29" i="86"/>
  <c r="AH93" i="86"/>
  <c r="AB42" i="82"/>
  <c r="Y42" i="82"/>
  <c r="J46" i="82"/>
  <c r="D42" i="82"/>
  <c r="AE27" i="86"/>
  <c r="AG62" i="86"/>
  <c r="AJ62" i="86"/>
  <c r="V62" i="86"/>
  <c r="P62" i="86"/>
  <c r="AH27" i="86"/>
  <c r="P44" i="82"/>
  <c r="AE45" i="86"/>
  <c r="S29" i="86"/>
  <c r="AF35" i="82"/>
  <c r="D29" i="86"/>
  <c r="D62" i="86"/>
  <c r="AH21" i="82"/>
  <c r="M29" i="86"/>
  <c r="S62" i="86"/>
  <c r="M60" i="86"/>
  <c r="AE42" i="82"/>
  <c r="V44" i="82"/>
  <c r="AK93" i="86"/>
  <c r="P64" i="86" l="1"/>
  <c r="M66" i="8"/>
  <c r="B23" i="9"/>
  <c r="M22" i="8" s="1"/>
  <c r="AK45" i="86"/>
  <c r="V64" i="86"/>
  <c r="M64" i="86"/>
  <c r="F22" i="58"/>
  <c r="J64" i="86"/>
  <c r="F20" i="58"/>
  <c r="F18" i="58"/>
  <c r="F17" i="58"/>
  <c r="F19" i="58"/>
  <c r="G13" i="58"/>
  <c r="G9" i="58"/>
  <c r="G14" i="58"/>
  <c r="G11" i="58"/>
  <c r="G12" i="58"/>
  <c r="G10" i="58"/>
  <c r="F27" i="58"/>
  <c r="F28" i="58"/>
  <c r="F29" i="58"/>
  <c r="F30" i="58"/>
  <c r="F25" i="58"/>
  <c r="F26" i="58"/>
  <c r="AH29" i="86"/>
  <c r="AI62" i="86"/>
  <c r="AK62" i="86" s="1"/>
  <c r="M62" i="86"/>
  <c r="AH42" i="82"/>
  <c r="AK60" i="86"/>
  <c r="AF62" i="86"/>
  <c r="AH62" i="86" s="1"/>
  <c r="AI29" i="86"/>
  <c r="AK29" i="86" s="1"/>
  <c r="P46" i="82"/>
  <c r="G44" i="82"/>
  <c r="AH35" i="82"/>
  <c r="S64" i="86"/>
  <c r="S46" i="82"/>
  <c r="AH60" i="86"/>
  <c r="Y44" i="82"/>
  <c r="AJ64" i="86"/>
  <c r="D64" i="86"/>
  <c r="AG64" i="86"/>
  <c r="AH45" i="86"/>
  <c r="D44" i="82"/>
  <c r="Y64" i="86"/>
  <c r="AE44" i="82"/>
  <c r="AE62" i="86"/>
  <c r="AB62" i="86"/>
  <c r="AG44" i="82"/>
  <c r="AE29" i="86"/>
  <c r="AB44" i="82"/>
  <c r="AB64" i="86"/>
  <c r="V46" i="82"/>
  <c r="M42" i="82"/>
  <c r="B59" i="9" l="1"/>
  <c r="D23" i="9"/>
  <c r="F11" i="58"/>
  <c r="F9" i="58"/>
  <c r="F10" i="58"/>
  <c r="F12" i="58"/>
  <c r="F14" i="58"/>
  <c r="F13" i="58"/>
  <c r="M44" i="82"/>
  <c r="AF44" i="82"/>
  <c r="AH44" i="82" s="1"/>
  <c r="AG46" i="82"/>
  <c r="AK64" i="86"/>
  <c r="AB46" i="82"/>
  <c r="D46" i="82"/>
  <c r="AE46" i="82"/>
  <c r="Y46" i="82"/>
  <c r="G46" i="82"/>
  <c r="AH64" i="86"/>
  <c r="G16" i="10"/>
  <c r="G26" i="10"/>
  <c r="M46" i="82" l="1"/>
  <c r="AF46" i="82"/>
  <c r="D27" i="58"/>
  <c r="AH46" i="82" l="1"/>
  <c r="B33" i="58"/>
  <c r="D29" i="58"/>
  <c r="D17" i="58"/>
  <c r="D11" i="58"/>
  <c r="D18" i="58"/>
  <c r="C38" i="58"/>
  <c r="D19" i="58"/>
  <c r="D22" i="58"/>
  <c r="D26" i="58"/>
  <c r="C37" i="58"/>
  <c r="D28" i="58"/>
  <c r="C34" i="58"/>
  <c r="C35" i="58"/>
  <c r="C24" i="58"/>
  <c r="C36" i="58"/>
  <c r="D20" i="58"/>
  <c r="C16" i="58"/>
  <c r="D30" i="58"/>
  <c r="C33" i="58"/>
  <c r="C8" i="58"/>
  <c r="D9" i="58"/>
  <c r="D14" i="58"/>
  <c r="B35" i="58"/>
  <c r="D10" i="58"/>
  <c r="B34" i="58"/>
  <c r="G16" i="58" l="1"/>
  <c r="G24" i="58"/>
  <c r="D34" i="58"/>
  <c r="C32" i="58"/>
  <c r="G36" i="58" s="1"/>
  <c r="B38" i="58"/>
  <c r="D38" i="58" s="1"/>
  <c r="D35" i="58"/>
  <c r="D13" i="58"/>
  <c r="B37" i="58"/>
  <c r="D33" i="58"/>
  <c r="D25" i="58"/>
  <c r="B24" i="58"/>
  <c r="D24" i="58" s="1"/>
  <c r="B8" i="58"/>
  <c r="D12" i="58"/>
  <c r="B36" i="58"/>
  <c r="D21" i="58"/>
  <c r="B16" i="58"/>
  <c r="D16" i="58" s="1"/>
  <c r="D8" i="58" l="1"/>
  <c r="H22" i="58"/>
  <c r="H18" i="58"/>
  <c r="H20" i="58"/>
  <c r="H21" i="58"/>
  <c r="G8" i="58"/>
  <c r="H28" i="58"/>
  <c r="H27" i="58"/>
  <c r="H29" i="58"/>
  <c r="H26" i="58"/>
  <c r="H30" i="58"/>
  <c r="G35" i="58"/>
  <c r="B32" i="58"/>
  <c r="F34" i="58" s="1"/>
  <c r="G33" i="58"/>
  <c r="G37" i="58"/>
  <c r="G38" i="58"/>
  <c r="H19" i="58"/>
  <c r="G34" i="58"/>
  <c r="D36" i="58"/>
  <c r="D37" i="58"/>
  <c r="G32" i="58" l="1"/>
  <c r="F33" i="58"/>
  <c r="H33" i="58" s="1"/>
  <c r="H10" i="58"/>
  <c r="H14" i="58"/>
  <c r="F37" i="58"/>
  <c r="H37" i="58" s="1"/>
  <c r="F38" i="58"/>
  <c r="H38" i="58" s="1"/>
  <c r="H34" i="58"/>
  <c r="F36" i="58"/>
  <c r="H36" i="58" s="1"/>
  <c r="H17" i="58"/>
  <c r="F16" i="58"/>
  <c r="H16" i="58" s="1"/>
  <c r="H12" i="58"/>
  <c r="H13" i="58"/>
  <c r="H25" i="58"/>
  <c r="F24" i="58"/>
  <c r="H24" i="58" s="1"/>
  <c r="F35" i="58"/>
  <c r="H35" i="58" s="1"/>
  <c r="D32" i="58"/>
  <c r="H11" i="58"/>
  <c r="H9" i="58"/>
  <c r="F8" i="58"/>
  <c r="H8" i="58" s="1"/>
  <c r="F32" i="58" l="1"/>
  <c r="H32" i="58" s="1"/>
  <c r="K36" i="79" l="1"/>
  <c r="J9" i="79"/>
  <c r="K8" i="79"/>
  <c r="O1" i="79"/>
  <c r="D7" i="79" l="1"/>
  <c r="D37" i="79"/>
  <c r="K122" i="79"/>
  <c r="J23" i="79"/>
  <c r="L23" i="79" s="1"/>
  <c r="K114" i="79"/>
  <c r="D48" i="79"/>
  <c r="D10" i="79"/>
  <c r="J114" i="79"/>
  <c r="J29" i="79"/>
  <c r="J97" i="79"/>
  <c r="J28" i="79"/>
  <c r="J37" i="79"/>
  <c r="K76" i="79"/>
  <c r="J122" i="79"/>
  <c r="D122" i="79"/>
  <c r="D9" i="79"/>
  <c r="K7" i="79"/>
  <c r="J22" i="79"/>
  <c r="J30" i="79"/>
  <c r="K10" i="79"/>
  <c r="D36" i="79"/>
  <c r="J36" i="79"/>
  <c r="D8" i="79"/>
  <c r="J8" i="79"/>
  <c r="L8" i="79" s="1"/>
  <c r="K22" i="79"/>
  <c r="K23" i="79"/>
  <c r="K28" i="79"/>
  <c r="K29" i="79"/>
  <c r="K30" i="79"/>
  <c r="J10" i="79"/>
  <c r="K9" i="79"/>
  <c r="L9" i="79" s="1"/>
  <c r="J7" i="79"/>
  <c r="D22" i="79"/>
  <c r="D23" i="79"/>
  <c r="D28" i="79"/>
  <c r="D29" i="79"/>
  <c r="D30" i="79"/>
  <c r="K37" i="79"/>
  <c r="D76" i="79"/>
  <c r="K97" i="79"/>
  <c r="J76" i="79"/>
  <c r="D97" i="79"/>
  <c r="D114" i="79"/>
  <c r="L122" i="79" l="1"/>
  <c r="L76" i="79"/>
  <c r="L97" i="79"/>
  <c r="L114" i="79"/>
  <c r="L10" i="79"/>
  <c r="L22" i="79"/>
  <c r="L29" i="79"/>
  <c r="L28" i="79"/>
  <c r="L7" i="79"/>
  <c r="L30" i="79"/>
  <c r="H31" i="9"/>
  <c r="H67" i="9" s="1"/>
  <c r="K119" i="79"/>
  <c r="K111" i="79"/>
  <c r="G31" i="9"/>
  <c r="G67" i="9" s="1"/>
  <c r="D66" i="79"/>
  <c r="C31" i="9"/>
  <c r="C67" i="9" s="1"/>
  <c r="D111" i="79"/>
  <c r="J111" i="79"/>
  <c r="D119" i="79"/>
  <c r="J119" i="79"/>
  <c r="L111" i="79" l="1"/>
  <c r="L119" i="79"/>
  <c r="D87" i="79"/>
  <c r="K87" i="79"/>
  <c r="D47" i="79"/>
  <c r="B31" i="9"/>
  <c r="B67" i="9" s="1"/>
  <c r="J87" i="79" l="1"/>
  <c r="L87" i="79" s="1"/>
  <c r="J66" i="79"/>
  <c r="K66" i="79"/>
  <c r="O1" i="78"/>
  <c r="H21" i="9" l="1"/>
  <c r="L66" i="79"/>
  <c r="D48" i="78"/>
  <c r="G21" i="9" l="1"/>
  <c r="C21" i="9"/>
  <c r="N20" i="8" s="1"/>
  <c r="D47" i="78"/>
  <c r="H57" i="9"/>
  <c r="N64" i="8"/>
  <c r="M64" i="8" l="1"/>
  <c r="G57" i="9"/>
  <c r="C57" i="9"/>
  <c r="B21" i="9"/>
  <c r="M20" i="8" l="1"/>
  <c r="D21" i="9"/>
  <c r="B57" i="9"/>
  <c r="D57" i="9" s="1"/>
  <c r="O1" i="77"/>
  <c r="D54" i="77" l="1"/>
  <c r="D55" i="77"/>
  <c r="H11" i="9"/>
  <c r="D48" i="77"/>
  <c r="G11" i="9"/>
  <c r="G47" i="9" s="1"/>
  <c r="D53" i="77" l="1"/>
  <c r="M55" i="8"/>
  <c r="H47" i="9"/>
  <c r="N55" i="8"/>
  <c r="D49" i="77"/>
  <c r="C11" i="9"/>
  <c r="C47" i="9" l="1"/>
  <c r="N10" i="8"/>
  <c r="B11" i="9"/>
  <c r="M10" i="8" s="1"/>
  <c r="D47" i="77"/>
  <c r="D11" i="9" l="1"/>
  <c r="B47" i="9"/>
  <c r="D47" i="9" s="1"/>
  <c r="N121" i="8" l="1"/>
  <c r="M121" i="8"/>
  <c r="N99" i="8"/>
  <c r="M99" i="8"/>
  <c r="N84" i="8"/>
  <c r="M84" i="8"/>
  <c r="N71" i="8"/>
  <c r="M71" i="8"/>
  <c r="N52" i="8"/>
  <c r="M52" i="8"/>
  <c r="N34" i="8"/>
  <c r="M34" i="8"/>
  <c r="H65" i="9" l="1"/>
  <c r="L66" i="9"/>
  <c r="O66" i="9"/>
  <c r="N66" i="9"/>
  <c r="M66" i="9"/>
  <c r="O1" i="74" l="1"/>
  <c r="K8" i="74" l="1"/>
  <c r="H30" i="9"/>
  <c r="G30" i="9"/>
  <c r="D8" i="74"/>
  <c r="J8" i="74"/>
  <c r="K7" i="74"/>
  <c r="J7" i="74"/>
  <c r="D48" i="74"/>
  <c r="D7" i="74"/>
  <c r="M72" i="8" l="1"/>
  <c r="G66" i="9"/>
  <c r="L8" i="74"/>
  <c r="C30" i="9"/>
  <c r="L7" i="74"/>
  <c r="D47" i="74"/>
  <c r="H66" i="9"/>
  <c r="N72" i="8"/>
  <c r="B30" i="9"/>
  <c r="M29" i="8" s="1"/>
  <c r="B66" i="9" l="1"/>
  <c r="B22" i="4" l="1"/>
  <c r="E22" i="4"/>
  <c r="F22" i="4"/>
  <c r="C29" i="4"/>
  <c r="F29" i="4"/>
  <c r="C22" i="4"/>
  <c r="B29" i="4"/>
  <c r="E29" i="4"/>
  <c r="G21" i="10" l="1"/>
  <c r="C21" i="10"/>
  <c r="E29" i="79"/>
  <c r="E22" i="79"/>
  <c r="G10" i="10"/>
  <c r="C10" i="10"/>
  <c r="F33" i="4" l="1"/>
  <c r="I33" i="29" s="1"/>
  <c r="E24" i="4"/>
  <c r="B25" i="4"/>
  <c r="E32" i="4"/>
  <c r="F26" i="4"/>
  <c r="C27" i="4"/>
  <c r="C25" i="4"/>
  <c r="E30" i="4"/>
  <c r="F24" i="4"/>
  <c r="B24" i="4"/>
  <c r="E27" i="4"/>
  <c r="C32" i="4"/>
  <c r="E33" i="4"/>
  <c r="K32" i="13"/>
  <c r="E23" i="4"/>
  <c r="B30" i="4"/>
  <c r="F27" i="4"/>
  <c r="F23" i="4"/>
  <c r="B26" i="4"/>
  <c r="C26" i="4"/>
  <c r="E25" i="4"/>
  <c r="C30" i="4"/>
  <c r="F30" i="4"/>
  <c r="C33" i="4"/>
  <c r="B27" i="4"/>
  <c r="E31" i="4"/>
  <c r="F32" i="4"/>
  <c r="B33" i="4"/>
  <c r="B23" i="4"/>
  <c r="B31" i="4"/>
  <c r="C23" i="4"/>
  <c r="E26" i="4"/>
  <c r="C31" i="4"/>
  <c r="F31" i="4"/>
  <c r="C24" i="4"/>
  <c r="F25" i="4"/>
  <c r="B32" i="4"/>
  <c r="D23" i="23"/>
  <c r="H23" i="33"/>
  <c r="D23" i="29"/>
  <c r="D30" i="33"/>
  <c r="H24" i="23"/>
  <c r="D30" i="16"/>
  <c r="D25" i="13"/>
  <c r="D31" i="37"/>
  <c r="D32" i="29"/>
  <c r="H30" i="37"/>
  <c r="H30" i="33"/>
  <c r="H30" i="29"/>
  <c r="H30" i="23"/>
  <c r="H30" i="13"/>
  <c r="D23" i="37"/>
  <c r="D23" i="20"/>
  <c r="D30" i="37"/>
  <c r="D30" i="20"/>
  <c r="H23" i="37"/>
  <c r="H24" i="13"/>
  <c r="H31" i="37"/>
  <c r="H31" i="29"/>
  <c r="H31" i="23"/>
  <c r="H31" i="13"/>
  <c r="H25" i="13"/>
  <c r="D31" i="13"/>
  <c r="H32" i="37"/>
  <c r="H32" i="33"/>
  <c r="H32" i="29"/>
  <c r="H32" i="23"/>
  <c r="H33" i="37"/>
  <c r="H33" i="33"/>
  <c r="H33" i="29"/>
  <c r="H33" i="23"/>
  <c r="H23" i="13"/>
  <c r="D30" i="13"/>
  <c r="D31" i="33"/>
  <c r="D31" i="29"/>
  <c r="D32" i="13"/>
  <c r="H24" i="37"/>
  <c r="H24" i="33"/>
  <c r="H31" i="33"/>
  <c r="H25" i="37"/>
  <c r="H25" i="33"/>
  <c r="H25" i="29"/>
  <c r="H32" i="13"/>
  <c r="D24" i="37"/>
  <c r="D24" i="33"/>
  <c r="D24" i="29"/>
  <c r="D24" i="13"/>
  <c r="H26" i="37"/>
  <c r="H26" i="33"/>
  <c r="H26" i="29"/>
  <c r="H26" i="23"/>
  <c r="J30" i="29"/>
  <c r="D30" i="29"/>
  <c r="J30" i="23"/>
  <c r="D30" i="23"/>
  <c r="D23" i="33"/>
  <c r="H23" i="29"/>
  <c r="D23" i="13"/>
  <c r="J33" i="23"/>
  <c r="J33" i="33"/>
  <c r="J33" i="29"/>
  <c r="J25" i="29"/>
  <c r="J25" i="13"/>
  <c r="J32" i="33"/>
  <c r="J32" i="29"/>
  <c r="J32" i="23"/>
  <c r="J26" i="37"/>
  <c r="J26" i="33"/>
  <c r="J26" i="29"/>
  <c r="J26" i="23"/>
  <c r="K23" i="33"/>
  <c r="J33" i="37"/>
  <c r="K31" i="23"/>
  <c r="K30" i="16"/>
  <c r="K25" i="37"/>
  <c r="K25" i="33"/>
  <c r="K25" i="29"/>
  <c r="K25" i="13"/>
  <c r="K23" i="37"/>
  <c r="K23" i="20"/>
  <c r="K32" i="33"/>
  <c r="K32" i="29"/>
  <c r="K32" i="23"/>
  <c r="J30" i="16"/>
  <c r="K33" i="23"/>
  <c r="K26" i="33"/>
  <c r="K26" i="29"/>
  <c r="K23" i="13"/>
  <c r="K33" i="33"/>
  <c r="K33" i="29"/>
  <c r="J23" i="20"/>
  <c r="J23" i="37"/>
  <c r="K26" i="37"/>
  <c r="K26" i="23"/>
  <c r="K31" i="13"/>
  <c r="J23" i="29"/>
  <c r="J23" i="23"/>
  <c r="J25" i="37"/>
  <c r="J25" i="33"/>
  <c r="K24" i="23"/>
  <c r="K24" i="13"/>
  <c r="K31" i="33"/>
  <c r="K31" i="29"/>
  <c r="J23" i="13"/>
  <c r="K30" i="20"/>
  <c r="K30" i="13"/>
  <c r="K24" i="33"/>
  <c r="K24" i="29"/>
  <c r="J31" i="37"/>
  <c r="J31" i="13"/>
  <c r="J24" i="37"/>
  <c r="J24" i="33"/>
  <c r="J24" i="29"/>
  <c r="J24" i="23"/>
  <c r="J24" i="13"/>
  <c r="K23" i="29"/>
  <c r="K23" i="23"/>
  <c r="J31" i="33"/>
  <c r="J31" i="29"/>
  <c r="J31" i="23"/>
  <c r="K24" i="37"/>
  <c r="K30" i="37"/>
  <c r="J30" i="13"/>
  <c r="J23" i="33"/>
  <c r="J30" i="33"/>
  <c r="J32" i="13"/>
  <c r="L32" i="13" s="1"/>
  <c r="J30" i="37"/>
  <c r="J30" i="20"/>
  <c r="J32" i="37"/>
  <c r="K30" i="33"/>
  <c r="K30" i="29"/>
  <c r="K30" i="23"/>
  <c r="K32" i="37"/>
  <c r="K31" i="37"/>
  <c r="K33" i="37"/>
  <c r="L31" i="23" l="1"/>
  <c r="E23" i="79"/>
  <c r="E30" i="79"/>
  <c r="L23" i="33"/>
  <c r="L30" i="37"/>
  <c r="L24" i="23"/>
  <c r="L24" i="29"/>
  <c r="L23" i="20"/>
  <c r="L31" i="29"/>
  <c r="L25" i="29"/>
  <c r="L24" i="33"/>
  <c r="L26" i="33"/>
  <c r="L33" i="23"/>
  <c r="L30" i="20"/>
  <c r="L31" i="13"/>
  <c r="L24" i="13"/>
  <c r="L24" i="37"/>
  <c r="L31" i="37"/>
  <c r="L23" i="23"/>
  <c r="L26" i="37"/>
  <c r="L26" i="29"/>
  <c r="L30" i="29"/>
  <c r="L32" i="37"/>
  <c r="L31" i="33"/>
  <c r="L23" i="13"/>
  <c r="L23" i="29"/>
  <c r="L33" i="37"/>
  <c r="L32" i="23"/>
  <c r="L25" i="13"/>
  <c r="L33" i="29"/>
  <c r="L25" i="33"/>
  <c r="L30" i="16"/>
  <c r="L26" i="23"/>
  <c r="L32" i="29"/>
  <c r="L33" i="33"/>
  <c r="L30" i="13"/>
  <c r="L30" i="33"/>
  <c r="L25" i="37"/>
  <c r="L23" i="37"/>
  <c r="L32" i="33"/>
  <c r="L30" i="23"/>
  <c r="J9" i="72"/>
  <c r="K8" i="72"/>
  <c r="J8" i="72"/>
  <c r="O1" i="72"/>
  <c r="L8" i="72" l="1"/>
  <c r="E31" i="13"/>
  <c r="E31" i="37"/>
  <c r="E31" i="33"/>
  <c r="E31" i="29"/>
  <c r="E23" i="23"/>
  <c r="E23" i="13"/>
  <c r="E23" i="20"/>
  <c r="E23" i="37"/>
  <c r="E23" i="33"/>
  <c r="E23" i="29"/>
  <c r="E25" i="13"/>
  <c r="E30" i="13"/>
  <c r="E30" i="20"/>
  <c r="E30" i="37"/>
  <c r="E30" i="23"/>
  <c r="E30" i="29"/>
  <c r="E30" i="16"/>
  <c r="E30" i="33"/>
  <c r="E32" i="13"/>
  <c r="E32" i="29"/>
  <c r="E24" i="13"/>
  <c r="E24" i="29"/>
  <c r="E24" i="33"/>
  <c r="E24" i="37"/>
  <c r="K7" i="72"/>
  <c r="K9" i="72"/>
  <c r="L9" i="72" s="1"/>
  <c r="J7" i="72"/>
  <c r="D8" i="72"/>
  <c r="D48" i="72"/>
  <c r="D7" i="72"/>
  <c r="D9" i="72"/>
  <c r="L7" i="72" l="1"/>
  <c r="H25" i="9"/>
  <c r="D47" i="72"/>
  <c r="G25" i="9"/>
  <c r="G61" i="9" s="1"/>
  <c r="B25" i="9"/>
  <c r="M24" i="8" s="1"/>
  <c r="C25" i="9" l="1"/>
  <c r="B61" i="9"/>
  <c r="C61" i="9" l="1"/>
  <c r="D61" i="9" s="1"/>
  <c r="N24" i="8"/>
  <c r="G33" i="4"/>
  <c r="I33" i="4" l="1"/>
  <c r="M33" i="29" s="1"/>
  <c r="H33" i="4"/>
  <c r="J33" i="4" l="1"/>
  <c r="B97" i="4" l="1"/>
  <c r="F76" i="4"/>
  <c r="E76" i="4"/>
  <c r="C76" i="4"/>
  <c r="B76" i="4"/>
  <c r="F97" i="4"/>
  <c r="E97" i="4"/>
  <c r="C97" i="4"/>
  <c r="K97" i="37"/>
  <c r="J97" i="37"/>
  <c r="D97" i="29"/>
  <c r="K97" i="33"/>
  <c r="K97" i="29"/>
  <c r="J97" i="13"/>
  <c r="J97" i="33"/>
  <c r="J97" i="29"/>
  <c r="D97" i="37"/>
  <c r="D97" i="13"/>
  <c r="K97" i="13"/>
  <c r="D97" i="33"/>
  <c r="K76" i="37"/>
  <c r="D76" i="33"/>
  <c r="D76" i="37"/>
  <c r="K76" i="29"/>
  <c r="J76" i="13"/>
  <c r="J76" i="37"/>
  <c r="D76" i="29"/>
  <c r="K76" i="33"/>
  <c r="J76" i="33"/>
  <c r="J76" i="29"/>
  <c r="D76" i="13"/>
  <c r="K76" i="13"/>
  <c r="O1" i="37"/>
  <c r="J8" i="37"/>
  <c r="K8" i="37"/>
  <c r="J9" i="37"/>
  <c r="K9" i="37"/>
  <c r="J36" i="37"/>
  <c r="J37" i="37"/>
  <c r="L8" i="37" l="1"/>
  <c r="L9" i="37"/>
  <c r="L76" i="33"/>
  <c r="L97" i="33"/>
  <c r="L97" i="29"/>
  <c r="L76" i="29"/>
  <c r="L76" i="13"/>
  <c r="D97" i="4"/>
  <c r="D76" i="4"/>
  <c r="L97" i="37"/>
  <c r="L76" i="37"/>
  <c r="L97" i="13"/>
  <c r="I97" i="4"/>
  <c r="I76" i="4"/>
  <c r="H34" i="37"/>
  <c r="H116" i="37"/>
  <c r="D114" i="37"/>
  <c r="D116" i="37"/>
  <c r="J124" i="37"/>
  <c r="H76" i="4"/>
  <c r="H97" i="4"/>
  <c r="K12" i="37"/>
  <c r="K7" i="37"/>
  <c r="H113" i="37"/>
  <c r="H117" i="37"/>
  <c r="J88" i="37"/>
  <c r="K75" i="37"/>
  <c r="K108" i="37"/>
  <c r="K96" i="37"/>
  <c r="K67" i="37"/>
  <c r="J35" i="37"/>
  <c r="J10" i="37"/>
  <c r="D7" i="37"/>
  <c r="K137" i="37"/>
  <c r="K135" i="37"/>
  <c r="K134" i="37"/>
  <c r="K122" i="37"/>
  <c r="D122" i="37"/>
  <c r="H112" i="37"/>
  <c r="J121" i="37"/>
  <c r="D137" i="37"/>
  <c r="H121" i="37"/>
  <c r="K114" i="37"/>
  <c r="K107" i="37"/>
  <c r="K99" i="37"/>
  <c r="J125" i="37"/>
  <c r="K116" i="37"/>
  <c r="K78" i="37"/>
  <c r="D8" i="37"/>
  <c r="H108" i="37"/>
  <c r="D67" i="37"/>
  <c r="K110" i="37"/>
  <c r="J86" i="37"/>
  <c r="K28" i="37"/>
  <c r="H7" i="37"/>
  <c r="D135" i="37"/>
  <c r="H124" i="37"/>
  <c r="J110" i="37"/>
  <c r="D108" i="37"/>
  <c r="D28" i="37"/>
  <c r="D125" i="37"/>
  <c r="K113" i="37"/>
  <c r="J108" i="37"/>
  <c r="D34" i="37"/>
  <c r="K10" i="37"/>
  <c r="K125" i="37"/>
  <c r="J117" i="37"/>
  <c r="J113" i="37"/>
  <c r="D110" i="37"/>
  <c r="K136" i="37"/>
  <c r="J134" i="37"/>
  <c r="H35" i="37"/>
  <c r="J28" i="37"/>
  <c r="K11" i="37"/>
  <c r="J122" i="37"/>
  <c r="J116" i="37"/>
  <c r="K109" i="37"/>
  <c r="D35" i="37"/>
  <c r="J12" i="37"/>
  <c r="J7" i="37"/>
  <c r="H75" i="37"/>
  <c r="D48" i="37"/>
  <c r="J137" i="37"/>
  <c r="K121" i="37"/>
  <c r="J67" i="37"/>
  <c r="H125" i="37"/>
  <c r="D124" i="37"/>
  <c r="D109" i="37"/>
  <c r="H96" i="37"/>
  <c r="K88" i="37"/>
  <c r="D55" i="37"/>
  <c r="J34" i="37"/>
  <c r="D9" i="37"/>
  <c r="J107" i="37"/>
  <c r="D107" i="37"/>
  <c r="K124" i="37"/>
  <c r="D99" i="37"/>
  <c r="D134" i="37"/>
  <c r="D120" i="37"/>
  <c r="J78" i="37"/>
  <c r="D78" i="37"/>
  <c r="J75" i="37"/>
  <c r="D75" i="37"/>
  <c r="J112" i="37"/>
  <c r="D112" i="37"/>
  <c r="J109" i="37"/>
  <c r="J135" i="37"/>
  <c r="D136" i="37"/>
  <c r="K120" i="37"/>
  <c r="J99" i="37"/>
  <c r="J96" i="37"/>
  <c r="D96" i="37"/>
  <c r="K86" i="37"/>
  <c r="J136" i="37"/>
  <c r="J120" i="37"/>
  <c r="J114" i="37"/>
  <c r="H109" i="37"/>
  <c r="D86" i="37"/>
  <c r="K117" i="37"/>
  <c r="K112" i="37"/>
  <c r="D88" i="37"/>
  <c r="H11" i="37"/>
  <c r="D10" i="37"/>
  <c r="K35" i="37"/>
  <c r="D57" i="37"/>
  <c r="D54" i="37"/>
  <c r="K34" i="37"/>
  <c r="H12" i="37"/>
  <c r="K37" i="37"/>
  <c r="D37" i="37"/>
  <c r="H10" i="37"/>
  <c r="K36" i="37"/>
  <c r="D36" i="37"/>
  <c r="J11" i="37"/>
  <c r="L122" i="37" l="1"/>
  <c r="J76" i="4"/>
  <c r="L114" i="37"/>
  <c r="D77" i="37"/>
  <c r="H29" i="37"/>
  <c r="J29" i="37"/>
  <c r="D100" i="37"/>
  <c r="K98" i="37"/>
  <c r="K77" i="37"/>
  <c r="J79" i="37"/>
  <c r="L110" i="37"/>
  <c r="J97" i="4"/>
  <c r="J100" i="37"/>
  <c r="J66" i="37"/>
  <c r="L116" i="37"/>
  <c r="D89" i="37"/>
  <c r="K22" i="37"/>
  <c r="D49" i="37"/>
  <c r="J22" i="37"/>
  <c r="H22" i="37"/>
  <c r="K29" i="37"/>
  <c r="D29" i="37"/>
  <c r="D22" i="37"/>
  <c r="D87" i="37"/>
  <c r="D56" i="37"/>
  <c r="L88" i="37"/>
  <c r="L124" i="37"/>
  <c r="L12" i="37"/>
  <c r="L78" i="37"/>
  <c r="K111" i="37"/>
  <c r="L7" i="37"/>
  <c r="L135" i="37"/>
  <c r="D53" i="37"/>
  <c r="L28" i="37"/>
  <c r="L136" i="37"/>
  <c r="L96" i="37"/>
  <c r="L34" i="37"/>
  <c r="L109" i="37"/>
  <c r="L67" i="37"/>
  <c r="L99" i="37"/>
  <c r="L108" i="37"/>
  <c r="L134" i="37"/>
  <c r="L10" i="37"/>
  <c r="D47" i="37"/>
  <c r="L107" i="37"/>
  <c r="L75" i="37"/>
  <c r="K119" i="37"/>
  <c r="H111" i="37"/>
  <c r="L86" i="37"/>
  <c r="L121" i="37"/>
  <c r="H119" i="37"/>
  <c r="L137" i="37"/>
  <c r="L35" i="37"/>
  <c r="L120" i="37"/>
  <c r="L11" i="37"/>
  <c r="D119" i="37"/>
  <c r="L117" i="37"/>
  <c r="L125" i="37"/>
  <c r="L113" i="37"/>
  <c r="J111" i="37"/>
  <c r="D111" i="37"/>
  <c r="D66" i="37"/>
  <c r="D98" i="37"/>
  <c r="J119" i="37"/>
  <c r="L112" i="37"/>
  <c r="L29" i="37" l="1"/>
  <c r="K79" i="37"/>
  <c r="L79" i="37" s="1"/>
  <c r="K100" i="37"/>
  <c r="L100" i="37" s="1"/>
  <c r="K87" i="37"/>
  <c r="K89" i="37"/>
  <c r="H68" i="37"/>
  <c r="H79" i="37"/>
  <c r="H100" i="37"/>
  <c r="H77" i="37"/>
  <c r="H98" i="37"/>
  <c r="L22" i="37"/>
  <c r="J68" i="37"/>
  <c r="K68" i="37"/>
  <c r="H89" i="37"/>
  <c r="J89" i="37"/>
  <c r="L111" i="37"/>
  <c r="L119" i="37"/>
  <c r="H87" i="37" l="1"/>
  <c r="L89" i="37"/>
  <c r="J98" i="37"/>
  <c r="L98" i="37" s="1"/>
  <c r="J77" i="37"/>
  <c r="L77" i="37" s="1"/>
  <c r="L68" i="37"/>
  <c r="J87" i="37"/>
  <c r="L87" i="37" s="1"/>
  <c r="H66" i="37"/>
  <c r="K66" i="37"/>
  <c r="L66" i="37" s="1"/>
  <c r="G31" i="4" l="1"/>
  <c r="G23" i="4" l="1"/>
  <c r="G24" i="4"/>
  <c r="G30" i="4"/>
  <c r="G25" i="4"/>
  <c r="G32" i="4"/>
  <c r="D32" i="4"/>
  <c r="D24" i="4"/>
  <c r="I23" i="37"/>
  <c r="I25" i="37"/>
  <c r="I30" i="37"/>
  <c r="I31" i="37"/>
  <c r="G26" i="4"/>
  <c r="D25" i="4"/>
  <c r="I24" i="37"/>
  <c r="I32" i="37"/>
  <c r="D30" i="4"/>
  <c r="D31" i="4"/>
  <c r="E29" i="23" l="1"/>
  <c r="E29" i="29"/>
  <c r="E29" i="33"/>
  <c r="E29" i="16"/>
  <c r="E29" i="20"/>
  <c r="E29" i="51"/>
  <c r="E29" i="37"/>
  <c r="E29" i="13"/>
  <c r="D23" i="4"/>
  <c r="I26" i="4"/>
  <c r="H26" i="4"/>
  <c r="F26" i="10"/>
  <c r="F16" i="10"/>
  <c r="F34" i="10"/>
  <c r="I26" i="29"/>
  <c r="I26" i="23"/>
  <c r="I26" i="33"/>
  <c r="I26" i="37"/>
  <c r="G34" i="10"/>
  <c r="M26" i="29" l="1"/>
  <c r="J26" i="4"/>
  <c r="M26" i="23"/>
  <c r="M26" i="37"/>
  <c r="M26" i="33"/>
  <c r="O1" i="19" l="1"/>
  <c r="O1" i="13"/>
  <c r="O1" i="20"/>
  <c r="O1" i="21"/>
  <c r="O1" i="22"/>
  <c r="O1" i="23"/>
  <c r="O1" i="25"/>
  <c r="O1" i="26"/>
  <c r="O1" i="51"/>
  <c r="O1" i="40"/>
  <c r="O1" i="29"/>
  <c r="O1" i="34"/>
  <c r="O1" i="33"/>
  <c r="O1" i="38"/>
  <c r="O1" i="39"/>
  <c r="G56" i="10" l="1"/>
  <c r="G60" i="10"/>
  <c r="F60" i="10" l="1"/>
  <c r="F56" i="10"/>
  <c r="K28" i="10" l="1"/>
  <c r="J28" i="10"/>
  <c r="K9" i="33" l="1"/>
  <c r="K9" i="29"/>
  <c r="K8" i="51"/>
  <c r="K8" i="29"/>
  <c r="K8" i="33"/>
  <c r="K9" i="51"/>
  <c r="K8" i="25"/>
  <c r="K9" i="25"/>
  <c r="K8" i="22"/>
  <c r="K9" i="22"/>
  <c r="K9" i="20"/>
  <c r="K8" i="20"/>
  <c r="K8" i="19"/>
  <c r="J36" i="13"/>
  <c r="K9" i="19"/>
  <c r="K39" i="13"/>
  <c r="K37" i="13"/>
  <c r="J39" i="13"/>
  <c r="J37" i="13"/>
  <c r="K36" i="13"/>
  <c r="K8" i="13"/>
  <c r="K9" i="13"/>
  <c r="D22" i="16"/>
  <c r="B7" i="4" l="1"/>
  <c r="B9" i="10" s="1"/>
  <c r="E7" i="4"/>
  <c r="F9" i="10" s="1"/>
  <c r="E114" i="4"/>
  <c r="C108" i="4"/>
  <c r="B12" i="4"/>
  <c r="B41" i="10" s="1"/>
  <c r="B48" i="4"/>
  <c r="E79" i="4"/>
  <c r="F124" i="4"/>
  <c r="B36" i="4"/>
  <c r="B16" i="10" s="1"/>
  <c r="B89" i="4"/>
  <c r="B23" i="10" s="1"/>
  <c r="B55" i="4"/>
  <c r="B57" i="4"/>
  <c r="F10" i="4"/>
  <c r="F135" i="4"/>
  <c r="C10" i="4"/>
  <c r="B135" i="4"/>
  <c r="B25" i="10" s="1"/>
  <c r="C86" i="4"/>
  <c r="E78" i="4"/>
  <c r="C125" i="4"/>
  <c r="C107" i="4"/>
  <c r="C34" i="4"/>
  <c r="C67" i="4"/>
  <c r="F126" i="4"/>
  <c r="E116" i="4"/>
  <c r="B10" i="4"/>
  <c r="B20" i="10" s="1"/>
  <c r="E10" i="4"/>
  <c r="F20" i="10" s="1"/>
  <c r="B54" i="4"/>
  <c r="F109" i="4"/>
  <c r="F120" i="4"/>
  <c r="F7" i="4"/>
  <c r="E117" i="4"/>
  <c r="C99" i="4"/>
  <c r="C28" i="4"/>
  <c r="E11" i="4"/>
  <c r="F30" i="10" s="1"/>
  <c r="E134" i="4"/>
  <c r="F15" i="10" s="1"/>
  <c r="F79" i="4"/>
  <c r="F96" i="4"/>
  <c r="C57" i="4"/>
  <c r="B34" i="4"/>
  <c r="C114" i="4"/>
  <c r="E137" i="4"/>
  <c r="B8" i="4"/>
  <c r="F107" i="4"/>
  <c r="F12" i="4"/>
  <c r="C11" i="4"/>
  <c r="E96" i="4"/>
  <c r="F24" i="10" s="1"/>
  <c r="C79" i="4"/>
  <c r="B49" i="4"/>
  <c r="E100" i="4"/>
  <c r="B108" i="4"/>
  <c r="C124" i="4"/>
  <c r="F117" i="4"/>
  <c r="C116" i="4"/>
  <c r="F99" i="4"/>
  <c r="F137" i="4"/>
  <c r="B110" i="4"/>
  <c r="E34" i="4"/>
  <c r="F31" i="10" s="1"/>
  <c r="E12" i="4"/>
  <c r="F41" i="10" s="1"/>
  <c r="C8" i="4"/>
  <c r="C118" i="4"/>
  <c r="C39" i="4"/>
  <c r="F78" i="4"/>
  <c r="B58" i="4"/>
  <c r="B75" i="4"/>
  <c r="B14" i="10" s="1"/>
  <c r="F113" i="4"/>
  <c r="B114" i="4"/>
  <c r="C120" i="4"/>
  <c r="E99" i="4"/>
  <c r="F88" i="4"/>
  <c r="B39" i="4"/>
  <c r="B35" i="4"/>
  <c r="C121" i="4"/>
  <c r="C58" i="4"/>
  <c r="B11" i="4"/>
  <c r="B30" i="10" s="1"/>
  <c r="F112" i="4"/>
  <c r="C35" i="4"/>
  <c r="C48" i="4"/>
  <c r="B113" i="4"/>
  <c r="F89" i="4"/>
  <c r="B68" i="4"/>
  <c r="B13" i="10" s="1"/>
  <c r="F100" i="4"/>
  <c r="E109" i="4"/>
  <c r="F125" i="4"/>
  <c r="E108" i="4"/>
  <c r="C126" i="4"/>
  <c r="B28" i="4"/>
  <c r="C88" i="4"/>
  <c r="F68" i="4"/>
  <c r="F86" i="4"/>
  <c r="E107" i="4"/>
  <c r="C68" i="4"/>
  <c r="B116" i="4"/>
  <c r="E113" i="4"/>
  <c r="B134" i="4"/>
  <c r="B15" i="10" s="1"/>
  <c r="C9" i="4"/>
  <c r="B107" i="4"/>
  <c r="F11" i="4"/>
  <c r="C113" i="4"/>
  <c r="B37" i="4"/>
  <c r="B26" i="10" s="1"/>
  <c r="C134" i="4"/>
  <c r="C37" i="4"/>
  <c r="E37" i="37" s="1"/>
  <c r="E35" i="4"/>
  <c r="F42" i="10" s="1"/>
  <c r="F114" i="4"/>
  <c r="B96" i="4"/>
  <c r="B24" i="10" s="1"/>
  <c r="C54" i="4"/>
  <c r="B120" i="4"/>
  <c r="C100" i="4"/>
  <c r="B79" i="4"/>
  <c r="E110" i="4"/>
  <c r="B118" i="4"/>
  <c r="B109" i="4"/>
  <c r="B117" i="4"/>
  <c r="F108" i="4"/>
  <c r="B86" i="4"/>
  <c r="E86" i="4"/>
  <c r="F116" i="4"/>
  <c r="C96" i="4"/>
  <c r="C89" i="4"/>
  <c r="E75" i="4"/>
  <c r="F14" i="10" s="1"/>
  <c r="F122" i="4"/>
  <c r="F136" i="4"/>
  <c r="C55" i="4"/>
  <c r="B112" i="4"/>
  <c r="B99" i="4"/>
  <c r="C122" i="4"/>
  <c r="F67" i="4"/>
  <c r="C135" i="4"/>
  <c r="B78" i="4"/>
  <c r="B38" i="4"/>
  <c r="F121" i="4"/>
  <c r="E112" i="4"/>
  <c r="F35" i="4"/>
  <c r="B122" i="4"/>
  <c r="B67" i="4"/>
  <c r="E89" i="4"/>
  <c r="E126" i="4"/>
  <c r="B124" i="4"/>
  <c r="B125" i="4"/>
  <c r="E118" i="4"/>
  <c r="C117" i="4"/>
  <c r="F34" i="4"/>
  <c r="C12" i="4"/>
  <c r="E121" i="4"/>
  <c r="C49" i="4"/>
  <c r="B126" i="4"/>
  <c r="E67" i="4"/>
  <c r="C112" i="4"/>
  <c r="E88" i="4"/>
  <c r="C110" i="4"/>
  <c r="C75" i="4"/>
  <c r="E122" i="4"/>
  <c r="B137" i="4"/>
  <c r="B44" i="10" s="1"/>
  <c r="E136" i="4"/>
  <c r="C7" i="4"/>
  <c r="B9" i="4"/>
  <c r="C36" i="4"/>
  <c r="E36" i="37" s="1"/>
  <c r="B121" i="4"/>
  <c r="E120" i="4"/>
  <c r="C136" i="4"/>
  <c r="F75" i="4"/>
  <c r="C137" i="4"/>
  <c r="B88" i="4"/>
  <c r="C78" i="4"/>
  <c r="F134" i="4"/>
  <c r="E135" i="4"/>
  <c r="F25" i="10" s="1"/>
  <c r="C38" i="4"/>
  <c r="B136" i="4"/>
  <c r="B33" i="10" s="1"/>
  <c r="E68" i="4"/>
  <c r="B100" i="4"/>
  <c r="F110" i="4"/>
  <c r="E125" i="4"/>
  <c r="C109" i="4"/>
  <c r="E124" i="4"/>
  <c r="F118" i="4"/>
  <c r="N22" i="8"/>
  <c r="C59" i="9"/>
  <c r="D59" i="9" s="1"/>
  <c r="G15" i="9"/>
  <c r="G51" i="9" s="1"/>
  <c r="H38" i="9"/>
  <c r="C36" i="9"/>
  <c r="H37" i="9"/>
  <c r="G36" i="9"/>
  <c r="H17" i="9"/>
  <c r="N60" i="8" s="1"/>
  <c r="G16" i="9"/>
  <c r="G13" i="9"/>
  <c r="G49" i="9" s="1"/>
  <c r="G14" i="9"/>
  <c r="G50" i="9" s="1"/>
  <c r="C35" i="9"/>
  <c r="B39" i="9"/>
  <c r="C39" i="9"/>
  <c r="G19" i="9"/>
  <c r="C38" i="9"/>
  <c r="H13" i="9"/>
  <c r="G10" i="9"/>
  <c r="G46" i="9" s="1"/>
  <c r="G18" i="9"/>
  <c r="H18" i="9"/>
  <c r="G22" i="9"/>
  <c r="H35" i="9"/>
  <c r="H9" i="9"/>
  <c r="H36" i="9"/>
  <c r="G9" i="9"/>
  <c r="H10" i="9"/>
  <c r="N54" i="8" s="1"/>
  <c r="C37" i="9"/>
  <c r="G20" i="9"/>
  <c r="G56" i="9" s="1"/>
  <c r="G17" i="9"/>
  <c r="G53" i="9" s="1"/>
  <c r="G24" i="9"/>
  <c r="G60" i="9" s="1"/>
  <c r="H39" i="9"/>
  <c r="G26" i="9"/>
  <c r="G28" i="9"/>
  <c r="G35" i="9"/>
  <c r="H20" i="9"/>
  <c r="N63" i="8" s="1"/>
  <c r="B35" i="9"/>
  <c r="B38" i="9"/>
  <c r="K135" i="26"/>
  <c r="H29" i="29"/>
  <c r="K121" i="13"/>
  <c r="H121" i="33"/>
  <c r="H125" i="33"/>
  <c r="H68" i="29"/>
  <c r="K113" i="33"/>
  <c r="H29" i="13"/>
  <c r="K12" i="29"/>
  <c r="J86" i="29"/>
  <c r="K108" i="33"/>
  <c r="H22" i="33"/>
  <c r="K68" i="33"/>
  <c r="H35" i="29"/>
  <c r="H34" i="13"/>
  <c r="K22" i="51"/>
  <c r="K135" i="34"/>
  <c r="K134" i="26"/>
  <c r="K113" i="29"/>
  <c r="H100" i="29"/>
  <c r="K137" i="26"/>
  <c r="J79" i="29"/>
  <c r="K28" i="51"/>
  <c r="H89" i="29"/>
  <c r="K12" i="33"/>
  <c r="K116" i="33"/>
  <c r="K29" i="51"/>
  <c r="H34" i="33"/>
  <c r="H12" i="33"/>
  <c r="H125" i="29"/>
  <c r="K108" i="23"/>
  <c r="K22" i="23"/>
  <c r="H107" i="23"/>
  <c r="K107" i="33"/>
  <c r="K100" i="33"/>
  <c r="K75" i="33"/>
  <c r="K122" i="33"/>
  <c r="K114" i="33"/>
  <c r="H29" i="33"/>
  <c r="H75" i="33"/>
  <c r="D49" i="19"/>
  <c r="D37" i="13"/>
  <c r="K89" i="23"/>
  <c r="K68" i="23"/>
  <c r="H135" i="26"/>
  <c r="H22" i="29"/>
  <c r="H96" i="33"/>
  <c r="H117" i="33"/>
  <c r="K28" i="25"/>
  <c r="K96" i="33"/>
  <c r="H35" i="33"/>
  <c r="K117" i="33"/>
  <c r="K28" i="23"/>
  <c r="K89" i="33"/>
  <c r="D49" i="38"/>
  <c r="D57" i="16"/>
  <c r="D28" i="16"/>
  <c r="D29" i="16"/>
  <c r="D9" i="16"/>
  <c r="D10" i="16"/>
  <c r="D54" i="16"/>
  <c r="D8" i="16"/>
  <c r="D49" i="16"/>
  <c r="D7" i="16"/>
  <c r="D48" i="16"/>
  <c r="H100" i="23"/>
  <c r="B21" i="10"/>
  <c r="K109" i="23"/>
  <c r="K34" i="13"/>
  <c r="K107" i="13"/>
  <c r="K121" i="23"/>
  <c r="H109" i="23"/>
  <c r="H22" i="23"/>
  <c r="H100" i="33"/>
  <c r="H68" i="33"/>
  <c r="K125" i="33"/>
  <c r="D49" i="39"/>
  <c r="K7" i="13"/>
  <c r="K7" i="19"/>
  <c r="K10" i="29"/>
  <c r="H7" i="23"/>
  <c r="H7" i="29"/>
  <c r="H7" i="33"/>
  <c r="K10" i="33"/>
  <c r="H10" i="13"/>
  <c r="K7" i="23"/>
  <c r="K11" i="33"/>
  <c r="K7" i="29"/>
  <c r="H11" i="13"/>
  <c r="K22" i="13"/>
  <c r="K29" i="13"/>
  <c r="H79" i="13"/>
  <c r="K100" i="13"/>
  <c r="K116" i="13"/>
  <c r="K10" i="13"/>
  <c r="H121" i="13"/>
  <c r="K7" i="20"/>
  <c r="K10" i="20"/>
  <c r="D49" i="26"/>
  <c r="K11" i="29"/>
  <c r="H113" i="29"/>
  <c r="K7" i="33"/>
  <c r="H89" i="33"/>
  <c r="H107" i="33"/>
  <c r="K121" i="33"/>
  <c r="H89" i="13"/>
  <c r="K109" i="13"/>
  <c r="K67" i="13"/>
  <c r="K11" i="13"/>
  <c r="H113" i="33"/>
  <c r="H12" i="23"/>
  <c r="H86" i="23"/>
  <c r="H136" i="26"/>
  <c r="K28" i="29"/>
  <c r="K34" i="29"/>
  <c r="H134" i="26"/>
  <c r="K117" i="29"/>
  <c r="H79" i="23"/>
  <c r="H89" i="23"/>
  <c r="H117" i="23"/>
  <c r="K35" i="29"/>
  <c r="H117" i="29"/>
  <c r="K28" i="19"/>
  <c r="H40" i="9"/>
  <c r="D39" i="13"/>
  <c r="H22" i="13"/>
  <c r="H7" i="13"/>
  <c r="K35" i="13"/>
  <c r="K108" i="13"/>
  <c r="K12" i="13"/>
  <c r="H107" i="13"/>
  <c r="C40" i="9"/>
  <c r="D48" i="13"/>
  <c r="J10" i="13"/>
  <c r="D10" i="13"/>
  <c r="K28" i="13"/>
  <c r="K68" i="13"/>
  <c r="K112" i="13"/>
  <c r="K117" i="13"/>
  <c r="H35" i="13"/>
  <c r="H109" i="13"/>
  <c r="J89" i="13"/>
  <c r="D89" i="13"/>
  <c r="D11" i="13"/>
  <c r="J11" i="13"/>
  <c r="J9" i="19"/>
  <c r="L9" i="19" s="1"/>
  <c r="D9" i="19"/>
  <c r="K113" i="13"/>
  <c r="J9" i="13"/>
  <c r="L9" i="13" s="1"/>
  <c r="D9" i="13"/>
  <c r="H68" i="13"/>
  <c r="J88" i="13"/>
  <c r="D88" i="13"/>
  <c r="H100" i="13"/>
  <c r="H12" i="13"/>
  <c r="D78" i="13"/>
  <c r="J78" i="13"/>
  <c r="J12" i="13"/>
  <c r="D12" i="13"/>
  <c r="K120" i="13"/>
  <c r="K88" i="13"/>
  <c r="H117" i="13"/>
  <c r="D48" i="19"/>
  <c r="D35" i="13"/>
  <c r="J35" i="13"/>
  <c r="J68" i="13"/>
  <c r="K86" i="13"/>
  <c r="K89" i="13"/>
  <c r="J107" i="13"/>
  <c r="D107" i="13"/>
  <c r="D112" i="13"/>
  <c r="J112" i="13"/>
  <c r="J117" i="13"/>
  <c r="D86" i="13"/>
  <c r="J86" i="13"/>
  <c r="J125" i="13"/>
  <c r="D8" i="20"/>
  <c r="J8" i="20"/>
  <c r="L8" i="20" s="1"/>
  <c r="J79" i="13"/>
  <c r="D99" i="13"/>
  <c r="J99" i="13"/>
  <c r="J124" i="13"/>
  <c r="D124" i="13"/>
  <c r="H108" i="13"/>
  <c r="H113" i="13"/>
  <c r="D36" i="13"/>
  <c r="D54" i="13"/>
  <c r="D108" i="13"/>
  <c r="J108" i="13"/>
  <c r="J113" i="13"/>
  <c r="K124" i="13"/>
  <c r="J7" i="20"/>
  <c r="D7" i="20"/>
  <c r="J7" i="13"/>
  <c r="D7" i="13"/>
  <c r="D22" i="13"/>
  <c r="J22" i="13"/>
  <c r="J29" i="13"/>
  <c r="D29" i="13"/>
  <c r="D57" i="13"/>
  <c r="K78" i="13"/>
  <c r="K99" i="13"/>
  <c r="D109" i="13"/>
  <c r="J109" i="13"/>
  <c r="J120" i="13"/>
  <c r="D120" i="13"/>
  <c r="H125" i="13"/>
  <c r="J10" i="20"/>
  <c r="D10" i="20"/>
  <c r="J7" i="19"/>
  <c r="D7" i="19"/>
  <c r="J28" i="20"/>
  <c r="D28" i="20"/>
  <c r="D54" i="22"/>
  <c r="D22" i="23"/>
  <c r="J22" i="23"/>
  <c r="D28" i="25"/>
  <c r="J28" i="25"/>
  <c r="J112" i="23"/>
  <c r="D112" i="23"/>
  <c r="D8" i="22"/>
  <c r="J8" i="22"/>
  <c r="L8" i="22" s="1"/>
  <c r="D29" i="23"/>
  <c r="J29" i="23"/>
  <c r="K112" i="23"/>
  <c r="J22" i="51"/>
  <c r="D22" i="51"/>
  <c r="K11" i="23"/>
  <c r="K35" i="23"/>
  <c r="D107" i="23"/>
  <c r="J107" i="23"/>
  <c r="J117" i="23"/>
  <c r="D48" i="25"/>
  <c r="D9" i="22"/>
  <c r="J9" i="22"/>
  <c r="L9" i="22" s="1"/>
  <c r="K12" i="23"/>
  <c r="K67" i="23"/>
  <c r="D78" i="23"/>
  <c r="K78" i="23"/>
  <c r="J108" i="23"/>
  <c r="D108" i="23"/>
  <c r="H113" i="23"/>
  <c r="D67" i="29"/>
  <c r="K67" i="29"/>
  <c r="J75" i="33"/>
  <c r="D75" i="33"/>
  <c r="D48" i="51"/>
  <c r="D54" i="40"/>
  <c r="J28" i="29"/>
  <c r="D28" i="29"/>
  <c r="D136" i="26"/>
  <c r="J136" i="26"/>
  <c r="D7" i="29"/>
  <c r="J7" i="29"/>
  <c r="J12" i="29"/>
  <c r="H12" i="29"/>
  <c r="J109" i="29"/>
  <c r="D109" i="29"/>
  <c r="K120" i="29"/>
  <c r="D68" i="29"/>
  <c r="J68" i="29"/>
  <c r="D86" i="29"/>
  <c r="K86" i="29"/>
  <c r="K89" i="29"/>
  <c r="K107" i="29"/>
  <c r="H121" i="29"/>
  <c r="J10" i="33"/>
  <c r="D10" i="33"/>
  <c r="J68" i="33"/>
  <c r="D68" i="33"/>
  <c r="K78" i="33"/>
  <c r="K112" i="33"/>
  <c r="J8" i="33"/>
  <c r="L8" i="33" s="1"/>
  <c r="D8" i="33"/>
  <c r="H11" i="33"/>
  <c r="K35" i="33"/>
  <c r="D96" i="33"/>
  <c r="J96" i="33"/>
  <c r="J108" i="33"/>
  <c r="D108" i="33"/>
  <c r="K110" i="33"/>
  <c r="D116" i="33"/>
  <c r="J116" i="33"/>
  <c r="D54" i="39"/>
  <c r="J8" i="13"/>
  <c r="L8" i="13" s="1"/>
  <c r="D8" i="13"/>
  <c r="J28" i="13"/>
  <c r="D28" i="13"/>
  <c r="J34" i="13"/>
  <c r="D34" i="13"/>
  <c r="D67" i="13"/>
  <c r="J67" i="13"/>
  <c r="K79" i="13"/>
  <c r="D100" i="13"/>
  <c r="J100" i="13"/>
  <c r="J116" i="13"/>
  <c r="D116" i="13"/>
  <c r="J121" i="13"/>
  <c r="K125" i="13"/>
  <c r="J8" i="19"/>
  <c r="L8" i="19" s="1"/>
  <c r="D8" i="19"/>
  <c r="D57" i="22"/>
  <c r="J9" i="20"/>
  <c r="L9" i="20" s="1"/>
  <c r="D9" i="20"/>
  <c r="K22" i="20"/>
  <c r="K29" i="20"/>
  <c r="J113" i="23"/>
  <c r="K7" i="22"/>
  <c r="D49" i="22"/>
  <c r="J10" i="23"/>
  <c r="J34" i="23"/>
  <c r="K113" i="23"/>
  <c r="J125" i="23"/>
  <c r="J7" i="25"/>
  <c r="D7" i="25"/>
  <c r="D29" i="51"/>
  <c r="J29" i="51"/>
  <c r="J12" i="23"/>
  <c r="J78" i="23"/>
  <c r="H29" i="23"/>
  <c r="J68" i="23"/>
  <c r="K79" i="23"/>
  <c r="J88" i="23"/>
  <c r="D88" i="23"/>
  <c r="K99" i="23"/>
  <c r="J109" i="23"/>
  <c r="K120" i="23"/>
  <c r="D48" i="40"/>
  <c r="J29" i="29"/>
  <c r="D29" i="29"/>
  <c r="J137" i="34"/>
  <c r="D137" i="34"/>
  <c r="D134" i="26"/>
  <c r="J134" i="26"/>
  <c r="D137" i="26"/>
  <c r="J137" i="26"/>
  <c r="K7" i="51"/>
  <c r="K10" i="51"/>
  <c r="J78" i="29"/>
  <c r="D78" i="29"/>
  <c r="J22" i="29"/>
  <c r="D22" i="29"/>
  <c r="K68" i="29"/>
  <c r="J88" i="29"/>
  <c r="D88" i="29"/>
  <c r="J11" i="33"/>
  <c r="J121" i="29"/>
  <c r="J134" i="34"/>
  <c r="D134" i="34"/>
  <c r="K108" i="29"/>
  <c r="H77" i="29"/>
  <c r="H107" i="29"/>
  <c r="J117" i="29"/>
  <c r="J135" i="34"/>
  <c r="D135" i="34"/>
  <c r="J9" i="33"/>
  <c r="L9" i="33" s="1"/>
  <c r="D9" i="33"/>
  <c r="J78" i="33"/>
  <c r="D78" i="33"/>
  <c r="J22" i="33"/>
  <c r="D22" i="33"/>
  <c r="J29" i="33"/>
  <c r="D29" i="33"/>
  <c r="J67" i="33"/>
  <c r="K79" i="33"/>
  <c r="J99" i="33"/>
  <c r="D99" i="33"/>
  <c r="D109" i="33"/>
  <c r="J109" i="33"/>
  <c r="D48" i="38"/>
  <c r="G40" i="9"/>
  <c r="J112" i="33"/>
  <c r="D112" i="33"/>
  <c r="J117" i="33"/>
  <c r="D48" i="39"/>
  <c r="D54" i="20"/>
  <c r="D53" i="20"/>
  <c r="D56" i="21"/>
  <c r="D57" i="21"/>
  <c r="K28" i="20"/>
  <c r="J28" i="23"/>
  <c r="D28" i="23"/>
  <c r="D48" i="21"/>
  <c r="D57" i="25"/>
  <c r="J11" i="23"/>
  <c r="J35" i="23"/>
  <c r="J8" i="25"/>
  <c r="L8" i="25" s="1"/>
  <c r="D8" i="25"/>
  <c r="J9" i="51"/>
  <c r="L9" i="51" s="1"/>
  <c r="D9" i="51"/>
  <c r="K29" i="23"/>
  <c r="J67" i="23"/>
  <c r="D67" i="23"/>
  <c r="J79" i="23"/>
  <c r="J99" i="23"/>
  <c r="D99" i="23"/>
  <c r="J120" i="23"/>
  <c r="D120" i="23"/>
  <c r="K125" i="23"/>
  <c r="K7" i="25"/>
  <c r="D48" i="22"/>
  <c r="H10" i="23"/>
  <c r="H34" i="23"/>
  <c r="K86" i="23"/>
  <c r="J89" i="23"/>
  <c r="K100" i="23"/>
  <c r="K116" i="23"/>
  <c r="J121" i="23"/>
  <c r="H125" i="23"/>
  <c r="D54" i="25"/>
  <c r="J7" i="51"/>
  <c r="D7" i="51"/>
  <c r="D10" i="51"/>
  <c r="J10" i="51"/>
  <c r="J34" i="29"/>
  <c r="D34" i="29"/>
  <c r="D10" i="29"/>
  <c r="J10" i="29"/>
  <c r="J89" i="29"/>
  <c r="D89" i="29"/>
  <c r="H10" i="29"/>
  <c r="K22" i="29"/>
  <c r="K29" i="29"/>
  <c r="J120" i="29"/>
  <c r="D120" i="29"/>
  <c r="J107" i="29"/>
  <c r="D107" i="29"/>
  <c r="K137" i="34"/>
  <c r="K78" i="29"/>
  <c r="K99" i="29"/>
  <c r="K109" i="29"/>
  <c r="J125" i="29"/>
  <c r="K134" i="34"/>
  <c r="H27" i="9"/>
  <c r="N69" i="8" s="1"/>
  <c r="H79" i="29"/>
  <c r="J113" i="29"/>
  <c r="K125" i="29"/>
  <c r="D67" i="33"/>
  <c r="K67" i="33"/>
  <c r="J79" i="33"/>
  <c r="D79" i="33"/>
  <c r="J34" i="33"/>
  <c r="D34" i="33"/>
  <c r="K86" i="33"/>
  <c r="D122" i="33"/>
  <c r="J122" i="33"/>
  <c r="K22" i="33"/>
  <c r="K29" i="33"/>
  <c r="H79" i="33"/>
  <c r="J88" i="33"/>
  <c r="D88" i="33"/>
  <c r="J100" i="33"/>
  <c r="D100" i="33"/>
  <c r="K120" i="33"/>
  <c r="D113" i="33"/>
  <c r="J113" i="33"/>
  <c r="D57" i="39"/>
  <c r="J22" i="20"/>
  <c r="D22" i="20"/>
  <c r="J29" i="20"/>
  <c r="D29" i="20"/>
  <c r="D48" i="20"/>
  <c r="J7" i="23"/>
  <c r="D28" i="19"/>
  <c r="J28" i="19"/>
  <c r="K88" i="23"/>
  <c r="J35" i="29"/>
  <c r="D7" i="22"/>
  <c r="J7" i="22"/>
  <c r="H121" i="23"/>
  <c r="K10" i="23"/>
  <c r="K34" i="23"/>
  <c r="H68" i="23"/>
  <c r="D86" i="23"/>
  <c r="J86" i="23"/>
  <c r="J100" i="23"/>
  <c r="D116" i="23"/>
  <c r="J116" i="23"/>
  <c r="J28" i="51"/>
  <c r="D28" i="51"/>
  <c r="H11" i="23"/>
  <c r="H35" i="23"/>
  <c r="K107" i="23"/>
  <c r="K117" i="23"/>
  <c r="J9" i="25"/>
  <c r="L9" i="25" s="1"/>
  <c r="D9" i="25"/>
  <c r="K136" i="26"/>
  <c r="J8" i="51"/>
  <c r="L8" i="51" s="1"/>
  <c r="D8" i="51"/>
  <c r="D135" i="26"/>
  <c r="J135" i="26"/>
  <c r="D57" i="40"/>
  <c r="J8" i="29"/>
  <c r="L8" i="29" s="1"/>
  <c r="D8" i="29"/>
  <c r="J11" i="29"/>
  <c r="J99" i="29"/>
  <c r="D99" i="29"/>
  <c r="D120" i="33"/>
  <c r="J120" i="33"/>
  <c r="D9" i="29"/>
  <c r="J9" i="29"/>
  <c r="L9" i="29" s="1"/>
  <c r="H11" i="29"/>
  <c r="H34" i="29"/>
  <c r="J100" i="29"/>
  <c r="D100" i="29"/>
  <c r="J108" i="29"/>
  <c r="D108" i="29"/>
  <c r="J12" i="33"/>
  <c r="D125" i="33"/>
  <c r="J125" i="33"/>
  <c r="J67" i="29"/>
  <c r="D79" i="29"/>
  <c r="K79" i="29"/>
  <c r="K88" i="29"/>
  <c r="K100" i="29"/>
  <c r="K121" i="29"/>
  <c r="K99" i="33"/>
  <c r="H86" i="29"/>
  <c r="H109" i="29"/>
  <c r="K88" i="33"/>
  <c r="J86" i="33"/>
  <c r="D121" i="33"/>
  <c r="J121" i="33"/>
  <c r="J35" i="33"/>
  <c r="D35" i="33"/>
  <c r="J7" i="33"/>
  <c r="D7" i="33"/>
  <c r="H10" i="33"/>
  <c r="K34" i="33"/>
  <c r="H86" i="33"/>
  <c r="J89" i="33"/>
  <c r="D89" i="33"/>
  <c r="J107" i="33"/>
  <c r="J110" i="33"/>
  <c r="D110" i="33"/>
  <c r="K109" i="33"/>
  <c r="H120" i="33"/>
  <c r="H109" i="33"/>
  <c r="J114" i="33"/>
  <c r="D114" i="33"/>
  <c r="G27" i="9"/>
  <c r="B10" i="10"/>
  <c r="F21" i="10"/>
  <c r="F10" i="10"/>
  <c r="K9" i="16"/>
  <c r="K8" i="16"/>
  <c r="K22" i="16"/>
  <c r="K7" i="16"/>
  <c r="J8" i="16"/>
  <c r="J9" i="16"/>
  <c r="J22" i="16"/>
  <c r="J28" i="16"/>
  <c r="J29" i="16"/>
  <c r="K10" i="16"/>
  <c r="K29" i="16"/>
  <c r="J10" i="16"/>
  <c r="J7" i="16"/>
  <c r="K28" i="16"/>
  <c r="E36" i="13" l="1"/>
  <c r="E36" i="79"/>
  <c r="E37" i="13"/>
  <c r="E37" i="79"/>
  <c r="L28" i="19"/>
  <c r="G125" i="4"/>
  <c r="K77" i="33"/>
  <c r="G89" i="4"/>
  <c r="E48" i="81"/>
  <c r="G112" i="4"/>
  <c r="C98" i="4"/>
  <c r="B53" i="4"/>
  <c r="B38" i="10" s="1"/>
  <c r="G109" i="4"/>
  <c r="E119" i="4"/>
  <c r="B66" i="4"/>
  <c r="E87" i="4"/>
  <c r="G79" i="4"/>
  <c r="F77" i="4"/>
  <c r="C66" i="4"/>
  <c r="F87" i="4"/>
  <c r="F98" i="4"/>
  <c r="B87" i="4"/>
  <c r="B22" i="10" s="1"/>
  <c r="C87" i="4"/>
  <c r="E77" i="4"/>
  <c r="F119" i="4"/>
  <c r="B47" i="4"/>
  <c r="B11" i="10" s="1"/>
  <c r="E98" i="4"/>
  <c r="C53" i="4"/>
  <c r="C47" i="4"/>
  <c r="C77" i="4"/>
  <c r="F66" i="4"/>
  <c r="C119" i="4"/>
  <c r="C111" i="4"/>
  <c r="C56" i="4"/>
  <c r="B77" i="4"/>
  <c r="B119" i="4"/>
  <c r="B43" i="10" s="1"/>
  <c r="B56" i="4"/>
  <c r="B49" i="10" s="1"/>
  <c r="B98" i="4"/>
  <c r="E66" i="4"/>
  <c r="B111" i="4"/>
  <c r="B32" i="10" s="1"/>
  <c r="E111" i="4"/>
  <c r="F32" i="10" s="1"/>
  <c r="F111" i="4"/>
  <c r="M59" i="8"/>
  <c r="G52" i="9"/>
  <c r="M62" i="8"/>
  <c r="G55" i="9"/>
  <c r="M70" i="8"/>
  <c r="G64" i="9"/>
  <c r="M65" i="8"/>
  <c r="M68" i="8"/>
  <c r="M69" i="8"/>
  <c r="G63" i="9"/>
  <c r="M61" i="8"/>
  <c r="G45" i="9"/>
  <c r="G68" i="4"/>
  <c r="G116" i="4"/>
  <c r="G113" i="4"/>
  <c r="G107" i="4"/>
  <c r="G24" i="10"/>
  <c r="C25" i="10"/>
  <c r="G23" i="10"/>
  <c r="C15" i="10"/>
  <c r="G15" i="10"/>
  <c r="C16" i="10"/>
  <c r="C14" i="10"/>
  <c r="G20" i="10"/>
  <c r="G13" i="10"/>
  <c r="G9" i="10"/>
  <c r="C26" i="10"/>
  <c r="N66" i="8"/>
  <c r="H59" i="9"/>
  <c r="C9" i="10"/>
  <c r="C23" i="10"/>
  <c r="C20" i="10"/>
  <c r="C24" i="10"/>
  <c r="C13" i="10"/>
  <c r="G14" i="10"/>
  <c r="G25" i="10"/>
  <c r="G117" i="4"/>
  <c r="D47" i="19"/>
  <c r="G124" i="4"/>
  <c r="G86" i="4"/>
  <c r="G96" i="4"/>
  <c r="G108" i="4"/>
  <c r="F13" i="10"/>
  <c r="G100" i="4"/>
  <c r="G121" i="4"/>
  <c r="G75" i="4"/>
  <c r="N57" i="8"/>
  <c r="H49" i="9"/>
  <c r="F23" i="10"/>
  <c r="M57" i="8"/>
  <c r="D28" i="4"/>
  <c r="N53" i="8"/>
  <c r="M53" i="8"/>
  <c r="M73" i="8"/>
  <c r="L86" i="23"/>
  <c r="E9" i="79"/>
  <c r="E114" i="79"/>
  <c r="E122" i="79"/>
  <c r="E7" i="79"/>
  <c r="E48" i="78"/>
  <c r="E48" i="79"/>
  <c r="E8" i="79"/>
  <c r="E10" i="79"/>
  <c r="E28" i="79"/>
  <c r="H12" i="9"/>
  <c r="N56" i="8" s="1"/>
  <c r="G12" i="9"/>
  <c r="N73" i="8"/>
  <c r="L137" i="34"/>
  <c r="D34" i="4"/>
  <c r="E48" i="77"/>
  <c r="E55" i="77"/>
  <c r="E49" i="77"/>
  <c r="E54" i="77"/>
  <c r="L107" i="23"/>
  <c r="B12" i="9"/>
  <c r="M11" i="8" s="1"/>
  <c r="H77" i="33"/>
  <c r="L29" i="51"/>
  <c r="N124" i="8"/>
  <c r="E28" i="16"/>
  <c r="H54" i="9"/>
  <c r="N61" i="8"/>
  <c r="E28" i="51"/>
  <c r="M67" i="8"/>
  <c r="M60" i="8"/>
  <c r="E28" i="29"/>
  <c r="M63" i="8"/>
  <c r="E28" i="23"/>
  <c r="E28" i="20"/>
  <c r="M54" i="8"/>
  <c r="E28" i="25"/>
  <c r="E28" i="19"/>
  <c r="M58" i="8"/>
  <c r="M124" i="8"/>
  <c r="I9" i="9"/>
  <c r="K98" i="33"/>
  <c r="C12" i="9"/>
  <c r="L22" i="51"/>
  <c r="D47" i="39"/>
  <c r="L7" i="51"/>
  <c r="E34" i="33"/>
  <c r="E34" i="37"/>
  <c r="E34" i="13"/>
  <c r="E34" i="29"/>
  <c r="L110" i="33"/>
  <c r="E8" i="74"/>
  <c r="E7" i="72"/>
  <c r="E7" i="74"/>
  <c r="E48" i="72"/>
  <c r="E48" i="74"/>
  <c r="E28" i="37"/>
  <c r="E28" i="13"/>
  <c r="D35" i="4"/>
  <c r="C29" i="9"/>
  <c r="N28" i="8" s="1"/>
  <c r="D53" i="40"/>
  <c r="L28" i="51"/>
  <c r="L10" i="51"/>
  <c r="E35" i="13"/>
  <c r="E35" i="37"/>
  <c r="E35" i="33"/>
  <c r="B34" i="10"/>
  <c r="H77" i="13"/>
  <c r="B42" i="10"/>
  <c r="D29" i="4"/>
  <c r="E9" i="72"/>
  <c r="E8" i="72"/>
  <c r="D37" i="4"/>
  <c r="D36" i="4"/>
  <c r="D39" i="4"/>
  <c r="I33" i="37"/>
  <c r="I33" i="33"/>
  <c r="I33" i="23"/>
  <c r="B31" i="10"/>
  <c r="D110" i="4"/>
  <c r="L122" i="33"/>
  <c r="L135" i="26"/>
  <c r="E39" i="13"/>
  <c r="D122" i="4"/>
  <c r="L121" i="13"/>
  <c r="L108" i="33"/>
  <c r="E48" i="37"/>
  <c r="I11" i="37"/>
  <c r="E54" i="37"/>
  <c r="I34" i="37"/>
  <c r="I117" i="37"/>
  <c r="E22" i="37"/>
  <c r="I109" i="37"/>
  <c r="E7" i="37"/>
  <c r="E134" i="37"/>
  <c r="E55" i="37"/>
  <c r="I89" i="37"/>
  <c r="I10" i="37"/>
  <c r="I125" i="37"/>
  <c r="I124" i="37"/>
  <c r="I113" i="37"/>
  <c r="I68" i="37"/>
  <c r="E137" i="37"/>
  <c r="I96" i="37"/>
  <c r="E75" i="37"/>
  <c r="E49" i="37"/>
  <c r="I100" i="37"/>
  <c r="E89" i="37"/>
  <c r="D114" i="4"/>
  <c r="I12" i="37"/>
  <c r="I22" i="37"/>
  <c r="I121" i="37"/>
  <c r="I29" i="37"/>
  <c r="I79" i="37"/>
  <c r="I116" i="37"/>
  <c r="I35" i="37"/>
  <c r="I75" i="37"/>
  <c r="E135" i="37"/>
  <c r="I112" i="37"/>
  <c r="I108" i="37"/>
  <c r="E10" i="37"/>
  <c r="E57" i="37"/>
  <c r="I7" i="37"/>
  <c r="E96" i="37"/>
  <c r="E136" i="37"/>
  <c r="L114" i="33"/>
  <c r="H77" i="23"/>
  <c r="K77" i="23"/>
  <c r="D47" i="21"/>
  <c r="D47" i="20"/>
  <c r="L107" i="29"/>
  <c r="L134" i="26"/>
  <c r="L109" i="23"/>
  <c r="L113" i="33"/>
  <c r="L12" i="33"/>
  <c r="D56" i="22"/>
  <c r="E100" i="37"/>
  <c r="E122" i="37"/>
  <c r="E78" i="37"/>
  <c r="E114" i="37"/>
  <c r="E9" i="37"/>
  <c r="E124" i="37"/>
  <c r="E8" i="37"/>
  <c r="E67" i="37"/>
  <c r="E109" i="37"/>
  <c r="E116" i="37"/>
  <c r="E125" i="37"/>
  <c r="E99" i="37"/>
  <c r="E112" i="37"/>
  <c r="E110" i="37"/>
  <c r="E107" i="37"/>
  <c r="E88" i="37"/>
  <c r="E86" i="37"/>
  <c r="E108" i="37"/>
  <c r="E120" i="37"/>
  <c r="D47" i="38"/>
  <c r="L96" i="33"/>
  <c r="L113" i="29"/>
  <c r="L89" i="23"/>
  <c r="L75" i="33"/>
  <c r="L68" i="33"/>
  <c r="L68" i="23"/>
  <c r="H98" i="29"/>
  <c r="K98" i="29"/>
  <c r="L22" i="23"/>
  <c r="L120" i="33"/>
  <c r="K87" i="29"/>
  <c r="L137" i="26"/>
  <c r="D47" i="40"/>
  <c r="L28" i="23"/>
  <c r="L12" i="29"/>
  <c r="D53" i="13"/>
  <c r="K87" i="33"/>
  <c r="K87" i="23"/>
  <c r="L89" i="33"/>
  <c r="H87" i="29"/>
  <c r="L135" i="34"/>
  <c r="L10" i="29"/>
  <c r="L7" i="33"/>
  <c r="H66" i="23"/>
  <c r="L35" i="29"/>
  <c r="D56" i="39"/>
  <c r="L11" i="29"/>
  <c r="H111" i="13"/>
  <c r="L35" i="23"/>
  <c r="N123" i="8"/>
  <c r="C10" i="9"/>
  <c r="N9" i="8" s="1"/>
  <c r="N102" i="8"/>
  <c r="C22" i="9"/>
  <c r="N21" i="8" s="1"/>
  <c r="C13" i="9"/>
  <c r="C20" i="9"/>
  <c r="N19" i="8" s="1"/>
  <c r="C26" i="9"/>
  <c r="N25" i="8" s="1"/>
  <c r="K111" i="13"/>
  <c r="L107" i="33"/>
  <c r="L100" i="33"/>
  <c r="M102" i="8"/>
  <c r="L108" i="13"/>
  <c r="D56" i="40"/>
  <c r="N126" i="8"/>
  <c r="H119" i="23"/>
  <c r="L116" i="33"/>
  <c r="C18" i="9"/>
  <c r="N17" i="8" s="1"/>
  <c r="D53" i="22"/>
  <c r="L35" i="33"/>
  <c r="L8" i="16"/>
  <c r="L67" i="29"/>
  <c r="L29" i="20"/>
  <c r="L116" i="23"/>
  <c r="L108" i="23"/>
  <c r="L28" i="25"/>
  <c r="L9" i="16"/>
  <c r="H98" i="13"/>
  <c r="K111" i="29"/>
  <c r="L7" i="16"/>
  <c r="D53" i="16"/>
  <c r="D56" i="25"/>
  <c r="L117" i="33"/>
  <c r="L12" i="13"/>
  <c r="D56" i="16"/>
  <c r="N122" i="8"/>
  <c r="L99" i="23"/>
  <c r="L7" i="20"/>
  <c r="K119" i="13"/>
  <c r="M103" i="8"/>
  <c r="K66" i="23"/>
  <c r="L11" i="33"/>
  <c r="H119" i="13"/>
  <c r="L22" i="16"/>
  <c r="L29" i="16"/>
  <c r="C14" i="9"/>
  <c r="N13" i="8" s="1"/>
  <c r="L10" i="16"/>
  <c r="D47" i="16"/>
  <c r="L28" i="16"/>
  <c r="N125" i="8"/>
  <c r="L7" i="13"/>
  <c r="B27" i="9"/>
  <c r="M26" i="8" s="1"/>
  <c r="M104" i="8"/>
  <c r="M125" i="8"/>
  <c r="N101" i="8"/>
  <c r="N127" i="8"/>
  <c r="C27" i="9"/>
  <c r="N26" i="8" s="1"/>
  <c r="C19" i="9"/>
  <c r="N18" i="8" s="1"/>
  <c r="M101" i="8"/>
  <c r="B9" i="9"/>
  <c r="B15" i="9"/>
  <c r="M14" i="8" s="1"/>
  <c r="M105" i="8"/>
  <c r="H119" i="33"/>
  <c r="L125" i="33"/>
  <c r="L121" i="23"/>
  <c r="M123" i="8"/>
  <c r="L116" i="13"/>
  <c r="N104" i="8"/>
  <c r="L10" i="33"/>
  <c r="C17" i="9"/>
  <c r="N16" i="8" s="1"/>
  <c r="B17" i="9"/>
  <c r="M16" i="8" s="1"/>
  <c r="L22" i="13"/>
  <c r="L107" i="13"/>
  <c r="L10" i="13"/>
  <c r="L121" i="33"/>
  <c r="C24" i="9"/>
  <c r="N23" i="8" s="1"/>
  <c r="H87" i="23"/>
  <c r="L7" i="23"/>
  <c r="H87" i="33"/>
  <c r="L120" i="29"/>
  <c r="D47" i="22"/>
  <c r="L11" i="23"/>
  <c r="L117" i="29"/>
  <c r="K119" i="23"/>
  <c r="L34" i="13"/>
  <c r="M126" i="8"/>
  <c r="B19" i="9"/>
  <c r="M18" i="8" s="1"/>
  <c r="B18" i="9"/>
  <c r="M17" i="8" s="1"/>
  <c r="L7" i="19"/>
  <c r="M100" i="8"/>
  <c r="L11" i="13"/>
  <c r="C9" i="9"/>
  <c r="N8" i="8" s="1"/>
  <c r="C28" i="9"/>
  <c r="N27" i="8" s="1"/>
  <c r="E48" i="39"/>
  <c r="E48" i="16"/>
  <c r="I89" i="13"/>
  <c r="I89" i="29"/>
  <c r="I89" i="33"/>
  <c r="I89" i="23"/>
  <c r="I35" i="23"/>
  <c r="I35" i="29"/>
  <c r="I35" i="33"/>
  <c r="I35" i="13"/>
  <c r="G42" i="10"/>
  <c r="I134" i="26"/>
  <c r="I10" i="23"/>
  <c r="I10" i="29"/>
  <c r="I10" i="33"/>
  <c r="I10" i="13"/>
  <c r="E49" i="39"/>
  <c r="E49" i="16"/>
  <c r="I23" i="33"/>
  <c r="I23" i="13"/>
  <c r="I23" i="29"/>
  <c r="E54" i="39"/>
  <c r="E54" i="16"/>
  <c r="C31" i="10"/>
  <c r="G44" i="10"/>
  <c r="C41" i="10"/>
  <c r="I86" i="23"/>
  <c r="I86" i="29"/>
  <c r="I86" i="33"/>
  <c r="C33" i="10"/>
  <c r="H16" i="9"/>
  <c r="N59" i="8" s="1"/>
  <c r="B14" i="9"/>
  <c r="M13" i="8" s="1"/>
  <c r="M127" i="8"/>
  <c r="B10" i="9"/>
  <c r="M9" i="8" s="1"/>
  <c r="H61" i="9"/>
  <c r="N100" i="8"/>
  <c r="I29" i="33"/>
  <c r="I29" i="23"/>
  <c r="I29" i="29"/>
  <c r="I29" i="13"/>
  <c r="I123" i="33"/>
  <c r="I25" i="29"/>
  <c r="I25" i="33"/>
  <c r="I25" i="13"/>
  <c r="I30" i="23"/>
  <c r="I30" i="29"/>
  <c r="I30" i="33"/>
  <c r="I30" i="13"/>
  <c r="C30" i="10"/>
  <c r="I107" i="13"/>
  <c r="I107" i="23"/>
  <c r="I107" i="29"/>
  <c r="I107" i="33"/>
  <c r="C44" i="10"/>
  <c r="I75" i="33"/>
  <c r="I32" i="13"/>
  <c r="I32" i="23"/>
  <c r="I32" i="29"/>
  <c r="I32" i="33"/>
  <c r="I100" i="13"/>
  <c r="I100" i="23"/>
  <c r="I100" i="29"/>
  <c r="I100" i="33"/>
  <c r="I124" i="33"/>
  <c r="I122" i="33"/>
  <c r="I22" i="23"/>
  <c r="I22" i="29"/>
  <c r="I22" i="33"/>
  <c r="I22" i="13"/>
  <c r="C34" i="10"/>
  <c r="I121" i="13"/>
  <c r="I121" i="23"/>
  <c r="I121" i="33"/>
  <c r="I121" i="29"/>
  <c r="I113" i="23"/>
  <c r="I113" i="13"/>
  <c r="I113" i="33"/>
  <c r="I113" i="29"/>
  <c r="I108" i="13"/>
  <c r="N103" i="8"/>
  <c r="B37" i="9"/>
  <c r="B13" i="9"/>
  <c r="B29" i="9"/>
  <c r="M28" i="8" s="1"/>
  <c r="G39" i="9"/>
  <c r="G62" i="9" s="1"/>
  <c r="H19" i="9"/>
  <c r="N62" i="8" s="1"/>
  <c r="C15" i="9"/>
  <c r="N14" i="8" s="1"/>
  <c r="B28" i="9"/>
  <c r="M27" i="8" s="1"/>
  <c r="H26" i="9"/>
  <c r="N68" i="8" s="1"/>
  <c r="B36" i="9"/>
  <c r="I136" i="26"/>
  <c r="G33" i="10"/>
  <c r="I7" i="29"/>
  <c r="I7" i="33"/>
  <c r="I7" i="23"/>
  <c r="I7" i="13"/>
  <c r="B45" i="10"/>
  <c r="I31" i="13"/>
  <c r="I31" i="33"/>
  <c r="I31" i="23"/>
  <c r="I31" i="29"/>
  <c r="C45" i="10"/>
  <c r="C42" i="10"/>
  <c r="I24" i="13"/>
  <c r="I24" i="33"/>
  <c r="I24" i="23"/>
  <c r="B26" i="9"/>
  <c r="M25" i="8" s="1"/>
  <c r="H15" i="9"/>
  <c r="M122" i="8"/>
  <c r="B40" i="9"/>
  <c r="N105" i="8"/>
  <c r="C16" i="9"/>
  <c r="N15" i="8" s="1"/>
  <c r="H28" i="9"/>
  <c r="N70" i="8" s="1"/>
  <c r="F44" i="10"/>
  <c r="I135" i="26"/>
  <c r="I96" i="33"/>
  <c r="I68" i="23"/>
  <c r="I68" i="29"/>
  <c r="I68" i="33"/>
  <c r="I68" i="13"/>
  <c r="G136" i="4"/>
  <c r="F33" i="10"/>
  <c r="I79" i="13"/>
  <c r="I79" i="23"/>
  <c r="I79" i="33"/>
  <c r="I79" i="29"/>
  <c r="I120" i="33"/>
  <c r="I109" i="13"/>
  <c r="I109" i="29"/>
  <c r="I109" i="23"/>
  <c r="I109" i="33"/>
  <c r="I12" i="29"/>
  <c r="I12" i="33"/>
  <c r="I12" i="23"/>
  <c r="I12" i="13"/>
  <c r="G41" i="10"/>
  <c r="I11" i="13"/>
  <c r="I11" i="23"/>
  <c r="I11" i="33"/>
  <c r="G30" i="10"/>
  <c r="I11" i="29"/>
  <c r="I125" i="13"/>
  <c r="I125" i="23"/>
  <c r="I125" i="29"/>
  <c r="I125" i="33"/>
  <c r="I34" i="13"/>
  <c r="I34" i="23"/>
  <c r="I34" i="29"/>
  <c r="I34" i="33"/>
  <c r="G31" i="10"/>
  <c r="D96" i="4"/>
  <c r="I117" i="13"/>
  <c r="I117" i="23"/>
  <c r="I117" i="29"/>
  <c r="I117" i="33"/>
  <c r="D75" i="4"/>
  <c r="E57" i="39"/>
  <c r="E57" i="16"/>
  <c r="L120" i="23"/>
  <c r="L67" i="23"/>
  <c r="H98" i="33"/>
  <c r="L100" i="13"/>
  <c r="D53" i="39"/>
  <c r="L109" i="29"/>
  <c r="L7" i="29"/>
  <c r="L28" i="29"/>
  <c r="L117" i="23"/>
  <c r="H98" i="23"/>
  <c r="L10" i="20"/>
  <c r="K98" i="13"/>
  <c r="L29" i="13"/>
  <c r="G37" i="9"/>
  <c r="G54" i="9" s="1"/>
  <c r="B16" i="9"/>
  <c r="M15" i="8" s="1"/>
  <c r="G38" i="9"/>
  <c r="G58" i="9" s="1"/>
  <c r="B20" i="9"/>
  <c r="M19" i="8" s="1"/>
  <c r="H14" i="9"/>
  <c r="N58" i="8" s="1"/>
  <c r="B24" i="9"/>
  <c r="M23" i="8" s="1"/>
  <c r="N30" i="8"/>
  <c r="H24" i="9"/>
  <c r="N67" i="8" s="1"/>
  <c r="B22" i="9"/>
  <c r="M21" i="8" s="1"/>
  <c r="H22" i="9"/>
  <c r="N65" i="8" s="1"/>
  <c r="L22" i="20"/>
  <c r="L109" i="33"/>
  <c r="L99" i="33"/>
  <c r="H111" i="29"/>
  <c r="L10" i="23"/>
  <c r="L28" i="13"/>
  <c r="D56" i="13"/>
  <c r="L99" i="29"/>
  <c r="K119" i="33"/>
  <c r="L88" i="33"/>
  <c r="L79" i="33"/>
  <c r="L34" i="29"/>
  <c r="H66" i="33"/>
  <c r="L78" i="33"/>
  <c r="L67" i="13"/>
  <c r="L109" i="13"/>
  <c r="L112" i="13"/>
  <c r="L35" i="13"/>
  <c r="L79" i="29"/>
  <c r="L86" i="29"/>
  <c r="L7" i="22"/>
  <c r="K66" i="33"/>
  <c r="L89" i="29"/>
  <c r="L12" i="23"/>
  <c r="H87" i="13"/>
  <c r="L120" i="13"/>
  <c r="L68" i="13"/>
  <c r="L7" i="25"/>
  <c r="L134" i="34"/>
  <c r="L108" i="29"/>
  <c r="D53" i="25"/>
  <c r="L112" i="33"/>
  <c r="L29" i="33"/>
  <c r="L121" i="29"/>
  <c r="L29" i="29"/>
  <c r="H111" i="23"/>
  <c r="L68" i="29"/>
  <c r="L136" i="26"/>
  <c r="D47" i="25"/>
  <c r="L112" i="23"/>
  <c r="L113" i="13"/>
  <c r="L117" i="13"/>
  <c r="L86" i="33"/>
  <c r="H119" i="29"/>
  <c r="L100" i="29"/>
  <c r="L34" i="33"/>
  <c r="L125" i="29"/>
  <c r="L88" i="29"/>
  <c r="L78" i="29"/>
  <c r="L88" i="23"/>
  <c r="L125" i="23"/>
  <c r="L113" i="23"/>
  <c r="H111" i="33"/>
  <c r="D47" i="51"/>
  <c r="D47" i="26"/>
  <c r="L29" i="23"/>
  <c r="L28" i="20"/>
  <c r="L100" i="23"/>
  <c r="L79" i="23"/>
  <c r="L67" i="33"/>
  <c r="L22" i="33"/>
  <c r="L22" i="29"/>
  <c r="J77" i="29"/>
  <c r="K98" i="23"/>
  <c r="L78" i="23"/>
  <c r="L34" i="23"/>
  <c r="L124" i="13"/>
  <c r="L79" i="13"/>
  <c r="L89" i="13"/>
  <c r="L99" i="13"/>
  <c r="L125" i="13"/>
  <c r="L78" i="13"/>
  <c r="K66" i="13"/>
  <c r="L86" i="13"/>
  <c r="K87" i="13"/>
  <c r="J77" i="13"/>
  <c r="L88" i="13"/>
  <c r="H66" i="13"/>
  <c r="D47" i="13"/>
  <c r="D66" i="33"/>
  <c r="J66" i="33"/>
  <c r="J98" i="23"/>
  <c r="D98" i="23"/>
  <c r="D111" i="33"/>
  <c r="J111" i="33"/>
  <c r="D66" i="13"/>
  <c r="J66" i="13"/>
  <c r="K111" i="33"/>
  <c r="J111" i="29"/>
  <c r="J111" i="23"/>
  <c r="D111" i="23"/>
  <c r="J87" i="13"/>
  <c r="D87" i="13"/>
  <c r="J119" i="33"/>
  <c r="D119" i="33"/>
  <c r="D77" i="29"/>
  <c r="K77" i="29"/>
  <c r="D77" i="13"/>
  <c r="K77" i="13"/>
  <c r="J66" i="29"/>
  <c r="J87" i="33"/>
  <c r="D87" i="33"/>
  <c r="D119" i="29"/>
  <c r="J119" i="29"/>
  <c r="D98" i="33"/>
  <c r="J98" i="33"/>
  <c r="J87" i="29"/>
  <c r="D87" i="29"/>
  <c r="J87" i="23"/>
  <c r="D87" i="23"/>
  <c r="K119" i="29"/>
  <c r="K111" i="23"/>
  <c r="D119" i="13"/>
  <c r="J119" i="13"/>
  <c r="D98" i="13"/>
  <c r="J98" i="13"/>
  <c r="D111" i="13"/>
  <c r="J111" i="13"/>
  <c r="J98" i="29"/>
  <c r="D98" i="29"/>
  <c r="H66" i="29"/>
  <c r="D119" i="23"/>
  <c r="J119" i="23"/>
  <c r="J66" i="23"/>
  <c r="D66" i="23"/>
  <c r="D77" i="33"/>
  <c r="J77" i="33"/>
  <c r="L77" i="33" s="1"/>
  <c r="J77" i="23"/>
  <c r="D77" i="23"/>
  <c r="D66" i="29"/>
  <c r="K66" i="29"/>
  <c r="E48" i="38"/>
  <c r="E49" i="38"/>
  <c r="E88" i="33"/>
  <c r="E108" i="33"/>
  <c r="E22" i="33"/>
  <c r="E99" i="33"/>
  <c r="E9" i="33"/>
  <c r="E118" i="33"/>
  <c r="E117" i="33"/>
  <c r="E110" i="33"/>
  <c r="E122" i="33"/>
  <c r="E75" i="33"/>
  <c r="E116" i="33"/>
  <c r="E10" i="33"/>
  <c r="E79" i="33"/>
  <c r="E7" i="33"/>
  <c r="E89" i="33"/>
  <c r="E100" i="33"/>
  <c r="E125" i="33"/>
  <c r="E68" i="33"/>
  <c r="E96" i="33"/>
  <c r="E8" i="33"/>
  <c r="E78" i="33"/>
  <c r="E67" i="33"/>
  <c r="E112" i="33"/>
  <c r="E109" i="33"/>
  <c r="E114" i="33"/>
  <c r="E121" i="33"/>
  <c r="E120" i="33"/>
  <c r="E113" i="33"/>
  <c r="E99" i="29"/>
  <c r="E9" i="29"/>
  <c r="E86" i="29"/>
  <c r="E134" i="34"/>
  <c r="E68" i="29"/>
  <c r="E88" i="29"/>
  <c r="E108" i="29"/>
  <c r="E22" i="29"/>
  <c r="E10" i="29"/>
  <c r="E79" i="29"/>
  <c r="E137" i="34"/>
  <c r="E135" i="34"/>
  <c r="E7" i="29"/>
  <c r="E89" i="29"/>
  <c r="E100" i="29"/>
  <c r="E107" i="29"/>
  <c r="E8" i="29"/>
  <c r="E78" i="29"/>
  <c r="E67" i="29"/>
  <c r="E109" i="29"/>
  <c r="E120" i="29"/>
  <c r="E48" i="40"/>
  <c r="E57" i="40"/>
  <c r="E54" i="40"/>
  <c r="E9" i="51"/>
  <c r="E48" i="51"/>
  <c r="E22" i="51"/>
  <c r="E10" i="51"/>
  <c r="E7" i="51"/>
  <c r="E8" i="51"/>
  <c r="E9" i="25"/>
  <c r="E57" i="25"/>
  <c r="E48" i="25"/>
  <c r="E137" i="26"/>
  <c r="E49" i="26"/>
  <c r="E54" i="25"/>
  <c r="E135" i="26"/>
  <c r="E7" i="25"/>
  <c r="E136" i="26"/>
  <c r="E134" i="26"/>
  <c r="E8" i="25"/>
  <c r="E99" i="23"/>
  <c r="E86" i="23"/>
  <c r="E88" i="23"/>
  <c r="E108" i="23"/>
  <c r="E116" i="23"/>
  <c r="E22" i="23"/>
  <c r="E107" i="23"/>
  <c r="E78" i="23"/>
  <c r="E67" i="23"/>
  <c r="E112" i="23"/>
  <c r="E120" i="23"/>
  <c r="E9" i="22"/>
  <c r="E48" i="21"/>
  <c r="E48" i="22"/>
  <c r="E57" i="21"/>
  <c r="E57" i="22"/>
  <c r="E49" i="22"/>
  <c r="E54" i="22"/>
  <c r="E7" i="22"/>
  <c r="E8" i="22"/>
  <c r="E22" i="20"/>
  <c r="E10" i="20"/>
  <c r="E49" i="19"/>
  <c r="E54" i="20"/>
  <c r="E7" i="19"/>
  <c r="E7" i="20"/>
  <c r="E9" i="19"/>
  <c r="E9" i="20"/>
  <c r="E48" i="19"/>
  <c r="E48" i="20"/>
  <c r="E8" i="19"/>
  <c r="E8" i="20"/>
  <c r="E99" i="13"/>
  <c r="E9" i="13"/>
  <c r="E48" i="13"/>
  <c r="E86" i="13"/>
  <c r="E88" i="13"/>
  <c r="E124" i="13"/>
  <c r="E108" i="13"/>
  <c r="E116" i="13"/>
  <c r="E22" i="13"/>
  <c r="E10" i="13"/>
  <c r="E57" i="13"/>
  <c r="E11" i="13"/>
  <c r="E54" i="13"/>
  <c r="E7" i="13"/>
  <c r="E89" i="13"/>
  <c r="E100" i="13"/>
  <c r="E107" i="13"/>
  <c r="E12" i="13"/>
  <c r="E8" i="13"/>
  <c r="E78" i="13"/>
  <c r="E67" i="13"/>
  <c r="E112" i="13"/>
  <c r="E109" i="13"/>
  <c r="E120" i="13"/>
  <c r="D116" i="4"/>
  <c r="D108" i="4"/>
  <c r="D124" i="4"/>
  <c r="D125" i="4"/>
  <c r="D109" i="4"/>
  <c r="E22" i="16"/>
  <c r="E9" i="16"/>
  <c r="D22" i="4"/>
  <c r="D136" i="4"/>
  <c r="D57" i="4"/>
  <c r="E10" i="16"/>
  <c r="G22" i="4"/>
  <c r="D113" i="4"/>
  <c r="D137" i="4"/>
  <c r="D10" i="4"/>
  <c r="D112" i="4"/>
  <c r="D55" i="4"/>
  <c r="D120" i="4"/>
  <c r="D7" i="4"/>
  <c r="E7" i="16"/>
  <c r="D68" i="4"/>
  <c r="D8" i="4"/>
  <c r="E8" i="16"/>
  <c r="D134" i="4"/>
  <c r="G7" i="4"/>
  <c r="D48" i="4"/>
  <c r="D54" i="4"/>
  <c r="D49" i="4"/>
  <c r="D12" i="4"/>
  <c r="D11" i="4"/>
  <c r="G12" i="4"/>
  <c r="G34" i="4"/>
  <c r="D121" i="4"/>
  <c r="G11" i="4"/>
  <c r="H22" i="4"/>
  <c r="G29" i="4"/>
  <c r="D67" i="4"/>
  <c r="D100" i="4"/>
  <c r="G10" i="4"/>
  <c r="D89" i="4"/>
  <c r="G35" i="4"/>
  <c r="D99" i="4"/>
  <c r="D86" i="4"/>
  <c r="D107" i="4"/>
  <c r="D135" i="4"/>
  <c r="G135" i="4"/>
  <c r="G134" i="4"/>
  <c r="D78" i="4"/>
  <c r="D88" i="4"/>
  <c r="D79" i="4"/>
  <c r="D9" i="4"/>
  <c r="M56" i="8" l="1"/>
  <c r="G48" i="9"/>
  <c r="G68" i="9" s="1"/>
  <c r="G12" i="10"/>
  <c r="G22" i="10"/>
  <c r="C12" i="10"/>
  <c r="C22" i="10"/>
  <c r="C11" i="10"/>
  <c r="E47" i="81"/>
  <c r="G77" i="4"/>
  <c r="G87" i="4"/>
  <c r="G111" i="4"/>
  <c r="G119" i="4"/>
  <c r="G98" i="4"/>
  <c r="F43" i="10"/>
  <c r="M12" i="8"/>
  <c r="B49" i="9"/>
  <c r="N12" i="8"/>
  <c r="C49" i="9"/>
  <c r="C32" i="9"/>
  <c r="H32" i="9"/>
  <c r="J23" i="9" s="1"/>
  <c r="M8" i="8"/>
  <c r="B32" i="9"/>
  <c r="G32" i="9"/>
  <c r="M30" i="8"/>
  <c r="E66" i="79"/>
  <c r="E111" i="79"/>
  <c r="E97" i="79"/>
  <c r="E76" i="79"/>
  <c r="E47" i="78"/>
  <c r="E47" i="79"/>
  <c r="E119" i="79"/>
  <c r="E87" i="79"/>
  <c r="I12" i="9"/>
  <c r="H48" i="9"/>
  <c r="E47" i="77"/>
  <c r="E53" i="77"/>
  <c r="B48" i="9"/>
  <c r="L98" i="33"/>
  <c r="C48" i="9"/>
  <c r="N11" i="8"/>
  <c r="D12" i="9"/>
  <c r="E47" i="72"/>
  <c r="E47" i="74"/>
  <c r="L77" i="23"/>
  <c r="I77" i="29"/>
  <c r="I77" i="23"/>
  <c r="I77" i="13"/>
  <c r="I77" i="33"/>
  <c r="E56" i="37"/>
  <c r="I111" i="37"/>
  <c r="E119" i="37"/>
  <c r="I119" i="37"/>
  <c r="E47" i="37"/>
  <c r="I87" i="37"/>
  <c r="E111" i="37"/>
  <c r="E53" i="37"/>
  <c r="I66" i="37"/>
  <c r="I77" i="37"/>
  <c r="L87" i="29"/>
  <c r="E97" i="33"/>
  <c r="E97" i="29"/>
  <c r="E97" i="37"/>
  <c r="E97" i="13"/>
  <c r="I98" i="37"/>
  <c r="L119" i="13"/>
  <c r="E76" i="33"/>
  <c r="E76" i="29"/>
  <c r="E76" i="37"/>
  <c r="E76" i="13"/>
  <c r="E66" i="37"/>
  <c r="E87" i="33"/>
  <c r="E87" i="37"/>
  <c r="E98" i="37"/>
  <c r="E77" i="37"/>
  <c r="L111" i="29"/>
  <c r="L111" i="13"/>
  <c r="L87" i="33"/>
  <c r="L98" i="29"/>
  <c r="L119" i="23"/>
  <c r="L87" i="23"/>
  <c r="L98" i="23"/>
  <c r="E87" i="13"/>
  <c r="E87" i="23"/>
  <c r="D98" i="4"/>
  <c r="E98" i="29"/>
  <c r="E98" i="33"/>
  <c r="L119" i="33"/>
  <c r="L98" i="13"/>
  <c r="L66" i="33"/>
  <c r="L66" i="23"/>
  <c r="L66" i="13"/>
  <c r="E66" i="23"/>
  <c r="E66" i="13"/>
  <c r="E66" i="29"/>
  <c r="E66" i="33"/>
  <c r="L111" i="33"/>
  <c r="D87" i="4"/>
  <c r="E98" i="23"/>
  <c r="E87" i="29"/>
  <c r="C43" i="10"/>
  <c r="I119" i="13"/>
  <c r="I119" i="23"/>
  <c r="I119" i="29"/>
  <c r="I119" i="33"/>
  <c r="G43" i="10"/>
  <c r="F22" i="10"/>
  <c r="I98" i="13"/>
  <c r="I98" i="23"/>
  <c r="I98" i="29"/>
  <c r="I98" i="33"/>
  <c r="D66" i="4"/>
  <c r="B12" i="10"/>
  <c r="I66" i="13"/>
  <c r="I66" i="29"/>
  <c r="I66" i="33"/>
  <c r="I66" i="23"/>
  <c r="G66" i="4"/>
  <c r="F12" i="10"/>
  <c r="E53" i="39"/>
  <c r="C38" i="10"/>
  <c r="E53" i="16"/>
  <c r="I111" i="13"/>
  <c r="I111" i="23"/>
  <c r="I111" i="29"/>
  <c r="I111" i="33"/>
  <c r="G32" i="10"/>
  <c r="E56" i="39"/>
  <c r="E56" i="16"/>
  <c r="C49" i="10"/>
  <c r="C32" i="10"/>
  <c r="E47" i="39"/>
  <c r="E47" i="16"/>
  <c r="I87" i="13"/>
  <c r="I87" i="29"/>
  <c r="I87" i="23"/>
  <c r="I87" i="33"/>
  <c r="L87" i="13"/>
  <c r="L119" i="29"/>
  <c r="L66" i="29"/>
  <c r="L77" i="29"/>
  <c r="L111" i="23"/>
  <c r="E98" i="13"/>
  <c r="L77" i="13"/>
  <c r="E47" i="38"/>
  <c r="E77" i="33"/>
  <c r="E111" i="33"/>
  <c r="E119" i="33"/>
  <c r="E119" i="29"/>
  <c r="E77" i="29"/>
  <c r="E53" i="40"/>
  <c r="E56" i="40"/>
  <c r="E47" i="40"/>
  <c r="E47" i="51"/>
  <c r="E53" i="25"/>
  <c r="E47" i="25"/>
  <c r="E47" i="26"/>
  <c r="E56" i="25"/>
  <c r="E119" i="23"/>
  <c r="E77" i="23"/>
  <c r="E111" i="23"/>
  <c r="E56" i="21"/>
  <c r="E56" i="22"/>
  <c r="E47" i="21"/>
  <c r="E47" i="22"/>
  <c r="E53" i="22"/>
  <c r="E53" i="20"/>
  <c r="E47" i="19"/>
  <c r="E47" i="20"/>
  <c r="E53" i="13"/>
  <c r="E77" i="13"/>
  <c r="E56" i="13"/>
  <c r="E111" i="13"/>
  <c r="E47" i="13"/>
  <c r="E119" i="13"/>
  <c r="D111" i="4"/>
  <c r="D77" i="4"/>
  <c r="D119" i="4"/>
  <c r="D53" i="4"/>
  <c r="D56" i="4"/>
  <c r="D47" i="4"/>
  <c r="E21" i="9" l="1"/>
  <c r="E23" i="9"/>
  <c r="J28" i="9"/>
  <c r="J15" i="9"/>
  <c r="J27" i="9"/>
  <c r="J11" i="9"/>
  <c r="J25" i="9"/>
  <c r="J9" i="9"/>
  <c r="J31" i="9"/>
  <c r="J22" i="9"/>
  <c r="J24" i="9"/>
  <c r="J16" i="9"/>
  <c r="J30" i="9"/>
  <c r="J21" i="9"/>
  <c r="J14" i="9"/>
  <c r="J12" i="9"/>
  <c r="J18" i="9"/>
  <c r="J26" i="9"/>
  <c r="J10" i="9"/>
  <c r="J29" i="9"/>
  <c r="J20" i="9"/>
  <c r="J13" i="9"/>
  <c r="J19" i="9"/>
  <c r="J17" i="9"/>
  <c r="I48" i="9"/>
  <c r="D48" i="9"/>
  <c r="C60" i="10"/>
  <c r="H107" i="4"/>
  <c r="H114" i="4"/>
  <c r="H116" i="4"/>
  <c r="H28" i="4"/>
  <c r="J32" i="9" l="1"/>
  <c r="H98" i="4"/>
  <c r="H117" i="4"/>
  <c r="H99" i="4"/>
  <c r="H24" i="4"/>
  <c r="H118" i="4"/>
  <c r="H27" i="4"/>
  <c r="H78" i="4"/>
  <c r="D9" i="10"/>
  <c r="H124" i="4"/>
  <c r="H112" i="4"/>
  <c r="H88" i="4"/>
  <c r="H9" i="4"/>
  <c r="H8" i="4"/>
  <c r="H79" i="4"/>
  <c r="H122" i="4"/>
  <c r="H14" i="10"/>
  <c r="H37" i="4"/>
  <c r="H121" i="4"/>
  <c r="I121" i="4"/>
  <c r="I112" i="4"/>
  <c r="I9" i="4"/>
  <c r="I109" i="4"/>
  <c r="K49" i="10"/>
  <c r="H113" i="4"/>
  <c r="I108" i="4"/>
  <c r="H11" i="4"/>
  <c r="I122" i="4"/>
  <c r="I79" i="4"/>
  <c r="I100" i="4"/>
  <c r="H110" i="4"/>
  <c r="H25" i="4"/>
  <c r="H125" i="4"/>
  <c r="H86" i="4"/>
  <c r="H42" i="10"/>
  <c r="H21" i="10"/>
  <c r="I120" i="4"/>
  <c r="I28" i="4"/>
  <c r="H109" i="4"/>
  <c r="I32" i="4"/>
  <c r="I67" i="4"/>
  <c r="K11" i="10"/>
  <c r="I23" i="4"/>
  <c r="H22" i="10"/>
  <c r="H108" i="4"/>
  <c r="H10" i="4"/>
  <c r="I126" i="4"/>
  <c r="H38" i="4"/>
  <c r="I77" i="4"/>
  <c r="I88" i="4"/>
  <c r="I117" i="4"/>
  <c r="H67" i="4"/>
  <c r="H12" i="10"/>
  <c r="I116" i="4"/>
  <c r="I118" i="4"/>
  <c r="H120" i="4"/>
  <c r="I110" i="4"/>
  <c r="I113" i="4"/>
  <c r="I78" i="4"/>
  <c r="K26" i="10"/>
  <c r="I98" i="4"/>
  <c r="I99" i="4"/>
  <c r="K9" i="10"/>
  <c r="H77" i="4"/>
  <c r="H24" i="10"/>
  <c r="I31" i="4"/>
  <c r="I24" i="4"/>
  <c r="H126" i="4"/>
  <c r="K16" i="10"/>
  <c r="I30" i="4"/>
  <c r="H36" i="4"/>
  <c r="K45" i="10"/>
  <c r="H39" i="4"/>
  <c r="I107" i="4"/>
  <c r="I8" i="4"/>
  <c r="I114" i="4"/>
  <c r="I86" i="4"/>
  <c r="H10" i="10"/>
  <c r="I124" i="4"/>
  <c r="H100" i="4"/>
  <c r="H7" i="4"/>
  <c r="H23" i="4"/>
  <c r="H15" i="10"/>
  <c r="I125" i="4"/>
  <c r="M28" i="79" l="1"/>
  <c r="M97" i="79"/>
  <c r="M114" i="79"/>
  <c r="M23" i="79"/>
  <c r="M76" i="79"/>
  <c r="M8" i="79"/>
  <c r="M122" i="79"/>
  <c r="M30" i="79"/>
  <c r="M9" i="79"/>
  <c r="M9" i="72"/>
  <c r="M8" i="72"/>
  <c r="M8" i="74"/>
  <c r="J23" i="4"/>
  <c r="J24" i="4"/>
  <c r="J110" i="4"/>
  <c r="M67" i="37"/>
  <c r="M107" i="37"/>
  <c r="M32" i="37"/>
  <c r="M79" i="37"/>
  <c r="M124" i="37"/>
  <c r="M88" i="37"/>
  <c r="M78" i="37"/>
  <c r="M100" i="37"/>
  <c r="M86" i="37"/>
  <c r="M122" i="37"/>
  <c r="M109" i="37"/>
  <c r="M99" i="37"/>
  <c r="M113" i="37"/>
  <c r="M117" i="37"/>
  <c r="M28" i="37"/>
  <c r="M114" i="37"/>
  <c r="M110" i="37"/>
  <c r="M9" i="37"/>
  <c r="M31" i="37"/>
  <c r="M8" i="37"/>
  <c r="M24" i="37"/>
  <c r="M108" i="37"/>
  <c r="M112" i="37"/>
  <c r="J122" i="4"/>
  <c r="M23" i="37"/>
  <c r="M121" i="37"/>
  <c r="M125" i="37"/>
  <c r="M30" i="37"/>
  <c r="M116" i="37"/>
  <c r="M120" i="37"/>
  <c r="J114" i="4"/>
  <c r="M98" i="37"/>
  <c r="M97" i="37"/>
  <c r="M97" i="13"/>
  <c r="M97" i="29"/>
  <c r="M97" i="33"/>
  <c r="M77" i="37"/>
  <c r="M76" i="37"/>
  <c r="M76" i="33"/>
  <c r="M76" i="29"/>
  <c r="M76" i="13"/>
  <c r="M24" i="13"/>
  <c r="M24" i="23"/>
  <c r="M24" i="33"/>
  <c r="M24" i="29"/>
  <c r="M88" i="13"/>
  <c r="M88" i="29"/>
  <c r="M88" i="23"/>
  <c r="M88" i="33"/>
  <c r="J28" i="4"/>
  <c r="M28" i="19"/>
  <c r="M28" i="20"/>
  <c r="M28" i="25"/>
  <c r="M28" i="23"/>
  <c r="M28" i="51"/>
  <c r="M28" i="29"/>
  <c r="M28" i="16"/>
  <c r="M28" i="13"/>
  <c r="M121" i="23"/>
  <c r="M121" i="13"/>
  <c r="M121" i="29"/>
  <c r="M121" i="33"/>
  <c r="M125" i="23"/>
  <c r="M125" i="13"/>
  <c r="M125" i="29"/>
  <c r="M125" i="33"/>
  <c r="M124" i="13"/>
  <c r="M114" i="33"/>
  <c r="M31" i="23"/>
  <c r="M31" i="13"/>
  <c r="M31" i="29"/>
  <c r="M31" i="33"/>
  <c r="M78" i="23"/>
  <c r="M78" i="13"/>
  <c r="M78" i="29"/>
  <c r="M78" i="33"/>
  <c r="M113" i="23"/>
  <c r="M113" i="13"/>
  <c r="M113" i="29"/>
  <c r="M113" i="33"/>
  <c r="J116" i="4"/>
  <c r="M116" i="13"/>
  <c r="M116" i="23"/>
  <c r="M116" i="33"/>
  <c r="M117" i="23"/>
  <c r="M117" i="13"/>
  <c r="M117" i="29"/>
  <c r="M117" i="33"/>
  <c r="M23" i="20"/>
  <c r="M23" i="23"/>
  <c r="M23" i="13"/>
  <c r="M23" i="29"/>
  <c r="M23" i="33"/>
  <c r="M32" i="13"/>
  <c r="M32" i="33"/>
  <c r="M32" i="23"/>
  <c r="M32" i="29"/>
  <c r="M79" i="13"/>
  <c r="M79" i="23"/>
  <c r="M79" i="33"/>
  <c r="M79" i="29"/>
  <c r="M8" i="20"/>
  <c r="M8" i="13"/>
  <c r="M8" i="22"/>
  <c r="M8" i="51"/>
  <c r="M8" i="25"/>
  <c r="M8" i="29"/>
  <c r="M8" i="33"/>
  <c r="M8" i="19"/>
  <c r="M8" i="16"/>
  <c r="M30" i="20"/>
  <c r="M30" i="13"/>
  <c r="M30" i="23"/>
  <c r="M30" i="33"/>
  <c r="M30" i="29"/>
  <c r="M30" i="16"/>
  <c r="M99" i="23"/>
  <c r="M99" i="29"/>
  <c r="M99" i="13"/>
  <c r="M99" i="33"/>
  <c r="M110" i="33"/>
  <c r="M120" i="13"/>
  <c r="M120" i="23"/>
  <c r="M120" i="29"/>
  <c r="M120" i="33"/>
  <c r="M100" i="13"/>
  <c r="M100" i="29"/>
  <c r="M100" i="33"/>
  <c r="M100" i="23"/>
  <c r="M122" i="33"/>
  <c r="M108" i="13"/>
  <c r="M108" i="23"/>
  <c r="M108" i="33"/>
  <c r="M108" i="29"/>
  <c r="M9" i="19"/>
  <c r="M9" i="25"/>
  <c r="M9" i="20"/>
  <c r="M9" i="22"/>
  <c r="M9" i="51"/>
  <c r="M9" i="13"/>
  <c r="M9" i="16"/>
  <c r="M9" i="29"/>
  <c r="M9" i="33"/>
  <c r="M86" i="23"/>
  <c r="M86" i="29"/>
  <c r="M86" i="13"/>
  <c r="M86" i="33"/>
  <c r="J107" i="4"/>
  <c r="M107" i="23"/>
  <c r="M107" i="13"/>
  <c r="M107" i="29"/>
  <c r="M107" i="33"/>
  <c r="M98" i="13"/>
  <c r="M98" i="23"/>
  <c r="M98" i="29"/>
  <c r="M98" i="33"/>
  <c r="M77" i="13"/>
  <c r="M77" i="23"/>
  <c r="M77" i="29"/>
  <c r="M77" i="33"/>
  <c r="M67" i="13"/>
  <c r="M67" i="23"/>
  <c r="M67" i="29"/>
  <c r="M67" i="33"/>
  <c r="M109" i="13"/>
  <c r="M109" i="23"/>
  <c r="M109" i="29"/>
  <c r="M109" i="33"/>
  <c r="M112" i="13"/>
  <c r="M112" i="23"/>
  <c r="M112" i="33"/>
  <c r="J108" i="4"/>
  <c r="M38" i="8"/>
  <c r="D38" i="9"/>
  <c r="H60" i="9"/>
  <c r="H46" i="9"/>
  <c r="N40" i="8"/>
  <c r="B65" i="9"/>
  <c r="D29" i="9"/>
  <c r="D14" i="9"/>
  <c r="B50" i="9"/>
  <c r="D20" i="9"/>
  <c r="B56" i="9"/>
  <c r="B41" i="9"/>
  <c r="I22" i="9"/>
  <c r="H50" i="9"/>
  <c r="B64" i="9"/>
  <c r="D28" i="9"/>
  <c r="I18" i="9"/>
  <c r="N38" i="8"/>
  <c r="C46" i="9"/>
  <c r="C56" i="9"/>
  <c r="B54" i="9"/>
  <c r="D18" i="9"/>
  <c r="H51" i="9"/>
  <c r="N37" i="8"/>
  <c r="N36" i="8"/>
  <c r="C63" i="9"/>
  <c r="N39" i="8"/>
  <c r="M40" i="8"/>
  <c r="D40" i="9"/>
  <c r="B63" i="9"/>
  <c r="I31" i="9"/>
  <c r="C45" i="9"/>
  <c r="M85" i="8"/>
  <c r="I35" i="9"/>
  <c r="H53" i="9"/>
  <c r="D39" i="9"/>
  <c r="M39" i="8"/>
  <c r="H56" i="9"/>
  <c r="I19" i="9"/>
  <c r="D13" i="9"/>
  <c r="B60" i="9"/>
  <c r="D24" i="9"/>
  <c r="C54" i="9"/>
  <c r="D31" i="9"/>
  <c r="D9" i="9"/>
  <c r="B45" i="9"/>
  <c r="M86" i="8"/>
  <c r="I36" i="9"/>
  <c r="I26" i="9"/>
  <c r="H62" i="9"/>
  <c r="H63" i="9"/>
  <c r="N90" i="8"/>
  <c r="H58" i="9"/>
  <c r="N86" i="8"/>
  <c r="H45" i="9"/>
  <c r="C51" i="9"/>
  <c r="I38" i="9"/>
  <c r="M88" i="8"/>
  <c r="N88" i="8"/>
  <c r="C65" i="9"/>
  <c r="C62" i="9"/>
  <c r="D19" i="9"/>
  <c r="B55" i="9"/>
  <c r="C52" i="9"/>
  <c r="N89" i="8"/>
  <c r="C41" i="9"/>
  <c r="M37" i="8"/>
  <c r="D37" i="9"/>
  <c r="I24" i="9"/>
  <c r="B58" i="9"/>
  <c r="D22" i="9"/>
  <c r="D35" i="9"/>
  <c r="M35" i="8"/>
  <c r="N87" i="8"/>
  <c r="D27" i="9"/>
  <c r="H41" i="9"/>
  <c r="C60" i="9"/>
  <c r="N35" i="8"/>
  <c r="B52" i="9"/>
  <c r="D16" i="9"/>
  <c r="C55" i="9"/>
  <c r="N85" i="8"/>
  <c r="C64" i="9"/>
  <c r="I37" i="9"/>
  <c r="M87" i="8"/>
  <c r="D10" i="9"/>
  <c r="B46" i="9"/>
  <c r="C50" i="9"/>
  <c r="G41" i="9"/>
  <c r="F27" i="10" s="1"/>
  <c r="D26" i="9"/>
  <c r="B62" i="9"/>
  <c r="H52" i="9"/>
  <c r="M89" i="8"/>
  <c r="I39" i="9"/>
  <c r="H55" i="9"/>
  <c r="D17" i="9"/>
  <c r="B53" i="9"/>
  <c r="H64" i="9"/>
  <c r="C53" i="9"/>
  <c r="M90" i="8"/>
  <c r="I40" i="9"/>
  <c r="M36" i="8"/>
  <c r="D36" i="9"/>
  <c r="D25" i="9"/>
  <c r="B51" i="9"/>
  <c r="D15" i="9"/>
  <c r="I13" i="9"/>
  <c r="I27" i="9"/>
  <c r="I16" i="9"/>
  <c r="C58" i="9"/>
  <c r="J109" i="4"/>
  <c r="J117" i="4"/>
  <c r="J125" i="4"/>
  <c r="J124" i="4"/>
  <c r="J120" i="4"/>
  <c r="J8" i="4"/>
  <c r="J112" i="4"/>
  <c r="J78" i="4"/>
  <c r="J9" i="4"/>
  <c r="J67" i="4"/>
  <c r="J86" i="4"/>
  <c r="J113" i="4"/>
  <c r="J88" i="4"/>
  <c r="J99" i="4"/>
  <c r="J100" i="4"/>
  <c r="J121" i="4"/>
  <c r="J77" i="4"/>
  <c r="J79" i="4"/>
  <c r="J98" i="4"/>
  <c r="K21" i="10"/>
  <c r="H75" i="4"/>
  <c r="H25" i="10"/>
  <c r="G55" i="10"/>
  <c r="H136" i="4"/>
  <c r="H96" i="4"/>
  <c r="K42" i="10"/>
  <c r="G53" i="10"/>
  <c r="H29" i="4"/>
  <c r="H89" i="4"/>
  <c r="K12" i="10"/>
  <c r="K14" i="10"/>
  <c r="K23" i="10"/>
  <c r="H87" i="4"/>
  <c r="H111" i="4"/>
  <c r="K44" i="10"/>
  <c r="K24" i="10"/>
  <c r="G46" i="10"/>
  <c r="H43" i="10"/>
  <c r="H31" i="4"/>
  <c r="J31" i="4" s="1"/>
  <c r="H32" i="4"/>
  <c r="J32" i="4" s="1"/>
  <c r="J10" i="10"/>
  <c r="D10" i="10"/>
  <c r="J24" i="10"/>
  <c r="D24" i="10"/>
  <c r="I25" i="4"/>
  <c r="B60" i="10"/>
  <c r="D38" i="10"/>
  <c r="J38" i="10"/>
  <c r="I37" i="4"/>
  <c r="F55" i="10"/>
  <c r="H33" i="10"/>
  <c r="D23" i="10"/>
  <c r="J23" i="10"/>
  <c r="H34" i="4"/>
  <c r="H134" i="4"/>
  <c r="J14" i="10"/>
  <c r="D14" i="10"/>
  <c r="I87" i="4"/>
  <c r="J11" i="10"/>
  <c r="L11" i="10" s="1"/>
  <c r="D11" i="10"/>
  <c r="K32" i="10"/>
  <c r="C54" i="10"/>
  <c r="K15" i="10"/>
  <c r="H41" i="10"/>
  <c r="F46" i="10"/>
  <c r="D42" i="10"/>
  <c r="J42" i="10"/>
  <c r="C52" i="10"/>
  <c r="C35" i="10"/>
  <c r="K30" i="10"/>
  <c r="H23" i="10"/>
  <c r="K25" i="10"/>
  <c r="D33" i="10"/>
  <c r="B55" i="10"/>
  <c r="J33" i="10"/>
  <c r="D45" i="10"/>
  <c r="J45" i="10"/>
  <c r="L45" i="10" s="1"/>
  <c r="J16" i="10"/>
  <c r="L16" i="10" s="1"/>
  <c r="D16" i="10"/>
  <c r="I75" i="4"/>
  <c r="I137" i="4"/>
  <c r="D22" i="10"/>
  <c r="J22" i="10"/>
  <c r="G54" i="10"/>
  <c r="J31" i="10"/>
  <c r="B53" i="10"/>
  <c r="D31" i="10"/>
  <c r="J15" i="10"/>
  <c r="D15" i="10"/>
  <c r="I96" i="4"/>
  <c r="H20" i="10"/>
  <c r="K22" i="10"/>
  <c r="K10" i="10"/>
  <c r="D44" i="10"/>
  <c r="J44" i="10"/>
  <c r="I111" i="4"/>
  <c r="C55" i="10"/>
  <c r="K33" i="10"/>
  <c r="J13" i="10"/>
  <c r="D13" i="10"/>
  <c r="K13" i="10"/>
  <c r="H35" i="4"/>
  <c r="C56" i="10"/>
  <c r="K56" i="10" s="1"/>
  <c r="K34" i="10"/>
  <c r="I119" i="4"/>
  <c r="F35" i="10"/>
  <c r="F52" i="10"/>
  <c r="H30" i="10"/>
  <c r="I135" i="4"/>
  <c r="I29" i="4"/>
  <c r="H31" i="10"/>
  <c r="F53" i="10"/>
  <c r="I89" i="4"/>
  <c r="J32" i="10"/>
  <c r="D32" i="10"/>
  <c r="B54" i="10"/>
  <c r="I66" i="4"/>
  <c r="J20" i="10"/>
  <c r="D20" i="10"/>
  <c r="B56" i="10"/>
  <c r="J34" i="10"/>
  <c r="H66" i="4"/>
  <c r="H32" i="10"/>
  <c r="F54" i="10"/>
  <c r="I22" i="4"/>
  <c r="K41" i="10"/>
  <c r="C46" i="10"/>
  <c r="H119" i="4"/>
  <c r="H137" i="4"/>
  <c r="I136" i="4"/>
  <c r="H68" i="4"/>
  <c r="I68" i="4"/>
  <c r="I38" i="4"/>
  <c r="K43" i="10"/>
  <c r="I10" i="4"/>
  <c r="H135" i="4"/>
  <c r="H12" i="4"/>
  <c r="J26" i="10"/>
  <c r="L26" i="10" s="1"/>
  <c r="D26" i="10"/>
  <c r="I34" i="4"/>
  <c r="H9" i="10"/>
  <c r="J9" i="10"/>
  <c r="L9" i="10" s="1"/>
  <c r="J49" i="10"/>
  <c r="L49" i="10" s="1"/>
  <c r="D49" i="10"/>
  <c r="D21" i="10"/>
  <c r="J21" i="10"/>
  <c r="I39" i="4"/>
  <c r="I27" i="4"/>
  <c r="I36" i="4"/>
  <c r="B35" i="10"/>
  <c r="J30" i="10"/>
  <c r="B52" i="10"/>
  <c r="D30" i="10"/>
  <c r="I7" i="4"/>
  <c r="K60" i="10"/>
  <c r="K38" i="10"/>
  <c r="H13" i="10"/>
  <c r="G35" i="10"/>
  <c r="G52" i="10"/>
  <c r="I35" i="4"/>
  <c r="D12" i="10"/>
  <c r="J12" i="10"/>
  <c r="I12" i="4"/>
  <c r="D43" i="10"/>
  <c r="J43" i="10"/>
  <c r="I134" i="4"/>
  <c r="I11" i="4"/>
  <c r="K20" i="10"/>
  <c r="D25" i="10"/>
  <c r="J25" i="10"/>
  <c r="D41" i="10"/>
  <c r="J41" i="10"/>
  <c r="B46" i="10"/>
  <c r="K31" i="10"/>
  <c r="C53" i="10"/>
  <c r="L37" i="9"/>
  <c r="M34" i="29" l="1"/>
  <c r="B68" i="9"/>
  <c r="H68" i="9"/>
  <c r="M119" i="79"/>
  <c r="M111" i="79"/>
  <c r="M37" i="79"/>
  <c r="M36" i="79"/>
  <c r="M22" i="79"/>
  <c r="M29" i="79"/>
  <c r="M10" i="79"/>
  <c r="M66" i="79"/>
  <c r="M7" i="79"/>
  <c r="M87" i="79"/>
  <c r="J66" i="9"/>
  <c r="B17" i="10"/>
  <c r="M27" i="9"/>
  <c r="L15" i="9"/>
  <c r="J57" i="9" l="1"/>
  <c r="J59" i="9"/>
  <c r="J47" i="9"/>
  <c r="M7" i="72"/>
  <c r="M7" i="74"/>
  <c r="J37" i="9"/>
  <c r="N15" i="9"/>
  <c r="L31" i="9"/>
  <c r="M25" i="9"/>
  <c r="O17" i="9"/>
  <c r="L9" i="9"/>
  <c r="M38" i="9"/>
  <c r="M20" i="9"/>
  <c r="N22" i="9"/>
  <c r="M17" i="9"/>
  <c r="O39" i="9"/>
  <c r="N31" i="9"/>
  <c r="O27" i="9"/>
  <c r="M12" i="9"/>
  <c r="O26" i="9"/>
  <c r="M14" i="9"/>
  <c r="N29" i="9"/>
  <c r="M35" i="9"/>
  <c r="M28" i="9"/>
  <c r="N35" i="9"/>
  <c r="M26" i="9"/>
  <c r="O28" i="9"/>
  <c r="O40" i="9"/>
  <c r="L12" i="9"/>
  <c r="L27" i="9"/>
  <c r="L25" i="9"/>
  <c r="O36" i="9"/>
  <c r="N10" i="9"/>
  <c r="O37" i="9"/>
  <c r="O38" i="9"/>
  <c r="L29" i="9"/>
  <c r="M9" i="9"/>
  <c r="N25" i="9"/>
  <c r="O24" i="9"/>
  <c r="M18" i="9"/>
  <c r="N36" i="9"/>
  <c r="N17" i="9"/>
  <c r="N26" i="9"/>
  <c r="O9" i="9"/>
  <c r="O19" i="9"/>
  <c r="O18" i="9"/>
  <c r="N28" i="9"/>
  <c r="M24" i="9"/>
  <c r="L20" i="9"/>
  <c r="O35" i="9"/>
  <c r="N39" i="9"/>
  <c r="O20" i="9"/>
  <c r="L19" i="9"/>
  <c r="O31" i="9"/>
  <c r="M31" i="9"/>
  <c r="O10" i="9"/>
  <c r="N24" i="9"/>
  <c r="L26" i="9"/>
  <c r="M39" i="9"/>
  <c r="L35" i="9"/>
  <c r="M30" i="9"/>
  <c r="N16" i="9"/>
  <c r="N9" i="9"/>
  <c r="N40" i="9"/>
  <c r="N12" i="9"/>
  <c r="O29" i="9"/>
  <c r="L22" i="9"/>
  <c r="L14" i="9"/>
  <c r="N19" i="9"/>
  <c r="O16" i="9"/>
  <c r="N18" i="9"/>
  <c r="L38" i="9"/>
  <c r="L40" i="9"/>
  <c r="O30" i="9"/>
  <c r="N27" i="9"/>
  <c r="L10" i="9"/>
  <c r="O12" i="9"/>
  <c r="L18" i="9"/>
  <c r="N20" i="9"/>
  <c r="N37" i="9"/>
  <c r="M37" i="9"/>
  <c r="L28" i="9"/>
  <c r="M15" i="9"/>
  <c r="M22" i="9"/>
  <c r="L39" i="9"/>
  <c r="M29" i="9"/>
  <c r="M16" i="9"/>
  <c r="N38" i="9"/>
  <c r="N14" i="9"/>
  <c r="M19" i="9"/>
  <c r="O15" i="9"/>
  <c r="N30" i="9"/>
  <c r="M10" i="9"/>
  <c r="O22" i="9"/>
  <c r="L36" i="9"/>
  <c r="M36" i="9"/>
  <c r="O14" i="9"/>
  <c r="M40" i="9"/>
  <c r="L24" i="9"/>
  <c r="L17" i="9"/>
  <c r="L16" i="9"/>
  <c r="O25" i="9"/>
  <c r="J25" i="4" l="1"/>
  <c r="M33" i="23"/>
  <c r="M33" i="33"/>
  <c r="M33" i="37"/>
  <c r="M35" i="37"/>
  <c r="M22" i="37"/>
  <c r="M29" i="37"/>
  <c r="M135" i="37"/>
  <c r="M37" i="37"/>
  <c r="M137" i="37"/>
  <c r="M66" i="37"/>
  <c r="M111" i="37"/>
  <c r="M10" i="37"/>
  <c r="M136" i="37"/>
  <c r="M75" i="37"/>
  <c r="M134" i="37"/>
  <c r="M36" i="37"/>
  <c r="M12" i="37"/>
  <c r="M89" i="37"/>
  <c r="M87" i="37"/>
  <c r="M25" i="37"/>
  <c r="M11" i="37"/>
  <c r="M7" i="37"/>
  <c r="M34" i="37"/>
  <c r="M119" i="37"/>
  <c r="M68" i="37"/>
  <c r="M96" i="37"/>
  <c r="L24" i="10"/>
  <c r="L14" i="10"/>
  <c r="J39" i="4"/>
  <c r="J75" i="4"/>
  <c r="J96" i="4"/>
  <c r="L15" i="10"/>
  <c r="L45" i="9"/>
  <c r="M41" i="9"/>
  <c r="M63" i="9"/>
  <c r="O62" i="9"/>
  <c r="L50" i="9"/>
  <c r="M45" i="9"/>
  <c r="M52" i="9"/>
  <c r="O52" i="9"/>
  <c r="N55" i="9"/>
  <c r="O65" i="9"/>
  <c r="O51" i="9"/>
  <c r="M55" i="9"/>
  <c r="N52" i="9"/>
  <c r="N49" i="9"/>
  <c r="O64" i="9"/>
  <c r="M62" i="9"/>
  <c r="L60" i="9"/>
  <c r="L53" i="9"/>
  <c r="L58" i="9"/>
  <c r="M67" i="9"/>
  <c r="L64" i="9"/>
  <c r="M32" i="9"/>
  <c r="O50" i="9"/>
  <c r="L41" i="9"/>
  <c r="L49" i="9"/>
  <c r="M65" i="9"/>
  <c r="N32" i="9"/>
  <c r="M56" i="9"/>
  <c r="O41" i="9"/>
  <c r="N51" i="9"/>
  <c r="O45" i="9"/>
  <c r="L55" i="9"/>
  <c r="N65" i="9"/>
  <c r="M58" i="9"/>
  <c r="O58" i="9"/>
  <c r="N63" i="9"/>
  <c r="O54" i="9"/>
  <c r="L56" i="9"/>
  <c r="L63" i="9"/>
  <c r="N60" i="9"/>
  <c r="N50" i="9"/>
  <c r="O55" i="9"/>
  <c r="O67" i="9"/>
  <c r="O63" i="9"/>
  <c r="L54" i="9"/>
  <c r="O60" i="9"/>
  <c r="N45" i="9"/>
  <c r="L67" i="9"/>
  <c r="M64" i="9"/>
  <c r="N58" i="9"/>
  <c r="M50" i="9"/>
  <c r="O32" i="9"/>
  <c r="M53" i="9"/>
  <c r="M54" i="9"/>
  <c r="N64" i="9"/>
  <c r="N46" i="9"/>
  <c r="L62" i="9"/>
  <c r="M49" i="9"/>
  <c r="M51" i="9"/>
  <c r="N41" i="9"/>
  <c r="N56" i="9"/>
  <c r="M46" i="9"/>
  <c r="N67" i="9"/>
  <c r="N54" i="9"/>
  <c r="L32" i="9"/>
  <c r="M60" i="9"/>
  <c r="L51" i="9"/>
  <c r="O53" i="9"/>
  <c r="O49" i="9"/>
  <c r="O46" i="9"/>
  <c r="N62" i="9"/>
  <c r="O56" i="9"/>
  <c r="L46" i="9"/>
  <c r="L42" i="10"/>
  <c r="J11" i="4"/>
  <c r="M11" i="13"/>
  <c r="M11" i="33"/>
  <c r="M11" i="23"/>
  <c r="M11" i="29"/>
  <c r="J10" i="4"/>
  <c r="M10" i="20"/>
  <c r="M10" i="23"/>
  <c r="M10" i="13"/>
  <c r="M10" i="51"/>
  <c r="M10" i="16"/>
  <c r="M10" i="29"/>
  <c r="M10" i="33"/>
  <c r="M68" i="13"/>
  <c r="M68" i="23"/>
  <c r="M68" i="29"/>
  <c r="M68" i="33"/>
  <c r="M136" i="26"/>
  <c r="M119" i="23"/>
  <c r="M119" i="13"/>
  <c r="M119" i="29"/>
  <c r="M119" i="33"/>
  <c r="M111" i="23"/>
  <c r="M111" i="29"/>
  <c r="M111" i="13"/>
  <c r="M111" i="33"/>
  <c r="J7" i="4"/>
  <c r="M7" i="19"/>
  <c r="M7" i="13"/>
  <c r="M7" i="23"/>
  <c r="M7" i="22"/>
  <c r="M7" i="25"/>
  <c r="M7" i="20"/>
  <c r="M7" i="29"/>
  <c r="M7" i="16"/>
  <c r="M7" i="51"/>
  <c r="M7" i="33"/>
  <c r="J22" i="4"/>
  <c r="M22" i="20"/>
  <c r="M22" i="13"/>
  <c r="M22" i="51"/>
  <c r="M22" i="23"/>
  <c r="M22" i="29"/>
  <c r="M22" i="33"/>
  <c r="M22" i="16"/>
  <c r="M29" i="23"/>
  <c r="M29" i="13"/>
  <c r="M29" i="29"/>
  <c r="M29" i="51"/>
  <c r="M29" i="16"/>
  <c r="M29" i="20"/>
  <c r="M29" i="33"/>
  <c r="M137" i="26"/>
  <c r="M137" i="34"/>
  <c r="M87" i="13"/>
  <c r="M87" i="23"/>
  <c r="M87" i="33"/>
  <c r="M87" i="29"/>
  <c r="M35" i="13"/>
  <c r="M35" i="23"/>
  <c r="M35" i="29"/>
  <c r="M35" i="33"/>
  <c r="M39" i="13"/>
  <c r="M34" i="13"/>
  <c r="M34" i="23"/>
  <c r="M34" i="33"/>
  <c r="M66" i="13"/>
  <c r="M66" i="33"/>
  <c r="M66" i="23"/>
  <c r="M66" i="29"/>
  <c r="M89" i="13"/>
  <c r="M89" i="23"/>
  <c r="M89" i="29"/>
  <c r="M89" i="33"/>
  <c r="M96" i="33"/>
  <c r="M75" i="33"/>
  <c r="J37" i="4"/>
  <c r="M37" i="13"/>
  <c r="I63" i="9"/>
  <c r="M134" i="26"/>
  <c r="M134" i="34"/>
  <c r="M12" i="13"/>
  <c r="M12" i="23"/>
  <c r="M12" i="29"/>
  <c r="M12" i="33"/>
  <c r="J36" i="4"/>
  <c r="M36" i="13"/>
  <c r="L21" i="10"/>
  <c r="H53" i="10"/>
  <c r="M135" i="26"/>
  <c r="M135" i="34"/>
  <c r="M25" i="13"/>
  <c r="M25" i="29"/>
  <c r="M25" i="33"/>
  <c r="L31" i="10"/>
  <c r="L22" i="10"/>
  <c r="L12" i="10"/>
  <c r="L10" i="10"/>
  <c r="I58" i="9"/>
  <c r="I67" i="9"/>
  <c r="I52" i="9"/>
  <c r="I49" i="9"/>
  <c r="I32" i="9"/>
  <c r="D41" i="9"/>
  <c r="G17" i="10"/>
  <c r="E36" i="9"/>
  <c r="E35" i="9"/>
  <c r="E40" i="9"/>
  <c r="E39" i="9"/>
  <c r="E38" i="9"/>
  <c r="F17" i="10"/>
  <c r="J17" i="10" s="1"/>
  <c r="E37" i="9"/>
  <c r="B27" i="10"/>
  <c r="J27" i="10" s="1"/>
  <c r="J38" i="9"/>
  <c r="G27" i="10"/>
  <c r="H27" i="10" s="1"/>
  <c r="J48" i="9"/>
  <c r="C27" i="10"/>
  <c r="J39" i="9"/>
  <c r="J35" i="9"/>
  <c r="I41" i="9"/>
  <c r="J36" i="9"/>
  <c r="J40" i="9"/>
  <c r="J119" i="4"/>
  <c r="J137" i="4"/>
  <c r="J135" i="4"/>
  <c r="J111" i="4"/>
  <c r="J12" i="4"/>
  <c r="J66" i="4"/>
  <c r="J35" i="4"/>
  <c r="J134" i="4"/>
  <c r="J34" i="4"/>
  <c r="J136" i="4"/>
  <c r="J68" i="4"/>
  <c r="J89" i="4"/>
  <c r="J87" i="4"/>
  <c r="J29" i="4"/>
  <c r="K53" i="10"/>
  <c r="K55" i="10"/>
  <c r="L44" i="10"/>
  <c r="L23" i="10"/>
  <c r="H55" i="10"/>
  <c r="L30" i="10"/>
  <c r="G57" i="10"/>
  <c r="L32" i="10"/>
  <c r="H54" i="10"/>
  <c r="L43" i="10"/>
  <c r="K46" i="10"/>
  <c r="H46" i="10"/>
  <c r="L41" i="10"/>
  <c r="L13" i="10"/>
  <c r="L25" i="10"/>
  <c r="H30" i="4"/>
  <c r="J30" i="4" s="1"/>
  <c r="K54" i="10"/>
  <c r="L38" i="10"/>
  <c r="D46" i="10"/>
  <c r="J46" i="10"/>
  <c r="D52" i="10"/>
  <c r="J52" i="10"/>
  <c r="B57" i="10"/>
  <c r="J54" i="10"/>
  <c r="D54" i="10"/>
  <c r="F57" i="10"/>
  <c r="H52" i="10"/>
  <c r="L33" i="10"/>
  <c r="K35" i="10"/>
  <c r="L20" i="10"/>
  <c r="H35" i="10"/>
  <c r="J53" i="10"/>
  <c r="D53" i="10"/>
  <c r="D55" i="10"/>
  <c r="J55" i="10"/>
  <c r="K52" i="10"/>
  <c r="C57" i="10"/>
  <c r="J60" i="10"/>
  <c r="L60" i="10" s="1"/>
  <c r="D60" i="10"/>
  <c r="J35" i="10"/>
  <c r="D35" i="10"/>
  <c r="D56" i="10"/>
  <c r="J56" i="10"/>
  <c r="L56" i="10" s="1"/>
  <c r="L30" i="9"/>
  <c r="N53" i="9" l="1"/>
  <c r="L52" i="9"/>
  <c r="L68" i="9" s="1"/>
  <c r="L65" i="9"/>
  <c r="J65" i="9"/>
  <c r="J61" i="9"/>
  <c r="L55" i="10"/>
  <c r="M68" i="9"/>
  <c r="O68" i="9"/>
  <c r="N68" i="9"/>
  <c r="L53" i="10"/>
  <c r="J41" i="9"/>
  <c r="I68" i="9"/>
  <c r="E41" i="9"/>
  <c r="H17" i="10"/>
  <c r="J52" i="9"/>
  <c r="J51" i="9"/>
  <c r="D27" i="10"/>
  <c r="K27" i="10"/>
  <c r="L27" i="10" s="1"/>
  <c r="J46" i="9"/>
  <c r="J54" i="9"/>
  <c r="I54" i="9" s="1"/>
  <c r="J56" i="9"/>
  <c r="J45" i="9"/>
  <c r="I45" i="9" s="1"/>
  <c r="J58" i="9"/>
  <c r="J53" i="9"/>
  <c r="J60" i="9"/>
  <c r="I60" i="9" s="1"/>
  <c r="J49" i="9"/>
  <c r="J67" i="9"/>
  <c r="J64" i="9"/>
  <c r="J55" i="9"/>
  <c r="I55" i="9" s="1"/>
  <c r="J50" i="9"/>
  <c r="J62" i="9"/>
  <c r="I62" i="9" s="1"/>
  <c r="J63" i="9"/>
  <c r="K57" i="10"/>
  <c r="H57" i="10"/>
  <c r="L46" i="10"/>
  <c r="L35" i="10"/>
  <c r="L54" i="10"/>
  <c r="J57" i="10"/>
  <c r="D57" i="10"/>
  <c r="L52" i="10"/>
  <c r="J68" i="9" l="1"/>
  <c r="L57" i="10"/>
  <c r="D30" i="9" l="1"/>
  <c r="N29" i="8" l="1"/>
  <c r="C66" i="9"/>
  <c r="D66" i="9" l="1"/>
  <c r="C68" i="9"/>
  <c r="E59" i="9" s="1"/>
  <c r="E11" i="9"/>
  <c r="E25" i="9"/>
  <c r="D32" i="9"/>
  <c r="E22" i="9"/>
  <c r="E13" i="9"/>
  <c r="E31" i="9"/>
  <c r="E19" i="9"/>
  <c r="E28" i="9"/>
  <c r="E14" i="9"/>
  <c r="E9" i="9"/>
  <c r="E24" i="9"/>
  <c r="E12" i="9"/>
  <c r="C17" i="10"/>
  <c r="K17" i="10" s="1"/>
  <c r="L17" i="10" s="1"/>
  <c r="E26" i="9"/>
  <c r="E30" i="9"/>
  <c r="E17" i="9"/>
  <c r="E20" i="9"/>
  <c r="E16" i="9"/>
  <c r="E10" i="9"/>
  <c r="E27" i="9"/>
  <c r="E29" i="9"/>
  <c r="E15" i="9"/>
  <c r="E18" i="9"/>
  <c r="E66" i="9"/>
  <c r="E32" i="9" l="1"/>
  <c r="E47" i="9"/>
  <c r="E57" i="9"/>
  <c r="D68" i="9"/>
  <c r="D17" i="10"/>
  <c r="E48" i="9"/>
  <c r="E56" i="9"/>
  <c r="D56" i="9" s="1"/>
  <c r="E67" i="9"/>
  <c r="D67" i="9" s="1"/>
  <c r="E60" i="9"/>
  <c r="D60" i="9" s="1"/>
  <c r="E62" i="9"/>
  <c r="D62" i="9" s="1"/>
  <c r="E51" i="9"/>
  <c r="D51" i="9" s="1"/>
  <c r="E54" i="9"/>
  <c r="D54" i="9" s="1"/>
  <c r="E46" i="9"/>
  <c r="D46" i="9" s="1"/>
  <c r="E55" i="9"/>
  <c r="D55" i="9" s="1"/>
  <c r="E45" i="9"/>
  <c r="D45" i="9" s="1"/>
  <c r="E52" i="9"/>
  <c r="D52" i="9" s="1"/>
  <c r="E63" i="9"/>
  <c r="D63" i="9" s="1"/>
  <c r="E61" i="9"/>
  <c r="E49" i="9"/>
  <c r="D49" i="9" s="1"/>
  <c r="E65" i="9"/>
  <c r="D65" i="9" s="1"/>
  <c r="E53" i="9"/>
  <c r="D53" i="9" s="1"/>
  <c r="E64" i="9"/>
  <c r="D64" i="9" s="1"/>
  <c r="E50" i="9"/>
  <c r="D50" i="9" s="1"/>
  <c r="E58" i="9"/>
  <c r="D58" i="9" s="1"/>
  <c r="E68" i="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pørring - Data" description="Tilkobling til spørringen Data i arbeidsboken." type="5" refreshedVersion="8"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<sst xmlns="http://schemas.openxmlformats.org/spreadsheetml/2006/main" count="5432" uniqueCount="420">
  <si>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</si>
  <si>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</si>
  <si>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</si>
  <si>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</si>
  <si>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</si>
  <si>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</si>
  <si>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</si>
  <si>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</si>
  <si>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</si>
  <si>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</si>
  <si>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</si>
  <si>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</si>
  <si>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</si>
  <si>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</si>
  <si>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</si>
  <si>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</si>
  <si>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</si>
  <si>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</si>
  <si>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</si>
  <si>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</si>
  <si>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</si>
  <si>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</si>
  <si>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</si>
  <si>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</si>
  <si>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</si>
  <si>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</si>
  <si>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</si>
  <si>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</si>
  <si>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</si>
  <si>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</si>
  <si>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</si>
  <si>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</si>
  <si>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</si>
  <si>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</si>
  <si>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</si>
  <si>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</si>
  <si>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</si>
  <si>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</si>
  <si>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Figur 4</t>
  </si>
  <si>
    <t>Figur 5</t>
  </si>
  <si>
    <t>Forsikringsforpliktelser livprodukter - produkter uten investeringsvalg</t>
  </si>
  <si>
    <t>Figur 6</t>
  </si>
  <si>
    <t>Forsikringsforpliktelser livprodukter - produkter med investeringsvalg</t>
  </si>
  <si>
    <t>Netto tilflytting livprodukter - produkter uten investeringsvalg</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</si>
  <si>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</si>
  <si>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</si>
  <si>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</si>
  <si>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</si>
  <si>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</si>
  <si>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</si>
  <si>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</si>
  <si>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</si>
  <si>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</si>
  <si>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</si>
  <si>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DNB Liv</t>
  </si>
  <si>
    <t>Eika Forsikring</t>
  </si>
  <si>
    <t>Frende Livsfors</t>
  </si>
  <si>
    <t>Frende Skade</t>
  </si>
  <si>
    <t>Gjensidige Fors</t>
  </si>
  <si>
    <t>Gjensidige Pensj</t>
  </si>
  <si>
    <t>If Skadefors</t>
  </si>
  <si>
    <t>KLP</t>
  </si>
  <si>
    <t>KLP Skadef</t>
  </si>
  <si>
    <t>Nordea Liv</t>
  </si>
  <si>
    <t>OPF</t>
  </si>
  <si>
    <t>SpareBank 1</t>
  </si>
  <si>
    <t>Telenor Fors</t>
  </si>
  <si>
    <t>Tryg Fors</t>
  </si>
  <si>
    <t>Storebrand</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</si>
  <si>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</si>
  <si>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</si>
  <si>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</si>
  <si>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</si>
  <si>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</si>
  <si>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</si>
  <si>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</si>
  <si>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t>%-</t>
  </si>
  <si>
    <t>Beløp i 1000  kroner</t>
  </si>
  <si>
    <t>endring</t>
  </si>
  <si>
    <t>DNB Livsforsikring</t>
  </si>
  <si>
    <t>Eika Forsikring AS</t>
  </si>
  <si>
    <t>Frende Livsforsikring</t>
  </si>
  <si>
    <t>Frende Skadeforsikring</t>
  </si>
  <si>
    <t>Gjensidige Forsikring</t>
  </si>
  <si>
    <t>Gjensidige Pensjon</t>
  </si>
  <si>
    <t>If Skadeforsikring NUF</t>
  </si>
  <si>
    <t>KLP Skadeforsikring AS</t>
  </si>
  <si>
    <t xml:space="preserve">Nordea Liv </t>
  </si>
  <si>
    <t>Oslo Pensjonsforsikring</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</si>
  <si>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</si>
  <si>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</si>
  <si>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</si>
  <si>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</si>
  <si>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</si>
  <si>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</si>
  <si>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</si>
  <si>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</si>
  <si>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</si>
  <si>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</si>
  <si>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</si>
  <si>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</si>
  <si>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</si>
  <si>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</si>
  <si>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</si>
  <si>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</si>
  <si>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</si>
  <si>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</si>
  <si>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</si>
  <si>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t xml:space="preserve">   Foreningskollektiv</t>
  </si>
  <si>
    <t>Totalt brutto forfalt premie</t>
  </si>
  <si>
    <r>
      <t xml:space="preserve">     - herav innskuddsbasert </t>
    </r>
    <r>
      <rPr>
        <vertAlign val="superscript"/>
        <sz val="14"/>
        <rFont val="Times New Roman"/>
        <family val="1"/>
      </rPr>
      <t>*</t>
    </r>
  </si>
  <si>
    <t>Totalt forsikringsforpliktelser</t>
  </si>
  <si>
    <t>Totalt overførte reserver fra andre</t>
  </si>
  <si>
    <t>Totalt overførte reserver til andre</t>
  </si>
  <si>
    <t>Totalt netto overførte reserver fra andre</t>
  </si>
  <si>
    <t xml:space="preserve">* "Innskuddsbasert" er summen av "Engangsbetalt" og "Innskuddspensjon". </t>
  </si>
  <si>
    <t>** Bokført verdi, se tabell 6 i statistikken.</t>
  </si>
  <si>
    <t>DNB Livsforsikring ASA</t>
  </si>
  <si>
    <t>Frende Livsforsikring AS</t>
  </si>
  <si>
    <t>Frende Skadeforsikring AS</t>
  </si>
  <si>
    <t>Gjensidige Forsikring ASA</t>
  </si>
  <si>
    <t>If Skadeforsikring nuf</t>
  </si>
  <si>
    <t>Telenor Forsikring AS</t>
  </si>
  <si>
    <t>SpareBank 1 Forsikring AS</t>
  </si>
  <si>
    <t>KLP Skadeforsikring</t>
  </si>
  <si>
    <t>Selskap</t>
  </si>
  <si>
    <t>Flytting fra andre</t>
  </si>
  <si>
    <t>Flytting til andre</t>
  </si>
  <si>
    <t>Q8</t>
  </si>
  <si>
    <t>Q9</t>
  </si>
  <si>
    <t>Q10</t>
  </si>
  <si>
    <t>Q16</t>
  </si>
  <si>
    <t>R7</t>
  </si>
  <si>
    <t>R8</t>
  </si>
  <si>
    <t>R9</t>
  </si>
  <si>
    <t>R10</t>
  </si>
  <si>
    <t>R14</t>
  </si>
  <si>
    <t>R15</t>
  </si>
  <si>
    <t>Q17</t>
  </si>
  <si>
    <t>Q18</t>
  </si>
  <si>
    <t>R11</t>
  </si>
  <si>
    <t>Tabell 1.3 Hovedtall</t>
  </si>
  <si>
    <t>Aktivaposter (aggregert)</t>
  </si>
  <si>
    <t>i mill. kr</t>
  </si>
  <si>
    <t>prosentvis andel</t>
  </si>
  <si>
    <t>Selskapsporteføljen</t>
  </si>
  <si>
    <t xml:space="preserve">   Aksjer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</si>
  <si>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</si>
  <si>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</si>
  <si>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</si>
  <si>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</si>
  <si>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</si>
  <si>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</si>
  <si>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</si>
  <si>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</si>
  <si>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</si>
  <si>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</si>
  <si>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DNB</t>
  </si>
  <si>
    <t>Frende</t>
  </si>
  <si>
    <t>Gjensidige</t>
  </si>
  <si>
    <t xml:space="preserve"> </t>
  </si>
  <si>
    <t>Oslo</t>
  </si>
  <si>
    <t>Pensjonsforsikring</t>
  </si>
  <si>
    <t>Livsforsikring</t>
  </si>
  <si>
    <t>Pensjon</t>
  </si>
  <si>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</si>
  <si>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</si>
  <si>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</si>
  <si>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</si>
  <si>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</si>
  <si>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</si>
  <si>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</si>
  <si>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</si>
  <si>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</si>
  <si>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</si>
  <si>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</si>
  <si>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</si>
  <si>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</si>
  <si>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</si>
  <si>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</si>
  <si>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</si>
  <si>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</si>
  <si>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</si>
  <si>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</si>
  <si>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</si>
  <si>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</si>
  <si>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</si>
  <si>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</si>
  <si>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</si>
  <si>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6.3.2 Utlån og fordringer</t>
  </si>
  <si>
    <t xml:space="preserve">    6.4 Finansielle eiendeler som måles til virkelig verdi</t>
  </si>
  <si>
    <t xml:space="preserve">         6.4.1 Aksjer og andeler (inkl. aksjer og andeler målt til kost)</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</si>
  <si>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</si>
  <si>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</si>
  <si>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</si>
  <si>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</si>
  <si>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</si>
  <si>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</si>
  <si>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</si>
  <si>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</si>
  <si>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8.3.2 Utlån og fordringer</t>
  </si>
  <si>
    <t xml:space="preserve">    8.4 Finansielle eiendeler som måles til virkelig verdi</t>
  </si>
  <si>
    <t xml:space="preserve">         8.4.1 Aksjer og andeler (inkl. aksjer og andeler målt til kost)</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</si>
  <si>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</si>
  <si>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</si>
  <si>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</si>
  <si>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</si>
  <si>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</si>
  <si>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</si>
  <si>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</si>
  <si>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</si>
  <si>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</si>
  <si>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</si>
  <si>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</si>
  <si>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</si>
  <si>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Ufordelte overskuddsmidler til forsikringskontraktene</t>
  </si>
  <si>
    <t>Sum forsikringsforpliktelser i livsforsikring - KF</t>
  </si>
  <si>
    <t>14. Forsikringsforpliktelser i livsforsikring - SI</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</si>
  <si>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</si>
  <si>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</si>
  <si>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</si>
  <si>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</si>
  <si>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</si>
  <si>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</si>
  <si>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</si>
  <si>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</si>
  <si>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</si>
  <si>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</si>
  <si>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</si>
  <si>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</si>
  <si>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</si>
  <si>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</si>
  <si>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</si>
  <si>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</si>
  <si>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</si>
  <si>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</si>
  <si>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</si>
  <si>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</si>
  <si>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</si>
  <si>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</si>
  <si>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</si>
  <si>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</si>
  <si>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</si>
  <si>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</si>
  <si>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</si>
  <si>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</si>
  <si>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</si>
  <si>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</si>
  <si>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</si>
  <si>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</si>
  <si>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</si>
  <si>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</si>
  <si>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</si>
  <si>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</si>
  <si>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</si>
  <si>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Brutto forfalt premie - Foreningskollektiv </t>
    </r>
    <r>
      <rPr>
        <b/>
        <vertAlign val="superscript"/>
        <sz val="10"/>
        <rFont val="Times New Roman"/>
        <family val="1"/>
      </rPr>
      <t>1</t>
    </r>
  </si>
  <si>
    <t>Regnskapsdel, endelig kvartal</t>
  </si>
  <si>
    <t>Resultatregnskap</t>
  </si>
  <si>
    <t xml:space="preserve">Totalt </t>
  </si>
  <si>
    <t>norske livselskaper</t>
  </si>
  <si>
    <t>alle livselskaper</t>
  </si>
  <si>
    <t xml:space="preserve">Beløp i millioner kroner </t>
  </si>
  <si>
    <t>TEKNISK REGNSKAP FOR LIVSFORSIKRING</t>
  </si>
  <si>
    <t xml:space="preserve">    1.1 Forfalt premier, brutto</t>
  </si>
  <si>
    <t xml:space="preserve">    1.2 - Avgitte gjenforsikringspremier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</si>
  <si>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</si>
  <si>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</si>
  <si>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</si>
  <si>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</si>
  <si>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</si>
  <si>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</si>
  <si>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Sum erstatninger f.e.r.</t>
  </si>
  <si>
    <t>6. Resultatførte endringer i forsikringsforpliktelser - KF</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</si>
  <si>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</si>
  <si>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</si>
  <si>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</si>
  <si>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</si>
  <si>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</si>
  <si>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</si>
  <si>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</si>
  <si>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</si>
  <si>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</si>
  <si>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</si>
  <si>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</si>
  <si>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</si>
  <si>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</si>
  <si>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</si>
  <si>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</si>
  <si>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</si>
  <si>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</si>
  <si>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</si>
  <si>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</si>
  <si>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</si>
  <si>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</si>
  <si>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</si>
  <si>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</si>
  <si>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</si>
  <si>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</si>
  <si>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</si>
  <si>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</si>
  <si>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</si>
  <si>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</si>
  <si>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</si>
  <si>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</si>
  <si>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</si>
  <si>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</si>
  <si>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</si>
  <si>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t xml:space="preserve">   Etter tjenestepensjonsloven - Uførepensjon</t>
  </si>
  <si>
    <t xml:space="preserve">   Etter tjenestepensjonsloven - Alderspensjon</t>
  </si>
  <si>
    <t xml:space="preserve">  Etter tjenestepensjonsloven - Uførepensjon</t>
  </si>
  <si>
    <t xml:space="preserve">  Etter tjenestepensjonsloven - Alderspensjon</t>
  </si>
  <si>
    <t>Brutto forfalt premie tilsvarer post 1.1 i resultatregnskapet, jf. forskrift til årsregnskap for livsforsikringsfortak.</t>
  </si>
  <si>
    <t>Overførte reserver til andre tilsvarer post 5.2 i resultatregnskapet.</t>
  </si>
  <si>
    <r>
      <t xml:space="preserve">   Kommunal kollektiv pensjon </t>
    </r>
    <r>
      <rPr>
        <vertAlign val="superscript"/>
        <sz val="14"/>
        <rFont val="Times New Roman"/>
        <family val="1"/>
      </rPr>
      <t>15)</t>
    </r>
  </si>
  <si>
    <r>
      <t xml:space="preserve">Forsikringsforpliktelser </t>
    </r>
    <r>
      <rPr>
        <vertAlign val="superscript"/>
        <sz val="14"/>
        <rFont val="Times New Roman"/>
        <family val="1"/>
      </rPr>
      <t>4)</t>
    </r>
  </si>
  <si>
    <r>
      <t xml:space="preserve">Overførte reserver fra andre </t>
    </r>
    <r>
      <rPr>
        <vertAlign val="superscript"/>
        <sz val="14"/>
        <rFont val="Times New Roman"/>
        <family val="1"/>
      </rPr>
      <t>5)</t>
    </r>
  </si>
  <si>
    <r>
      <t xml:space="preserve">Flytting fra andre </t>
    </r>
    <r>
      <rPr>
        <vertAlign val="superscript"/>
        <sz val="14"/>
        <rFont val="Times New Roman"/>
        <family val="1"/>
      </rPr>
      <t>9)</t>
    </r>
  </si>
  <si>
    <r>
      <t xml:space="preserve">Overførte reserver til andre </t>
    </r>
    <r>
      <rPr>
        <vertAlign val="superscript"/>
        <sz val="14"/>
        <rFont val="Times New Roman"/>
        <family val="1"/>
      </rPr>
      <t>6)</t>
    </r>
  </si>
  <si>
    <r>
      <t xml:space="preserve">Flytting til andre </t>
    </r>
    <r>
      <rPr>
        <vertAlign val="superscript"/>
        <sz val="14"/>
        <rFont val="Times New Roman"/>
        <family val="1"/>
      </rPr>
      <t>9)</t>
    </r>
  </si>
  <si>
    <r>
      <t xml:space="preserve">Netto overførte reserver fra andre </t>
    </r>
    <r>
      <rPr>
        <b/>
        <vertAlign val="superscript"/>
        <sz val="14"/>
        <rFont val="Times New Roman"/>
        <family val="1"/>
      </rPr>
      <t>9)</t>
    </r>
  </si>
  <si>
    <r>
      <t xml:space="preserve">Netto flytting fra andre </t>
    </r>
    <r>
      <rPr>
        <vertAlign val="superscript"/>
        <sz val="14"/>
        <rFont val="Times New Roman"/>
        <family val="1"/>
      </rPr>
      <t>9)</t>
    </r>
  </si>
  <si>
    <t>Livrenter, IPA og IPS er individuelle pensjonsspareavtaler etter skattereglene (kun i årsstatistikken / 4.kvartal). IPS forsikring etablert før 1.11.2017 defineres som IPS forsikring 2008, etter lov om individuell pensjonsordning vedtatt i 2008. Nye ordningen for skattefavorisert individuell pensjonssparing fra 1. november 2017 defineres som IPS forsikring.</t>
  </si>
  <si>
    <t>Protector Forsikring</t>
  </si>
  <si>
    <r>
      <t xml:space="preserve">Forsikringsforpliktelser </t>
    </r>
    <r>
      <rPr>
        <b/>
        <vertAlign val="superscript"/>
        <sz val="10"/>
        <rFont val="Times New Roman"/>
        <family val="1"/>
      </rPr>
      <t>4</t>
    </r>
  </si>
  <si>
    <r>
      <t xml:space="preserve">Overførte reserver fra andre </t>
    </r>
    <r>
      <rPr>
        <b/>
        <vertAlign val="superscript"/>
        <sz val="10"/>
        <rFont val="Times New Roman"/>
        <family val="1"/>
      </rPr>
      <t>5</t>
    </r>
  </si>
  <si>
    <r>
      <t>Overførte reserver til andre</t>
    </r>
    <r>
      <rPr>
        <b/>
        <vertAlign val="superscript"/>
        <sz val="10"/>
        <rFont val="Times New Roman"/>
        <family val="1"/>
      </rPr>
      <t xml:space="preserve"> 6</t>
    </r>
  </si>
  <si>
    <r>
      <t xml:space="preserve">    Livrenter </t>
    </r>
    <r>
      <rPr>
        <vertAlign val="superscript"/>
        <sz val="10"/>
        <rFont val="Times New Roman"/>
        <family val="1"/>
      </rPr>
      <t>10</t>
    </r>
  </si>
  <si>
    <r>
      <t xml:space="preserve">    IPA </t>
    </r>
    <r>
      <rPr>
        <vertAlign val="superscript"/>
        <sz val="10"/>
        <rFont val="Times New Roman"/>
        <family val="1"/>
      </rPr>
      <t>10</t>
    </r>
  </si>
  <si>
    <r>
      <t xml:space="preserve">    IPS 2008 </t>
    </r>
    <r>
      <rPr>
        <vertAlign val="superscript"/>
        <sz val="10"/>
        <rFont val="Times New Roman"/>
        <family val="1"/>
      </rPr>
      <t>10</t>
    </r>
  </si>
  <si>
    <r>
      <t xml:space="preserve">    IPS </t>
    </r>
    <r>
      <rPr>
        <vertAlign val="superscript"/>
        <sz val="10"/>
        <rFont val="Times New Roman"/>
        <family val="1"/>
      </rPr>
      <t>10</t>
    </r>
  </si>
  <si>
    <r>
      <t xml:space="preserve">Forsikringsforpliktelser </t>
    </r>
    <r>
      <rPr>
        <b/>
        <vertAlign val="superscript"/>
        <sz val="10"/>
        <rFont val="Times New Roman"/>
        <family val="1"/>
      </rPr>
      <t>6</t>
    </r>
  </si>
  <si>
    <r>
      <t xml:space="preserve">Forsikringsforpliktelser  - Foreningskollektiv </t>
    </r>
    <r>
      <rPr>
        <b/>
        <vertAlign val="superscript"/>
        <sz val="10"/>
        <rFont val="Times New Roman"/>
        <family val="1"/>
      </rPr>
      <t>4</t>
    </r>
  </si>
  <si>
    <r>
      <t xml:space="preserve">Overførte reserver fra andre - Foreningskollektiv </t>
    </r>
    <r>
      <rPr>
        <b/>
        <vertAlign val="superscript"/>
        <sz val="10"/>
        <rFont val="Times New Roman"/>
        <family val="1"/>
      </rPr>
      <t>5</t>
    </r>
  </si>
  <si>
    <r>
      <t xml:space="preserve">Overførte reserver til andre - Foreningskollektiv </t>
    </r>
    <r>
      <rPr>
        <b/>
        <vertAlign val="superscript"/>
        <sz val="10"/>
        <rFont val="Times New Roman"/>
        <family val="1"/>
      </rPr>
      <t>6</t>
    </r>
  </si>
  <si>
    <r>
      <t xml:space="preserve">    Bedrift </t>
    </r>
    <r>
      <rPr>
        <vertAlign val="superscript"/>
        <sz val="10"/>
        <rFont val="Times New Roman"/>
        <family val="1"/>
      </rPr>
      <t>7</t>
    </r>
  </si>
  <si>
    <r>
      <t xml:space="preserve">    Privat </t>
    </r>
    <r>
      <rPr>
        <vertAlign val="superscript"/>
        <sz val="10"/>
        <rFont val="Times New Roman"/>
        <family val="1"/>
      </rPr>
      <t>8</t>
    </r>
  </si>
  <si>
    <r>
      <t xml:space="preserve">Flytting fra andre </t>
    </r>
    <r>
      <rPr>
        <b/>
        <vertAlign val="superscript"/>
        <sz val="10"/>
        <rFont val="Times New Roman"/>
        <family val="1"/>
      </rPr>
      <t>9</t>
    </r>
  </si>
  <si>
    <r>
      <t xml:space="preserve">Flytting til andre </t>
    </r>
    <r>
      <rPr>
        <b/>
        <vertAlign val="superscript"/>
        <sz val="10"/>
        <rFont val="Times New Roman"/>
        <family val="1"/>
      </rPr>
      <t>9</t>
    </r>
  </si>
  <si>
    <r>
      <t xml:space="preserve">      Engangsbetalt </t>
    </r>
    <r>
      <rPr>
        <vertAlign val="superscript"/>
        <sz val="10"/>
        <rFont val="Times New Roman"/>
        <family val="1"/>
      </rPr>
      <t>11</t>
    </r>
  </si>
  <si>
    <r>
      <t xml:space="preserve">      Innskuddspensjon </t>
    </r>
    <r>
      <rPr>
        <vertAlign val="superscript"/>
        <sz val="10"/>
        <rFont val="Times New Roman"/>
        <family val="1"/>
      </rPr>
      <t>12</t>
    </r>
  </si>
  <si>
    <r>
      <t xml:space="preserve">  Innenfor LOF/LOI </t>
    </r>
    <r>
      <rPr>
        <vertAlign val="superscript"/>
        <sz val="10"/>
        <rFont val="Times New Roman"/>
        <family val="1"/>
      </rPr>
      <t>13</t>
    </r>
  </si>
  <si>
    <r>
      <t xml:space="preserve">  Utenfor LOF/LOI - Livrenter </t>
    </r>
    <r>
      <rPr>
        <vertAlign val="superscript"/>
        <sz val="10"/>
        <rFont val="Times New Roman"/>
        <family val="1"/>
      </rPr>
      <t>13,17</t>
    </r>
  </si>
  <si>
    <r>
      <t xml:space="preserve">  Herav fripoliser </t>
    </r>
    <r>
      <rPr>
        <vertAlign val="superscript"/>
        <sz val="10"/>
        <rFont val="Times New Roman"/>
        <family val="1"/>
      </rPr>
      <t>14,16</t>
    </r>
  </si>
  <si>
    <r>
      <t xml:space="preserve">  Herav pensjonsbevis</t>
    </r>
    <r>
      <rPr>
        <vertAlign val="superscript"/>
        <sz val="10"/>
        <rFont val="Times New Roman"/>
        <family val="1"/>
      </rPr>
      <t>14</t>
    </r>
  </si>
  <si>
    <r>
      <t xml:space="preserve">   Herav fripoliser </t>
    </r>
    <r>
      <rPr>
        <vertAlign val="superscript"/>
        <sz val="10"/>
        <rFont val="Times New Roman"/>
        <family val="1"/>
      </rPr>
      <t>14,16</t>
    </r>
  </si>
  <si>
    <r>
      <t xml:space="preserve">Brutto forfalt premie </t>
    </r>
    <r>
      <rPr>
        <b/>
        <vertAlign val="superscript"/>
        <sz val="10"/>
        <rFont val="Times New Roman"/>
        <family val="1"/>
      </rPr>
      <t>1, 15</t>
    </r>
  </si>
  <si>
    <r>
      <t xml:space="preserve">Forsikringsforpliktelser </t>
    </r>
    <r>
      <rPr>
        <b/>
        <vertAlign val="superscript"/>
        <sz val="10"/>
        <rFont val="Times New Roman"/>
        <family val="1"/>
      </rPr>
      <t>4, 15</t>
    </r>
  </si>
  <si>
    <r>
      <t xml:space="preserve">Overførte reserver fra andre </t>
    </r>
    <r>
      <rPr>
        <b/>
        <vertAlign val="superscript"/>
        <sz val="10"/>
        <rFont val="Times New Roman"/>
        <family val="1"/>
      </rPr>
      <t>5, 15</t>
    </r>
  </si>
  <si>
    <r>
      <t>Overførte reserver til andre</t>
    </r>
    <r>
      <rPr>
        <b/>
        <vertAlign val="superscript"/>
        <sz val="10"/>
        <rFont val="Times New Roman"/>
        <family val="1"/>
      </rPr>
      <t xml:space="preserve"> 6, 15</t>
    </r>
  </si>
  <si>
    <r>
      <t xml:space="preserve">  Herav fripoliser </t>
    </r>
    <r>
      <rPr>
        <vertAlign val="superscript"/>
        <sz val="10"/>
        <rFont val="Times New Roman"/>
        <family val="1"/>
      </rPr>
      <t>14</t>
    </r>
  </si>
  <si>
    <r>
      <t xml:space="preserve">Forsikringsforpliktelser </t>
    </r>
    <r>
      <rPr>
        <b/>
        <vertAlign val="superscript"/>
        <sz val="10"/>
        <rFont val="Times New Roman"/>
        <family val="1"/>
      </rPr>
      <t>5, 15</t>
    </r>
  </si>
  <si>
    <r>
      <t>Forsikringsforpliktelser</t>
    </r>
    <r>
      <rPr>
        <sz val="14"/>
        <rFont val="Times New Roman"/>
        <family val="1"/>
      </rPr>
      <t xml:space="preserve"> </t>
    </r>
    <r>
      <rPr>
        <vertAlign val="superscript"/>
        <sz val="14"/>
        <rFont val="Times New Roman"/>
        <family val="1"/>
      </rPr>
      <t>4)</t>
    </r>
  </si>
  <si>
    <t>Protector Fors</t>
  </si>
  <si>
    <t xml:space="preserve">    13.1 Premiereserve mv.</t>
  </si>
  <si>
    <t>Fremtind Livsforsikring</t>
  </si>
  <si>
    <t>Fremtind Livsfors</t>
  </si>
  <si>
    <t>Landkreditt Fors.</t>
  </si>
  <si>
    <t>Fremtind Liv</t>
  </si>
  <si>
    <t>Avkastningstall (%)</t>
  </si>
  <si>
    <r>
      <t xml:space="preserve">Soliditetskapital </t>
    </r>
    <r>
      <rPr>
        <sz val="14"/>
        <rFont val="Times New Roman"/>
        <family val="1"/>
      </rPr>
      <t>(%)</t>
    </r>
  </si>
  <si>
    <t>Mer/mindre-verdier</t>
  </si>
  <si>
    <t>Landkreditt Forsikring</t>
  </si>
  <si>
    <t>WaterCircles Fors.</t>
  </si>
  <si>
    <t>WaterCicles Fors.</t>
  </si>
  <si>
    <t>30.06.</t>
  </si>
  <si>
    <t>WaterCircles Forsikring</t>
  </si>
  <si>
    <t>Landkreditt Fors</t>
  </si>
  <si>
    <t>Euro Accident</t>
  </si>
  <si>
    <t xml:space="preserve">   Innskuddsbasert (inkl. EPK)</t>
  </si>
  <si>
    <t>Forsikring</t>
  </si>
  <si>
    <t>SpareBank 1 Forsikring</t>
  </si>
  <si>
    <t>Ly Forsikring</t>
  </si>
  <si>
    <t>Youplus Livsforsikring</t>
  </si>
  <si>
    <t>Youplus</t>
  </si>
  <si>
    <t>Youplus Livsf</t>
  </si>
  <si>
    <t>Figur 1  Brutto forfalt premie livprodukter  -  produkter uten investeringsvalg pr. 30.06.</t>
  </si>
  <si>
    <t>Figur 2  Brutto forfalt premie livprodukter  -  produkter med investeringsvalg pr. 30.06.</t>
  </si>
  <si>
    <t>Figur 3  Forsikringsforpliktelser i livsforsikring  -  produkter uten investeringsvalg pr. 30.06.</t>
  </si>
  <si>
    <t>Figur 4  Forsikringsforpliktelser i livsforsikring -  produkter med investeringsvalg pr. 30.06.</t>
  </si>
  <si>
    <t>Figur 5  Netto tilflytting livprodukter  -  produkter uten investeringsvalg pr. 30.06.</t>
  </si>
  <si>
    <t>Figur 6  Netto tilflytting livprodukter  -  produkter med investeringsvalg pr. 30.06.</t>
  </si>
  <si>
    <t>Postene Herav pensjonskapitalbevis omfatter pensjonskapitalbevis innenfor og utenfor Egen pensjonskonto. Med pensjonskapitalbevis innenfor Egen pensjonskonto menes passiv kapital. Se for øvrig note 14.</t>
  </si>
  <si>
    <r>
      <t xml:space="preserve">  Herav pensjonskapitalbevis innenfor og utenfor EPK</t>
    </r>
    <r>
      <rPr>
        <vertAlign val="superscript"/>
        <sz val="10"/>
        <rFont val="Times New Roman"/>
        <family val="1"/>
      </rPr>
      <t>14) 18)</t>
    </r>
  </si>
  <si>
    <t xml:space="preserve">    6.1 Endring i premiereserve mv.</t>
  </si>
  <si>
    <t>18. Resultat før andre inntekter og kostnader</t>
  </si>
  <si>
    <t>19. Andre inntekter og kostnader</t>
  </si>
  <si>
    <t>Bufferfond</t>
  </si>
  <si>
    <t>Storebrand Liv</t>
  </si>
  <si>
    <t>1. Premieinntekter f.e.r.</t>
  </si>
  <si>
    <t xml:space="preserve">    1.3 Overføring av premiereserve og pensjonskapital mv. fra andre f.selskap/p.kasser</t>
  </si>
  <si>
    <t xml:space="preserve">    6.2 Endring i bufferfond</t>
  </si>
  <si>
    <t xml:space="preserve">    6.3 Endring i premiefond, innskuddsfond og fond for regulering av pensjoner mv.</t>
  </si>
  <si>
    <t xml:space="preserve">    6.4 Endring i tekniske avsetninger for skadeforsikringsvirksomhet</t>
  </si>
  <si>
    <r>
      <t>norske livselskaper</t>
    </r>
    <r>
      <rPr>
        <b/>
        <vertAlign val="superscript"/>
        <sz val="14"/>
        <rFont val="Times New Roman"/>
        <family val="1"/>
      </rPr>
      <t xml:space="preserve"> </t>
    </r>
  </si>
  <si>
    <t xml:space="preserve">    13.2 Bufferfond</t>
  </si>
  <si>
    <t xml:space="preserve">    13.4 Andre tekniske avsetninger for skadeforsikringsvirksomheten</t>
  </si>
  <si>
    <t xml:space="preserve">    14.1 Pensjonskapital mv.</t>
  </si>
  <si>
    <t xml:space="preserve">    14.2 Bufferfond</t>
  </si>
  <si>
    <t xml:space="preserve">    14.3 Premiefond, innskuddsfond og fond for regulering av pensjoner mv.</t>
  </si>
  <si>
    <t xml:space="preserve">         2.3.1 Rentebærende verdipapirer</t>
  </si>
  <si>
    <t xml:space="preserve">         2.4.2 Rentebærende verdipapirer</t>
  </si>
  <si>
    <t xml:space="preserve">         6.3.1 Rentebærende verdipapirer</t>
  </si>
  <si>
    <t xml:space="preserve">         6.4.2 Rentebærende verdipapirer</t>
  </si>
  <si>
    <t xml:space="preserve">         8.3.1 Rentebærende verdipapirer</t>
  </si>
  <si>
    <t xml:space="preserve">         8.4.2 Rentebærende verdipapirer</t>
  </si>
  <si>
    <t xml:space="preserve">   Rentebærende verdipapirer</t>
  </si>
  <si>
    <t>Oslo Forsikring</t>
  </si>
  <si>
    <t xml:space="preserve">    6.5 Overføring av bufferfond fra andre fors.selskap/pensj.kasser</t>
  </si>
  <si>
    <t xml:space="preserve">    5.2 Overføring av premiereserve, pensjonskapital mv. og bufferfond til andre f.selskap/p.kasser</t>
  </si>
  <si>
    <t xml:space="preserve">    13.3 Premiefond, innskuddsfond og fond for regulering av pensjoner mv.</t>
  </si>
  <si>
    <r>
      <t xml:space="preserve">    Kursreguleringsfond</t>
    </r>
    <r>
      <rPr>
        <i/>
        <vertAlign val="superscript"/>
        <sz val="14"/>
        <rFont val="Times New Roman"/>
        <family val="1"/>
      </rPr>
      <t>19</t>
    </r>
  </si>
  <si>
    <t>Fra og med 2024 inngår mye av kursreserven i bufferfondet og er dermed rapportert i egen post.</t>
  </si>
  <si>
    <r>
      <t xml:space="preserve">    Endring i kursreguleringsfond</t>
    </r>
    <r>
      <rPr>
        <i/>
        <vertAlign val="superscript"/>
        <sz val="14"/>
        <rFont val="Times New Roman"/>
        <family val="1"/>
      </rPr>
      <t>19</t>
    </r>
  </si>
  <si>
    <t xml:space="preserve">    Endring i tilleggsavsetninger (2023)</t>
  </si>
  <si>
    <t xml:space="preserve">    Tilleggsavsetninger (2023)</t>
  </si>
  <si>
    <t>Kapitalavkastning hittil i år</t>
  </si>
  <si>
    <t xml:space="preserve">Forsikringsforpliktelser i livsforsikring tilsvarer post 13 i balansen uten investeringsvalg og post 14 i balansen for produkter med investeringsvalg. Gjenforsikringsandel skal ikke tas hensyn til i markedsdelen. </t>
  </si>
  <si>
    <t>30.6.2024</t>
  </si>
  <si>
    <t>30.6.2025</t>
  </si>
  <si>
    <t xml:space="preserve">    Tilleggsavsetninger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</si>
</sst>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 numFmtId="171" formatCode="_ * #,##0.0_ ;_ * \-#,##0.0_ ;_ * &quot;&quot;??_ ;_ @_ "/>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u/>
      <sz val="12"/>
      <name val="Times New Roman"/>
      <family val="1"/>
    </font>
    <font>
      <b/>
      <sz val="12"/>
      <color rgb="FFFF0000"/>
      <name val="Times New Roman"/>
      <family val="1"/>
    </font>
    <font>
      <sz val="10"/>
      <color theme="0"/>
      <name val="Times New Roman"/>
      <family val="1"/>
    </font>
    <font>
      <b/>
      <sz val="10"/>
      <color rgb="FFFF0000"/>
      <name val="Arial"/>
      <family val="2"/>
    </font>
    <font>
      <b/>
      <sz val="15"/>
      <name val="Arial"/>
      <family val="2"/>
    </font>
    <font>
      <i/>
      <sz val="14"/>
      <name val="Times New Roman"/>
      <family val="1"/>
    </font>
    <font>
      <b/>
      <i/>
      <sz val="16"/>
      <color rgb="FFFF0000"/>
      <name val="Times New Roman"/>
      <family val="1"/>
    </font>
    <font>
      <i/>
      <vertAlign val="superscript"/>
      <sz val="14"/>
      <name val="Times New Roman"/>
      <family val="1"/>
    </font>
    <font>
      <b/>
      <sz val="10"/>
      <color theme="0"/>
      <name val="Times New Roman"/>
      <family val="1"/>
    </font>
    <font>
      <b/>
      <sz val="14"/>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854">
    <xf numFmtId="0" fontId="0" fillId="0" borderId="0"/>
    <xf numFmtId="0" fontId="21" fillId="0" borderId="0"/>
    <xf numFmtId="43" fontId="27" fillId="0" borderId="0" applyFont="0" applyFill="0" applyBorder="0" applyAlignment="0" applyProtection="0"/>
    <xf numFmtId="0" fontId="44" fillId="0" borderId="0" applyNumberFormat="0" applyFill="0" applyBorder="0" applyAlignment="0" applyProtection="0">
      <alignment vertical="top"/>
      <protection locked="0"/>
    </xf>
    <xf numFmtId="0" fontId="14" fillId="0" borderId="0"/>
    <xf numFmtId="0" fontId="21" fillId="0" borderId="0"/>
    <xf numFmtId="0" fontId="13" fillId="0" borderId="0"/>
    <xf numFmtId="0" fontId="21" fillId="0" borderId="0"/>
    <xf numFmtId="0" fontId="12" fillId="0" borderId="0"/>
    <xf numFmtId="0" fontId="21" fillId="0" borderId="0"/>
    <xf numFmtId="0" fontId="27" fillId="0" borderId="0"/>
    <xf numFmtId="0" fontId="1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21" fillId="0" borderId="0" applyFont="0" applyFill="0" applyBorder="0" applyAlignment="0" applyProtection="0"/>
    <xf numFmtId="0" fontId="12" fillId="0" borderId="0"/>
    <xf numFmtId="0" fontId="21" fillId="0" borderId="0"/>
    <xf numFmtId="0" fontId="21" fillId="0" borderId="0"/>
    <xf numFmtId="43" fontId="2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21"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6" borderId="0" applyNumberFormat="0" applyBorder="0" applyAlignment="0" applyProtection="0"/>
    <xf numFmtId="0" fontId="21" fillId="0" borderId="0"/>
    <xf numFmtId="43" fontId="2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21"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21" fillId="0" borderId="0"/>
    <xf numFmtId="43" fontId="2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6"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21" fillId="5" borderId="16" applyNumberFormat="0" applyFont="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27" fillId="0" borderId="0" applyFont="0" applyFill="0" applyBorder="0" applyAlignment="0" applyProtection="0"/>
    <xf numFmtId="0" fontId="12"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6"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6"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6"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6"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6"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6"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4" fillId="0" borderId="0"/>
    <xf numFmtId="43" fontId="2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43" fontId="2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2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6"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7" borderId="0" applyNumberFormat="0" applyBorder="0" applyAlignment="0" applyProtection="0"/>
    <xf numFmtId="0" fontId="16" fillId="0" borderId="0"/>
    <xf numFmtId="170" fontId="17" fillId="0" borderId="7" applyFont="0" applyFill="0" applyBorder="0" applyAlignment="0" applyProtection="0">
      <alignment horizontal="right"/>
    </xf>
    <xf numFmtId="43" fontId="21" fillId="0" borderId="0" applyFont="0" applyFill="0" applyBorder="0" applyAlignment="0" applyProtection="0"/>
    <xf numFmtId="0" fontId="16" fillId="0" borderId="0"/>
    <xf numFmtId="43" fontId="21" fillId="0" borderId="0" applyFont="0" applyFill="0" applyBorder="0" applyAlignment="0" applyProtection="0"/>
    <xf numFmtId="43" fontId="21" fillId="0" borderId="0" applyFont="0" applyFill="0" applyBorder="0" applyAlignment="0" applyProtection="0"/>
    <xf numFmtId="0" fontId="2" fillId="0" borderId="0"/>
    <xf numFmtId="0" fontId="21" fillId="0" borderId="0"/>
    <xf numFmtId="0" fontId="1" fillId="0" borderId="0"/>
  </cellStyleXfs>
  <cellXfs count="606">
    <xf numFmtId="0" fontId="0" fillId="0" borderId="0" xfId="0"/>
    <xf numFmtId="0" fontId="19" fillId="0" borderId="0" xfId="1" applyFont="1"/>
    <xf numFmtId="0" fontId="25" fillId="0" borderId="0" xfId="1" applyFont="1"/>
    <xf numFmtId="49" fontId="19" fillId="0" borderId="0" xfId="1" applyNumberFormat="1" applyFont="1" applyAlignment="1">
      <alignment horizontal="center"/>
    </xf>
    <xf numFmtId="164" fontId="19" fillId="0" borderId="0" xfId="1" applyNumberFormat="1" applyFont="1"/>
    <xf numFmtId="0" fontId="19" fillId="0" borderId="0" xfId="1" applyFont="1" applyAlignment="1">
      <alignment horizontal="left"/>
    </xf>
    <xf numFmtId="164" fontId="17" fillId="3" borderId="5" xfId="1" applyNumberFormat="1" applyFont="1" applyFill="1" applyBorder="1" applyAlignment="1">
      <alignment horizontal="right"/>
    </xf>
    <xf numFmtId="0" fontId="19" fillId="0" borderId="6" xfId="1" applyFont="1" applyBorder="1"/>
    <xf numFmtId="164" fontId="17" fillId="3" borderId="2" xfId="1" applyNumberFormat="1" applyFont="1" applyFill="1" applyBorder="1" applyAlignment="1">
      <alignment horizontal="right"/>
    </xf>
    <xf numFmtId="0" fontId="17" fillId="0" borderId="4" xfId="1" applyFont="1" applyBorder="1"/>
    <xf numFmtId="0" fontId="17" fillId="0" borderId="3" xfId="1" applyFont="1" applyBorder="1"/>
    <xf numFmtId="0" fontId="17" fillId="0" borderId="7" xfId="1" applyFont="1" applyBorder="1"/>
    <xf numFmtId="0" fontId="17" fillId="0" borderId="6" xfId="1" applyFont="1" applyBorder="1" applyAlignment="1">
      <alignment horizontal="center"/>
    </xf>
    <xf numFmtId="0" fontId="17" fillId="0" borderId="11" xfId="1" applyFont="1" applyBorder="1" applyAlignment="1">
      <alignment horizontal="center"/>
    </xf>
    <xf numFmtId="0" fontId="17" fillId="0" borderId="5" xfId="1" applyFont="1" applyBorder="1" applyAlignment="1">
      <alignment horizontal="center"/>
    </xf>
    <xf numFmtId="0" fontId="17" fillId="0" borderId="11" xfId="1" applyFont="1" applyBorder="1"/>
    <xf numFmtId="0" fontId="17" fillId="0" borderId="7" xfId="1" applyFont="1" applyBorder="1" applyAlignment="1">
      <alignment horizontal="center"/>
    </xf>
    <xf numFmtId="14" fontId="18" fillId="0" borderId="4" xfId="1" applyNumberFormat="1" applyFont="1" applyBorder="1" applyAlignment="1">
      <alignment horizontal="center"/>
    </xf>
    <xf numFmtId="0" fontId="19" fillId="0" borderId="3" xfId="1" applyFont="1" applyBorder="1"/>
    <xf numFmtId="164" fontId="19" fillId="3" borderId="6" xfId="1" applyNumberFormat="1" applyFont="1" applyFill="1" applyBorder="1" applyAlignment="1">
      <alignment horizontal="right"/>
    </xf>
    <xf numFmtId="164" fontId="19" fillId="3" borderId="3" xfId="1" applyNumberFormat="1" applyFont="1" applyFill="1" applyBorder="1" applyAlignment="1">
      <alignment horizontal="right"/>
    </xf>
    <xf numFmtId="164" fontId="17" fillId="3" borderId="3" xfId="1" applyNumberFormat="1" applyFont="1" applyFill="1" applyBorder="1" applyAlignment="1">
      <alignment horizontal="right"/>
    </xf>
    <xf numFmtId="3" fontId="19" fillId="0" borderId="0" xfId="1" applyNumberFormat="1" applyFont="1"/>
    <xf numFmtId="164" fontId="19" fillId="3" borderId="2" xfId="1" applyNumberFormat="1" applyFont="1" applyFill="1" applyBorder="1" applyAlignment="1">
      <alignment horizontal="right"/>
    </xf>
    <xf numFmtId="0" fontId="16" fillId="0" borderId="0" xfId="1" applyFont="1"/>
    <xf numFmtId="0" fontId="23" fillId="0" borderId="0" xfId="1" applyFont="1"/>
    <xf numFmtId="164" fontId="17" fillId="0" borderId="0" xfId="1" applyNumberFormat="1" applyFont="1" applyAlignment="1">
      <alignment horizontal="right"/>
    </xf>
    <xf numFmtId="3" fontId="19" fillId="0" borderId="0" xfId="1" applyNumberFormat="1" applyFont="1" applyAlignment="1">
      <alignment horizontal="center"/>
    </xf>
    <xf numFmtId="164" fontId="19" fillId="0" borderId="0" xfId="1" applyNumberFormat="1" applyFont="1" applyAlignment="1">
      <alignment horizontal="right"/>
    </xf>
    <xf numFmtId="49" fontId="19" fillId="0" borderId="0" xfId="1" applyNumberFormat="1" applyFont="1" applyAlignment="1">
      <alignment horizontal="right"/>
    </xf>
    <xf numFmtId="164" fontId="17" fillId="3" borderId="6" xfId="1" applyNumberFormat="1" applyFont="1" applyFill="1" applyBorder="1" applyAlignment="1">
      <alignment horizontal="right"/>
    </xf>
    <xf numFmtId="3" fontId="19" fillId="0" borderId="0" xfId="1" quotePrefix="1" applyNumberFormat="1" applyFont="1" applyAlignment="1">
      <alignment horizontal="center"/>
    </xf>
    <xf numFmtId="0" fontId="17" fillId="0" borderId="0" xfId="1" applyFont="1" applyAlignment="1">
      <alignment horizontal="center"/>
    </xf>
    <xf numFmtId="0" fontId="17" fillId="0" borderId="6" xfId="1" applyFont="1" applyBorder="1"/>
    <xf numFmtId="14" fontId="18" fillId="0" borderId="0" xfId="1" applyNumberFormat="1" applyFont="1" applyAlignment="1">
      <alignment horizontal="center"/>
    </xf>
    <xf numFmtId="0" fontId="17" fillId="0" borderId="0" xfId="1" applyFont="1"/>
    <xf numFmtId="3" fontId="19" fillId="0" borderId="3" xfId="1" applyNumberFormat="1" applyFont="1" applyBorder="1" applyAlignment="1">
      <alignment horizontal="right"/>
    </xf>
    <xf numFmtId="3" fontId="19" fillId="0" borderId="6" xfId="1" applyNumberFormat="1" applyFont="1" applyBorder="1" applyAlignment="1">
      <alignment horizontal="right"/>
    </xf>
    <xf numFmtId="3" fontId="20" fillId="0" borderId="0" xfId="1" applyNumberFormat="1" applyFont="1" applyAlignment="1">
      <alignment horizontal="right"/>
    </xf>
    <xf numFmtId="0" fontId="19" fillId="0" borderId="4" xfId="1" applyFont="1" applyBorder="1"/>
    <xf numFmtId="0" fontId="19" fillId="0" borderId="0" xfId="1" applyFont="1" applyAlignment="1">
      <alignment horizontal="right"/>
    </xf>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9" fillId="0" borderId="0" xfId="3" applyFont="1" applyFill="1" applyAlignment="1" applyProtection="1"/>
    <xf numFmtId="0" fontId="32" fillId="0" borderId="0" xfId="0" applyFont="1"/>
    <xf numFmtId="0" fontId="46" fillId="0" borderId="0" xfId="0" applyFont="1"/>
    <xf numFmtId="0" fontId="47" fillId="0" borderId="0" xfId="0" applyFont="1"/>
    <xf numFmtId="3" fontId="32" fillId="0" borderId="0" xfId="0" applyNumberFormat="1" applyFont="1"/>
    <xf numFmtId="0" fontId="42" fillId="0" borderId="0" xfId="0" applyFont="1"/>
    <xf numFmtId="0" fontId="38" fillId="0" borderId="0" xfId="0" applyFont="1"/>
    <xf numFmtId="14" fontId="15" fillId="0" borderId="13" xfId="0" applyNumberFormat="1" applyFont="1" applyBorder="1" applyAlignment="1">
      <alignment horizontal="left"/>
    </xf>
    <xf numFmtId="0" fontId="32" fillId="0" borderId="10" xfId="0" applyFont="1" applyBorder="1"/>
    <xf numFmtId="0" fontId="32" fillId="0" borderId="8" xfId="0" applyFont="1" applyBorder="1"/>
    <xf numFmtId="0" fontId="32" fillId="0" borderId="9" xfId="0" applyFont="1" applyBorder="1"/>
    <xf numFmtId="0" fontId="32" fillId="0" borderId="3" xfId="0" applyFont="1" applyBorder="1"/>
    <xf numFmtId="0" fontId="19" fillId="0" borderId="0" xfId="0" applyFont="1"/>
    <xf numFmtId="3" fontId="46" fillId="0" borderId="7" xfId="0" applyNumberFormat="1" applyFont="1" applyBorder="1"/>
    <xf numFmtId="0" fontId="46" fillId="0" borderId="0" xfId="0" applyFont="1" applyAlignment="1">
      <alignment horizontal="center"/>
    </xf>
    <xf numFmtId="0" fontId="46" fillId="0" borderId="3" xfId="0" applyFont="1" applyBorder="1" applyAlignment="1">
      <alignment horizontal="center"/>
    </xf>
    <xf numFmtId="3" fontId="46" fillId="0" borderId="3" xfId="0" applyNumberFormat="1" applyFont="1" applyBorder="1"/>
    <xf numFmtId="0" fontId="17" fillId="0" borderId="4" xfId="0" applyFont="1" applyBorder="1" applyAlignment="1">
      <alignment horizontal="center"/>
    </xf>
    <xf numFmtId="0" fontId="17" fillId="0" borderId="1"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3" fontId="49" fillId="4" borderId="6" xfId="0" applyNumberFormat="1" applyFont="1" applyFill="1" applyBorder="1"/>
    <xf numFmtId="0" fontId="15" fillId="0" borderId="11" xfId="0" applyFont="1" applyBorder="1" applyAlignment="1">
      <alignment horizontal="center"/>
    </xf>
    <xf numFmtId="0" fontId="17" fillId="0" borderId="11" xfId="0" applyFont="1" applyBorder="1" applyAlignment="1">
      <alignment horizontal="center"/>
    </xf>
    <xf numFmtId="0" fontId="17" fillId="0" borderId="6" xfId="0" applyFont="1" applyBorder="1" applyAlignment="1">
      <alignment horizontal="center"/>
    </xf>
    <xf numFmtId="0" fontId="17" fillId="0" borderId="0" xfId="0" applyFont="1" applyAlignment="1">
      <alignment horizontal="center"/>
    </xf>
    <xf numFmtId="0" fontId="46" fillId="0" borderId="3" xfId="0" applyFont="1" applyBorder="1"/>
    <xf numFmtId="0" fontId="32" fillId="0" borderId="1" xfId="0" applyFont="1" applyBorder="1"/>
    <xf numFmtId="3" fontId="32" fillId="0" borderId="4" xfId="0" applyNumberFormat="1" applyFont="1" applyBorder="1"/>
    <xf numFmtId="3" fontId="32" fillId="0" borderId="4" xfId="0" applyNumberFormat="1" applyFont="1" applyBorder="1" applyAlignment="1">
      <alignment horizontal="right"/>
    </xf>
    <xf numFmtId="0" fontId="32" fillId="0" borderId="4" xfId="0" applyFont="1" applyBorder="1"/>
    <xf numFmtId="3" fontId="46" fillId="0" borderId="4" xfId="0" applyNumberFormat="1" applyFont="1" applyBorder="1"/>
    <xf numFmtId="3" fontId="46" fillId="0" borderId="4" xfId="0" applyNumberFormat="1" applyFont="1" applyBorder="1" applyAlignment="1">
      <alignment horizontal="right"/>
    </xf>
    <xf numFmtId="0" fontId="17" fillId="0" borderId="0" xfId="0" applyFont="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2" fillId="0" borderId="0" xfId="0" applyFont="1" applyAlignment="1">
      <alignment horizontal="left"/>
    </xf>
    <xf numFmtId="0" fontId="46" fillId="0" borderId="0" xfId="0" applyFont="1" applyAlignment="1">
      <alignment horizontal="left"/>
    </xf>
    <xf numFmtId="0" fontId="32" fillId="0" borderId="14" xfId="0" applyFont="1" applyBorder="1"/>
    <xf numFmtId="0" fontId="32" fillId="0" borderId="15" xfId="0" applyFont="1" applyBorder="1"/>
    <xf numFmtId="166" fontId="46" fillId="0" borderId="7" xfId="0" applyNumberFormat="1" applyFont="1" applyBorder="1" applyAlignment="1">
      <alignment horizontal="left"/>
    </xf>
    <xf numFmtId="0" fontId="46" fillId="0" borderId="2" xfId="0" applyFont="1" applyBorder="1" applyAlignment="1">
      <alignment horizontal="center"/>
    </xf>
    <xf numFmtId="166"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7" fillId="0" borderId="2" xfId="0" applyFont="1" applyBorder="1" applyAlignment="1">
      <alignment horizontal="center"/>
    </xf>
    <xf numFmtId="166" fontId="51" fillId="0" borderId="6" xfId="0" applyNumberFormat="1" applyFont="1" applyBorder="1" applyAlignment="1">
      <alignment horizontal="left"/>
    </xf>
    <xf numFmtId="0" fontId="15" fillId="0" borderId="6" xfId="0" applyFont="1" applyBorder="1" applyAlignment="1">
      <alignment horizontal="center"/>
    </xf>
    <xf numFmtId="0" fontId="17" fillId="0" borderId="12" xfId="0" applyFont="1" applyBorder="1" applyAlignment="1">
      <alignment horizontal="center"/>
    </xf>
    <xf numFmtId="3" fontId="32" fillId="0" borderId="1" xfId="0" applyNumberFormat="1" applyFont="1" applyBorder="1"/>
    <xf numFmtId="3" fontId="32" fillId="0" borderId="2" xfId="0" applyNumberFormat="1" applyFont="1" applyBorder="1"/>
    <xf numFmtId="3" fontId="52" fillId="0" borderId="4" xfId="0" applyNumberFormat="1" applyFont="1" applyBorder="1" applyAlignment="1">
      <alignment horizontal="right"/>
    </xf>
    <xf numFmtId="0" fontId="53" fillId="0" borderId="0" xfId="0" applyFont="1"/>
    <xf numFmtId="3" fontId="54" fillId="0" borderId="0" xfId="0" applyNumberFormat="1" applyFont="1"/>
    <xf numFmtId="0" fontId="54" fillId="0" borderId="0" xfId="0" applyFont="1"/>
    <xf numFmtId="0" fontId="46" fillId="0" borderId="4" xfId="0" applyFont="1" applyBorder="1"/>
    <xf numFmtId="3" fontId="46" fillId="0" borderId="0" xfId="0" applyNumberFormat="1" applyFont="1" applyAlignment="1">
      <alignment horizontal="right"/>
    </xf>
    <xf numFmtId="3" fontId="17" fillId="0" borderId="4" xfId="1" applyNumberFormat="1" applyFont="1" applyBorder="1"/>
    <xf numFmtId="3" fontId="16" fillId="0" borderId="0" xfId="1" applyNumberFormat="1" applyFont="1"/>
    <xf numFmtId="3" fontId="17" fillId="0" borderId="0" xfId="1" applyNumberFormat="1" applyFont="1"/>
    <xf numFmtId="3" fontId="17" fillId="0" borderId="1" xfId="1" applyNumberFormat="1" applyFont="1" applyBorder="1"/>
    <xf numFmtId="3" fontId="19" fillId="0" borderId="0" xfId="1" applyNumberFormat="1" applyFont="1" applyAlignment="1">
      <alignment horizontal="right"/>
    </xf>
    <xf numFmtId="3" fontId="15" fillId="0" borderId="0" xfId="1" applyNumberFormat="1" applyFont="1"/>
    <xf numFmtId="3" fontId="17" fillId="0" borderId="5" xfId="1" applyNumberFormat="1" applyFont="1" applyBorder="1" applyAlignment="1">
      <alignment horizontal="center"/>
    </xf>
    <xf numFmtId="3" fontId="23" fillId="0" borderId="0" xfId="1" applyNumberFormat="1" applyFont="1"/>
    <xf numFmtId="3" fontId="18" fillId="0" borderId="4" xfId="1" applyNumberFormat="1" applyFont="1" applyBorder="1" applyAlignment="1">
      <alignment horizontal="center"/>
    </xf>
    <xf numFmtId="3" fontId="19" fillId="0" borderId="4" xfId="1" applyNumberFormat="1" applyFont="1" applyBorder="1"/>
    <xf numFmtId="3" fontId="19" fillId="0" borderId="0" xfId="1" applyNumberFormat="1" applyFont="1" applyAlignment="1">
      <alignment horizontal="left"/>
    </xf>
    <xf numFmtId="3" fontId="17" fillId="0" borderId="6" xfId="1" applyNumberFormat="1" applyFont="1" applyBorder="1" applyAlignment="1">
      <alignment horizontal="center"/>
    </xf>
    <xf numFmtId="3" fontId="17" fillId="0" borderId="3" xfId="1" applyNumberFormat="1" applyFont="1" applyBorder="1"/>
    <xf numFmtId="3" fontId="17" fillId="0" borderId="0" xfId="1" applyNumberFormat="1" applyFont="1" applyAlignment="1">
      <alignment horizontal="right"/>
    </xf>
    <xf numFmtId="3" fontId="17" fillId="3" borderId="2" xfId="1" applyNumberFormat="1" applyFont="1" applyFill="1" applyBorder="1" applyAlignment="1">
      <alignment horizontal="right"/>
    </xf>
    <xf numFmtId="3" fontId="17" fillId="0" borderId="11" xfId="1" applyNumberFormat="1" applyFont="1" applyBorder="1" applyAlignment="1">
      <alignment horizontal="center"/>
    </xf>
    <xf numFmtId="3" fontId="17" fillId="0" borderId="7" xfId="1" applyNumberFormat="1" applyFont="1" applyBorder="1" applyAlignment="1">
      <alignment horizontal="center"/>
    </xf>
    <xf numFmtId="3" fontId="15" fillId="0" borderId="12" xfId="1" applyNumberFormat="1" applyFont="1" applyBorder="1"/>
    <xf numFmtId="3" fontId="19" fillId="3" borderId="3" xfId="1" applyNumberFormat="1" applyFont="1" applyFill="1" applyBorder="1" applyAlignment="1">
      <alignment horizontal="right"/>
    </xf>
    <xf numFmtId="3" fontId="19" fillId="3" borderId="6" xfId="1" applyNumberFormat="1" applyFont="1" applyFill="1" applyBorder="1" applyAlignment="1">
      <alignment horizontal="right"/>
    </xf>
    <xf numFmtId="3" fontId="17" fillId="3" borderId="6" xfId="1" applyNumberFormat="1" applyFont="1" applyFill="1" applyBorder="1" applyAlignment="1">
      <alignment horizontal="right"/>
    </xf>
    <xf numFmtId="3" fontId="17" fillId="3" borderId="5" xfId="1" applyNumberFormat="1" applyFont="1" applyFill="1" applyBorder="1" applyAlignment="1">
      <alignment horizontal="right"/>
    </xf>
    <xf numFmtId="3" fontId="17" fillId="3" borderId="3" xfId="1" applyNumberFormat="1" applyFont="1" applyFill="1" applyBorder="1" applyAlignment="1">
      <alignment horizontal="right"/>
    </xf>
    <xf numFmtId="3" fontId="0" fillId="0" borderId="0" xfId="0" applyNumberFormat="1"/>
    <xf numFmtId="3" fontId="19" fillId="0" borderId="10" xfId="1" applyNumberFormat="1" applyFont="1" applyBorder="1" applyAlignment="1">
      <alignment horizontal="left"/>
    </xf>
    <xf numFmtId="3" fontId="18" fillId="0" borderId="7" xfId="1" applyNumberFormat="1" applyFont="1" applyBorder="1" applyAlignment="1">
      <alignment horizontal="center"/>
    </xf>
    <xf numFmtId="3" fontId="17" fillId="0" borderId="0" xfId="1" applyNumberFormat="1" applyFont="1" applyAlignment="1">
      <alignment horizontal="center"/>
    </xf>
    <xf numFmtId="3" fontId="18" fillId="0" borderId="0" xfId="1" applyNumberFormat="1" applyFont="1" applyAlignment="1">
      <alignment horizontal="center"/>
    </xf>
    <xf numFmtId="3" fontId="19" fillId="3" borderId="2" xfId="1" applyNumberFormat="1" applyFont="1" applyFill="1" applyBorder="1" applyAlignment="1">
      <alignment horizontal="right"/>
    </xf>
    <xf numFmtId="3" fontId="32" fillId="0" borderId="3" xfId="0" applyNumberFormat="1" applyFont="1" applyBorder="1"/>
    <xf numFmtId="3" fontId="46" fillId="0" borderId="0" xfId="0" applyNumberFormat="1" applyFont="1"/>
    <xf numFmtId="3" fontId="46" fillId="0" borderId="6" xfId="0" applyNumberFormat="1" applyFont="1" applyBorder="1"/>
    <xf numFmtId="3" fontId="32" fillId="0" borderId="0" xfId="0" applyNumberFormat="1" applyFont="1" applyAlignment="1">
      <alignment horizontal="right"/>
    </xf>
    <xf numFmtId="3" fontId="52" fillId="0" borderId="0" xfId="0" applyNumberFormat="1" applyFont="1" applyAlignment="1">
      <alignment horizontal="right"/>
    </xf>
    <xf numFmtId="0" fontId="15" fillId="0" borderId="4" xfId="0" applyFont="1" applyBorder="1" applyAlignment="1">
      <alignment horizontal="center"/>
    </xf>
    <xf numFmtId="0" fontId="15" fillId="0" borderId="3" xfId="0" applyFont="1" applyBorder="1" applyAlignment="1">
      <alignment horizontal="center"/>
    </xf>
    <xf numFmtId="3" fontId="19" fillId="2" borderId="3" xfId="1" applyNumberFormat="1" applyFont="1" applyFill="1" applyBorder="1" applyAlignment="1">
      <alignment horizontal="right"/>
    </xf>
    <xf numFmtId="3" fontId="24" fillId="0" borderId="4" xfId="1" applyNumberFormat="1" applyFont="1" applyBorder="1" applyAlignment="1">
      <alignment horizontal="right"/>
    </xf>
    <xf numFmtId="3" fontId="24" fillId="0" borderId="3" xfId="1" applyNumberFormat="1" applyFont="1" applyBorder="1" applyAlignment="1">
      <alignment horizontal="right"/>
    </xf>
    <xf numFmtId="3" fontId="19" fillId="0" borderId="4" xfId="1" quotePrefix="1" applyNumberFormat="1" applyFont="1" applyBorder="1" applyAlignment="1">
      <alignment horizontal="right"/>
    </xf>
    <xf numFmtId="166" fontId="46" fillId="0" borderId="4" xfId="0" applyNumberFormat="1" applyFont="1" applyBorder="1" applyAlignment="1">
      <alignment horizontal="left"/>
    </xf>
    <xf numFmtId="0" fontId="52" fillId="0" borderId="4" xfId="0" applyFont="1" applyBorder="1"/>
    <xf numFmtId="0" fontId="46" fillId="0" borderId="11" xfId="0" applyFont="1" applyBorder="1"/>
    <xf numFmtId="3" fontId="32" fillId="0" borderId="3" xfId="0" applyNumberFormat="1" applyFont="1" applyBorder="1" applyAlignment="1">
      <alignment horizontal="right"/>
    </xf>
    <xf numFmtId="3" fontId="52" fillId="0" borderId="3" xfId="0" applyNumberFormat="1" applyFont="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8" fillId="0" borderId="4" xfId="0" applyFont="1" applyBorder="1" applyAlignment="1">
      <alignment horizontal="right"/>
    </xf>
    <xf numFmtId="3" fontId="32" fillId="0" borderId="7" xfId="0" applyNumberFormat="1" applyFont="1" applyBorder="1" applyAlignment="1">
      <alignment horizontal="right"/>
    </xf>
    <xf numFmtId="3" fontId="32" fillId="0" borderId="14" xfId="0" applyNumberFormat="1" applyFont="1" applyBorder="1" applyAlignment="1">
      <alignment horizontal="right"/>
    </xf>
    <xf numFmtId="0" fontId="38" fillId="0" borderId="3" xfId="0" applyFont="1" applyBorder="1" applyAlignment="1">
      <alignment horizontal="right"/>
    </xf>
    <xf numFmtId="3" fontId="32" fillId="0" borderId="6" xfId="0" applyNumberFormat="1" applyFont="1" applyBorder="1" applyAlignment="1">
      <alignment horizontal="right"/>
    </xf>
    <xf numFmtId="3" fontId="17" fillId="0" borderId="0" xfId="0" applyNumberFormat="1" applyFont="1"/>
    <xf numFmtId="3" fontId="17" fillId="0" borderId="4" xfId="1" applyNumberFormat="1" applyFont="1" applyBorder="1" applyAlignment="1">
      <alignment horizontal="center"/>
    </xf>
    <xf numFmtId="3" fontId="19" fillId="0" borderId="0" xfId="0" applyNumberFormat="1" applyFont="1"/>
    <xf numFmtId="0" fontId="19" fillId="8" borderId="1" xfId="0" applyFont="1" applyFill="1" applyBorder="1"/>
    <xf numFmtId="0" fontId="19" fillId="8" borderId="15" xfId="0" applyFont="1" applyFill="1" applyBorder="1"/>
    <xf numFmtId="0" fontId="19" fillId="8" borderId="14" xfId="0" applyFont="1" applyFill="1" applyBorder="1"/>
    <xf numFmtId="0" fontId="17" fillId="8" borderId="1" xfId="0" applyFont="1" applyFill="1" applyBorder="1" applyAlignment="1">
      <alignment horizontal="center"/>
    </xf>
    <xf numFmtId="0" fontId="17" fillId="8" borderId="15" xfId="0" applyFont="1" applyFill="1" applyBorder="1" applyAlignment="1">
      <alignment horizontal="center"/>
    </xf>
    <xf numFmtId="0" fontId="17" fillId="8" borderId="14" xfId="0" applyFont="1" applyFill="1" applyBorder="1" applyAlignment="1">
      <alignment horizontal="center"/>
    </xf>
    <xf numFmtId="0" fontId="17" fillId="8" borderId="11" xfId="0" applyFont="1" applyFill="1" applyBorder="1" applyAlignment="1">
      <alignment horizontal="center"/>
    </xf>
    <xf numFmtId="0" fontId="17" fillId="8" borderId="5" xfId="0" applyFont="1" applyFill="1" applyBorder="1" applyAlignment="1">
      <alignment horizontal="center"/>
    </xf>
    <xf numFmtId="0" fontId="17" fillId="8" borderId="12" xfId="0" applyFont="1" applyFill="1" applyBorder="1" applyAlignment="1">
      <alignment horizontal="center"/>
    </xf>
    <xf numFmtId="0" fontId="17" fillId="8" borderId="3" xfId="0" applyFont="1" applyFill="1" applyBorder="1"/>
    <xf numFmtId="3" fontId="19" fillId="8" borderId="2" xfId="0" applyNumberFormat="1" applyFont="1" applyFill="1" applyBorder="1"/>
    <xf numFmtId="3" fontId="19" fillId="8" borderId="7" xfId="0" applyNumberFormat="1" applyFont="1" applyFill="1" applyBorder="1"/>
    <xf numFmtId="3" fontId="19" fillId="8" borderId="3" xfId="0" applyNumberFormat="1" applyFont="1" applyFill="1" applyBorder="1"/>
    <xf numFmtId="0" fontId="17" fillId="8" borderId="3" xfId="0" applyFont="1" applyFill="1" applyBorder="1" applyAlignment="1">
      <alignment horizontal="center"/>
    </xf>
    <xf numFmtId="0" fontId="17" fillId="8" borderId="2" xfId="0" applyFont="1" applyFill="1" applyBorder="1" applyAlignment="1">
      <alignment horizontal="center"/>
    </xf>
    <xf numFmtId="0" fontId="19" fillId="8" borderId="2" xfId="0" applyFont="1" applyFill="1" applyBorder="1"/>
    <xf numFmtId="0" fontId="19" fillId="8" borderId="3" xfId="0" applyFont="1" applyFill="1" applyBorder="1"/>
    <xf numFmtId="3" fontId="17" fillId="8" borderId="6" xfId="0" applyNumberFormat="1" applyFont="1" applyFill="1" applyBorder="1"/>
    <xf numFmtId="3" fontId="17" fillId="8" borderId="5" xfId="0" applyNumberFormat="1" applyFont="1" applyFill="1" applyBorder="1"/>
    <xf numFmtId="3" fontId="32" fillId="0" borderId="2" xfId="0" quotePrefix="1" applyNumberFormat="1" applyFont="1" applyBorder="1" applyAlignment="1">
      <alignment horizontal="right"/>
    </xf>
    <xf numFmtId="0" fontId="38" fillId="0" borderId="1" xfId="0" applyFont="1" applyBorder="1" applyAlignment="1">
      <alignment horizontal="right"/>
    </xf>
    <xf numFmtId="3" fontId="32" fillId="0" borderId="3" xfId="0" quotePrefix="1" applyNumberFormat="1" applyFont="1" applyBorder="1" applyAlignment="1">
      <alignment horizontal="right"/>
    </xf>
    <xf numFmtId="3" fontId="19" fillId="0" borderId="2" xfId="1" applyNumberFormat="1" applyFont="1" applyBorder="1" applyAlignment="1">
      <alignment horizontal="right"/>
    </xf>
    <xf numFmtId="3" fontId="19" fillId="2" borderId="2" xfId="1" applyNumberFormat="1" applyFont="1" applyFill="1" applyBorder="1" applyAlignment="1">
      <alignment horizontal="right"/>
    </xf>
    <xf numFmtId="3" fontId="17" fillId="0" borderId="3" xfId="1" applyNumberFormat="1" applyFont="1" applyBorder="1" applyAlignment="1">
      <alignment horizontal="right"/>
    </xf>
    <xf numFmtId="3" fontId="19" fillId="0" borderId="2" xfId="1" quotePrefix="1" applyNumberFormat="1" applyFont="1" applyBorder="1" applyAlignment="1">
      <alignment horizontal="right"/>
    </xf>
    <xf numFmtId="3" fontId="19" fillId="0" borderId="6" xfId="1" quotePrefix="1" applyNumberFormat="1" applyFont="1" applyBorder="1" applyAlignment="1">
      <alignment horizontal="right"/>
    </xf>
    <xf numFmtId="3" fontId="19" fillId="0" borderId="5" xfId="1" quotePrefix="1" applyNumberFormat="1" applyFont="1" applyBorder="1" applyAlignment="1">
      <alignment horizontal="right"/>
    </xf>
    <xf numFmtId="3" fontId="19" fillId="3" borderId="0" xfId="1" applyNumberFormat="1" applyFont="1" applyFill="1" applyAlignment="1">
      <alignment horizontal="right"/>
    </xf>
    <xf numFmtId="164" fontId="56" fillId="7" borderId="3" xfId="844" applyNumberFormat="1" applyFont="1" applyBorder="1" applyAlignment="1">
      <alignment horizontal="right"/>
    </xf>
    <xf numFmtId="3" fontId="46" fillId="0" borderId="2" xfId="0" applyNumberFormat="1" applyFont="1" applyBorder="1"/>
    <xf numFmtId="3" fontId="18" fillId="0" borderId="1" xfId="1" applyNumberFormat="1" applyFont="1" applyBorder="1" applyAlignment="1">
      <alignment horizontal="center"/>
    </xf>
    <xf numFmtId="3" fontId="15" fillId="0" borderId="9" xfId="1" applyNumberFormat="1" applyFont="1" applyBorder="1" applyAlignment="1">
      <alignment horizontal="center"/>
    </xf>
    <xf numFmtId="3" fontId="18" fillId="0" borderId="6" xfId="1" applyNumberFormat="1" applyFont="1" applyBorder="1" applyAlignment="1">
      <alignment horizontal="center"/>
    </xf>
    <xf numFmtId="3" fontId="17" fillId="0" borderId="3" xfId="1" applyNumberFormat="1" applyFont="1" applyBorder="1" applyAlignment="1">
      <alignment horizontal="center"/>
    </xf>
    <xf numFmtId="3" fontId="18" fillId="0" borderId="3" xfId="1" applyNumberFormat="1" applyFont="1" applyBorder="1" applyAlignment="1">
      <alignment horizontal="center"/>
    </xf>
    <xf numFmtId="3" fontId="17" fillId="0" borderId="2" xfId="1" applyNumberFormat="1" applyFont="1" applyBorder="1" applyAlignment="1">
      <alignment horizontal="center"/>
    </xf>
    <xf numFmtId="3" fontId="15" fillId="0" borderId="1" xfId="1" applyNumberFormat="1" applyFont="1" applyBorder="1"/>
    <xf numFmtId="0" fontId="19" fillId="0" borderId="6" xfId="0" applyFont="1" applyBorder="1"/>
    <xf numFmtId="0" fontId="17" fillId="0" borderId="3" xfId="1" applyFont="1" applyBorder="1" applyAlignment="1">
      <alignment horizontal="center"/>
    </xf>
    <xf numFmtId="0" fontId="17" fillId="0" borderId="15" xfId="1" applyFont="1" applyBorder="1" applyAlignment="1">
      <alignment horizontal="center"/>
    </xf>
    <xf numFmtId="14" fontId="18" fillId="0" borderId="1" xfId="1" applyNumberFormat="1" applyFont="1" applyBorder="1" applyAlignment="1">
      <alignment horizontal="center"/>
    </xf>
    <xf numFmtId="14" fontId="18" fillId="0" borderId="7" xfId="1" applyNumberFormat="1" applyFont="1" applyBorder="1" applyAlignment="1">
      <alignment horizontal="center"/>
    </xf>
    <xf numFmtId="14" fontId="18" fillId="0" borderId="15" xfId="1" applyNumberFormat="1" applyFont="1" applyBorder="1" applyAlignment="1">
      <alignment horizontal="center"/>
    </xf>
    <xf numFmtId="0" fontId="19" fillId="0" borderId="5" xfId="1" applyFont="1" applyBorder="1"/>
    <xf numFmtId="0" fontId="19" fillId="0" borderId="9" xfId="1" applyFont="1" applyBorder="1"/>
    <xf numFmtId="167" fontId="19" fillId="0" borderId="0" xfId="1" applyNumberFormat="1" applyFont="1" applyAlignment="1">
      <alignment horizontal="center"/>
    </xf>
    <xf numFmtId="167" fontId="19" fillId="3" borderId="3" xfId="1" applyNumberFormat="1" applyFont="1" applyFill="1" applyBorder="1" applyAlignment="1">
      <alignment horizontal="right"/>
    </xf>
    <xf numFmtId="167" fontId="19" fillId="3" borderId="6" xfId="1" applyNumberFormat="1" applyFont="1" applyFill="1" applyBorder="1" applyAlignment="1">
      <alignment horizontal="right"/>
    </xf>
    <xf numFmtId="0" fontId="46" fillId="0" borderId="7" xfId="0" applyFont="1" applyBorder="1"/>
    <xf numFmtId="166" fontId="17" fillId="0" borderId="4" xfId="0" applyNumberFormat="1" applyFont="1" applyBorder="1" applyAlignment="1">
      <alignment horizontal="center"/>
    </xf>
    <xf numFmtId="166" fontId="17" fillId="0" borderId="11" xfId="0" applyNumberFormat="1" applyFont="1" applyBorder="1" applyAlignment="1">
      <alignment horizontal="center"/>
    </xf>
    <xf numFmtId="0" fontId="17" fillId="0" borderId="5" xfId="0" applyFont="1" applyBorder="1" applyAlignment="1">
      <alignment horizontal="center"/>
    </xf>
    <xf numFmtId="164" fontId="46" fillId="0" borderId="4" xfId="0" applyNumberFormat="1" applyFont="1" applyBorder="1" applyAlignment="1">
      <alignment horizontal="right"/>
    </xf>
    <xf numFmtId="164" fontId="46" fillId="0" borderId="3" xfId="0" applyNumberFormat="1" applyFont="1" applyBorder="1" applyAlignment="1">
      <alignment horizontal="right"/>
    </xf>
    <xf numFmtId="164" fontId="32" fillId="0" borderId="4" xfId="0" applyNumberFormat="1" applyFont="1" applyBorder="1" applyAlignment="1">
      <alignment horizontal="right"/>
    </xf>
    <xf numFmtId="164" fontId="32" fillId="0" borderId="3" xfId="0" applyNumberFormat="1" applyFont="1" applyBorder="1" applyAlignment="1">
      <alignment horizontal="right"/>
    </xf>
    <xf numFmtId="0" fontId="32" fillId="0" borderId="11" xfId="0" applyFont="1" applyBorder="1"/>
    <xf numFmtId="3" fontId="32" fillId="0" borderId="11" xfId="0" applyNumberFormat="1" applyFont="1" applyBorder="1"/>
    <xf numFmtId="164" fontId="32" fillId="0" borderId="11" xfId="0" applyNumberFormat="1" applyFont="1" applyBorder="1" applyAlignment="1">
      <alignment horizontal="right"/>
    </xf>
    <xf numFmtId="164" fontId="32" fillId="0" borderId="6" xfId="0" applyNumberFormat="1" applyFont="1" applyBorder="1" applyAlignment="1">
      <alignment horizontal="right"/>
    </xf>
    <xf numFmtId="0" fontId="43" fillId="9" borderId="0" xfId="0" applyFont="1" applyFill="1"/>
    <xf numFmtId="0" fontId="67" fillId="0" borderId="0" xfId="3" applyFont="1" applyAlignment="1" applyProtection="1"/>
    <xf numFmtId="0" fontId="42" fillId="0" borderId="0" xfId="0" applyFont="1" applyAlignment="1">
      <alignment horizontal="center"/>
    </xf>
    <xf numFmtId="3" fontId="17" fillId="0" borderId="6" xfId="1" applyNumberFormat="1" applyFont="1" applyBorder="1" applyAlignment="1">
      <alignment horizontal="right"/>
    </xf>
    <xf numFmtId="3" fontId="68" fillId="0" borderId="4" xfId="1" applyNumberFormat="1" applyFont="1" applyBorder="1" applyAlignment="1">
      <alignment horizontal="right"/>
    </xf>
    <xf numFmtId="3" fontId="68" fillId="0" borderId="3" xfId="1" applyNumberFormat="1" applyFont="1" applyBorder="1" applyAlignment="1">
      <alignment horizontal="right"/>
    </xf>
    <xf numFmtId="3" fontId="68" fillId="0" borderId="11" xfId="1" applyNumberFormat="1" applyFont="1" applyBorder="1" applyAlignment="1">
      <alignment horizontal="right"/>
    </xf>
    <xf numFmtId="3" fontId="68" fillId="0" borderId="6" xfId="1" applyNumberFormat="1" applyFont="1" applyBorder="1" applyAlignment="1">
      <alignment horizontal="right"/>
    </xf>
    <xf numFmtId="3" fontId="19" fillId="0" borderId="3" xfId="2" applyNumberFormat="1" applyFont="1" applyFill="1" applyBorder="1" applyAlignment="1">
      <alignment horizontal="right"/>
    </xf>
    <xf numFmtId="3" fontId="19" fillId="0" borderId="4" xfId="2" applyNumberFormat="1" applyFont="1" applyFill="1" applyBorder="1" applyAlignment="1">
      <alignment horizontal="right"/>
    </xf>
    <xf numFmtId="3" fontId="19" fillId="0" borderId="6" xfId="2" applyNumberFormat="1" applyFont="1" applyFill="1" applyBorder="1" applyAlignment="1">
      <alignment horizontal="right"/>
    </xf>
    <xf numFmtId="3" fontId="19" fillId="0" borderId="11" xfId="2" applyNumberFormat="1" applyFont="1" applyFill="1" applyBorder="1" applyAlignment="1">
      <alignment horizontal="right"/>
    </xf>
    <xf numFmtId="3" fontId="19" fillId="2" borderId="3" xfId="2" applyNumberFormat="1" applyFont="1" applyFill="1" applyBorder="1" applyAlignment="1">
      <alignment horizontal="right"/>
    </xf>
    <xf numFmtId="3" fontId="19" fillId="2" borderId="4" xfId="2" applyNumberFormat="1" applyFont="1" applyFill="1" applyBorder="1" applyAlignment="1">
      <alignment horizontal="right"/>
    </xf>
    <xf numFmtId="3" fontId="19" fillId="0" borderId="4" xfId="1" applyNumberFormat="1" applyFont="1" applyBorder="1" applyAlignment="1">
      <alignment horizontal="right"/>
    </xf>
    <xf numFmtId="3" fontId="19" fillId="0" borderId="11" xfId="1" applyNumberFormat="1" applyFont="1" applyBorder="1" applyAlignment="1">
      <alignment horizontal="right"/>
    </xf>
    <xf numFmtId="3" fontId="19" fillId="2" borderId="0" xfId="1" applyNumberFormat="1" applyFont="1" applyFill="1" applyAlignment="1">
      <alignment horizontal="right"/>
    </xf>
    <xf numFmtId="3" fontId="19" fillId="0" borderId="3" xfId="2" applyNumberFormat="1" applyFont="1" applyBorder="1" applyAlignment="1">
      <alignment horizontal="right"/>
    </xf>
    <xf numFmtId="3" fontId="24" fillId="0" borderId="2" xfId="1" applyNumberFormat="1" applyFont="1" applyBorder="1" applyAlignment="1">
      <alignment horizontal="right"/>
    </xf>
    <xf numFmtId="3" fontId="24" fillId="0" borderId="0" xfId="1" applyNumberFormat="1" applyFont="1" applyAlignment="1">
      <alignment horizontal="right"/>
    </xf>
    <xf numFmtId="3" fontId="19" fillId="0" borderId="3" xfId="2" applyNumberFormat="1" applyFont="1" applyBorder="1" applyAlignment="1">
      <alignment horizontal="left"/>
    </xf>
    <xf numFmtId="0" fontId="15" fillId="0" borderId="0" xfId="1" applyFont="1" applyAlignment="1">
      <alignment horizontal="center"/>
    </xf>
    <xf numFmtId="3" fontId="15" fillId="0" borderId="0" xfId="1" applyNumberFormat="1" applyFont="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5" fillId="0" borderId="12" xfId="1" applyNumberFormat="1" applyFont="1" applyBorder="1" applyAlignment="1">
      <alignment horizontal="center"/>
    </xf>
    <xf numFmtId="3" fontId="17" fillId="0" borderId="9" xfId="1" applyNumberFormat="1" applyFont="1" applyBorder="1" applyAlignment="1">
      <alignment horizontal="center"/>
    </xf>
    <xf numFmtId="3" fontId="17" fillId="0" borderId="1" xfId="1" applyNumberFormat="1" applyFont="1" applyBorder="1" applyAlignment="1">
      <alignment horizontal="center"/>
    </xf>
    <xf numFmtId="3" fontId="17" fillId="0" borderId="7" xfId="2" applyNumberFormat="1" applyFont="1" applyFill="1" applyBorder="1" applyAlignment="1">
      <alignment horizontal="right"/>
    </xf>
    <xf numFmtId="3" fontId="17" fillId="0" borderId="1" xfId="2" applyNumberFormat="1" applyFont="1" applyFill="1" applyBorder="1" applyAlignment="1">
      <alignment horizontal="right"/>
    </xf>
    <xf numFmtId="3" fontId="17" fillId="0" borderId="2" xfId="1" applyNumberFormat="1" applyFont="1" applyBorder="1" applyAlignment="1">
      <alignment horizontal="right"/>
    </xf>
    <xf numFmtId="3" fontId="17" fillId="0" borderId="4" xfId="1" applyNumberFormat="1" applyFont="1" applyBorder="1" applyAlignment="1">
      <alignment horizontal="right"/>
    </xf>
    <xf numFmtId="3" fontId="17" fillId="0" borderId="3" xfId="2" applyNumberFormat="1" applyFont="1" applyFill="1" applyBorder="1" applyAlignment="1">
      <alignment horizontal="right"/>
    </xf>
    <xf numFmtId="3" fontId="17" fillId="0" borderId="4" xfId="2" applyNumberFormat="1" applyFont="1" applyFill="1" applyBorder="1" applyAlignment="1">
      <alignment horizontal="right"/>
    </xf>
    <xf numFmtId="3" fontId="17" fillId="0" borderId="6" xfId="2" applyNumberFormat="1" applyFont="1" applyFill="1" applyBorder="1" applyAlignment="1">
      <alignment horizontal="right"/>
    </xf>
    <xf numFmtId="3" fontId="17" fillId="0" borderId="11" xfId="2" applyNumberFormat="1" applyFont="1" applyFill="1" applyBorder="1" applyAlignment="1">
      <alignment horizontal="right"/>
    </xf>
    <xf numFmtId="3" fontId="17" fillId="0" borderId="5" xfId="1" applyNumberFormat="1" applyFont="1" applyBorder="1" applyAlignment="1">
      <alignment horizontal="right"/>
    </xf>
    <xf numFmtId="3" fontId="17" fillId="0" borderId="11" xfId="1" applyNumberFormat="1" applyFont="1" applyBorder="1" applyAlignment="1">
      <alignment horizontal="right"/>
    </xf>
    <xf numFmtId="3" fontId="17" fillId="0" borderId="7" xfId="1" applyNumberFormat="1" applyFont="1" applyBorder="1" applyAlignment="1">
      <alignment horizontal="right"/>
    </xf>
    <xf numFmtId="3" fontId="17" fillId="0" borderId="1" xfId="1" applyNumberFormat="1" applyFont="1" applyBorder="1" applyAlignment="1">
      <alignment horizontal="right"/>
    </xf>
    <xf numFmtId="3" fontId="17" fillId="0" borderId="15" xfId="1" applyNumberFormat="1" applyFont="1" applyBorder="1" applyAlignment="1">
      <alignment horizontal="right"/>
    </xf>
    <xf numFmtId="3" fontId="17" fillId="2" borderId="2" xfId="1" applyNumberFormat="1" applyFont="1" applyFill="1" applyBorder="1" applyAlignment="1">
      <alignment horizontal="right"/>
    </xf>
    <xf numFmtId="3" fontId="17" fillId="2" borderId="0" xfId="1" applyNumberFormat="1" applyFont="1" applyFill="1" applyAlignment="1">
      <alignment horizontal="right"/>
    </xf>
    <xf numFmtId="3" fontId="17" fillId="2" borderId="4" xfId="1" applyNumberFormat="1" applyFont="1" applyFill="1" applyBorder="1" applyAlignment="1">
      <alignment horizontal="right"/>
    </xf>
    <xf numFmtId="3" fontId="17" fillId="2" borderId="5" xfId="1" applyNumberFormat="1" applyFont="1" applyFill="1" applyBorder="1" applyAlignment="1">
      <alignment horizontal="right"/>
    </xf>
    <xf numFmtId="3" fontId="17" fillId="2" borderId="11" xfId="1" applyNumberFormat="1" applyFont="1" applyFill="1" applyBorder="1" applyAlignment="1">
      <alignment horizontal="right"/>
    </xf>
    <xf numFmtId="3" fontId="17" fillId="2" borderId="3" xfId="1" applyNumberFormat="1" applyFont="1" applyFill="1" applyBorder="1" applyAlignment="1">
      <alignment horizontal="right"/>
    </xf>
    <xf numFmtId="3" fontId="17" fillId="2" borderId="6" xfId="1" applyNumberFormat="1" applyFont="1" applyFill="1" applyBorder="1" applyAlignment="1">
      <alignment horizontal="right"/>
    </xf>
    <xf numFmtId="14" fontId="18" fillId="0" borderId="10" xfId="1" applyNumberFormat="1" applyFont="1" applyBorder="1"/>
    <xf numFmtId="0" fontId="0" fillId="0" borderId="8" xfId="0" applyBorder="1"/>
    <xf numFmtId="3" fontId="17" fillId="0" borderId="2" xfId="1" quotePrefix="1" applyNumberFormat="1" applyFont="1" applyBorder="1" applyAlignment="1">
      <alignment horizontal="right"/>
    </xf>
    <xf numFmtId="0" fontId="57" fillId="0" borderId="0" xfId="1" applyFont="1"/>
    <xf numFmtId="0" fontId="16" fillId="0" borderId="0" xfId="1" applyFont="1" applyAlignment="1">
      <alignment horizontal="right" vertical="top"/>
    </xf>
    <xf numFmtId="0" fontId="16" fillId="0" borderId="0" xfId="1" applyFont="1" applyAlignment="1">
      <alignment vertical="top" wrapText="1"/>
    </xf>
    <xf numFmtId="0" fontId="16" fillId="0" borderId="0" xfId="1" applyFont="1" applyAlignment="1">
      <alignment horizontal="right"/>
    </xf>
    <xf numFmtId="0" fontId="16" fillId="0" borderId="0" xfId="1" applyFont="1" applyAlignment="1">
      <alignment wrapText="1"/>
    </xf>
    <xf numFmtId="0" fontId="15" fillId="0" borderId="0" xfId="1" applyFont="1" applyAlignment="1">
      <alignment horizontal="left"/>
    </xf>
    <xf numFmtId="3" fontId="32"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71" fillId="0" borderId="0" xfId="1" applyFont="1" applyAlignment="1">
      <alignment horizontal="left"/>
    </xf>
    <xf numFmtId="0" fontId="20" fillId="0" borderId="0" xfId="1" applyFont="1"/>
    <xf numFmtId="0" fontId="43" fillId="9" borderId="0" xfId="3" applyFont="1" applyFill="1" applyAlignment="1" applyProtection="1"/>
    <xf numFmtId="0" fontId="65" fillId="0" borderId="0" xfId="0" applyFont="1"/>
    <xf numFmtId="0" fontId="66" fillId="0" borderId="0" xfId="0" applyFont="1"/>
    <xf numFmtId="0" fontId="43" fillId="0" borderId="0" xfId="3" applyFont="1" applyFill="1" applyAlignment="1" applyProtection="1"/>
    <xf numFmtId="3" fontId="17" fillId="3" borderId="7" xfId="1" applyNumberFormat="1" applyFont="1" applyFill="1" applyBorder="1" applyAlignment="1">
      <alignment horizontal="right"/>
    </xf>
    <xf numFmtId="0" fontId="73" fillId="0" borderId="0" xfId="1" applyFont="1" applyAlignment="1">
      <alignment horizontal="left"/>
    </xf>
    <xf numFmtId="3" fontId="68" fillId="0" borderId="2" xfId="1" applyNumberFormat="1" applyFont="1" applyBorder="1" applyAlignment="1">
      <alignment horizontal="right"/>
    </xf>
    <xf numFmtId="3" fontId="60" fillId="0" borderId="2" xfId="1" applyNumberFormat="1" applyFont="1" applyBorder="1" applyAlignment="1">
      <alignment horizontal="right"/>
    </xf>
    <xf numFmtId="3" fontId="15" fillId="0" borderId="14" xfId="1" applyNumberFormat="1" applyFont="1" applyBorder="1" applyAlignment="1">
      <alignment horizontal="center"/>
    </xf>
    <xf numFmtId="170" fontId="17" fillId="0" borderId="7" xfId="846" applyFont="1" applyFill="1" applyBorder="1" applyAlignment="1">
      <alignment horizontal="right"/>
    </xf>
    <xf numFmtId="170" fontId="17" fillId="0" borderId="1" xfId="846" applyFont="1" applyFill="1" applyBorder="1" applyAlignment="1">
      <alignment horizontal="right"/>
    </xf>
    <xf numFmtId="170" fontId="19" fillId="0" borderId="3" xfId="846" applyFont="1" applyBorder="1" applyAlignment="1">
      <alignment horizontal="right"/>
    </xf>
    <xf numFmtId="170" fontId="19" fillId="0" borderId="3" xfId="846" applyFont="1" applyFill="1" applyBorder="1" applyAlignment="1">
      <alignment horizontal="right"/>
    </xf>
    <xf numFmtId="170" fontId="19" fillId="0" borderId="4" xfId="846" applyFont="1" applyFill="1" applyBorder="1" applyAlignment="1">
      <alignment horizontal="right"/>
    </xf>
    <xf numFmtId="170" fontId="17" fillId="0" borderId="3" xfId="846" applyFont="1" applyFill="1" applyBorder="1" applyAlignment="1">
      <alignment horizontal="right"/>
    </xf>
    <xf numFmtId="170" fontId="17" fillId="0" borderId="4" xfId="846" applyFont="1" applyFill="1" applyBorder="1" applyAlignment="1">
      <alignment horizontal="right"/>
    </xf>
    <xf numFmtId="170" fontId="17" fillId="0" borderId="6" xfId="846" applyFont="1" applyFill="1" applyBorder="1" applyAlignment="1">
      <alignment horizontal="right"/>
    </xf>
    <xf numFmtId="170" fontId="17" fillId="0" borderId="11" xfId="846" applyFont="1" applyFill="1" applyBorder="1" applyAlignment="1">
      <alignment horizontal="right"/>
    </xf>
    <xf numFmtId="170" fontId="19" fillId="3" borderId="7" xfId="846" applyFont="1" applyFill="1" applyBorder="1" applyAlignment="1">
      <alignment horizontal="right"/>
    </xf>
    <xf numFmtId="170" fontId="19" fillId="3" borderId="2" xfId="846" applyFont="1" applyFill="1" applyBorder="1" applyAlignment="1">
      <alignment horizontal="right"/>
    </xf>
    <xf numFmtId="170" fontId="17" fillId="0" borderId="2" xfId="846" applyFont="1" applyFill="1" applyBorder="1" applyAlignment="1">
      <alignment horizontal="right"/>
    </xf>
    <xf numFmtId="170" fontId="19" fillId="3" borderId="3" xfId="846" applyFont="1" applyFill="1" applyBorder="1" applyAlignment="1">
      <alignment horizontal="right"/>
    </xf>
    <xf numFmtId="170" fontId="19" fillId="2" borderId="3" xfId="846" applyFont="1" applyFill="1" applyBorder="1" applyAlignment="1">
      <alignment horizontal="right"/>
    </xf>
    <xf numFmtId="170" fontId="19" fillId="2" borderId="4" xfId="846" applyFont="1" applyFill="1" applyBorder="1" applyAlignment="1">
      <alignment horizontal="right"/>
    </xf>
    <xf numFmtId="170" fontId="19" fillId="0" borderId="2" xfId="846" applyFont="1" applyFill="1" applyBorder="1" applyAlignment="1">
      <alignment horizontal="right"/>
    </xf>
    <xf numFmtId="170" fontId="19" fillId="3" borderId="6" xfId="846" applyFont="1" applyFill="1" applyBorder="1" applyAlignment="1">
      <alignment horizontal="right"/>
    </xf>
    <xf numFmtId="170" fontId="17" fillId="0" borderId="5" xfId="846" applyFont="1" applyFill="1" applyBorder="1" applyAlignment="1">
      <alignment horizontal="right"/>
    </xf>
    <xf numFmtId="170" fontId="17" fillId="0" borderId="15" xfId="846" applyFont="1" applyFill="1" applyBorder="1" applyAlignment="1">
      <alignment horizontal="right"/>
    </xf>
    <xf numFmtId="170" fontId="17" fillId="2" borderId="2" xfId="846" applyFont="1" applyFill="1" applyBorder="1" applyAlignment="1">
      <alignment horizontal="right"/>
    </xf>
    <xf numFmtId="170" fontId="17" fillId="2" borderId="0" xfId="846" applyFont="1" applyFill="1" applyBorder="1" applyAlignment="1">
      <alignment horizontal="right"/>
    </xf>
    <xf numFmtId="170" fontId="17" fillId="2" borderId="4" xfId="846" applyFont="1" applyFill="1" applyBorder="1" applyAlignment="1">
      <alignment horizontal="right"/>
    </xf>
    <xf numFmtId="170" fontId="17" fillId="2" borderId="5" xfId="846" applyFont="1" applyFill="1" applyBorder="1" applyAlignment="1">
      <alignment horizontal="right"/>
    </xf>
    <xf numFmtId="170" fontId="17" fillId="2" borderId="11" xfId="846" applyFont="1" applyFill="1" applyBorder="1" applyAlignment="1">
      <alignment horizontal="right"/>
    </xf>
    <xf numFmtId="170" fontId="19" fillId="0" borderId="6" xfId="846" applyFont="1" applyFill="1" applyBorder="1" applyAlignment="1">
      <alignment horizontal="right"/>
    </xf>
    <xf numFmtId="170" fontId="19" fillId="0" borderId="11" xfId="846" applyFont="1" applyFill="1" applyBorder="1" applyAlignment="1">
      <alignment horizontal="right"/>
    </xf>
    <xf numFmtId="170" fontId="68" fillId="0" borderId="2" xfId="846" applyFont="1" applyFill="1" applyBorder="1" applyAlignment="1">
      <alignment horizontal="right"/>
    </xf>
    <xf numFmtId="170" fontId="19" fillId="0" borderId="0" xfId="846" applyFont="1" applyFill="1" applyBorder="1" applyAlignment="1">
      <alignment horizontal="right"/>
    </xf>
    <xf numFmtId="170" fontId="24" fillId="0" borderId="2" xfId="846" applyFont="1" applyFill="1" applyBorder="1" applyAlignment="1">
      <alignment horizontal="right"/>
    </xf>
    <xf numFmtId="170" fontId="24" fillId="0" borderId="0" xfId="846" applyFont="1" applyFill="1" applyBorder="1" applyAlignment="1">
      <alignment horizontal="right"/>
    </xf>
    <xf numFmtId="170" fontId="19" fillId="2" borderId="2" xfId="846" applyFont="1" applyFill="1" applyBorder="1" applyAlignment="1">
      <alignment horizontal="right"/>
    </xf>
    <xf numFmtId="170" fontId="19" fillId="2" borderId="0" xfId="846" applyFont="1" applyFill="1" applyBorder="1" applyAlignment="1">
      <alignment horizontal="right"/>
    </xf>
    <xf numFmtId="170" fontId="17" fillId="0" borderId="0" xfId="846" applyFont="1" applyFill="1" applyBorder="1" applyAlignment="1">
      <alignment horizontal="right"/>
    </xf>
    <xf numFmtId="170" fontId="19" fillId="3" borderId="5" xfId="846" applyFont="1" applyFill="1" applyBorder="1" applyAlignment="1">
      <alignment horizontal="right"/>
    </xf>
    <xf numFmtId="170" fontId="19" fillId="3" borderId="0" xfId="846" applyFont="1" applyFill="1" applyBorder="1" applyAlignment="1">
      <alignment horizontal="right"/>
    </xf>
    <xf numFmtId="170" fontId="19" fillId="3" borderId="1" xfId="846" applyFont="1" applyFill="1" applyBorder="1" applyAlignment="1">
      <alignment horizontal="right"/>
    </xf>
    <xf numFmtId="170" fontId="19" fillId="3" borderId="4" xfId="846" applyFont="1" applyFill="1" applyBorder="1" applyAlignment="1">
      <alignment horizontal="right"/>
    </xf>
    <xf numFmtId="170" fontId="19" fillId="3" borderId="11" xfId="846" applyFont="1" applyFill="1" applyBorder="1" applyAlignment="1">
      <alignment horizontal="right"/>
    </xf>
    <xf numFmtId="164" fontId="32" fillId="0" borderId="3" xfId="0" applyNumberFormat="1" applyFont="1" applyBorder="1"/>
    <xf numFmtId="164" fontId="46" fillId="0" borderId="3" xfId="0" applyNumberFormat="1" applyFont="1" applyBorder="1"/>
    <xf numFmtId="164" fontId="46" fillId="0" borderId="6" xfId="0" applyNumberFormat="1" applyFont="1" applyBorder="1"/>
    <xf numFmtId="171" fontId="19" fillId="3" borderId="2" xfId="846" applyNumberFormat="1" applyFont="1" applyFill="1" applyBorder="1" applyAlignment="1">
      <alignment horizontal="right"/>
    </xf>
    <xf numFmtId="171" fontId="19" fillId="3" borderId="3" xfId="846" applyNumberFormat="1" applyFont="1" applyFill="1" applyBorder="1" applyAlignment="1">
      <alignment horizontal="right"/>
    </xf>
    <xf numFmtId="171" fontId="19" fillId="3" borderId="6" xfId="846" applyNumberFormat="1" applyFont="1" applyFill="1" applyBorder="1" applyAlignment="1">
      <alignment horizontal="right"/>
    </xf>
    <xf numFmtId="164" fontId="17" fillId="0" borderId="6" xfId="1" applyNumberFormat="1" applyFont="1" applyBorder="1" applyAlignment="1">
      <alignment horizontal="center"/>
    </xf>
    <xf numFmtId="164" fontId="19" fillId="3" borderId="0" xfId="1" applyNumberFormat="1" applyFont="1" applyFill="1" applyAlignment="1">
      <alignment horizontal="right"/>
    </xf>
    <xf numFmtId="164" fontId="19" fillId="3" borderId="5" xfId="1" applyNumberFormat="1" applyFont="1" applyFill="1" applyBorder="1" applyAlignment="1">
      <alignment horizontal="right"/>
    </xf>
    <xf numFmtId="49" fontId="17" fillId="0" borderId="0" xfId="1" applyNumberFormat="1" applyFont="1" applyAlignment="1">
      <alignment horizontal="right"/>
    </xf>
    <xf numFmtId="49" fontId="17" fillId="0" borderId="0" xfId="1" applyNumberFormat="1" applyFont="1" applyAlignment="1">
      <alignment horizontal="center"/>
    </xf>
    <xf numFmtId="3" fontId="17" fillId="0" borderId="0" xfId="1" quotePrefix="1" applyNumberFormat="1" applyFont="1" applyAlignment="1">
      <alignment horizontal="center"/>
    </xf>
    <xf numFmtId="170" fontId="17" fillId="3" borderId="7" xfId="846" applyFont="1" applyFill="1" applyBorder="1" applyAlignment="1">
      <alignment horizontal="right"/>
    </xf>
    <xf numFmtId="171" fontId="17" fillId="3" borderId="2" xfId="846" applyNumberFormat="1" applyFont="1" applyFill="1" applyBorder="1" applyAlignment="1">
      <alignment horizontal="right"/>
    </xf>
    <xf numFmtId="167" fontId="17" fillId="3" borderId="7" xfId="1" applyNumberFormat="1" applyFont="1" applyFill="1" applyBorder="1" applyAlignment="1">
      <alignment horizontal="right"/>
    </xf>
    <xf numFmtId="167" fontId="17" fillId="3" borderId="3" xfId="1" applyNumberFormat="1" applyFont="1" applyFill="1" applyBorder="1" applyAlignment="1">
      <alignment horizontal="right"/>
    </xf>
    <xf numFmtId="167" fontId="17" fillId="3" borderId="6" xfId="1" applyNumberFormat="1" applyFont="1" applyFill="1" applyBorder="1" applyAlignment="1">
      <alignment horizontal="right"/>
    </xf>
    <xf numFmtId="3" fontId="17" fillId="3" borderId="0" xfId="1" applyNumberFormat="1" applyFont="1" applyFill="1" applyAlignment="1">
      <alignment horizontal="right"/>
    </xf>
    <xf numFmtId="3" fontId="17" fillId="3" borderId="1" xfId="1" applyNumberFormat="1" applyFont="1" applyFill="1" applyBorder="1" applyAlignment="1">
      <alignment horizontal="right"/>
    </xf>
    <xf numFmtId="3" fontId="17" fillId="3" borderId="4" xfId="1" applyNumberFormat="1" applyFont="1" applyFill="1" applyBorder="1" applyAlignment="1">
      <alignment horizontal="right"/>
    </xf>
    <xf numFmtId="3" fontId="17" fillId="3" borderId="11" xfId="1" applyNumberFormat="1" applyFont="1" applyFill="1" applyBorder="1" applyAlignment="1">
      <alignment horizontal="right"/>
    </xf>
    <xf numFmtId="164" fontId="17" fillId="3" borderId="0" xfId="1" applyNumberFormat="1" applyFont="1" applyFill="1" applyAlignment="1">
      <alignment horizontal="right"/>
    </xf>
    <xf numFmtId="3" fontId="61" fillId="4" borderId="3" xfId="0" applyNumberFormat="1" applyFont="1" applyFill="1" applyBorder="1" applyAlignment="1" applyProtection="1">
      <alignment horizontal="right"/>
      <protection locked="0"/>
    </xf>
    <xf numFmtId="3" fontId="32" fillId="4" borderId="4" xfId="0" applyNumberFormat="1" applyFont="1" applyFill="1" applyBorder="1" applyAlignment="1" applyProtection="1">
      <alignment horizontal="right"/>
      <protection locked="0"/>
    </xf>
    <xf numFmtId="3" fontId="46" fillId="4" borderId="3" xfId="0" applyNumberFormat="1" applyFont="1" applyFill="1" applyBorder="1" applyAlignment="1" applyProtection="1">
      <alignment horizontal="right"/>
      <protection locked="0"/>
    </xf>
    <xf numFmtId="3" fontId="46" fillId="0" borderId="3" xfId="0" applyNumberFormat="1" applyFont="1" applyBorder="1" applyAlignment="1" applyProtection="1">
      <alignment horizontal="right"/>
      <protection locked="0"/>
    </xf>
    <xf numFmtId="3" fontId="32" fillId="0" borderId="3" xfId="0" applyNumberFormat="1" applyFont="1" applyBorder="1" applyAlignment="1" applyProtection="1">
      <alignment horizontal="right"/>
      <protection locked="0"/>
    </xf>
    <xf numFmtId="3" fontId="32" fillId="4" borderId="3" xfId="845" applyNumberFormat="1" applyFont="1" applyFill="1" applyBorder="1" applyAlignment="1" applyProtection="1">
      <alignment horizontal="right"/>
      <protection locked="0"/>
    </xf>
    <xf numFmtId="3" fontId="46" fillId="4" borderId="4" xfId="0" applyNumberFormat="1" applyFont="1" applyFill="1" applyBorder="1" applyAlignment="1" applyProtection="1">
      <alignment horizontal="right"/>
      <protection locked="0"/>
    </xf>
    <xf numFmtId="3" fontId="46" fillId="4" borderId="3" xfId="845" applyNumberFormat="1" applyFont="1" applyFill="1" applyBorder="1" applyAlignment="1" applyProtection="1">
      <alignment horizontal="right"/>
      <protection locked="0"/>
    </xf>
    <xf numFmtId="3" fontId="46" fillId="0" borderId="6" xfId="0" applyNumberFormat="1" applyFont="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3" fontId="51" fillId="4" borderId="11" xfId="0" applyNumberFormat="1" applyFont="1" applyFill="1" applyBorder="1" applyProtection="1">
      <protection locked="0"/>
    </xf>
    <xf numFmtId="3" fontId="61" fillId="4" borderId="4" xfId="0" applyNumberFormat="1" applyFont="1" applyFill="1" applyBorder="1" applyProtection="1">
      <protection locked="0"/>
    </xf>
    <xf numFmtId="3" fontId="46" fillId="4" borderId="4" xfId="0" applyNumberFormat="1" applyFont="1" applyFill="1" applyBorder="1" applyProtection="1">
      <protection locked="0"/>
    </xf>
    <xf numFmtId="0" fontId="32" fillId="0" borderId="0" xfId="0" applyFont="1" applyProtection="1">
      <protection locked="0"/>
    </xf>
    <xf numFmtId="0" fontId="0" fillId="0" borderId="0" xfId="0" applyProtection="1">
      <protection locked="0"/>
    </xf>
    <xf numFmtId="0" fontId="21" fillId="0" borderId="0" xfId="0" applyFont="1" applyProtection="1">
      <protection locked="0"/>
    </xf>
    <xf numFmtId="0" fontId="62" fillId="0" borderId="0" xfId="0" applyFont="1" applyProtection="1">
      <protection locked="0"/>
    </xf>
    <xf numFmtId="0" fontId="42" fillId="0" borderId="0" xfId="0" applyFont="1" applyProtection="1">
      <protection locked="0"/>
    </xf>
    <xf numFmtId="0" fontId="58" fillId="0" borderId="0" xfId="0" applyFont="1" applyProtection="1">
      <protection locked="0"/>
    </xf>
    <xf numFmtId="3" fontId="59" fillId="4" borderId="12" xfId="0" applyNumberFormat="1" applyFont="1" applyFill="1" applyBorder="1" applyProtection="1">
      <protection locked="0"/>
    </xf>
    <xf numFmtId="0" fontId="19" fillId="0" borderId="8" xfId="0" applyFont="1" applyBorder="1" applyProtection="1">
      <protection locked="0"/>
    </xf>
    <xf numFmtId="0" fontId="19" fillId="0" borderId="10" xfId="0" applyFont="1" applyBorder="1" applyProtection="1">
      <protection locked="0"/>
    </xf>
    <xf numFmtId="0" fontId="19" fillId="0" borderId="9" xfId="0" applyFont="1" applyBorder="1" applyProtection="1">
      <protection locked="0"/>
    </xf>
    <xf numFmtId="0" fontId="50" fillId="0" borderId="0" xfId="0" applyFont="1" applyProtection="1">
      <protection locked="0"/>
    </xf>
    <xf numFmtId="3" fontId="62" fillId="0" borderId="0" xfId="0" applyNumberFormat="1" applyFont="1" applyProtection="1">
      <protection locked="0"/>
    </xf>
    <xf numFmtId="0" fontId="64" fillId="0" borderId="0" xfId="0" applyFont="1" applyProtection="1">
      <protection locked="0"/>
    </xf>
    <xf numFmtId="3" fontId="32" fillId="4" borderId="4" xfId="15" applyNumberFormat="1" applyFont="1" applyFill="1" applyBorder="1" applyAlignment="1" applyProtection="1">
      <alignment horizontal="right"/>
      <protection locked="0"/>
    </xf>
    <xf numFmtId="165" fontId="32" fillId="0" borderId="3" xfId="847" applyNumberFormat="1" applyFont="1" applyBorder="1" applyAlignment="1" applyProtection="1">
      <alignment horizontal="right"/>
      <protection locked="0"/>
    </xf>
    <xf numFmtId="169" fontId="32" fillId="0" borderId="3" xfId="847" applyNumberFormat="1" applyFont="1" applyBorder="1" applyAlignment="1" applyProtection="1">
      <alignment horizontal="right"/>
      <protection locked="0"/>
    </xf>
    <xf numFmtId="165" fontId="32" fillId="4" borderId="4" xfId="847" applyNumberFormat="1" applyFont="1" applyFill="1" applyBorder="1" applyAlignment="1" applyProtection="1">
      <alignment horizontal="right"/>
      <protection locked="0"/>
    </xf>
    <xf numFmtId="165" fontId="32" fillId="4" borderId="3" xfId="847" applyNumberFormat="1" applyFont="1" applyFill="1" applyBorder="1" applyAlignment="1" applyProtection="1">
      <alignment horizontal="right"/>
      <protection locked="0"/>
    </xf>
    <xf numFmtId="3" fontId="46" fillId="4" borderId="4" xfId="15" applyNumberFormat="1" applyFont="1" applyFill="1" applyBorder="1" applyAlignment="1" applyProtection="1">
      <alignment horizontal="right"/>
      <protection locked="0"/>
    </xf>
    <xf numFmtId="3" fontId="46" fillId="4" borderId="11" xfId="15" applyNumberFormat="1" applyFont="1" applyFill="1" applyBorder="1" applyAlignment="1" applyProtection="1">
      <alignment horizontal="right"/>
      <protection locked="0"/>
    </xf>
    <xf numFmtId="3" fontId="19" fillId="0" borderId="3" xfId="847" applyNumberFormat="1" applyFont="1" applyBorder="1" applyAlignment="1">
      <alignment horizontal="left"/>
    </xf>
    <xf numFmtId="3" fontId="19" fillId="0" borderId="3" xfId="847" applyNumberFormat="1" applyFont="1" applyFill="1" applyBorder="1" applyAlignment="1">
      <alignment horizontal="left"/>
    </xf>
    <xf numFmtId="0" fontId="46" fillId="2" borderId="3" xfId="0" applyFont="1" applyFill="1" applyBorder="1" applyProtection="1">
      <protection locked="0"/>
    </xf>
    <xf numFmtId="0" fontId="46" fillId="2" borderId="6" xfId="0" applyFont="1" applyFill="1" applyBorder="1" applyProtection="1">
      <protection locked="0"/>
    </xf>
    <xf numFmtId="3" fontId="32" fillId="4" borderId="1" xfId="0" applyNumberFormat="1" applyFont="1" applyFill="1" applyBorder="1" applyAlignment="1" applyProtection="1">
      <alignment horizontal="right"/>
      <protection locked="0"/>
    </xf>
    <xf numFmtId="0" fontId="32" fillId="0" borderId="3" xfId="0" applyFont="1" applyBorder="1" applyAlignment="1" applyProtection="1">
      <alignment horizontal="right"/>
      <protection locked="0"/>
    </xf>
    <xf numFmtId="3" fontId="32" fillId="4" borderId="7" xfId="0" applyNumberFormat="1" applyFont="1" applyFill="1" applyBorder="1" applyAlignment="1" applyProtection="1">
      <alignment horizontal="right"/>
      <protection locked="0"/>
    </xf>
    <xf numFmtId="1" fontId="32" fillId="0" borderId="3" xfId="0" applyNumberFormat="1" applyFont="1" applyBorder="1" applyAlignment="1" applyProtection="1">
      <alignment horizontal="right"/>
      <protection locked="0"/>
    </xf>
    <xf numFmtId="4" fontId="32" fillId="4" borderId="4" xfId="7" applyNumberFormat="1" applyFont="1" applyFill="1" applyBorder="1" applyAlignment="1" applyProtection="1">
      <alignment horizontal="right"/>
      <protection locked="0"/>
    </xf>
    <xf numFmtId="3" fontId="32" fillId="4" borderId="4" xfId="7" applyNumberFormat="1" applyFont="1" applyFill="1" applyBorder="1" applyAlignment="1" applyProtection="1">
      <alignment horizontal="right"/>
      <protection locked="0"/>
    </xf>
    <xf numFmtId="3" fontId="32" fillId="4" borderId="11" xfId="7" applyNumberFormat="1" applyFont="1" applyFill="1" applyBorder="1" applyAlignment="1" applyProtection="1">
      <alignment horizontal="right"/>
      <protection locked="0"/>
    </xf>
    <xf numFmtId="170" fontId="17" fillId="0" borderId="3" xfId="846" applyFont="1" applyBorder="1" applyAlignment="1">
      <alignment horizontal="right"/>
    </xf>
    <xf numFmtId="3" fontId="32" fillId="0" borderId="4" xfId="0" applyNumberFormat="1" applyFont="1" applyBorder="1" applyAlignment="1" applyProtection="1">
      <alignment horizontal="right"/>
      <protection locked="0"/>
    </xf>
    <xf numFmtId="0" fontId="42" fillId="0" borderId="0" xfId="7" applyFont="1" applyProtection="1">
      <protection locked="0"/>
    </xf>
    <xf numFmtId="0" fontId="21" fillId="0" borderId="0" xfId="7" applyProtection="1">
      <protection locked="0"/>
    </xf>
    <xf numFmtId="3" fontId="59" fillId="4" borderId="0" xfId="7" applyNumberFormat="1" applyFont="1" applyFill="1" applyProtection="1">
      <protection locked="0"/>
    </xf>
    <xf numFmtId="14" fontId="15" fillId="0" borderId="7" xfId="7" applyNumberFormat="1" applyFont="1" applyBorder="1" applyAlignment="1" applyProtection="1">
      <alignment horizontal="left"/>
      <protection locked="0"/>
    </xf>
    <xf numFmtId="0" fontId="19" fillId="0" borderId="10" xfId="7" applyFont="1" applyBorder="1" applyProtection="1">
      <protection locked="0"/>
    </xf>
    <xf numFmtId="0" fontId="19" fillId="0" borderId="8" xfId="7" applyFont="1" applyBorder="1" applyProtection="1">
      <protection locked="0"/>
    </xf>
    <xf numFmtId="0" fontId="19" fillId="0" borderId="9" xfId="7" applyFont="1" applyBorder="1" applyProtection="1">
      <protection locked="0"/>
    </xf>
    <xf numFmtId="0" fontId="70" fillId="0" borderId="8" xfId="7" applyFont="1" applyBorder="1" applyAlignment="1" applyProtection="1">
      <alignment horizontal="center"/>
      <protection locked="0"/>
    </xf>
    <xf numFmtId="0" fontId="19" fillId="4" borderId="0" xfId="7" applyFont="1" applyFill="1" applyProtection="1">
      <protection locked="0"/>
    </xf>
    <xf numFmtId="3" fontId="46" fillId="0" borderId="1" xfId="7" applyNumberFormat="1" applyFont="1" applyBorder="1" applyProtection="1">
      <protection locked="0"/>
    </xf>
    <xf numFmtId="3" fontId="46" fillId="0" borderId="4" xfId="7" applyNumberFormat="1" applyFont="1" applyBorder="1" applyProtection="1">
      <protection locked="0"/>
    </xf>
    <xf numFmtId="0" fontId="17" fillId="0" borderId="1" xfId="7" applyFont="1" applyBorder="1" applyAlignment="1" applyProtection="1">
      <alignment horizontal="center"/>
      <protection locked="0"/>
    </xf>
    <xf numFmtId="0" fontId="17" fillId="0" borderId="7" xfId="7" applyFont="1" applyBorder="1" applyAlignment="1" applyProtection="1">
      <alignment horizontal="center"/>
      <protection locked="0"/>
    </xf>
    <xf numFmtId="3" fontId="51" fillId="4" borderId="11" xfId="7" applyNumberFormat="1" applyFont="1" applyFill="1" applyBorder="1" applyProtection="1">
      <protection locked="0"/>
    </xf>
    <xf numFmtId="0" fontId="15" fillId="0" borderId="6" xfId="7" applyFont="1" applyBorder="1" applyAlignment="1" applyProtection="1">
      <alignment horizontal="center"/>
      <protection locked="0"/>
    </xf>
    <xf numFmtId="168" fontId="17" fillId="0" borderId="6" xfId="7" applyNumberFormat="1" applyFont="1" applyBorder="1" applyAlignment="1" applyProtection="1">
      <alignment horizontal="center"/>
      <protection locked="0"/>
    </xf>
    <xf numFmtId="168" fontId="15" fillId="4" borderId="0" xfId="7" applyNumberFormat="1" applyFont="1" applyFill="1" applyAlignment="1" applyProtection="1">
      <alignment horizontal="center"/>
      <protection locked="0"/>
    </xf>
    <xf numFmtId="0" fontId="15" fillId="4" borderId="0" xfId="7" applyFont="1" applyFill="1" applyAlignment="1" applyProtection="1">
      <alignment horizontal="center"/>
      <protection locked="0"/>
    </xf>
    <xf numFmtId="0" fontId="46" fillId="0" borderId="7" xfId="7" applyFont="1" applyBorder="1" applyProtection="1">
      <protection locked="0"/>
    </xf>
    <xf numFmtId="4" fontId="32" fillId="4" borderId="7" xfId="7" applyNumberFormat="1" applyFont="1" applyFill="1" applyBorder="1" applyAlignment="1" applyProtection="1">
      <alignment horizontal="right"/>
      <protection locked="0"/>
    </xf>
    <xf numFmtId="0" fontId="32" fillId="0" borderId="3" xfId="7" applyFont="1" applyBorder="1" applyProtection="1">
      <protection locked="0"/>
    </xf>
    <xf numFmtId="0" fontId="32" fillId="0" borderId="6" xfId="7" applyFont="1" applyBorder="1" applyProtection="1">
      <protection locked="0"/>
    </xf>
    <xf numFmtId="0" fontId="15" fillId="0" borderId="6" xfId="0" applyFont="1" applyBorder="1" applyAlignment="1" applyProtection="1">
      <alignment horizontal="center"/>
      <protection locked="0"/>
    </xf>
    <xf numFmtId="0" fontId="15" fillId="0" borderId="11" xfId="0" applyFont="1" applyBorder="1" applyAlignment="1" applyProtection="1">
      <alignment horizontal="center"/>
      <protection locked="0"/>
    </xf>
    <xf numFmtId="4" fontId="32" fillId="4" borderId="3" xfId="7" applyNumberFormat="1" applyFont="1" applyFill="1" applyBorder="1" applyAlignment="1" applyProtection="1">
      <alignment horizontal="right"/>
      <protection locked="0"/>
    </xf>
    <xf numFmtId="3" fontId="32" fillId="4" borderId="3" xfId="7" applyNumberFormat="1" applyFont="1" applyFill="1" applyBorder="1" applyAlignment="1" applyProtection="1">
      <alignment horizontal="right"/>
      <protection locked="0"/>
    </xf>
    <xf numFmtId="3" fontId="32" fillId="4" borderId="6" xfId="7" applyNumberFormat="1" applyFont="1" applyFill="1" applyBorder="1" applyAlignment="1" applyProtection="1">
      <alignment horizontal="right"/>
      <protection locked="0"/>
    </xf>
    <xf numFmtId="164" fontId="32" fillId="4" borderId="6" xfId="7" applyNumberFormat="1" applyFont="1" applyFill="1" applyBorder="1" applyAlignment="1" applyProtection="1">
      <alignment horizontal="right"/>
      <protection locked="0"/>
    </xf>
    <xf numFmtId="0" fontId="57" fillId="0" borderId="0" xfId="0" applyFont="1"/>
    <xf numFmtId="0" fontId="16" fillId="0" borderId="0" xfId="7" applyFont="1" applyAlignment="1">
      <alignment horizontal="right" vertical="top"/>
    </xf>
    <xf numFmtId="0" fontId="16" fillId="0" borderId="0" xfId="7" applyFont="1" applyAlignment="1">
      <alignment horizontal="right"/>
    </xf>
    <xf numFmtId="0" fontId="32" fillId="0" borderId="4" xfId="0" applyFont="1" applyBorder="1" applyProtection="1">
      <protection locked="0"/>
    </xf>
    <xf numFmtId="3" fontId="46" fillId="0" borderId="1" xfId="0" applyNumberFormat="1" applyFont="1" applyBorder="1" applyProtection="1">
      <protection locked="0"/>
    </xf>
    <xf numFmtId="3" fontId="46" fillId="0" borderId="4" xfId="0" applyNumberFormat="1" applyFont="1" applyBorder="1" applyProtection="1">
      <protection locked="0"/>
    </xf>
    <xf numFmtId="0" fontId="17" fillId="0" borderId="7" xfId="0" applyFont="1" applyBorder="1" applyAlignment="1" applyProtection="1">
      <alignment horizontal="center"/>
      <protection locked="0"/>
    </xf>
    <xf numFmtId="3" fontId="51" fillId="4" borderId="6" xfId="0" applyNumberFormat="1" applyFont="1" applyFill="1" applyBorder="1" applyProtection="1">
      <protection locked="0"/>
    </xf>
    <xf numFmtId="168" fontId="17" fillId="0" borderId="6" xfId="0" applyNumberFormat="1" applyFont="1" applyBorder="1" applyAlignment="1" applyProtection="1">
      <alignment horizontal="center"/>
      <protection locked="0"/>
    </xf>
    <xf numFmtId="0" fontId="32" fillId="4" borderId="7" xfId="0" applyFont="1" applyFill="1" applyBorder="1" applyAlignment="1" applyProtection="1">
      <alignment horizontal="right"/>
      <protection locked="0"/>
    </xf>
    <xf numFmtId="3" fontId="32" fillId="4" borderId="4" xfId="0" applyNumberFormat="1" applyFont="1" applyFill="1" applyBorder="1" applyAlignment="1">
      <alignment horizontal="right"/>
    </xf>
    <xf numFmtId="3" fontId="32" fillId="4" borderId="3" xfId="0" applyNumberFormat="1" applyFont="1" applyFill="1" applyBorder="1" applyAlignment="1">
      <alignment horizontal="right"/>
    </xf>
    <xf numFmtId="0" fontId="32" fillId="4" borderId="3" xfId="0" applyFont="1" applyFill="1" applyBorder="1" applyAlignment="1" applyProtection="1">
      <alignment horizontal="right"/>
      <protection locked="0"/>
    </xf>
    <xf numFmtId="3" fontId="32" fillId="10" borderId="3" xfId="0" applyNumberFormat="1" applyFont="1" applyFill="1" applyBorder="1" applyAlignment="1" applyProtection="1">
      <alignment horizontal="right"/>
      <protection locked="0"/>
    </xf>
    <xf numFmtId="0" fontId="46" fillId="0" borderId="11" xfId="0" applyFont="1" applyBorder="1" applyProtection="1">
      <protection locked="0"/>
    </xf>
    <xf numFmtId="0" fontId="46" fillId="0" borderId="4" xfId="0" applyFont="1" applyBorder="1" applyProtection="1">
      <protection locked="0"/>
    </xf>
    <xf numFmtId="3" fontId="46" fillId="4" borderId="7" xfId="0" applyNumberFormat="1" applyFont="1" applyFill="1" applyBorder="1" applyAlignment="1" applyProtection="1">
      <alignment horizontal="right"/>
      <protection locked="0"/>
    </xf>
    <xf numFmtId="0" fontId="46" fillId="4" borderId="7" xfId="0" applyFont="1" applyFill="1" applyBorder="1" applyAlignment="1" applyProtection="1">
      <alignment horizontal="right"/>
      <protection locked="0"/>
    </xf>
    <xf numFmtId="0" fontId="46" fillId="4" borderId="15" xfId="0" applyFont="1" applyFill="1" applyBorder="1" applyAlignment="1" applyProtection="1">
      <alignment horizontal="right"/>
      <protection locked="0"/>
    </xf>
    <xf numFmtId="0" fontId="50" fillId="0" borderId="7" xfId="0" applyFont="1" applyBorder="1" applyAlignment="1" applyProtection="1">
      <alignment horizontal="right"/>
      <protection locked="0"/>
    </xf>
    <xf numFmtId="0" fontId="46" fillId="4" borderId="3" xfId="0" applyFont="1" applyFill="1" applyBorder="1" applyAlignment="1" applyProtection="1">
      <alignment horizontal="right"/>
      <protection locked="0"/>
    </xf>
    <xf numFmtId="0" fontId="46" fillId="4" borderId="2" xfId="0" applyFont="1" applyFill="1" applyBorder="1" applyAlignment="1" applyProtection="1">
      <alignment horizontal="right"/>
      <protection locked="0"/>
    </xf>
    <xf numFmtId="0" fontId="50" fillId="0" borderId="3" xfId="0" applyFont="1" applyBorder="1" applyAlignment="1" applyProtection="1">
      <alignment horizontal="right"/>
      <protection locked="0"/>
    </xf>
    <xf numFmtId="0" fontId="32" fillId="4" borderId="2" xfId="0" applyFont="1" applyFill="1" applyBorder="1" applyAlignment="1" applyProtection="1">
      <alignment horizontal="right"/>
      <protection locked="0"/>
    </xf>
    <xf numFmtId="3" fontId="32" fillId="4" borderId="2" xfId="0" applyNumberFormat="1" applyFont="1" applyFill="1" applyBorder="1" applyAlignment="1" applyProtection="1">
      <alignment horizontal="right"/>
      <protection locked="0"/>
    </xf>
    <xf numFmtId="3" fontId="46" fillId="4" borderId="2" xfId="0" applyNumberFormat="1" applyFont="1" applyFill="1" applyBorder="1" applyAlignment="1" applyProtection="1">
      <alignment horizontal="right"/>
      <protection locked="0"/>
    </xf>
    <xf numFmtId="0" fontId="46" fillId="0" borderId="0" xfId="0" applyFont="1" applyProtection="1">
      <protection locked="0"/>
    </xf>
    <xf numFmtId="0" fontId="46" fillId="4" borderId="6" xfId="0" applyFont="1" applyFill="1" applyBorder="1" applyAlignment="1" applyProtection="1">
      <alignment horizontal="right"/>
      <protection locked="0"/>
    </xf>
    <xf numFmtId="0" fontId="46" fillId="4" borderId="5" xfId="0" applyFont="1" applyFill="1" applyBorder="1" applyAlignment="1" applyProtection="1">
      <alignment horizontal="right"/>
      <protection locked="0"/>
    </xf>
    <xf numFmtId="0" fontId="46" fillId="0" borderId="6" xfId="0" applyFont="1" applyBorder="1" applyAlignment="1" applyProtection="1">
      <alignment horizontal="right"/>
      <protection locked="0"/>
    </xf>
    <xf numFmtId="0" fontId="46" fillId="0" borderId="7" xfId="0" applyFont="1" applyBorder="1" applyProtection="1">
      <protection locked="0"/>
    </xf>
    <xf numFmtId="3" fontId="46" fillId="4" borderId="1" xfId="15"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protection locked="0"/>
    </xf>
    <xf numFmtId="0" fontId="46" fillId="4" borderId="1" xfId="0" applyFont="1" applyFill="1" applyBorder="1" applyAlignment="1" applyProtection="1">
      <alignment horizontal="right"/>
      <protection locked="0"/>
    </xf>
    <xf numFmtId="0" fontId="46" fillId="0" borderId="7" xfId="0" applyFont="1" applyBorder="1" applyAlignment="1" applyProtection="1">
      <alignment horizontal="right"/>
      <protection locked="0"/>
    </xf>
    <xf numFmtId="0" fontId="32" fillId="2" borderId="3" xfId="0" applyFont="1" applyFill="1" applyBorder="1" applyProtection="1">
      <protection locked="0"/>
    </xf>
    <xf numFmtId="0" fontId="32" fillId="2" borderId="6" xfId="0" applyFont="1" applyFill="1" applyBorder="1" applyProtection="1">
      <protection locked="0"/>
    </xf>
    <xf numFmtId="3" fontId="61" fillId="4" borderId="3" xfId="0" applyNumberFormat="1" applyFont="1" applyFill="1" applyBorder="1" applyAlignment="1">
      <alignment horizontal="right"/>
    </xf>
    <xf numFmtId="3" fontId="46" fillId="4" borderId="3" xfId="0" applyNumberFormat="1" applyFont="1" applyFill="1" applyBorder="1" applyAlignment="1">
      <alignment horizontal="right"/>
    </xf>
    <xf numFmtId="0" fontId="32" fillId="0" borderId="3" xfId="0" applyFont="1" applyBorder="1" applyProtection="1">
      <protection locked="0"/>
    </xf>
    <xf numFmtId="3" fontId="32" fillId="0" borderId="3" xfId="845" applyNumberFormat="1" applyFont="1" applyBorder="1" applyAlignment="1" applyProtection="1">
      <alignment horizontal="right"/>
      <protection locked="0"/>
    </xf>
    <xf numFmtId="0" fontId="21" fillId="0" borderId="3" xfId="0" applyFont="1" applyBorder="1" applyProtection="1">
      <protection locked="0"/>
    </xf>
    <xf numFmtId="3" fontId="46" fillId="0" borderId="4" xfId="0" applyNumberFormat="1" applyFont="1" applyBorder="1" applyAlignment="1" applyProtection="1">
      <alignment horizontal="right"/>
      <protection locked="0"/>
    </xf>
    <xf numFmtId="3" fontId="32" fillId="0" borderId="0" xfId="0" applyNumberFormat="1" applyFont="1" applyProtection="1">
      <protection locked="0"/>
    </xf>
    <xf numFmtId="3" fontId="63" fillId="0" borderId="0" xfId="0" applyNumberFormat="1" applyFont="1" applyProtection="1">
      <protection locked="0"/>
    </xf>
    <xf numFmtId="0" fontId="21" fillId="0" borderId="0" xfId="852"/>
    <xf numFmtId="0" fontId="28" fillId="0" borderId="0" xfId="852" applyFont="1"/>
    <xf numFmtId="0" fontId="0" fillId="0" borderId="0" xfId="852" applyFont="1"/>
    <xf numFmtId="0" fontId="29" fillId="0" borderId="0" xfId="852" applyFont="1" applyAlignment="1">
      <alignment horizontal="right"/>
    </xf>
    <xf numFmtId="0" fontId="21" fillId="0" borderId="0" xfId="20"/>
    <xf numFmtId="0" fontId="30" fillId="0" borderId="0" xfId="852" applyFont="1" applyAlignment="1">
      <alignment horizontal="left"/>
    </xf>
    <xf numFmtId="0" fontId="31" fillId="0" borderId="0" xfId="852" applyFont="1" applyAlignment="1">
      <alignment horizontal="left"/>
    </xf>
    <xf numFmtId="0" fontId="32" fillId="0" borderId="0" xfId="20" applyFont="1" applyAlignment="1">
      <alignment horizontal="left"/>
    </xf>
    <xf numFmtId="0" fontId="33" fillId="0" borderId="0" xfId="852" applyFont="1" applyAlignment="1">
      <alignment horizontal="right"/>
    </xf>
    <xf numFmtId="0" fontId="21" fillId="0" borderId="0" xfId="852" applyAlignment="1">
      <alignment horizontal="right"/>
    </xf>
    <xf numFmtId="0" fontId="34" fillId="0" borderId="0" xfId="852" applyFont="1" applyAlignment="1">
      <alignment horizontal="left"/>
    </xf>
    <xf numFmtId="14" fontId="35" fillId="0" borderId="0" xfId="852" applyNumberFormat="1" applyFont="1" applyAlignment="1">
      <alignment horizontal="left"/>
    </xf>
    <xf numFmtId="0" fontId="35" fillId="0" borderId="0" xfId="852" applyFont="1" applyAlignment="1">
      <alignment horizontal="left"/>
    </xf>
    <xf numFmtId="0" fontId="36" fillId="0" borderId="0" xfId="20" applyFont="1" applyAlignment="1">
      <alignment vertical="center"/>
    </xf>
    <xf numFmtId="0" fontId="37" fillId="0" borderId="0" xfId="20" applyFont="1" applyAlignment="1">
      <alignment vertical="center"/>
    </xf>
    <xf numFmtId="0" fontId="75" fillId="0" borderId="0" xfId="0" applyFont="1" applyProtection="1">
      <protection locked="0"/>
    </xf>
    <xf numFmtId="0" fontId="72" fillId="0" borderId="0" xfId="848" applyFont="1" applyProtection="1">
      <protection locked="0"/>
    </xf>
    <xf numFmtId="0" fontId="23" fillId="0" borderId="0" xfId="848" applyFont="1" applyProtection="1">
      <protection locked="0"/>
    </xf>
    <xf numFmtId="0" fontId="74" fillId="0" borderId="0" xfId="0" applyFont="1" applyProtection="1">
      <protection locked="0"/>
    </xf>
    <xf numFmtId="3" fontId="46" fillId="4" borderId="0" xfId="0" applyNumberFormat="1" applyFont="1" applyFill="1" applyProtection="1">
      <protection locked="0"/>
    </xf>
    <xf numFmtId="3" fontId="17" fillId="4" borderId="0" xfId="0" applyNumberFormat="1" applyFont="1" applyFill="1" applyProtection="1">
      <protection locked="0"/>
    </xf>
    <xf numFmtId="14" fontId="15" fillId="0" borderId="7" xfId="0" applyNumberFormat="1" applyFont="1" applyBorder="1" applyAlignment="1" applyProtection="1">
      <alignment horizontal="left"/>
      <protection locked="0"/>
    </xf>
    <xf numFmtId="3" fontId="15" fillId="0" borderId="10" xfId="0" quotePrefix="1" applyNumberFormat="1" applyFont="1" applyBorder="1" applyAlignment="1" applyProtection="1">
      <alignment horizontal="center"/>
      <protection locked="0"/>
    </xf>
    <xf numFmtId="3" fontId="15" fillId="0" borderId="8" xfId="0" quotePrefix="1" applyNumberFormat="1" applyFont="1" applyBorder="1" applyAlignment="1" applyProtection="1">
      <alignment horizontal="center"/>
      <protection locked="0"/>
    </xf>
    <xf numFmtId="3" fontId="15" fillId="0" borderId="9" xfId="0" quotePrefix="1" applyNumberFormat="1" applyFont="1" applyBorder="1" applyAlignment="1" applyProtection="1">
      <alignment horizontal="center"/>
      <protection locked="0"/>
    </xf>
    <xf numFmtId="0" fontId="19" fillId="4" borderId="10" xfId="0" applyFont="1" applyFill="1" applyBorder="1" applyProtection="1">
      <protection locked="0"/>
    </xf>
    <xf numFmtId="0" fontId="19" fillId="4" borderId="8" xfId="0" applyFont="1" applyFill="1" applyBorder="1" applyProtection="1">
      <protection locked="0"/>
    </xf>
    <xf numFmtId="0" fontId="19" fillId="4" borderId="9" xfId="0" applyFont="1" applyFill="1" applyBorder="1" applyProtection="1">
      <protection locked="0"/>
    </xf>
    <xf numFmtId="0" fontId="21" fillId="0" borderId="9" xfId="0" applyFont="1" applyBorder="1" applyProtection="1">
      <protection locked="0"/>
    </xf>
    <xf numFmtId="3" fontId="60" fillId="4" borderId="0" xfId="0" applyNumberFormat="1" applyFont="1" applyFill="1" applyProtection="1">
      <protection locked="0"/>
    </xf>
    <xf numFmtId="3" fontId="15" fillId="0" borderId="8" xfId="0" quotePrefix="1" applyNumberFormat="1" applyFont="1" applyBorder="1" applyProtection="1">
      <protection locked="0"/>
    </xf>
    <xf numFmtId="3" fontId="15" fillId="0" borderId="9" xfId="0" quotePrefix="1" applyNumberFormat="1" applyFont="1" applyBorder="1" applyProtection="1">
      <protection locked="0"/>
    </xf>
    <xf numFmtId="3" fontId="15" fillId="0" borderId="10" xfId="0" quotePrefix="1" applyNumberFormat="1" applyFont="1" applyBorder="1" applyProtection="1">
      <protection locked="0"/>
    </xf>
    <xf numFmtId="0" fontId="19" fillId="4" borderId="0" xfId="0" applyFont="1" applyFill="1" applyProtection="1">
      <protection locked="0"/>
    </xf>
    <xf numFmtId="0" fontId="17" fillId="0" borderId="1" xfId="0" applyFont="1" applyBorder="1" applyAlignment="1" applyProtection="1">
      <alignment horizontal="center"/>
      <protection locked="0"/>
    </xf>
    <xf numFmtId="0" fontId="15" fillId="4" borderId="0" xfId="0" applyFont="1" applyFill="1" applyAlignment="1" applyProtection="1">
      <alignment horizontal="center"/>
      <protection locked="0"/>
    </xf>
    <xf numFmtId="168" fontId="15" fillId="4" borderId="0" xfId="0" applyNumberFormat="1" applyFont="1" applyFill="1" applyAlignment="1" applyProtection="1">
      <alignment horizontal="center"/>
      <protection locked="0"/>
    </xf>
    <xf numFmtId="3" fontId="46" fillId="4" borderId="11" xfId="0" applyNumberFormat="1" applyFont="1" applyFill="1" applyBorder="1" applyAlignment="1" applyProtection="1">
      <alignment horizontal="right"/>
      <protection locked="0"/>
    </xf>
    <xf numFmtId="0" fontId="77" fillId="0" borderId="0" xfId="0" applyFont="1"/>
    <xf numFmtId="14" fontId="15" fillId="0" borderId="6" xfId="0" applyNumberFormat="1" applyFont="1" applyBorder="1" applyAlignment="1">
      <alignment horizontal="left"/>
    </xf>
    <xf numFmtId="14" fontId="15" fillId="0" borderId="3" xfId="0" applyNumberFormat="1" applyFont="1" applyBorder="1" applyAlignment="1">
      <alignment horizontal="center"/>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46" fillId="4" borderId="0" xfId="0" applyFont="1" applyFill="1" applyAlignment="1" applyProtection="1">
      <alignment horizontal="center"/>
      <protection locked="0"/>
    </xf>
    <xf numFmtId="0" fontId="46" fillId="4" borderId="0" xfId="7" applyFont="1" applyFill="1" applyAlignment="1" applyProtection="1">
      <alignment horizontal="center"/>
      <protection locked="0"/>
    </xf>
    <xf numFmtId="0" fontId="70" fillId="0" borderId="0" xfId="0" applyFont="1"/>
    <xf numFmtId="0" fontId="20" fillId="0" borderId="0" xfId="0" applyFont="1"/>
    <xf numFmtId="0" fontId="19" fillId="0" borderId="0" xfId="7" applyFont="1" applyAlignment="1">
      <alignment horizontal="right"/>
    </xf>
    <xf numFmtId="0" fontId="16" fillId="0" borderId="0" xfId="7" applyFont="1" applyAlignment="1">
      <alignment wrapText="1"/>
    </xf>
    <xf numFmtId="3" fontId="18" fillId="0" borderId="0" xfId="1" applyNumberFormat="1" applyFont="1" applyAlignment="1">
      <alignment horizontal="left"/>
    </xf>
    <xf numFmtId="3" fontId="17" fillId="0" borderId="0" xfId="1" applyNumberFormat="1" applyFont="1" applyAlignment="1">
      <alignment horizontal="left"/>
    </xf>
    <xf numFmtId="3" fontId="20" fillId="0" borderId="0" xfId="1" applyNumberFormat="1" applyFont="1" applyAlignment="1">
      <alignment horizontal="left"/>
    </xf>
    <xf numFmtId="0" fontId="32" fillId="0" borderId="3" xfId="7" applyFont="1" applyBorder="1" applyAlignment="1" applyProtection="1">
      <alignment wrapText="1"/>
      <protection locked="0"/>
    </xf>
    <xf numFmtId="3" fontId="72" fillId="0" borderId="0" xfId="1" applyNumberFormat="1" applyFont="1" applyAlignment="1">
      <alignment horizontal="center"/>
    </xf>
    <xf numFmtId="0" fontId="16" fillId="0" borderId="0" xfId="7" applyFont="1" applyAlignment="1">
      <alignment vertical="top" wrapText="1"/>
    </xf>
    <xf numFmtId="0" fontId="24" fillId="0" borderId="6" xfId="0" applyFont="1" applyBorder="1"/>
    <xf numFmtId="3" fontId="32" fillId="4" borderId="1" xfId="0" applyNumberFormat="1" applyFont="1" applyFill="1" applyBorder="1" applyAlignment="1">
      <alignment horizontal="right"/>
    </xf>
    <xf numFmtId="1" fontId="32" fillId="0" borderId="3" xfId="0" applyNumberFormat="1" applyFont="1" applyBorder="1" applyAlignment="1">
      <alignment horizontal="right"/>
    </xf>
    <xf numFmtId="0" fontId="32" fillId="0" borderId="3" xfId="0" applyFont="1" applyBorder="1" applyAlignment="1">
      <alignment horizontal="right"/>
    </xf>
    <xf numFmtId="3" fontId="46" fillId="4" borderId="4" xfId="15" applyNumberFormat="1" applyFont="1" applyFill="1" applyBorder="1" applyAlignment="1" applyProtection="1">
      <alignment horizontal="right"/>
    </xf>
    <xf numFmtId="3" fontId="32" fillId="4" borderId="4" xfId="15" applyNumberFormat="1" applyFont="1" applyFill="1" applyBorder="1" applyAlignment="1" applyProtection="1">
      <alignment horizontal="right"/>
    </xf>
    <xf numFmtId="3" fontId="46" fillId="4" borderId="11" xfId="15" applyNumberFormat="1" applyFont="1" applyFill="1" applyBorder="1" applyAlignment="1" applyProtection="1">
      <alignment horizontal="right"/>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169" fontId="32" fillId="0" borderId="3" xfId="847" applyNumberFormat="1" applyFont="1" applyBorder="1" applyAlignment="1" applyProtection="1">
      <alignment horizontal="right"/>
    </xf>
    <xf numFmtId="165" fontId="32" fillId="4" borderId="3" xfId="847" applyNumberFormat="1" applyFont="1" applyFill="1" applyBorder="1" applyAlignment="1" applyProtection="1">
      <alignment horizontal="right"/>
    </xf>
    <xf numFmtId="3" fontId="32" fillId="4" borderId="7" xfId="0" applyNumberFormat="1" applyFont="1" applyFill="1" applyBorder="1" applyAlignment="1">
      <alignment horizontal="right"/>
    </xf>
    <xf numFmtId="0" fontId="74" fillId="0" borderId="0" xfId="7" applyFont="1" applyProtection="1">
      <protection locked="0"/>
    </xf>
    <xf numFmtId="3" fontId="21" fillId="0" borderId="0" xfId="0" applyNumberFormat="1" applyFont="1" applyProtection="1">
      <protection locked="0"/>
    </xf>
    <xf numFmtId="165" fontId="38" fillId="0" borderId="0" xfId="2" applyNumberFormat="1" applyFont="1" applyFill="1"/>
    <xf numFmtId="165" fontId="38" fillId="0" borderId="0" xfId="0" applyNumberFormat="1" applyFont="1"/>
    <xf numFmtId="3" fontId="19" fillId="0" borderId="8" xfId="1" applyNumberFormat="1" applyFont="1" applyBorder="1"/>
    <xf numFmtId="3" fontId="17" fillId="0" borderId="6" xfId="1" applyNumberFormat="1" applyFont="1" applyBorder="1"/>
    <xf numFmtId="3" fontId="17" fillId="0" borderId="11" xfId="1" applyNumberFormat="1" applyFont="1" applyBorder="1"/>
    <xf numFmtId="3" fontId="79" fillId="0" borderId="0" xfId="1" applyNumberFormat="1" applyFont="1"/>
    <xf numFmtId="0" fontId="19" fillId="0" borderId="4" xfId="0" applyFont="1" applyBorder="1"/>
    <xf numFmtId="0" fontId="19" fillId="0" borderId="3" xfId="0" applyFont="1" applyBorder="1"/>
    <xf numFmtId="3" fontId="46" fillId="0" borderId="3" xfId="0" quotePrefix="1" applyNumberFormat="1" applyFont="1" applyBorder="1" applyAlignment="1">
      <alignment horizontal="right"/>
    </xf>
    <xf numFmtId="3" fontId="46" fillId="0" borderId="2" xfId="0" quotePrefix="1" applyNumberFormat="1" applyFont="1" applyBorder="1" applyAlignment="1">
      <alignment horizontal="right"/>
    </xf>
    <xf numFmtId="164" fontId="19" fillId="3" borderId="12" xfId="1" applyNumberFormat="1" applyFont="1" applyFill="1" applyBorder="1" applyAlignment="1">
      <alignment horizontal="right"/>
    </xf>
    <xf numFmtId="164" fontId="19" fillId="3" borderId="11" xfId="1" applyNumberFormat="1" applyFont="1" applyFill="1" applyBorder="1" applyAlignment="1">
      <alignment horizontal="right"/>
    </xf>
    <xf numFmtId="170" fontId="19" fillId="3" borderId="12" xfId="846" applyFont="1" applyFill="1" applyBorder="1" applyAlignment="1">
      <alignment horizontal="right"/>
    </xf>
    <xf numFmtId="170" fontId="17" fillId="2" borderId="3" xfId="846" applyFont="1" applyFill="1" applyBorder="1" applyAlignment="1">
      <alignment horizontal="right"/>
    </xf>
    <xf numFmtId="170" fontId="24" fillId="0" borderId="3" xfId="846" applyFont="1" applyFill="1" applyBorder="1" applyAlignment="1">
      <alignment horizontal="right"/>
    </xf>
    <xf numFmtId="170" fontId="68" fillId="0" borderId="3" xfId="846" applyFont="1" applyFill="1" applyBorder="1" applyAlignment="1">
      <alignment horizontal="right"/>
    </xf>
    <xf numFmtId="0" fontId="32" fillId="0" borderId="4" xfId="0" applyFont="1" applyBorder="1" applyAlignment="1" applyProtection="1">
      <alignment wrapText="1"/>
      <protection locked="0"/>
    </xf>
    <xf numFmtId="0" fontId="76" fillId="0" borderId="4" xfId="0" applyFont="1" applyBorder="1" applyProtection="1">
      <protection locked="0"/>
    </xf>
    <xf numFmtId="0" fontId="17" fillId="8" borderId="0" xfId="0" applyFont="1" applyFill="1" applyAlignment="1">
      <alignment horizontal="center"/>
    </xf>
    <xf numFmtId="0" fontId="17" fillId="8"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7" fillId="8"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5" fillId="0" borderId="11" xfId="0" applyNumberFormat="1" applyFont="1" applyBorder="1" applyAlignment="1">
      <alignment horizontal="center"/>
    </xf>
    <xf numFmtId="14" fontId="15" fillId="0" borderId="12" xfId="0" applyNumberFormat="1" applyFont="1" applyBorder="1" applyAlignment="1">
      <alignment horizontal="center"/>
    </xf>
    <xf numFmtId="14" fontId="15" fillId="0" borderId="5" xfId="0" applyNumberFormat="1" applyFont="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5" fillId="0" borderId="0" xfId="1" applyFont="1" applyAlignment="1">
      <alignment horizontal="center"/>
    </xf>
    <xf numFmtId="0" fontId="17" fillId="0" borderId="10" xfId="1" applyFont="1" applyBorder="1" applyAlignment="1">
      <alignment horizontal="center"/>
    </xf>
    <xf numFmtId="0" fontId="17" fillId="0" borderId="8" xfId="1" applyFont="1" applyBorder="1" applyAlignment="1">
      <alignment horizontal="center"/>
    </xf>
    <xf numFmtId="0" fontId="17" fillId="0" borderId="9" xfId="1" applyFont="1" applyBorder="1" applyAlignment="1">
      <alignment horizontal="center"/>
    </xf>
    <xf numFmtId="3" fontId="15" fillId="0" borderId="12" xfId="1" applyNumberFormat="1" applyFont="1" applyBorder="1" applyAlignment="1">
      <alignment horizontal="center"/>
    </xf>
    <xf numFmtId="3" fontId="17" fillId="0" borderId="10" xfId="1" applyNumberFormat="1" applyFont="1" applyBorder="1" applyAlignment="1">
      <alignment horizontal="center"/>
    </xf>
    <xf numFmtId="3" fontId="17" fillId="0" borderId="8" xfId="1" applyNumberFormat="1" applyFont="1" applyBorder="1" applyAlignment="1">
      <alignment horizontal="center"/>
    </xf>
    <xf numFmtId="3" fontId="15" fillId="0" borderId="0" xfId="1" applyNumberFormat="1" applyFont="1" applyAlignment="1">
      <alignment horizontal="center"/>
    </xf>
    <xf numFmtId="3" fontId="15" fillId="0" borderId="14" xfId="1" applyNumberFormat="1" applyFont="1" applyBorder="1" applyAlignment="1">
      <alignment horizontal="center"/>
    </xf>
    <xf numFmtId="3" fontId="17" fillId="0" borderId="9" xfId="1" applyNumberFormat="1" applyFont="1" applyBorder="1" applyAlignment="1">
      <alignment horizontal="center"/>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4" borderId="0" xfId="0" applyFont="1" applyFill="1" applyAlignment="1" applyProtection="1">
      <alignment horizontal="center"/>
      <protection locked="0"/>
    </xf>
    <xf numFmtId="0" fontId="46" fillId="4" borderId="0" xfId="7" applyFont="1" applyFill="1" applyAlignment="1" applyProtection="1">
      <alignment horizontal="center"/>
      <protection locked="0"/>
    </xf>
    <xf numFmtId="0" fontId="46" fillId="0" borderId="11" xfId="7" applyFont="1" applyBorder="1" applyAlignment="1" applyProtection="1">
      <alignment horizontal="center"/>
      <protection locked="0"/>
    </xf>
    <xf numFmtId="0" fontId="46" fillId="0" borderId="12" xfId="7" applyFont="1" applyBorder="1" applyAlignment="1" applyProtection="1">
      <alignment horizontal="center"/>
      <protection locked="0"/>
    </xf>
    <xf numFmtId="0" fontId="46" fillId="0" borderId="5" xfId="7" applyFont="1" applyBorder="1" applyAlignment="1" applyProtection="1">
      <alignment horizontal="center"/>
      <protection locked="0"/>
    </xf>
    <xf numFmtId="0" fontId="46" fillId="0" borderId="1" xfId="7" applyFont="1" applyBorder="1" applyAlignment="1" applyProtection="1">
      <alignment horizontal="center"/>
      <protection locked="0"/>
    </xf>
    <xf numFmtId="0" fontId="46" fillId="0" borderId="14" xfId="7" applyFont="1" applyBorder="1" applyAlignment="1" applyProtection="1">
      <alignment horizontal="center"/>
      <protection locked="0"/>
    </xf>
    <xf numFmtId="0" fontId="46" fillId="0" borderId="15" xfId="7" applyFont="1" applyBorder="1" applyAlignment="1" applyProtection="1">
      <alignment horizontal="center"/>
      <protection locked="0"/>
    </xf>
    <xf numFmtId="0" fontId="69" fillId="0" borderId="0" xfId="0" applyFont="1" applyAlignment="1">
      <alignment horizontal="left" vertical="top" wrapText="1" readingOrder="1"/>
    </xf>
    <xf numFmtId="0" fontId="32" fillId="0" borderId="4" xfId="0" applyFont="1" applyFill="1" applyBorder="1" applyProtection="1">
      <protection locked="0"/>
    </xf>
    <xf numFmtId="0" fontId="76" fillId="0" borderId="4" xfId="0" applyFont="1" applyFill="1" applyBorder="1" applyProtection="1">
      <protection locked="0"/>
    </xf>
    <xf numFmtId="1" fontId="62" fillId="0" borderId="0" xfId="0" applyNumberFormat="1" applyFont="1" applyProtection="1">
      <protection locked="0"/>
    </xf>
    <xf numFmtId="3" fontId="46" fillId="0" borderId="4" xfId="0" applyNumberFormat="1" applyFont="1" applyFill="1" applyBorder="1" applyAlignment="1" applyProtection="1">
      <alignment horizontal="right"/>
      <protection locked="0"/>
    </xf>
    <xf numFmtId="3" fontId="80" fillId="0" borderId="6" xfId="0" applyNumberFormat="1" applyFont="1" applyFill="1" applyBorder="1" applyAlignment="1" applyProtection="1">
      <alignment horizontal="right"/>
      <protection locked="0"/>
    </xf>
  </cellXfs>
  <cellStyles count="854">
    <cellStyle name="20 % – uthevingsfarge 2" xfId="844" builtinId="34"/>
    <cellStyle name="40% - uthevingsfarge 4 2" xfId="38" xr:uid="{00000000-0005-0000-0000-000001000000}"/>
    <cellStyle name="40% - uthevingsfarge 4 2 10" xfId="771" xr:uid="{00000000-0005-0000-0000-000002000000}"/>
    <cellStyle name="40% - uthevingsfarge 4 2 2" xfId="80" xr:uid="{00000000-0005-0000-0000-000003000000}"/>
    <cellStyle name="40% - uthevingsfarge 4 2 2 2" xfId="173" xr:uid="{00000000-0005-0000-0000-000004000000}"/>
    <cellStyle name="40% - uthevingsfarge 4 2 2 3" xfId="263" xr:uid="{00000000-0005-0000-0000-000005000000}"/>
    <cellStyle name="40% - uthevingsfarge 4 2 2 4" xfId="353" xr:uid="{00000000-0005-0000-0000-000006000000}"/>
    <cellStyle name="40% - uthevingsfarge 4 2 2 5" xfId="443" xr:uid="{00000000-0005-0000-0000-000007000000}"/>
    <cellStyle name="40% - uthevingsfarge 4 2 2 6" xfId="533" xr:uid="{00000000-0005-0000-0000-000008000000}"/>
    <cellStyle name="40% - uthevingsfarge 4 2 2 7" xfId="623" xr:uid="{00000000-0005-0000-0000-000009000000}"/>
    <cellStyle name="40% - uthevingsfarge 4 2 2 8" xfId="713" xr:uid="{00000000-0005-0000-0000-00000A000000}"/>
    <cellStyle name="40% - uthevingsfarge 4 2 2 9" xfId="810" xr:uid="{00000000-0005-0000-0000-00000B000000}"/>
    <cellStyle name="40% - uthevingsfarge 4 2 3" xfId="136" xr:uid="{00000000-0005-0000-0000-00000C000000}"/>
    <cellStyle name="40% - uthevingsfarge 4 2 4" xfId="226" xr:uid="{00000000-0005-0000-0000-00000D000000}"/>
    <cellStyle name="40% - uthevingsfarge 4 2 5" xfId="316" xr:uid="{00000000-0005-0000-0000-00000E000000}"/>
    <cellStyle name="40% - uthevingsfarge 4 2 6" xfId="406" xr:uid="{00000000-0005-0000-0000-00000F000000}"/>
    <cellStyle name="40% - uthevingsfarge 4 2 7" xfId="496" xr:uid="{00000000-0005-0000-0000-000010000000}"/>
    <cellStyle name="40% - uthevingsfarge 4 2 8" xfId="586" xr:uid="{00000000-0005-0000-0000-000011000000}"/>
    <cellStyle name="40% - uthevingsfarge 4 2 9" xfId="676" xr:uid="{00000000-0005-0000-0000-000012000000}"/>
    <cellStyle name="Hyperkobling" xfId="3" builtinId="8"/>
    <cellStyle name="Komma" xfId="2" builtinId="3"/>
    <cellStyle name="Komma 2" xfId="847" xr:uid="{00000000-0005-0000-0000-000015000000}"/>
    <cellStyle name="Komma 2 3" xfId="850" xr:uid="{0D7BB789-C0BC-4F58-B366-11FD845789ED}"/>
    <cellStyle name="Merknad 2" xfId="94" xr:uid="{00000000-0005-0000-0000-000016000000}"/>
    <cellStyle name="Normal" xfId="0" builtinId="0"/>
    <cellStyle name="Normal 10" xfId="31" xr:uid="{00000000-0005-0000-0000-000018000000}"/>
    <cellStyle name="Normal 10 10" xfId="670" xr:uid="{00000000-0005-0000-0000-000019000000}"/>
    <cellStyle name="Normal 10 11" xfId="765" xr:uid="{00000000-0005-0000-0000-00001A000000}"/>
    <cellStyle name="Normal 10 2" xfId="53" xr:uid="{00000000-0005-0000-0000-00001B000000}"/>
    <cellStyle name="Normal 10 2 10" xfId="785" xr:uid="{00000000-0005-0000-0000-00001C000000}"/>
    <cellStyle name="Normal 10 2 2" xfId="93" xr:uid="{00000000-0005-0000-0000-00001D000000}"/>
    <cellStyle name="Normal 10 2 2 10" xfId="823" xr:uid="{00000000-0005-0000-0000-00001E000000}"/>
    <cellStyle name="Normal 10 2 2 2" xfId="6" xr:uid="{00000000-0005-0000-0000-00001F000000}"/>
    <cellStyle name="Normal 10 2 2 2 2" xfId="116" xr:uid="{00000000-0005-0000-0000-000020000000}"/>
    <cellStyle name="Normal 10 2 2 3" xfId="186" xr:uid="{00000000-0005-0000-0000-000021000000}"/>
    <cellStyle name="Normal 10 2 2 4" xfId="276" xr:uid="{00000000-0005-0000-0000-000022000000}"/>
    <cellStyle name="Normal 10 2 2 5" xfId="366" xr:uid="{00000000-0005-0000-0000-000023000000}"/>
    <cellStyle name="Normal 10 2 2 6" xfId="456" xr:uid="{00000000-0005-0000-0000-000024000000}"/>
    <cellStyle name="Normal 10 2 2 7" xfId="546" xr:uid="{00000000-0005-0000-0000-000025000000}"/>
    <cellStyle name="Normal 10 2 2 8" xfId="636" xr:uid="{00000000-0005-0000-0000-000026000000}"/>
    <cellStyle name="Normal 10 2 2 9" xfId="726" xr:uid="{00000000-0005-0000-0000-000027000000}"/>
    <cellStyle name="Normal 10 2 3" xfId="149" xr:uid="{00000000-0005-0000-0000-000028000000}"/>
    <cellStyle name="Normal 10 2 4" xfId="239" xr:uid="{00000000-0005-0000-0000-000029000000}"/>
    <cellStyle name="Normal 10 2 5" xfId="329" xr:uid="{00000000-0005-0000-0000-00002A000000}"/>
    <cellStyle name="Normal 10 2 6" xfId="419" xr:uid="{00000000-0005-0000-0000-00002B000000}"/>
    <cellStyle name="Normal 10 2 7" xfId="509" xr:uid="{00000000-0005-0000-0000-00002C000000}"/>
    <cellStyle name="Normal 10 2 8" xfId="599" xr:uid="{00000000-0005-0000-0000-00002D000000}"/>
    <cellStyle name="Normal 10 2 9" xfId="689" xr:uid="{00000000-0005-0000-0000-00002E000000}"/>
    <cellStyle name="Normal 10 3" xfId="74" xr:uid="{00000000-0005-0000-0000-00002F000000}"/>
    <cellStyle name="Normal 10 3 2" xfId="167" xr:uid="{00000000-0005-0000-0000-000030000000}"/>
    <cellStyle name="Normal 10 3 3" xfId="257" xr:uid="{00000000-0005-0000-0000-000031000000}"/>
    <cellStyle name="Normal 10 3 4" xfId="347" xr:uid="{00000000-0005-0000-0000-000032000000}"/>
    <cellStyle name="Normal 10 3 5" xfId="437" xr:uid="{00000000-0005-0000-0000-000033000000}"/>
    <cellStyle name="Normal 10 3 6" xfId="527" xr:uid="{00000000-0005-0000-0000-000034000000}"/>
    <cellStyle name="Normal 10 3 7" xfId="617" xr:uid="{00000000-0005-0000-0000-000035000000}"/>
    <cellStyle name="Normal 10 3 8" xfId="707" xr:uid="{00000000-0005-0000-0000-000036000000}"/>
    <cellStyle name="Normal 10 3 9" xfId="804" xr:uid="{00000000-0005-0000-0000-000037000000}"/>
    <cellStyle name="Normal 10 4" xfId="130" xr:uid="{00000000-0005-0000-0000-000038000000}"/>
    <cellStyle name="Normal 10 5" xfId="220" xr:uid="{00000000-0005-0000-0000-000039000000}"/>
    <cellStyle name="Normal 10 6" xfId="310" xr:uid="{00000000-0005-0000-0000-00003A000000}"/>
    <cellStyle name="Normal 10 7" xfId="400" xr:uid="{00000000-0005-0000-0000-00003B000000}"/>
    <cellStyle name="Normal 10 8" xfId="490" xr:uid="{00000000-0005-0000-0000-00003C000000}"/>
    <cellStyle name="Normal 10 9" xfId="580" xr:uid="{00000000-0005-0000-0000-00003D000000}"/>
    <cellStyle name="Normal 11" xfId="35" xr:uid="{00000000-0005-0000-0000-00003E000000}"/>
    <cellStyle name="Normal 11 10" xfId="673" xr:uid="{00000000-0005-0000-0000-00003F000000}"/>
    <cellStyle name="Normal 11 11" xfId="768" xr:uid="{00000000-0005-0000-0000-000040000000}"/>
    <cellStyle name="Normal 11 2" xfId="57" xr:uid="{00000000-0005-0000-0000-000041000000}"/>
    <cellStyle name="Normal 11 2 10" xfId="788" xr:uid="{00000000-0005-0000-0000-000042000000}"/>
    <cellStyle name="Normal 11 2 2" xfId="97" xr:uid="{00000000-0005-0000-0000-000043000000}"/>
    <cellStyle name="Normal 11 2 2 2" xfId="189" xr:uid="{00000000-0005-0000-0000-000044000000}"/>
    <cellStyle name="Normal 11 2 2 3" xfId="279" xr:uid="{00000000-0005-0000-0000-000045000000}"/>
    <cellStyle name="Normal 11 2 2 4" xfId="369" xr:uid="{00000000-0005-0000-0000-000046000000}"/>
    <cellStyle name="Normal 11 2 2 5" xfId="459" xr:uid="{00000000-0005-0000-0000-000047000000}"/>
    <cellStyle name="Normal 11 2 2 6" xfId="549" xr:uid="{00000000-0005-0000-0000-000048000000}"/>
    <cellStyle name="Normal 11 2 2 7" xfId="639" xr:uid="{00000000-0005-0000-0000-000049000000}"/>
    <cellStyle name="Normal 11 2 2 8" xfId="729" xr:uid="{00000000-0005-0000-0000-00004A000000}"/>
    <cellStyle name="Normal 11 2 2 9" xfId="826" xr:uid="{00000000-0005-0000-0000-00004B000000}"/>
    <cellStyle name="Normal 11 2 3" xfId="152" xr:uid="{00000000-0005-0000-0000-00004C000000}"/>
    <cellStyle name="Normal 11 2 4" xfId="242" xr:uid="{00000000-0005-0000-0000-00004D000000}"/>
    <cellStyle name="Normal 11 2 5" xfId="332" xr:uid="{00000000-0005-0000-0000-00004E000000}"/>
    <cellStyle name="Normal 11 2 6" xfId="422" xr:uid="{00000000-0005-0000-0000-00004F000000}"/>
    <cellStyle name="Normal 11 2 7" xfId="512" xr:uid="{00000000-0005-0000-0000-000050000000}"/>
    <cellStyle name="Normal 11 2 8" xfId="602" xr:uid="{00000000-0005-0000-0000-000051000000}"/>
    <cellStyle name="Normal 11 2 9" xfId="692" xr:uid="{00000000-0005-0000-0000-000052000000}"/>
    <cellStyle name="Normal 11 3" xfId="77" xr:uid="{00000000-0005-0000-0000-000053000000}"/>
    <cellStyle name="Normal 11 3 2" xfId="170" xr:uid="{00000000-0005-0000-0000-000054000000}"/>
    <cellStyle name="Normal 11 3 3" xfId="260" xr:uid="{00000000-0005-0000-0000-000055000000}"/>
    <cellStyle name="Normal 11 3 4" xfId="350" xr:uid="{00000000-0005-0000-0000-000056000000}"/>
    <cellStyle name="Normal 11 3 5" xfId="440" xr:uid="{00000000-0005-0000-0000-000057000000}"/>
    <cellStyle name="Normal 11 3 6" xfId="530" xr:uid="{00000000-0005-0000-0000-000058000000}"/>
    <cellStyle name="Normal 11 3 7" xfId="620" xr:uid="{00000000-0005-0000-0000-000059000000}"/>
    <cellStyle name="Normal 11 3 8" xfId="710" xr:uid="{00000000-0005-0000-0000-00005A000000}"/>
    <cellStyle name="Normal 11 3 9" xfId="807" xr:uid="{00000000-0005-0000-0000-00005B000000}"/>
    <cellStyle name="Normal 11 4" xfId="133" xr:uid="{00000000-0005-0000-0000-00005C000000}"/>
    <cellStyle name="Normal 11 5" xfId="223" xr:uid="{00000000-0005-0000-0000-00005D000000}"/>
    <cellStyle name="Normal 11 6" xfId="313" xr:uid="{00000000-0005-0000-0000-00005E000000}"/>
    <cellStyle name="Normal 11 7" xfId="403" xr:uid="{00000000-0005-0000-0000-00005F000000}"/>
    <cellStyle name="Normal 11 8" xfId="493" xr:uid="{00000000-0005-0000-0000-000060000000}"/>
    <cellStyle name="Normal 11 9" xfId="583" xr:uid="{00000000-0005-0000-0000-000061000000}"/>
    <cellStyle name="Normal 12" xfId="100" xr:uid="{00000000-0005-0000-0000-000062000000}"/>
    <cellStyle name="Normal 12 2" xfId="192" xr:uid="{00000000-0005-0000-0000-000063000000}"/>
    <cellStyle name="Normal 12 3" xfId="282" xr:uid="{00000000-0005-0000-0000-000064000000}"/>
    <cellStyle name="Normal 12 4" xfId="372" xr:uid="{00000000-0005-0000-0000-000065000000}"/>
    <cellStyle name="Normal 12 5" xfId="462" xr:uid="{00000000-0005-0000-0000-000066000000}"/>
    <cellStyle name="Normal 12 6" xfId="552" xr:uid="{00000000-0005-0000-0000-000067000000}"/>
    <cellStyle name="Normal 12 7" xfId="642" xr:uid="{00000000-0005-0000-0000-000068000000}"/>
    <cellStyle name="Normal 12 8" xfId="732" xr:uid="{00000000-0005-0000-0000-000069000000}"/>
    <cellStyle name="Normal 12 9" xfId="829" xr:uid="{00000000-0005-0000-0000-00006A000000}"/>
    <cellStyle name="Normal 13" xfId="103" xr:uid="{00000000-0005-0000-0000-00006B000000}"/>
    <cellStyle name="Normal 13 2" xfId="195" xr:uid="{00000000-0005-0000-0000-00006C000000}"/>
    <cellStyle name="Normal 13 3" xfId="285" xr:uid="{00000000-0005-0000-0000-00006D000000}"/>
    <cellStyle name="Normal 13 4" xfId="375" xr:uid="{00000000-0005-0000-0000-00006E000000}"/>
    <cellStyle name="Normal 13 5" xfId="465" xr:uid="{00000000-0005-0000-0000-00006F000000}"/>
    <cellStyle name="Normal 13 6" xfId="555" xr:uid="{00000000-0005-0000-0000-000070000000}"/>
    <cellStyle name="Normal 13 7" xfId="645" xr:uid="{00000000-0005-0000-0000-000071000000}"/>
    <cellStyle name="Normal 13 8" xfId="735" xr:uid="{00000000-0005-0000-0000-000072000000}"/>
    <cellStyle name="Normal 13 9" xfId="832" xr:uid="{00000000-0005-0000-0000-000073000000}"/>
    <cellStyle name="Normal 14" xfId="106" xr:uid="{00000000-0005-0000-0000-000074000000}"/>
    <cellStyle name="Normal 14 2" xfId="198" xr:uid="{00000000-0005-0000-0000-000075000000}"/>
    <cellStyle name="Normal 14 3" xfId="288" xr:uid="{00000000-0005-0000-0000-000076000000}"/>
    <cellStyle name="Normal 14 4" xfId="378" xr:uid="{00000000-0005-0000-0000-000077000000}"/>
    <cellStyle name="Normal 14 5" xfId="468" xr:uid="{00000000-0005-0000-0000-000078000000}"/>
    <cellStyle name="Normal 14 6" xfId="558" xr:uid="{00000000-0005-0000-0000-000079000000}"/>
    <cellStyle name="Normal 14 7" xfId="648" xr:uid="{00000000-0005-0000-0000-00007A000000}"/>
    <cellStyle name="Normal 14 8" xfId="738" xr:uid="{00000000-0005-0000-0000-00007B000000}"/>
    <cellStyle name="Normal 14 9" xfId="835" xr:uid="{00000000-0005-0000-0000-00007C000000}"/>
    <cellStyle name="Normal 15" xfId="109" xr:uid="{00000000-0005-0000-0000-00007D000000}"/>
    <cellStyle name="Normal 15 2" xfId="201" xr:uid="{00000000-0005-0000-0000-00007E000000}"/>
    <cellStyle name="Normal 15 3" xfId="291" xr:uid="{00000000-0005-0000-0000-00007F000000}"/>
    <cellStyle name="Normal 15 4" xfId="381" xr:uid="{00000000-0005-0000-0000-000080000000}"/>
    <cellStyle name="Normal 15 5" xfId="471" xr:uid="{00000000-0005-0000-0000-000081000000}"/>
    <cellStyle name="Normal 15 6" xfId="561" xr:uid="{00000000-0005-0000-0000-000082000000}"/>
    <cellStyle name="Normal 15 7" xfId="651" xr:uid="{00000000-0005-0000-0000-000083000000}"/>
    <cellStyle name="Normal 15 8" xfId="741" xr:uid="{00000000-0005-0000-0000-000084000000}"/>
    <cellStyle name="Normal 15 9" xfId="838" xr:uid="{00000000-0005-0000-0000-000085000000}"/>
    <cellStyle name="Normal 16" xfId="112" xr:uid="{00000000-0005-0000-0000-000086000000}"/>
    <cellStyle name="Normal 16 2" xfId="204" xr:uid="{00000000-0005-0000-0000-000087000000}"/>
    <cellStyle name="Normal 16 3" xfId="294" xr:uid="{00000000-0005-0000-0000-000088000000}"/>
    <cellStyle name="Normal 16 4" xfId="384" xr:uid="{00000000-0005-0000-0000-000089000000}"/>
    <cellStyle name="Normal 16 5" xfId="474" xr:uid="{00000000-0005-0000-0000-00008A000000}"/>
    <cellStyle name="Normal 16 6" xfId="564" xr:uid="{00000000-0005-0000-0000-00008B000000}"/>
    <cellStyle name="Normal 16 7" xfId="654" xr:uid="{00000000-0005-0000-0000-00008C000000}"/>
    <cellStyle name="Normal 16 8" xfId="744" xr:uid="{00000000-0005-0000-0000-00008D000000}"/>
    <cellStyle name="Normal 16 9" xfId="841" xr:uid="{00000000-0005-0000-0000-00008E000000}"/>
    <cellStyle name="Normal 17" xfId="8" xr:uid="{00000000-0005-0000-0000-00008F000000}"/>
    <cellStyle name="Normal 18" xfId="10" xr:uid="{00000000-0005-0000-0000-000090000000}"/>
    <cellStyle name="Normal 19" xfId="117" xr:uid="{00000000-0005-0000-0000-000091000000}"/>
    <cellStyle name="Normal 2" xfId="1" xr:uid="{00000000-0005-0000-0000-000092000000}"/>
    <cellStyle name="Normal 2 2" xfId="7" xr:uid="{00000000-0005-0000-0000-000093000000}"/>
    <cellStyle name="Normal 2 2 2" xfId="852" xr:uid="{1C7488BD-D0A7-4BD6-89BE-682016A3202E}"/>
    <cellStyle name="Normal 2 3" xfId="20" xr:uid="{00000000-0005-0000-0000-000094000000}"/>
    <cellStyle name="Normal 2 4" xfId="39" xr:uid="{00000000-0005-0000-0000-000095000000}"/>
    <cellStyle name="Normal 2 5" xfId="60" xr:uid="{00000000-0005-0000-0000-000096000000}"/>
    <cellStyle name="Normal 20" xfId="207" xr:uid="{00000000-0005-0000-0000-000097000000}"/>
    <cellStyle name="Normal 21" xfId="297" xr:uid="{00000000-0005-0000-0000-000098000000}"/>
    <cellStyle name="Normal 22" xfId="387" xr:uid="{00000000-0005-0000-0000-000099000000}"/>
    <cellStyle name="Normal 23" xfId="477" xr:uid="{00000000-0005-0000-0000-00009A000000}"/>
    <cellStyle name="Normal 24" xfId="567" xr:uid="{00000000-0005-0000-0000-00009B000000}"/>
    <cellStyle name="Normal 25" xfId="657" xr:uid="{00000000-0005-0000-0000-00009C000000}"/>
    <cellStyle name="Normal 26" xfId="747" xr:uid="{00000000-0005-0000-0000-00009D000000}"/>
    <cellStyle name="Normal 27" xfId="851" xr:uid="{ED50C316-25E5-4ED7-8355-A3104735F1B2}"/>
    <cellStyle name="Normal 3" xfId="4" xr:uid="{00000000-0005-0000-0000-00009E000000}"/>
    <cellStyle name="Normal 3 10" xfId="104" xr:uid="{00000000-0005-0000-0000-00009F000000}"/>
    <cellStyle name="Normal 3 10 2" xfId="196" xr:uid="{00000000-0005-0000-0000-0000A0000000}"/>
    <cellStyle name="Normal 3 10 3" xfId="286" xr:uid="{00000000-0005-0000-0000-0000A1000000}"/>
    <cellStyle name="Normal 3 10 4" xfId="376" xr:uid="{00000000-0005-0000-0000-0000A2000000}"/>
    <cellStyle name="Normal 3 10 5" xfId="466" xr:uid="{00000000-0005-0000-0000-0000A3000000}"/>
    <cellStyle name="Normal 3 10 6" xfId="556" xr:uid="{00000000-0005-0000-0000-0000A4000000}"/>
    <cellStyle name="Normal 3 10 7" xfId="646" xr:uid="{00000000-0005-0000-0000-0000A5000000}"/>
    <cellStyle name="Normal 3 10 8" xfId="736" xr:uid="{00000000-0005-0000-0000-0000A6000000}"/>
    <cellStyle name="Normal 3 10 9" xfId="833" xr:uid="{00000000-0005-0000-0000-0000A7000000}"/>
    <cellStyle name="Normal 3 11" xfId="107" xr:uid="{00000000-0005-0000-0000-0000A8000000}"/>
    <cellStyle name="Normal 3 11 2" xfId="199" xr:uid="{00000000-0005-0000-0000-0000A9000000}"/>
    <cellStyle name="Normal 3 11 3" xfId="289" xr:uid="{00000000-0005-0000-0000-0000AA000000}"/>
    <cellStyle name="Normal 3 11 4" xfId="379" xr:uid="{00000000-0005-0000-0000-0000AB000000}"/>
    <cellStyle name="Normal 3 11 5" xfId="469" xr:uid="{00000000-0005-0000-0000-0000AC000000}"/>
    <cellStyle name="Normal 3 11 6" xfId="559" xr:uid="{00000000-0005-0000-0000-0000AD000000}"/>
    <cellStyle name="Normal 3 11 7" xfId="649" xr:uid="{00000000-0005-0000-0000-0000AE000000}"/>
    <cellStyle name="Normal 3 11 8" xfId="739" xr:uid="{00000000-0005-0000-0000-0000AF000000}"/>
    <cellStyle name="Normal 3 11 9" xfId="836" xr:uid="{00000000-0005-0000-0000-0000B0000000}"/>
    <cellStyle name="Normal 3 12" xfId="110" xr:uid="{00000000-0005-0000-0000-0000B1000000}"/>
    <cellStyle name="Normal 3 12 2" xfId="202" xr:uid="{00000000-0005-0000-0000-0000B2000000}"/>
    <cellStyle name="Normal 3 12 3" xfId="292" xr:uid="{00000000-0005-0000-0000-0000B3000000}"/>
    <cellStyle name="Normal 3 12 4" xfId="382" xr:uid="{00000000-0005-0000-0000-0000B4000000}"/>
    <cellStyle name="Normal 3 12 5" xfId="472" xr:uid="{00000000-0005-0000-0000-0000B5000000}"/>
    <cellStyle name="Normal 3 12 6" xfId="562" xr:uid="{00000000-0005-0000-0000-0000B6000000}"/>
    <cellStyle name="Normal 3 12 7" xfId="652" xr:uid="{00000000-0005-0000-0000-0000B7000000}"/>
    <cellStyle name="Normal 3 12 8" xfId="742" xr:uid="{00000000-0005-0000-0000-0000B8000000}"/>
    <cellStyle name="Normal 3 12 9" xfId="839" xr:uid="{00000000-0005-0000-0000-0000B9000000}"/>
    <cellStyle name="Normal 3 13" xfId="113" xr:uid="{00000000-0005-0000-0000-0000BA000000}"/>
    <cellStyle name="Normal 3 13 2" xfId="205" xr:uid="{00000000-0005-0000-0000-0000BB000000}"/>
    <cellStyle name="Normal 3 13 3" xfId="295" xr:uid="{00000000-0005-0000-0000-0000BC000000}"/>
    <cellStyle name="Normal 3 13 4" xfId="385" xr:uid="{00000000-0005-0000-0000-0000BD000000}"/>
    <cellStyle name="Normal 3 13 5" xfId="475" xr:uid="{00000000-0005-0000-0000-0000BE000000}"/>
    <cellStyle name="Normal 3 13 6" xfId="565" xr:uid="{00000000-0005-0000-0000-0000BF000000}"/>
    <cellStyle name="Normal 3 13 7" xfId="655" xr:uid="{00000000-0005-0000-0000-0000C0000000}"/>
    <cellStyle name="Normal 3 13 8" xfId="745" xr:uid="{00000000-0005-0000-0000-0000C1000000}"/>
    <cellStyle name="Normal 3 13 9" xfId="842" xr:uid="{00000000-0005-0000-0000-0000C2000000}"/>
    <cellStyle name="Normal 3 14" xfId="11" xr:uid="{00000000-0005-0000-0000-0000C3000000}"/>
    <cellStyle name="Normal 3 15" xfId="118" xr:uid="{00000000-0005-0000-0000-0000C4000000}"/>
    <cellStyle name="Normal 3 16" xfId="208" xr:uid="{00000000-0005-0000-0000-0000C5000000}"/>
    <cellStyle name="Normal 3 17" xfId="298" xr:uid="{00000000-0005-0000-0000-0000C6000000}"/>
    <cellStyle name="Normal 3 18" xfId="388" xr:uid="{00000000-0005-0000-0000-0000C7000000}"/>
    <cellStyle name="Normal 3 19" xfId="478" xr:uid="{00000000-0005-0000-0000-0000C8000000}"/>
    <cellStyle name="Normal 3 2" xfId="23" xr:uid="{00000000-0005-0000-0000-0000C9000000}"/>
    <cellStyle name="Normal 3 2 10" xfId="662" xr:uid="{00000000-0005-0000-0000-0000CA000000}"/>
    <cellStyle name="Normal 3 2 11" xfId="757" xr:uid="{00000000-0005-0000-0000-0000CB000000}"/>
    <cellStyle name="Normal 3 2 2" xfId="45" xr:uid="{00000000-0005-0000-0000-0000CC000000}"/>
    <cellStyle name="Normal 3 2 2 10" xfId="777" xr:uid="{00000000-0005-0000-0000-0000CD000000}"/>
    <cellStyle name="Normal 3 2 2 2" xfId="85" xr:uid="{00000000-0005-0000-0000-0000CE000000}"/>
    <cellStyle name="Normal 3 2 2 2 2" xfId="178" xr:uid="{00000000-0005-0000-0000-0000CF000000}"/>
    <cellStyle name="Normal 3 2 2 2 3" xfId="268" xr:uid="{00000000-0005-0000-0000-0000D0000000}"/>
    <cellStyle name="Normal 3 2 2 2 4" xfId="358" xr:uid="{00000000-0005-0000-0000-0000D1000000}"/>
    <cellStyle name="Normal 3 2 2 2 5" xfId="448" xr:uid="{00000000-0005-0000-0000-0000D2000000}"/>
    <cellStyle name="Normal 3 2 2 2 6" xfId="538" xr:uid="{00000000-0005-0000-0000-0000D3000000}"/>
    <cellStyle name="Normal 3 2 2 2 7" xfId="628" xr:uid="{00000000-0005-0000-0000-0000D4000000}"/>
    <cellStyle name="Normal 3 2 2 2 8" xfId="718" xr:uid="{00000000-0005-0000-0000-0000D5000000}"/>
    <cellStyle name="Normal 3 2 2 2 9" xfId="815" xr:uid="{00000000-0005-0000-0000-0000D6000000}"/>
    <cellStyle name="Normal 3 2 2 3" xfId="141" xr:uid="{00000000-0005-0000-0000-0000D7000000}"/>
    <cellStyle name="Normal 3 2 2 4" xfId="231" xr:uid="{00000000-0005-0000-0000-0000D8000000}"/>
    <cellStyle name="Normal 3 2 2 5" xfId="321" xr:uid="{00000000-0005-0000-0000-0000D9000000}"/>
    <cellStyle name="Normal 3 2 2 6" xfId="411" xr:uid="{00000000-0005-0000-0000-0000DA000000}"/>
    <cellStyle name="Normal 3 2 2 7" xfId="501" xr:uid="{00000000-0005-0000-0000-0000DB000000}"/>
    <cellStyle name="Normal 3 2 2 8" xfId="591" xr:uid="{00000000-0005-0000-0000-0000DC000000}"/>
    <cellStyle name="Normal 3 2 2 9" xfId="681" xr:uid="{00000000-0005-0000-0000-0000DD000000}"/>
    <cellStyle name="Normal 3 2 3" xfId="66" xr:uid="{00000000-0005-0000-0000-0000DE000000}"/>
    <cellStyle name="Normal 3 2 3 2" xfId="159" xr:uid="{00000000-0005-0000-0000-0000DF000000}"/>
    <cellStyle name="Normal 3 2 3 3" xfId="249" xr:uid="{00000000-0005-0000-0000-0000E0000000}"/>
    <cellStyle name="Normal 3 2 3 4" xfId="339" xr:uid="{00000000-0005-0000-0000-0000E1000000}"/>
    <cellStyle name="Normal 3 2 3 5" xfId="429" xr:uid="{00000000-0005-0000-0000-0000E2000000}"/>
    <cellStyle name="Normal 3 2 3 6" xfId="519" xr:uid="{00000000-0005-0000-0000-0000E3000000}"/>
    <cellStyle name="Normal 3 2 3 7" xfId="609" xr:uid="{00000000-0005-0000-0000-0000E4000000}"/>
    <cellStyle name="Normal 3 2 3 8" xfId="699" xr:uid="{00000000-0005-0000-0000-0000E5000000}"/>
    <cellStyle name="Normal 3 2 3 9" xfId="796" xr:uid="{00000000-0005-0000-0000-0000E6000000}"/>
    <cellStyle name="Normal 3 2 4" xfId="122" xr:uid="{00000000-0005-0000-0000-0000E7000000}"/>
    <cellStyle name="Normal 3 2 5" xfId="212" xr:uid="{00000000-0005-0000-0000-0000E8000000}"/>
    <cellStyle name="Normal 3 2 6" xfId="302" xr:uid="{00000000-0005-0000-0000-0000E9000000}"/>
    <cellStyle name="Normal 3 2 7" xfId="392" xr:uid="{00000000-0005-0000-0000-0000EA000000}"/>
    <cellStyle name="Normal 3 2 8" xfId="482" xr:uid="{00000000-0005-0000-0000-0000EB000000}"/>
    <cellStyle name="Normal 3 2 9" xfId="572" xr:uid="{00000000-0005-0000-0000-0000EC000000}"/>
    <cellStyle name="Normal 3 20" xfId="568" xr:uid="{00000000-0005-0000-0000-0000ED000000}"/>
    <cellStyle name="Normal 3 21" xfId="658" xr:uid="{00000000-0005-0000-0000-0000EE000000}"/>
    <cellStyle name="Normal 3 22" xfId="748" xr:uid="{00000000-0005-0000-0000-0000EF000000}"/>
    <cellStyle name="Normal 3 3" xfId="26" xr:uid="{00000000-0005-0000-0000-0000F0000000}"/>
    <cellStyle name="Normal 3 3 10" xfId="665" xr:uid="{00000000-0005-0000-0000-0000F1000000}"/>
    <cellStyle name="Normal 3 3 11" xfId="760" xr:uid="{00000000-0005-0000-0000-0000F2000000}"/>
    <cellStyle name="Normal 3 3 2" xfId="48" xr:uid="{00000000-0005-0000-0000-0000F3000000}"/>
    <cellStyle name="Normal 3 3 2 10" xfId="780" xr:uid="{00000000-0005-0000-0000-0000F4000000}"/>
    <cellStyle name="Normal 3 3 2 2" xfId="88" xr:uid="{00000000-0005-0000-0000-0000F5000000}"/>
    <cellStyle name="Normal 3 3 2 2 2" xfId="181" xr:uid="{00000000-0005-0000-0000-0000F6000000}"/>
    <cellStyle name="Normal 3 3 2 2 3" xfId="271" xr:uid="{00000000-0005-0000-0000-0000F7000000}"/>
    <cellStyle name="Normal 3 3 2 2 4" xfId="361" xr:uid="{00000000-0005-0000-0000-0000F8000000}"/>
    <cellStyle name="Normal 3 3 2 2 5" xfId="451" xr:uid="{00000000-0005-0000-0000-0000F9000000}"/>
    <cellStyle name="Normal 3 3 2 2 6" xfId="541" xr:uid="{00000000-0005-0000-0000-0000FA000000}"/>
    <cellStyle name="Normal 3 3 2 2 7" xfId="631" xr:uid="{00000000-0005-0000-0000-0000FB000000}"/>
    <cellStyle name="Normal 3 3 2 2 8" xfId="721" xr:uid="{00000000-0005-0000-0000-0000FC000000}"/>
    <cellStyle name="Normal 3 3 2 2 9" xfId="818" xr:uid="{00000000-0005-0000-0000-0000FD000000}"/>
    <cellStyle name="Normal 3 3 2 3" xfId="144" xr:uid="{00000000-0005-0000-0000-0000FE000000}"/>
    <cellStyle name="Normal 3 3 2 4" xfId="234" xr:uid="{00000000-0005-0000-0000-0000FF000000}"/>
    <cellStyle name="Normal 3 3 2 5" xfId="324" xr:uid="{00000000-0005-0000-0000-000000010000}"/>
    <cellStyle name="Normal 3 3 2 6" xfId="414" xr:uid="{00000000-0005-0000-0000-000001010000}"/>
    <cellStyle name="Normal 3 3 2 7" xfId="504" xr:uid="{00000000-0005-0000-0000-000002010000}"/>
    <cellStyle name="Normal 3 3 2 8" xfId="594" xr:uid="{00000000-0005-0000-0000-000003010000}"/>
    <cellStyle name="Normal 3 3 2 9" xfId="684" xr:uid="{00000000-0005-0000-0000-000004010000}"/>
    <cellStyle name="Normal 3 3 3" xfId="69" xr:uid="{00000000-0005-0000-0000-000005010000}"/>
    <cellStyle name="Normal 3 3 3 2" xfId="162" xr:uid="{00000000-0005-0000-0000-000006010000}"/>
    <cellStyle name="Normal 3 3 3 3" xfId="252" xr:uid="{00000000-0005-0000-0000-000007010000}"/>
    <cellStyle name="Normal 3 3 3 4" xfId="342" xr:uid="{00000000-0005-0000-0000-000008010000}"/>
    <cellStyle name="Normal 3 3 3 5" xfId="432" xr:uid="{00000000-0005-0000-0000-000009010000}"/>
    <cellStyle name="Normal 3 3 3 6" xfId="522" xr:uid="{00000000-0005-0000-0000-00000A010000}"/>
    <cellStyle name="Normal 3 3 3 7" xfId="612" xr:uid="{00000000-0005-0000-0000-00000B010000}"/>
    <cellStyle name="Normal 3 3 3 8" xfId="702" xr:uid="{00000000-0005-0000-0000-00000C010000}"/>
    <cellStyle name="Normal 3 3 3 9" xfId="799" xr:uid="{00000000-0005-0000-0000-00000D010000}"/>
    <cellStyle name="Normal 3 3 4" xfId="125" xr:uid="{00000000-0005-0000-0000-00000E010000}"/>
    <cellStyle name="Normal 3 3 5" xfId="215" xr:uid="{00000000-0005-0000-0000-00000F010000}"/>
    <cellStyle name="Normal 3 3 6" xfId="305" xr:uid="{00000000-0005-0000-0000-000010010000}"/>
    <cellStyle name="Normal 3 3 7" xfId="395" xr:uid="{00000000-0005-0000-0000-000011010000}"/>
    <cellStyle name="Normal 3 3 8" xfId="485" xr:uid="{00000000-0005-0000-0000-000012010000}"/>
    <cellStyle name="Normal 3 3 9" xfId="575" xr:uid="{00000000-0005-0000-0000-000013010000}"/>
    <cellStyle name="Normal 3 4" xfId="29" xr:uid="{00000000-0005-0000-0000-000014010000}"/>
    <cellStyle name="Normal 3 4 10" xfId="668" xr:uid="{00000000-0005-0000-0000-000015010000}"/>
    <cellStyle name="Normal 3 4 11" xfId="763" xr:uid="{00000000-0005-0000-0000-000016010000}"/>
    <cellStyle name="Normal 3 4 2" xfId="51" xr:uid="{00000000-0005-0000-0000-000017010000}"/>
    <cellStyle name="Normal 3 4 2 10" xfId="783" xr:uid="{00000000-0005-0000-0000-000018010000}"/>
    <cellStyle name="Normal 3 4 2 2" xfId="91" xr:uid="{00000000-0005-0000-0000-000019010000}"/>
    <cellStyle name="Normal 3 4 2 2 2" xfId="184" xr:uid="{00000000-0005-0000-0000-00001A010000}"/>
    <cellStyle name="Normal 3 4 2 2 3" xfId="274" xr:uid="{00000000-0005-0000-0000-00001B010000}"/>
    <cellStyle name="Normal 3 4 2 2 4" xfId="364" xr:uid="{00000000-0005-0000-0000-00001C010000}"/>
    <cellStyle name="Normal 3 4 2 2 5" xfId="454" xr:uid="{00000000-0005-0000-0000-00001D010000}"/>
    <cellStyle name="Normal 3 4 2 2 6" xfId="544" xr:uid="{00000000-0005-0000-0000-00001E010000}"/>
    <cellStyle name="Normal 3 4 2 2 7" xfId="634" xr:uid="{00000000-0005-0000-0000-00001F010000}"/>
    <cellStyle name="Normal 3 4 2 2 8" xfId="724" xr:uid="{00000000-0005-0000-0000-000020010000}"/>
    <cellStyle name="Normal 3 4 2 2 9" xfId="821" xr:uid="{00000000-0005-0000-0000-000021010000}"/>
    <cellStyle name="Normal 3 4 2 3" xfId="147" xr:uid="{00000000-0005-0000-0000-000022010000}"/>
    <cellStyle name="Normal 3 4 2 4" xfId="237" xr:uid="{00000000-0005-0000-0000-000023010000}"/>
    <cellStyle name="Normal 3 4 2 5" xfId="327" xr:uid="{00000000-0005-0000-0000-000024010000}"/>
    <cellStyle name="Normal 3 4 2 6" xfId="417" xr:uid="{00000000-0005-0000-0000-000025010000}"/>
    <cellStyle name="Normal 3 4 2 7" xfId="507" xr:uid="{00000000-0005-0000-0000-000026010000}"/>
    <cellStyle name="Normal 3 4 2 8" xfId="597" xr:uid="{00000000-0005-0000-0000-000027010000}"/>
    <cellStyle name="Normal 3 4 2 9" xfId="687" xr:uid="{00000000-0005-0000-0000-000028010000}"/>
    <cellStyle name="Normal 3 4 3" xfId="72" xr:uid="{00000000-0005-0000-0000-000029010000}"/>
    <cellStyle name="Normal 3 4 3 2" xfId="165" xr:uid="{00000000-0005-0000-0000-00002A010000}"/>
    <cellStyle name="Normal 3 4 3 3" xfId="255" xr:uid="{00000000-0005-0000-0000-00002B010000}"/>
    <cellStyle name="Normal 3 4 3 4" xfId="345" xr:uid="{00000000-0005-0000-0000-00002C010000}"/>
    <cellStyle name="Normal 3 4 3 5" xfId="435" xr:uid="{00000000-0005-0000-0000-00002D010000}"/>
    <cellStyle name="Normal 3 4 3 6" xfId="525" xr:uid="{00000000-0005-0000-0000-00002E010000}"/>
    <cellStyle name="Normal 3 4 3 7" xfId="615" xr:uid="{00000000-0005-0000-0000-00002F010000}"/>
    <cellStyle name="Normal 3 4 3 8" xfId="705" xr:uid="{00000000-0005-0000-0000-000030010000}"/>
    <cellStyle name="Normal 3 4 3 9" xfId="802" xr:uid="{00000000-0005-0000-0000-000031010000}"/>
    <cellStyle name="Normal 3 4 4" xfId="128" xr:uid="{00000000-0005-0000-0000-000032010000}"/>
    <cellStyle name="Normal 3 4 5" xfId="218" xr:uid="{00000000-0005-0000-0000-000033010000}"/>
    <cellStyle name="Normal 3 4 6" xfId="308" xr:uid="{00000000-0005-0000-0000-000034010000}"/>
    <cellStyle name="Normal 3 4 7" xfId="398" xr:uid="{00000000-0005-0000-0000-000035010000}"/>
    <cellStyle name="Normal 3 4 8" xfId="488" xr:uid="{00000000-0005-0000-0000-000036010000}"/>
    <cellStyle name="Normal 3 4 9" xfId="578" xr:uid="{00000000-0005-0000-0000-000037010000}"/>
    <cellStyle name="Normal 3 5" xfId="33" xr:uid="{00000000-0005-0000-0000-000038010000}"/>
    <cellStyle name="Normal 3 5 10" xfId="671" xr:uid="{00000000-0005-0000-0000-000039010000}"/>
    <cellStyle name="Normal 3 5 11" xfId="766" xr:uid="{00000000-0005-0000-0000-00003A010000}"/>
    <cellStyle name="Normal 3 5 2" xfId="55" xr:uid="{00000000-0005-0000-0000-00003B010000}"/>
    <cellStyle name="Normal 3 5 2 10" xfId="786" xr:uid="{00000000-0005-0000-0000-00003C010000}"/>
    <cellStyle name="Normal 3 5 2 2" xfId="95" xr:uid="{00000000-0005-0000-0000-00003D010000}"/>
    <cellStyle name="Normal 3 5 2 2 2" xfId="187" xr:uid="{00000000-0005-0000-0000-00003E010000}"/>
    <cellStyle name="Normal 3 5 2 2 3" xfId="277" xr:uid="{00000000-0005-0000-0000-00003F010000}"/>
    <cellStyle name="Normal 3 5 2 2 4" xfId="367" xr:uid="{00000000-0005-0000-0000-000040010000}"/>
    <cellStyle name="Normal 3 5 2 2 5" xfId="457" xr:uid="{00000000-0005-0000-0000-000041010000}"/>
    <cellStyle name="Normal 3 5 2 2 6" xfId="547" xr:uid="{00000000-0005-0000-0000-000042010000}"/>
    <cellStyle name="Normal 3 5 2 2 7" xfId="637" xr:uid="{00000000-0005-0000-0000-000043010000}"/>
    <cellStyle name="Normal 3 5 2 2 8" xfId="727" xr:uid="{00000000-0005-0000-0000-000044010000}"/>
    <cellStyle name="Normal 3 5 2 2 9" xfId="824" xr:uid="{00000000-0005-0000-0000-000045010000}"/>
    <cellStyle name="Normal 3 5 2 3" xfId="150" xr:uid="{00000000-0005-0000-0000-000046010000}"/>
    <cellStyle name="Normal 3 5 2 4" xfId="240" xr:uid="{00000000-0005-0000-0000-000047010000}"/>
    <cellStyle name="Normal 3 5 2 5" xfId="330" xr:uid="{00000000-0005-0000-0000-000048010000}"/>
    <cellStyle name="Normal 3 5 2 6" xfId="420" xr:uid="{00000000-0005-0000-0000-000049010000}"/>
    <cellStyle name="Normal 3 5 2 7" xfId="510" xr:uid="{00000000-0005-0000-0000-00004A010000}"/>
    <cellStyle name="Normal 3 5 2 8" xfId="600" xr:uid="{00000000-0005-0000-0000-00004B010000}"/>
    <cellStyle name="Normal 3 5 2 9" xfId="690" xr:uid="{00000000-0005-0000-0000-00004C010000}"/>
    <cellStyle name="Normal 3 5 3" xfId="75" xr:uid="{00000000-0005-0000-0000-00004D010000}"/>
    <cellStyle name="Normal 3 5 3 2" xfId="168" xr:uid="{00000000-0005-0000-0000-00004E010000}"/>
    <cellStyle name="Normal 3 5 3 3" xfId="258" xr:uid="{00000000-0005-0000-0000-00004F010000}"/>
    <cellStyle name="Normal 3 5 3 4" xfId="348" xr:uid="{00000000-0005-0000-0000-000050010000}"/>
    <cellStyle name="Normal 3 5 3 5" xfId="438" xr:uid="{00000000-0005-0000-0000-000051010000}"/>
    <cellStyle name="Normal 3 5 3 6" xfId="528" xr:uid="{00000000-0005-0000-0000-000052010000}"/>
    <cellStyle name="Normal 3 5 3 7" xfId="618" xr:uid="{00000000-0005-0000-0000-000053010000}"/>
    <cellStyle name="Normal 3 5 3 8" xfId="708" xr:uid="{00000000-0005-0000-0000-000054010000}"/>
    <cellStyle name="Normal 3 5 3 9" xfId="805" xr:uid="{00000000-0005-0000-0000-000055010000}"/>
    <cellStyle name="Normal 3 5 4" xfId="131" xr:uid="{00000000-0005-0000-0000-000056010000}"/>
    <cellStyle name="Normal 3 5 5" xfId="221" xr:uid="{00000000-0005-0000-0000-000057010000}"/>
    <cellStyle name="Normal 3 5 6" xfId="311" xr:uid="{00000000-0005-0000-0000-000058010000}"/>
    <cellStyle name="Normal 3 5 7" xfId="401" xr:uid="{00000000-0005-0000-0000-000059010000}"/>
    <cellStyle name="Normal 3 5 8" xfId="491" xr:uid="{00000000-0005-0000-0000-00005A010000}"/>
    <cellStyle name="Normal 3 5 9" xfId="581" xr:uid="{00000000-0005-0000-0000-00005B010000}"/>
    <cellStyle name="Normal 3 6" xfId="36" xr:uid="{00000000-0005-0000-0000-00005C010000}"/>
    <cellStyle name="Normal 3 6 10" xfId="674" xr:uid="{00000000-0005-0000-0000-00005D010000}"/>
    <cellStyle name="Normal 3 6 11" xfId="769" xr:uid="{00000000-0005-0000-0000-00005E010000}"/>
    <cellStyle name="Normal 3 6 2" xfId="58" xr:uid="{00000000-0005-0000-0000-00005F010000}"/>
    <cellStyle name="Normal 3 6 2 10" xfId="789" xr:uid="{00000000-0005-0000-0000-000060010000}"/>
    <cellStyle name="Normal 3 6 2 2" xfId="98" xr:uid="{00000000-0005-0000-0000-000061010000}"/>
    <cellStyle name="Normal 3 6 2 2 2" xfId="190" xr:uid="{00000000-0005-0000-0000-000062010000}"/>
    <cellStyle name="Normal 3 6 2 2 3" xfId="280" xr:uid="{00000000-0005-0000-0000-000063010000}"/>
    <cellStyle name="Normal 3 6 2 2 4" xfId="370" xr:uid="{00000000-0005-0000-0000-000064010000}"/>
    <cellStyle name="Normal 3 6 2 2 5" xfId="460" xr:uid="{00000000-0005-0000-0000-000065010000}"/>
    <cellStyle name="Normal 3 6 2 2 6" xfId="550" xr:uid="{00000000-0005-0000-0000-000066010000}"/>
    <cellStyle name="Normal 3 6 2 2 7" xfId="640" xr:uid="{00000000-0005-0000-0000-000067010000}"/>
    <cellStyle name="Normal 3 6 2 2 8" xfId="730" xr:uid="{00000000-0005-0000-0000-000068010000}"/>
    <cellStyle name="Normal 3 6 2 2 9" xfId="827" xr:uid="{00000000-0005-0000-0000-000069010000}"/>
    <cellStyle name="Normal 3 6 2 3" xfId="153" xr:uid="{00000000-0005-0000-0000-00006A010000}"/>
    <cellStyle name="Normal 3 6 2 4" xfId="243" xr:uid="{00000000-0005-0000-0000-00006B010000}"/>
    <cellStyle name="Normal 3 6 2 5" xfId="333" xr:uid="{00000000-0005-0000-0000-00006C010000}"/>
    <cellStyle name="Normal 3 6 2 6" xfId="423" xr:uid="{00000000-0005-0000-0000-00006D010000}"/>
    <cellStyle name="Normal 3 6 2 7" xfId="513" xr:uid="{00000000-0005-0000-0000-00006E010000}"/>
    <cellStyle name="Normal 3 6 2 8" xfId="603" xr:uid="{00000000-0005-0000-0000-00006F010000}"/>
    <cellStyle name="Normal 3 6 2 9" xfId="693" xr:uid="{00000000-0005-0000-0000-000070010000}"/>
    <cellStyle name="Normal 3 6 3" xfId="78" xr:uid="{00000000-0005-0000-0000-000071010000}"/>
    <cellStyle name="Normal 3 6 3 2" xfId="171" xr:uid="{00000000-0005-0000-0000-000072010000}"/>
    <cellStyle name="Normal 3 6 3 3" xfId="261" xr:uid="{00000000-0005-0000-0000-000073010000}"/>
    <cellStyle name="Normal 3 6 3 4" xfId="351" xr:uid="{00000000-0005-0000-0000-000074010000}"/>
    <cellStyle name="Normal 3 6 3 5" xfId="441" xr:uid="{00000000-0005-0000-0000-000075010000}"/>
    <cellStyle name="Normal 3 6 3 6" xfId="531" xr:uid="{00000000-0005-0000-0000-000076010000}"/>
    <cellStyle name="Normal 3 6 3 7" xfId="621" xr:uid="{00000000-0005-0000-0000-000077010000}"/>
    <cellStyle name="Normal 3 6 3 8" xfId="711" xr:uid="{00000000-0005-0000-0000-000078010000}"/>
    <cellStyle name="Normal 3 6 3 9" xfId="808" xr:uid="{00000000-0005-0000-0000-000079010000}"/>
    <cellStyle name="Normal 3 6 4" xfId="134" xr:uid="{00000000-0005-0000-0000-00007A010000}"/>
    <cellStyle name="Normal 3 6 5" xfId="224" xr:uid="{00000000-0005-0000-0000-00007B010000}"/>
    <cellStyle name="Normal 3 6 6" xfId="314" xr:uid="{00000000-0005-0000-0000-00007C010000}"/>
    <cellStyle name="Normal 3 6 7" xfId="404" xr:uid="{00000000-0005-0000-0000-00007D010000}"/>
    <cellStyle name="Normal 3 6 8" xfId="494" xr:uid="{00000000-0005-0000-0000-00007E010000}"/>
    <cellStyle name="Normal 3 6 9" xfId="584" xr:uid="{00000000-0005-0000-0000-00007F010000}"/>
    <cellStyle name="Normal 3 7" xfId="42" xr:uid="{00000000-0005-0000-0000-000080010000}"/>
    <cellStyle name="Normal 3 7 10" xfId="774" xr:uid="{00000000-0005-0000-0000-000081010000}"/>
    <cellStyle name="Normal 3 7 2" xfId="82" xr:uid="{00000000-0005-0000-0000-000082010000}"/>
    <cellStyle name="Normal 3 7 2 2" xfId="175" xr:uid="{00000000-0005-0000-0000-000083010000}"/>
    <cellStyle name="Normal 3 7 2 3" xfId="265" xr:uid="{00000000-0005-0000-0000-000084010000}"/>
    <cellStyle name="Normal 3 7 2 4" xfId="355" xr:uid="{00000000-0005-0000-0000-000085010000}"/>
    <cellStyle name="Normal 3 7 2 5" xfId="445" xr:uid="{00000000-0005-0000-0000-000086010000}"/>
    <cellStyle name="Normal 3 7 2 6" xfId="535" xr:uid="{00000000-0005-0000-0000-000087010000}"/>
    <cellStyle name="Normal 3 7 2 7" xfId="625" xr:uid="{00000000-0005-0000-0000-000088010000}"/>
    <cellStyle name="Normal 3 7 2 8" xfId="715" xr:uid="{00000000-0005-0000-0000-000089010000}"/>
    <cellStyle name="Normal 3 7 2 9" xfId="812" xr:uid="{00000000-0005-0000-0000-00008A010000}"/>
    <cellStyle name="Normal 3 7 3" xfId="138" xr:uid="{00000000-0005-0000-0000-00008B010000}"/>
    <cellStyle name="Normal 3 7 4" xfId="228" xr:uid="{00000000-0005-0000-0000-00008C010000}"/>
    <cellStyle name="Normal 3 7 5" xfId="318" xr:uid="{00000000-0005-0000-0000-00008D010000}"/>
    <cellStyle name="Normal 3 7 6" xfId="408" xr:uid="{00000000-0005-0000-0000-00008E010000}"/>
    <cellStyle name="Normal 3 7 7" xfId="498" xr:uid="{00000000-0005-0000-0000-00008F010000}"/>
    <cellStyle name="Normal 3 7 8" xfId="588" xr:uid="{00000000-0005-0000-0000-000090010000}"/>
    <cellStyle name="Normal 3 7 9" xfId="678" xr:uid="{00000000-0005-0000-0000-000091010000}"/>
    <cellStyle name="Normal 3 8" xfId="63" xr:uid="{00000000-0005-0000-0000-000092010000}"/>
    <cellStyle name="Normal 3 8 2" xfId="156" xr:uid="{00000000-0005-0000-0000-000093010000}"/>
    <cellStyle name="Normal 3 8 3" xfId="246" xr:uid="{00000000-0005-0000-0000-000094010000}"/>
    <cellStyle name="Normal 3 8 4" xfId="336" xr:uid="{00000000-0005-0000-0000-000095010000}"/>
    <cellStyle name="Normal 3 8 5" xfId="426" xr:uid="{00000000-0005-0000-0000-000096010000}"/>
    <cellStyle name="Normal 3 8 6" xfId="516" xr:uid="{00000000-0005-0000-0000-000097010000}"/>
    <cellStyle name="Normal 3 8 7" xfId="606" xr:uid="{00000000-0005-0000-0000-000098010000}"/>
    <cellStyle name="Normal 3 8 8" xfId="696" xr:uid="{00000000-0005-0000-0000-000099010000}"/>
    <cellStyle name="Normal 3 8 9" xfId="793" xr:uid="{00000000-0005-0000-0000-00009A010000}"/>
    <cellStyle name="Normal 3 9" xfId="101" xr:uid="{00000000-0005-0000-0000-00009B010000}"/>
    <cellStyle name="Normal 3 9 2" xfId="193" xr:uid="{00000000-0005-0000-0000-00009C010000}"/>
    <cellStyle name="Normal 3 9 3" xfId="283" xr:uid="{00000000-0005-0000-0000-00009D010000}"/>
    <cellStyle name="Normal 3 9 4" xfId="373" xr:uid="{00000000-0005-0000-0000-00009E010000}"/>
    <cellStyle name="Normal 3 9 5" xfId="463" xr:uid="{00000000-0005-0000-0000-00009F010000}"/>
    <cellStyle name="Normal 3 9 6" xfId="553" xr:uid="{00000000-0005-0000-0000-0000A0010000}"/>
    <cellStyle name="Normal 3 9 7" xfId="643" xr:uid="{00000000-0005-0000-0000-0000A1010000}"/>
    <cellStyle name="Normal 3 9 8" xfId="733" xr:uid="{00000000-0005-0000-0000-0000A2010000}"/>
    <cellStyle name="Normal 3 9 9" xfId="830" xr:uid="{00000000-0005-0000-0000-0000A3010000}"/>
    <cellStyle name="Normal 31" xfId="853" xr:uid="{DBC4F623-0092-4851-872F-21F756B8300B}"/>
    <cellStyle name="Normal 4" xfId="12" xr:uid="{00000000-0005-0000-0000-0000A4010000}"/>
    <cellStyle name="Normal 5" xfId="9" xr:uid="{00000000-0005-0000-0000-0000A5010000}"/>
    <cellStyle name="Normal 5 2" xfId="5" xr:uid="{00000000-0005-0000-0000-0000A6010000}"/>
    <cellStyle name="Normal 5 3" xfId="32" xr:uid="{00000000-0005-0000-0000-0000A7010000}"/>
    <cellStyle name="Normal 5 3 2" xfId="54" xr:uid="{00000000-0005-0000-0000-0000A8010000}"/>
    <cellStyle name="Normal 5 4" xfId="19" xr:uid="{00000000-0005-0000-0000-0000A9010000}"/>
    <cellStyle name="Normal 6" xfId="18" xr:uid="{00000000-0005-0000-0000-0000AA010000}"/>
    <cellStyle name="Normal 6 10" xfId="660" xr:uid="{00000000-0005-0000-0000-0000AB010000}"/>
    <cellStyle name="Normal 6 11" xfId="754" xr:uid="{00000000-0005-0000-0000-0000AC010000}"/>
    <cellStyle name="Normal 6 2" xfId="41" xr:uid="{00000000-0005-0000-0000-0000AD010000}"/>
    <cellStyle name="Normal 6 2 10" xfId="773" xr:uid="{00000000-0005-0000-0000-0000AE010000}"/>
    <cellStyle name="Normal 6 2 2" xfId="81" xr:uid="{00000000-0005-0000-0000-0000AF010000}"/>
    <cellStyle name="Normal 6 2 2 2" xfId="174" xr:uid="{00000000-0005-0000-0000-0000B0010000}"/>
    <cellStyle name="Normal 6 2 2 3" xfId="264" xr:uid="{00000000-0005-0000-0000-0000B1010000}"/>
    <cellStyle name="Normal 6 2 2 4" xfId="354" xr:uid="{00000000-0005-0000-0000-0000B2010000}"/>
    <cellStyle name="Normal 6 2 2 5" xfId="444" xr:uid="{00000000-0005-0000-0000-0000B3010000}"/>
    <cellStyle name="Normal 6 2 2 6" xfId="534" xr:uid="{00000000-0005-0000-0000-0000B4010000}"/>
    <cellStyle name="Normal 6 2 2 7" xfId="624" xr:uid="{00000000-0005-0000-0000-0000B5010000}"/>
    <cellStyle name="Normal 6 2 2 8" xfId="714" xr:uid="{00000000-0005-0000-0000-0000B6010000}"/>
    <cellStyle name="Normal 6 2 2 9" xfId="811" xr:uid="{00000000-0005-0000-0000-0000B7010000}"/>
    <cellStyle name="Normal 6 2 3" xfId="137" xr:uid="{00000000-0005-0000-0000-0000B8010000}"/>
    <cellStyle name="Normal 6 2 4" xfId="227" xr:uid="{00000000-0005-0000-0000-0000B9010000}"/>
    <cellStyle name="Normal 6 2 5" xfId="317" xr:uid="{00000000-0005-0000-0000-0000BA010000}"/>
    <cellStyle name="Normal 6 2 6" xfId="407" xr:uid="{00000000-0005-0000-0000-0000BB010000}"/>
    <cellStyle name="Normal 6 2 7" xfId="497" xr:uid="{00000000-0005-0000-0000-0000BC010000}"/>
    <cellStyle name="Normal 6 2 8" xfId="587" xr:uid="{00000000-0005-0000-0000-0000BD010000}"/>
    <cellStyle name="Normal 6 2 9" xfId="677" xr:uid="{00000000-0005-0000-0000-0000BE010000}"/>
    <cellStyle name="Normal 6 3" xfId="62" xr:uid="{00000000-0005-0000-0000-0000BF010000}"/>
    <cellStyle name="Normal 6 3 2" xfId="155" xr:uid="{00000000-0005-0000-0000-0000C0010000}"/>
    <cellStyle name="Normal 6 3 3" xfId="245" xr:uid="{00000000-0005-0000-0000-0000C1010000}"/>
    <cellStyle name="Normal 6 3 4" xfId="335" xr:uid="{00000000-0005-0000-0000-0000C2010000}"/>
    <cellStyle name="Normal 6 3 5" xfId="425" xr:uid="{00000000-0005-0000-0000-0000C3010000}"/>
    <cellStyle name="Normal 6 3 6" xfId="515" xr:uid="{00000000-0005-0000-0000-0000C4010000}"/>
    <cellStyle name="Normal 6 3 7" xfId="605" xr:uid="{00000000-0005-0000-0000-0000C5010000}"/>
    <cellStyle name="Normal 6 3 8" xfId="695" xr:uid="{00000000-0005-0000-0000-0000C6010000}"/>
    <cellStyle name="Normal 6 3 9" xfId="792" xr:uid="{00000000-0005-0000-0000-0000C7010000}"/>
    <cellStyle name="Normal 6 4" xfId="120" xr:uid="{00000000-0005-0000-0000-0000C8010000}"/>
    <cellStyle name="Normal 6 5" xfId="210" xr:uid="{00000000-0005-0000-0000-0000C9010000}"/>
    <cellStyle name="Normal 6 6" xfId="300" xr:uid="{00000000-0005-0000-0000-0000CA010000}"/>
    <cellStyle name="Normal 6 7" xfId="390" xr:uid="{00000000-0005-0000-0000-0000CB010000}"/>
    <cellStyle name="Normal 6 8" xfId="480" xr:uid="{00000000-0005-0000-0000-0000CC010000}"/>
    <cellStyle name="Normal 6 9" xfId="570" xr:uid="{00000000-0005-0000-0000-0000CD010000}"/>
    <cellStyle name="Normal 7" xfId="22" xr:uid="{00000000-0005-0000-0000-0000CE010000}"/>
    <cellStyle name="Normal 7 10" xfId="661" xr:uid="{00000000-0005-0000-0000-0000CF010000}"/>
    <cellStyle name="Normal 7 11" xfId="756" xr:uid="{00000000-0005-0000-0000-0000D0010000}"/>
    <cellStyle name="Normal 7 2" xfId="44" xr:uid="{00000000-0005-0000-0000-0000D1010000}"/>
    <cellStyle name="Normal 7 2 10" xfId="776" xr:uid="{00000000-0005-0000-0000-0000D2010000}"/>
    <cellStyle name="Normal 7 2 2" xfId="84" xr:uid="{00000000-0005-0000-0000-0000D3010000}"/>
    <cellStyle name="Normal 7 2 2 2" xfId="177" xr:uid="{00000000-0005-0000-0000-0000D4010000}"/>
    <cellStyle name="Normal 7 2 2 3" xfId="267" xr:uid="{00000000-0005-0000-0000-0000D5010000}"/>
    <cellStyle name="Normal 7 2 2 4" xfId="357" xr:uid="{00000000-0005-0000-0000-0000D6010000}"/>
    <cellStyle name="Normal 7 2 2 5" xfId="447" xr:uid="{00000000-0005-0000-0000-0000D7010000}"/>
    <cellStyle name="Normal 7 2 2 6" xfId="537" xr:uid="{00000000-0005-0000-0000-0000D8010000}"/>
    <cellStyle name="Normal 7 2 2 7" xfId="627" xr:uid="{00000000-0005-0000-0000-0000D9010000}"/>
    <cellStyle name="Normal 7 2 2 8" xfId="717" xr:uid="{00000000-0005-0000-0000-0000DA010000}"/>
    <cellStyle name="Normal 7 2 2 9" xfId="814" xr:uid="{00000000-0005-0000-0000-0000DB010000}"/>
    <cellStyle name="Normal 7 2 3" xfId="140" xr:uid="{00000000-0005-0000-0000-0000DC010000}"/>
    <cellStyle name="Normal 7 2 4" xfId="230" xr:uid="{00000000-0005-0000-0000-0000DD010000}"/>
    <cellStyle name="Normal 7 2 5" xfId="320" xr:uid="{00000000-0005-0000-0000-0000DE010000}"/>
    <cellStyle name="Normal 7 2 6" xfId="410" xr:uid="{00000000-0005-0000-0000-0000DF010000}"/>
    <cellStyle name="Normal 7 2 7" xfId="500" xr:uid="{00000000-0005-0000-0000-0000E0010000}"/>
    <cellStyle name="Normal 7 2 8" xfId="590" xr:uid="{00000000-0005-0000-0000-0000E1010000}"/>
    <cellStyle name="Normal 7 2 9" xfId="680" xr:uid="{00000000-0005-0000-0000-0000E2010000}"/>
    <cellStyle name="Normal 7 3" xfId="65" xr:uid="{00000000-0005-0000-0000-0000E3010000}"/>
    <cellStyle name="Normal 7 3 2" xfId="158" xr:uid="{00000000-0005-0000-0000-0000E4010000}"/>
    <cellStyle name="Normal 7 3 3" xfId="248" xr:uid="{00000000-0005-0000-0000-0000E5010000}"/>
    <cellStyle name="Normal 7 3 4" xfId="338" xr:uid="{00000000-0005-0000-0000-0000E6010000}"/>
    <cellStyle name="Normal 7 3 5" xfId="428" xr:uid="{00000000-0005-0000-0000-0000E7010000}"/>
    <cellStyle name="Normal 7 3 6" xfId="518" xr:uid="{00000000-0005-0000-0000-0000E8010000}"/>
    <cellStyle name="Normal 7 3 7" xfId="608" xr:uid="{00000000-0005-0000-0000-0000E9010000}"/>
    <cellStyle name="Normal 7 3 8" xfId="698" xr:uid="{00000000-0005-0000-0000-0000EA010000}"/>
    <cellStyle name="Normal 7 3 9" xfId="795" xr:uid="{00000000-0005-0000-0000-0000EB010000}"/>
    <cellStyle name="Normal 7 4" xfId="121" xr:uid="{00000000-0005-0000-0000-0000EC010000}"/>
    <cellStyle name="Normal 7 5" xfId="211" xr:uid="{00000000-0005-0000-0000-0000ED010000}"/>
    <cellStyle name="Normal 7 6" xfId="301" xr:uid="{00000000-0005-0000-0000-0000EE010000}"/>
    <cellStyle name="Normal 7 7" xfId="391" xr:uid="{00000000-0005-0000-0000-0000EF010000}"/>
    <cellStyle name="Normal 7 8" xfId="481" xr:uid="{00000000-0005-0000-0000-0000F0010000}"/>
    <cellStyle name="Normal 7 9" xfId="571" xr:uid="{00000000-0005-0000-0000-0000F1010000}"/>
    <cellStyle name="Normal 8" xfId="25" xr:uid="{00000000-0005-0000-0000-0000F2010000}"/>
    <cellStyle name="Normal 8 10" xfId="664" xr:uid="{00000000-0005-0000-0000-0000F3010000}"/>
    <cellStyle name="Normal 8 11" xfId="759" xr:uid="{00000000-0005-0000-0000-0000F4010000}"/>
    <cellStyle name="Normal 8 2" xfId="47" xr:uid="{00000000-0005-0000-0000-0000F5010000}"/>
    <cellStyle name="Normal 8 2 10" xfId="779" xr:uid="{00000000-0005-0000-0000-0000F6010000}"/>
    <cellStyle name="Normal 8 2 2" xfId="87" xr:uid="{00000000-0005-0000-0000-0000F7010000}"/>
    <cellStyle name="Normal 8 2 2 2" xfId="180" xr:uid="{00000000-0005-0000-0000-0000F8010000}"/>
    <cellStyle name="Normal 8 2 2 3" xfId="270" xr:uid="{00000000-0005-0000-0000-0000F9010000}"/>
    <cellStyle name="Normal 8 2 2 4" xfId="360" xr:uid="{00000000-0005-0000-0000-0000FA010000}"/>
    <cellStyle name="Normal 8 2 2 5" xfId="450" xr:uid="{00000000-0005-0000-0000-0000FB010000}"/>
    <cellStyle name="Normal 8 2 2 6" xfId="540" xr:uid="{00000000-0005-0000-0000-0000FC010000}"/>
    <cellStyle name="Normal 8 2 2 7" xfId="630" xr:uid="{00000000-0005-0000-0000-0000FD010000}"/>
    <cellStyle name="Normal 8 2 2 8" xfId="720" xr:uid="{00000000-0005-0000-0000-0000FE010000}"/>
    <cellStyle name="Normal 8 2 2 9" xfId="817" xr:uid="{00000000-0005-0000-0000-0000FF010000}"/>
    <cellStyle name="Normal 8 2 3" xfId="143" xr:uid="{00000000-0005-0000-0000-000000020000}"/>
    <cellStyle name="Normal 8 2 4" xfId="233" xr:uid="{00000000-0005-0000-0000-000001020000}"/>
    <cellStyle name="Normal 8 2 5" xfId="323" xr:uid="{00000000-0005-0000-0000-000002020000}"/>
    <cellStyle name="Normal 8 2 6" xfId="413" xr:uid="{00000000-0005-0000-0000-000003020000}"/>
    <cellStyle name="Normal 8 2 7" xfId="503" xr:uid="{00000000-0005-0000-0000-000004020000}"/>
    <cellStyle name="Normal 8 2 8" xfId="593" xr:uid="{00000000-0005-0000-0000-000005020000}"/>
    <cellStyle name="Normal 8 2 9" xfId="683" xr:uid="{00000000-0005-0000-0000-000006020000}"/>
    <cellStyle name="Normal 8 3" xfId="68" xr:uid="{00000000-0005-0000-0000-000007020000}"/>
    <cellStyle name="Normal 8 3 2" xfId="161" xr:uid="{00000000-0005-0000-0000-000008020000}"/>
    <cellStyle name="Normal 8 3 3" xfId="251" xr:uid="{00000000-0005-0000-0000-000009020000}"/>
    <cellStyle name="Normal 8 3 4" xfId="341" xr:uid="{00000000-0005-0000-0000-00000A020000}"/>
    <cellStyle name="Normal 8 3 5" xfId="431" xr:uid="{00000000-0005-0000-0000-00000B020000}"/>
    <cellStyle name="Normal 8 3 6" xfId="521" xr:uid="{00000000-0005-0000-0000-00000C020000}"/>
    <cellStyle name="Normal 8 3 7" xfId="611" xr:uid="{00000000-0005-0000-0000-00000D020000}"/>
    <cellStyle name="Normal 8 3 8" xfId="701" xr:uid="{00000000-0005-0000-0000-00000E020000}"/>
    <cellStyle name="Normal 8 3 9" xfId="798" xr:uid="{00000000-0005-0000-0000-00000F020000}"/>
    <cellStyle name="Normal 8 4" xfId="124" xr:uid="{00000000-0005-0000-0000-000010020000}"/>
    <cellStyle name="Normal 8 5" xfId="214" xr:uid="{00000000-0005-0000-0000-000011020000}"/>
    <cellStyle name="Normal 8 6" xfId="304" xr:uid="{00000000-0005-0000-0000-000012020000}"/>
    <cellStyle name="Normal 8 7" xfId="394" xr:uid="{00000000-0005-0000-0000-000013020000}"/>
    <cellStyle name="Normal 8 8" xfId="484" xr:uid="{00000000-0005-0000-0000-000014020000}"/>
    <cellStyle name="Normal 8 9" xfId="574" xr:uid="{00000000-0005-0000-0000-000015020000}"/>
    <cellStyle name="Normal 9" xfId="28" xr:uid="{00000000-0005-0000-0000-000016020000}"/>
    <cellStyle name="Normal 9 10" xfId="667" xr:uid="{00000000-0005-0000-0000-000017020000}"/>
    <cellStyle name="Normal 9 11" xfId="762" xr:uid="{00000000-0005-0000-0000-000018020000}"/>
    <cellStyle name="Normal 9 2" xfId="50" xr:uid="{00000000-0005-0000-0000-000019020000}"/>
    <cellStyle name="Normal 9 2 10" xfId="782" xr:uid="{00000000-0005-0000-0000-00001A020000}"/>
    <cellStyle name="Normal 9 2 2" xfId="90" xr:uid="{00000000-0005-0000-0000-00001B020000}"/>
    <cellStyle name="Normal 9 2 2 2" xfId="183" xr:uid="{00000000-0005-0000-0000-00001C020000}"/>
    <cellStyle name="Normal 9 2 2 3" xfId="273" xr:uid="{00000000-0005-0000-0000-00001D020000}"/>
    <cellStyle name="Normal 9 2 2 4" xfId="363" xr:uid="{00000000-0005-0000-0000-00001E020000}"/>
    <cellStyle name="Normal 9 2 2 5" xfId="453" xr:uid="{00000000-0005-0000-0000-00001F020000}"/>
    <cellStyle name="Normal 9 2 2 6" xfId="543" xr:uid="{00000000-0005-0000-0000-000020020000}"/>
    <cellStyle name="Normal 9 2 2 7" xfId="633" xr:uid="{00000000-0005-0000-0000-000021020000}"/>
    <cellStyle name="Normal 9 2 2 8" xfId="723" xr:uid="{00000000-0005-0000-0000-000022020000}"/>
    <cellStyle name="Normal 9 2 2 9" xfId="820" xr:uid="{00000000-0005-0000-0000-000023020000}"/>
    <cellStyle name="Normal 9 2 3" xfId="146" xr:uid="{00000000-0005-0000-0000-000024020000}"/>
    <cellStyle name="Normal 9 2 4" xfId="236" xr:uid="{00000000-0005-0000-0000-000025020000}"/>
    <cellStyle name="Normal 9 2 5" xfId="326" xr:uid="{00000000-0005-0000-0000-000026020000}"/>
    <cellStyle name="Normal 9 2 6" xfId="416" xr:uid="{00000000-0005-0000-0000-000027020000}"/>
    <cellStyle name="Normal 9 2 7" xfId="506" xr:uid="{00000000-0005-0000-0000-000028020000}"/>
    <cellStyle name="Normal 9 2 8" xfId="596" xr:uid="{00000000-0005-0000-0000-000029020000}"/>
    <cellStyle name="Normal 9 2 9" xfId="686" xr:uid="{00000000-0005-0000-0000-00002A020000}"/>
    <cellStyle name="Normal 9 3" xfId="71" xr:uid="{00000000-0005-0000-0000-00002B020000}"/>
    <cellStyle name="Normal 9 3 2" xfId="164" xr:uid="{00000000-0005-0000-0000-00002C020000}"/>
    <cellStyle name="Normal 9 3 3" xfId="254" xr:uid="{00000000-0005-0000-0000-00002D020000}"/>
    <cellStyle name="Normal 9 3 4" xfId="344" xr:uid="{00000000-0005-0000-0000-00002E020000}"/>
    <cellStyle name="Normal 9 3 5" xfId="434" xr:uid="{00000000-0005-0000-0000-00002F020000}"/>
    <cellStyle name="Normal 9 3 6" xfId="524" xr:uid="{00000000-0005-0000-0000-000030020000}"/>
    <cellStyle name="Normal 9 3 7" xfId="614" xr:uid="{00000000-0005-0000-0000-000031020000}"/>
    <cellStyle name="Normal 9 3 8" xfId="704" xr:uid="{00000000-0005-0000-0000-000032020000}"/>
    <cellStyle name="Normal 9 3 9" xfId="801" xr:uid="{00000000-0005-0000-0000-000033020000}"/>
    <cellStyle name="Normal 9 4" xfId="127" xr:uid="{00000000-0005-0000-0000-000034020000}"/>
    <cellStyle name="Normal 9 5" xfId="217" xr:uid="{00000000-0005-0000-0000-000035020000}"/>
    <cellStyle name="Normal 9 6" xfId="307" xr:uid="{00000000-0005-0000-0000-000036020000}"/>
    <cellStyle name="Normal 9 7" xfId="397" xr:uid="{00000000-0005-0000-0000-000037020000}"/>
    <cellStyle name="Normal 9 8" xfId="487" xr:uid="{00000000-0005-0000-0000-000038020000}"/>
    <cellStyle name="Normal 9 9" xfId="577" xr:uid="{00000000-0005-0000-0000-000039020000}"/>
    <cellStyle name="Normal_Forslag" xfId="845" xr:uid="{00000000-0005-0000-0000-00003A020000}"/>
    <cellStyle name="Normal_Forslag 2" xfId="848" xr:uid="{00000000-0005-0000-0000-00003B020000}"/>
    <cellStyle name="Tusenskille 2" xfId="14" xr:uid="{00000000-0005-0000-0000-00003C020000}"/>
    <cellStyle name="Tusenskille 2 2" xfId="15" xr:uid="{00000000-0005-0000-0000-00003D020000}"/>
    <cellStyle name="Tusenskille 2 2 2" xfId="751" xr:uid="{00000000-0005-0000-0000-00003E020000}"/>
    <cellStyle name="Tusenskille 2 2 3" xfId="849" xr:uid="{F77FA10F-B946-43D0-BDB2-55CEFCE8EA1F}"/>
    <cellStyle name="Tusenskille 2 3" xfId="21" xr:uid="{00000000-0005-0000-0000-00003F020000}"/>
    <cellStyle name="Tusenskille 2 3 2" xfId="755" xr:uid="{00000000-0005-0000-0000-000040020000}"/>
    <cellStyle name="Tusenskille 2 4" xfId="40" xr:uid="{00000000-0005-0000-0000-000041020000}"/>
    <cellStyle name="Tusenskille 2 4 2" xfId="772" xr:uid="{00000000-0005-0000-0000-000042020000}"/>
    <cellStyle name="Tusenskille 2 5" xfId="61" xr:uid="{00000000-0005-0000-0000-000043020000}"/>
    <cellStyle name="Tusenskille 2 5 2" xfId="791" xr:uid="{00000000-0005-0000-0000-000044020000}"/>
    <cellStyle name="Tusenskille 2 6" xfId="750" xr:uid="{00000000-0005-0000-0000-000045020000}"/>
    <cellStyle name="Tusenskille 3" xfId="16" xr:uid="{00000000-0005-0000-0000-000046020000}"/>
    <cellStyle name="Tusenskille 3 10" xfId="105" xr:uid="{00000000-0005-0000-0000-000047020000}"/>
    <cellStyle name="Tusenskille 3 10 2" xfId="197" xr:uid="{00000000-0005-0000-0000-000048020000}"/>
    <cellStyle name="Tusenskille 3 10 3" xfId="287" xr:uid="{00000000-0005-0000-0000-000049020000}"/>
    <cellStyle name="Tusenskille 3 10 4" xfId="377" xr:uid="{00000000-0005-0000-0000-00004A020000}"/>
    <cellStyle name="Tusenskille 3 10 5" xfId="467" xr:uid="{00000000-0005-0000-0000-00004B020000}"/>
    <cellStyle name="Tusenskille 3 10 6" xfId="557" xr:uid="{00000000-0005-0000-0000-00004C020000}"/>
    <cellStyle name="Tusenskille 3 10 7" xfId="647" xr:uid="{00000000-0005-0000-0000-00004D020000}"/>
    <cellStyle name="Tusenskille 3 10 8" xfId="737" xr:uid="{00000000-0005-0000-0000-00004E020000}"/>
    <cellStyle name="Tusenskille 3 10 9" xfId="834" xr:uid="{00000000-0005-0000-0000-00004F020000}"/>
    <cellStyle name="Tusenskille 3 11" xfId="108" xr:uid="{00000000-0005-0000-0000-000050020000}"/>
    <cellStyle name="Tusenskille 3 11 2" xfId="200" xr:uid="{00000000-0005-0000-0000-000051020000}"/>
    <cellStyle name="Tusenskille 3 11 3" xfId="290" xr:uid="{00000000-0005-0000-0000-000052020000}"/>
    <cellStyle name="Tusenskille 3 11 4" xfId="380" xr:uid="{00000000-0005-0000-0000-000053020000}"/>
    <cellStyle name="Tusenskille 3 11 5" xfId="470" xr:uid="{00000000-0005-0000-0000-000054020000}"/>
    <cellStyle name="Tusenskille 3 11 6" xfId="560" xr:uid="{00000000-0005-0000-0000-000055020000}"/>
    <cellStyle name="Tusenskille 3 11 7" xfId="650" xr:uid="{00000000-0005-0000-0000-000056020000}"/>
    <cellStyle name="Tusenskille 3 11 8" xfId="740" xr:uid="{00000000-0005-0000-0000-000057020000}"/>
    <cellStyle name="Tusenskille 3 11 9" xfId="837" xr:uid="{00000000-0005-0000-0000-000058020000}"/>
    <cellStyle name="Tusenskille 3 12" xfId="111" xr:uid="{00000000-0005-0000-0000-000059020000}"/>
    <cellStyle name="Tusenskille 3 12 2" xfId="203" xr:uid="{00000000-0005-0000-0000-00005A020000}"/>
    <cellStyle name="Tusenskille 3 12 3" xfId="293" xr:uid="{00000000-0005-0000-0000-00005B020000}"/>
    <cellStyle name="Tusenskille 3 12 4" xfId="383" xr:uid="{00000000-0005-0000-0000-00005C020000}"/>
    <cellStyle name="Tusenskille 3 12 5" xfId="473" xr:uid="{00000000-0005-0000-0000-00005D020000}"/>
    <cellStyle name="Tusenskille 3 12 6" xfId="563" xr:uid="{00000000-0005-0000-0000-00005E020000}"/>
    <cellStyle name="Tusenskille 3 12 7" xfId="653" xr:uid="{00000000-0005-0000-0000-00005F020000}"/>
    <cellStyle name="Tusenskille 3 12 8" xfId="743" xr:uid="{00000000-0005-0000-0000-000060020000}"/>
    <cellStyle name="Tusenskille 3 12 9" xfId="840" xr:uid="{00000000-0005-0000-0000-000061020000}"/>
    <cellStyle name="Tusenskille 3 13" xfId="114" xr:uid="{00000000-0005-0000-0000-000062020000}"/>
    <cellStyle name="Tusenskille 3 13 2" xfId="206" xr:uid="{00000000-0005-0000-0000-000063020000}"/>
    <cellStyle name="Tusenskille 3 13 3" xfId="296" xr:uid="{00000000-0005-0000-0000-000064020000}"/>
    <cellStyle name="Tusenskille 3 13 4" xfId="386" xr:uid="{00000000-0005-0000-0000-000065020000}"/>
    <cellStyle name="Tusenskille 3 13 5" xfId="476" xr:uid="{00000000-0005-0000-0000-000066020000}"/>
    <cellStyle name="Tusenskille 3 13 6" xfId="566" xr:uid="{00000000-0005-0000-0000-000067020000}"/>
    <cellStyle name="Tusenskille 3 13 7" xfId="656" xr:uid="{00000000-0005-0000-0000-000068020000}"/>
    <cellStyle name="Tusenskille 3 13 8" xfId="746" xr:uid="{00000000-0005-0000-0000-000069020000}"/>
    <cellStyle name="Tusenskille 3 13 9" xfId="843" xr:uid="{00000000-0005-0000-0000-00006A020000}"/>
    <cellStyle name="Tusenskille 3 14" xfId="119" xr:uid="{00000000-0005-0000-0000-00006B020000}"/>
    <cellStyle name="Tusenskille 3 15" xfId="209" xr:uid="{00000000-0005-0000-0000-00006C020000}"/>
    <cellStyle name="Tusenskille 3 16" xfId="299" xr:uid="{00000000-0005-0000-0000-00006D020000}"/>
    <cellStyle name="Tusenskille 3 17" xfId="389" xr:uid="{00000000-0005-0000-0000-00006E020000}"/>
    <cellStyle name="Tusenskille 3 18" xfId="479" xr:uid="{00000000-0005-0000-0000-00006F020000}"/>
    <cellStyle name="Tusenskille 3 19" xfId="569" xr:uid="{00000000-0005-0000-0000-000070020000}"/>
    <cellStyle name="Tusenskille 3 2" xfId="24" xr:uid="{00000000-0005-0000-0000-000071020000}"/>
    <cellStyle name="Tusenskille 3 2 10" xfId="663" xr:uid="{00000000-0005-0000-0000-000072020000}"/>
    <cellStyle name="Tusenskille 3 2 11" xfId="758" xr:uid="{00000000-0005-0000-0000-000073020000}"/>
    <cellStyle name="Tusenskille 3 2 2" xfId="46" xr:uid="{00000000-0005-0000-0000-000074020000}"/>
    <cellStyle name="Tusenskille 3 2 2 10" xfId="778" xr:uid="{00000000-0005-0000-0000-000075020000}"/>
    <cellStyle name="Tusenskille 3 2 2 2" xfId="86" xr:uid="{00000000-0005-0000-0000-000076020000}"/>
    <cellStyle name="Tusenskille 3 2 2 2 2" xfId="179" xr:uid="{00000000-0005-0000-0000-000077020000}"/>
    <cellStyle name="Tusenskille 3 2 2 2 3" xfId="269" xr:uid="{00000000-0005-0000-0000-000078020000}"/>
    <cellStyle name="Tusenskille 3 2 2 2 4" xfId="359" xr:uid="{00000000-0005-0000-0000-000079020000}"/>
    <cellStyle name="Tusenskille 3 2 2 2 5" xfId="449" xr:uid="{00000000-0005-0000-0000-00007A020000}"/>
    <cellStyle name="Tusenskille 3 2 2 2 6" xfId="539" xr:uid="{00000000-0005-0000-0000-00007B020000}"/>
    <cellStyle name="Tusenskille 3 2 2 2 7" xfId="629" xr:uid="{00000000-0005-0000-0000-00007C020000}"/>
    <cellStyle name="Tusenskille 3 2 2 2 8" xfId="719" xr:uid="{00000000-0005-0000-0000-00007D020000}"/>
    <cellStyle name="Tusenskille 3 2 2 2 9" xfId="816" xr:uid="{00000000-0005-0000-0000-00007E020000}"/>
    <cellStyle name="Tusenskille 3 2 2 3" xfId="142" xr:uid="{00000000-0005-0000-0000-00007F020000}"/>
    <cellStyle name="Tusenskille 3 2 2 4" xfId="232" xr:uid="{00000000-0005-0000-0000-000080020000}"/>
    <cellStyle name="Tusenskille 3 2 2 5" xfId="322" xr:uid="{00000000-0005-0000-0000-000081020000}"/>
    <cellStyle name="Tusenskille 3 2 2 6" xfId="412" xr:uid="{00000000-0005-0000-0000-000082020000}"/>
    <cellStyle name="Tusenskille 3 2 2 7" xfId="502" xr:uid="{00000000-0005-0000-0000-000083020000}"/>
    <cellStyle name="Tusenskille 3 2 2 8" xfId="592" xr:uid="{00000000-0005-0000-0000-000084020000}"/>
    <cellStyle name="Tusenskille 3 2 2 9" xfId="682" xr:uid="{00000000-0005-0000-0000-000085020000}"/>
    <cellStyle name="Tusenskille 3 2 3" xfId="67" xr:uid="{00000000-0005-0000-0000-000086020000}"/>
    <cellStyle name="Tusenskille 3 2 3 2" xfId="160" xr:uid="{00000000-0005-0000-0000-000087020000}"/>
    <cellStyle name="Tusenskille 3 2 3 3" xfId="250" xr:uid="{00000000-0005-0000-0000-000088020000}"/>
    <cellStyle name="Tusenskille 3 2 3 4" xfId="340" xr:uid="{00000000-0005-0000-0000-000089020000}"/>
    <cellStyle name="Tusenskille 3 2 3 5" xfId="430" xr:uid="{00000000-0005-0000-0000-00008A020000}"/>
    <cellStyle name="Tusenskille 3 2 3 6" xfId="520" xr:uid="{00000000-0005-0000-0000-00008B020000}"/>
    <cellStyle name="Tusenskille 3 2 3 7" xfId="610" xr:uid="{00000000-0005-0000-0000-00008C020000}"/>
    <cellStyle name="Tusenskille 3 2 3 8" xfId="700" xr:uid="{00000000-0005-0000-0000-00008D020000}"/>
    <cellStyle name="Tusenskille 3 2 3 9" xfId="797" xr:uid="{00000000-0005-0000-0000-00008E020000}"/>
    <cellStyle name="Tusenskille 3 2 4" xfId="123" xr:uid="{00000000-0005-0000-0000-00008F020000}"/>
    <cellStyle name="Tusenskille 3 2 5" xfId="213" xr:uid="{00000000-0005-0000-0000-000090020000}"/>
    <cellStyle name="Tusenskille 3 2 6" xfId="303" xr:uid="{00000000-0005-0000-0000-000091020000}"/>
    <cellStyle name="Tusenskille 3 2 7" xfId="393" xr:uid="{00000000-0005-0000-0000-000092020000}"/>
    <cellStyle name="Tusenskille 3 2 8" xfId="483" xr:uid="{00000000-0005-0000-0000-000093020000}"/>
    <cellStyle name="Tusenskille 3 2 9" xfId="573" xr:uid="{00000000-0005-0000-0000-000094020000}"/>
    <cellStyle name="Tusenskille 3 20" xfId="659" xr:uid="{00000000-0005-0000-0000-000095020000}"/>
    <cellStyle name="Tusenskille 3 21" xfId="752" xr:uid="{00000000-0005-0000-0000-000096020000}"/>
    <cellStyle name="Tusenskille 3 3" xfId="27" xr:uid="{00000000-0005-0000-0000-000097020000}"/>
    <cellStyle name="Tusenskille 3 3 10" xfId="666" xr:uid="{00000000-0005-0000-0000-000098020000}"/>
    <cellStyle name="Tusenskille 3 3 11" xfId="761" xr:uid="{00000000-0005-0000-0000-000099020000}"/>
    <cellStyle name="Tusenskille 3 3 2" xfId="49" xr:uid="{00000000-0005-0000-0000-00009A020000}"/>
    <cellStyle name="Tusenskille 3 3 2 10" xfId="781" xr:uid="{00000000-0005-0000-0000-00009B020000}"/>
    <cellStyle name="Tusenskille 3 3 2 2" xfId="89" xr:uid="{00000000-0005-0000-0000-00009C020000}"/>
    <cellStyle name="Tusenskille 3 3 2 2 2" xfId="182" xr:uid="{00000000-0005-0000-0000-00009D020000}"/>
    <cellStyle name="Tusenskille 3 3 2 2 3" xfId="272" xr:uid="{00000000-0005-0000-0000-00009E020000}"/>
    <cellStyle name="Tusenskille 3 3 2 2 4" xfId="362" xr:uid="{00000000-0005-0000-0000-00009F020000}"/>
    <cellStyle name="Tusenskille 3 3 2 2 5" xfId="452" xr:uid="{00000000-0005-0000-0000-0000A0020000}"/>
    <cellStyle name="Tusenskille 3 3 2 2 6" xfId="542" xr:uid="{00000000-0005-0000-0000-0000A1020000}"/>
    <cellStyle name="Tusenskille 3 3 2 2 7" xfId="632" xr:uid="{00000000-0005-0000-0000-0000A2020000}"/>
    <cellStyle name="Tusenskille 3 3 2 2 8" xfId="722" xr:uid="{00000000-0005-0000-0000-0000A3020000}"/>
    <cellStyle name="Tusenskille 3 3 2 2 9" xfId="819" xr:uid="{00000000-0005-0000-0000-0000A4020000}"/>
    <cellStyle name="Tusenskille 3 3 2 3" xfId="145" xr:uid="{00000000-0005-0000-0000-0000A5020000}"/>
    <cellStyle name="Tusenskille 3 3 2 4" xfId="235" xr:uid="{00000000-0005-0000-0000-0000A6020000}"/>
    <cellStyle name="Tusenskille 3 3 2 5" xfId="325" xr:uid="{00000000-0005-0000-0000-0000A7020000}"/>
    <cellStyle name="Tusenskille 3 3 2 6" xfId="415" xr:uid="{00000000-0005-0000-0000-0000A8020000}"/>
    <cellStyle name="Tusenskille 3 3 2 7" xfId="505" xr:uid="{00000000-0005-0000-0000-0000A9020000}"/>
    <cellStyle name="Tusenskille 3 3 2 8" xfId="595" xr:uid="{00000000-0005-0000-0000-0000AA020000}"/>
    <cellStyle name="Tusenskille 3 3 2 9" xfId="685" xr:uid="{00000000-0005-0000-0000-0000AB020000}"/>
    <cellStyle name="Tusenskille 3 3 3" xfId="70" xr:uid="{00000000-0005-0000-0000-0000AC020000}"/>
    <cellStyle name="Tusenskille 3 3 3 2" xfId="163" xr:uid="{00000000-0005-0000-0000-0000AD020000}"/>
    <cellStyle name="Tusenskille 3 3 3 3" xfId="253" xr:uid="{00000000-0005-0000-0000-0000AE020000}"/>
    <cellStyle name="Tusenskille 3 3 3 4" xfId="343" xr:uid="{00000000-0005-0000-0000-0000AF020000}"/>
    <cellStyle name="Tusenskille 3 3 3 5" xfId="433" xr:uid="{00000000-0005-0000-0000-0000B0020000}"/>
    <cellStyle name="Tusenskille 3 3 3 6" xfId="523" xr:uid="{00000000-0005-0000-0000-0000B1020000}"/>
    <cellStyle name="Tusenskille 3 3 3 7" xfId="613" xr:uid="{00000000-0005-0000-0000-0000B2020000}"/>
    <cellStyle name="Tusenskille 3 3 3 8" xfId="703" xr:uid="{00000000-0005-0000-0000-0000B3020000}"/>
    <cellStyle name="Tusenskille 3 3 3 9" xfId="800" xr:uid="{00000000-0005-0000-0000-0000B4020000}"/>
    <cellStyle name="Tusenskille 3 3 4" xfId="126" xr:uid="{00000000-0005-0000-0000-0000B5020000}"/>
    <cellStyle name="Tusenskille 3 3 5" xfId="216" xr:uid="{00000000-0005-0000-0000-0000B6020000}"/>
    <cellStyle name="Tusenskille 3 3 6" xfId="306" xr:uid="{00000000-0005-0000-0000-0000B7020000}"/>
    <cellStyle name="Tusenskille 3 3 7" xfId="396" xr:uid="{00000000-0005-0000-0000-0000B8020000}"/>
    <cellStyle name="Tusenskille 3 3 8" xfId="486" xr:uid="{00000000-0005-0000-0000-0000B9020000}"/>
    <cellStyle name="Tusenskille 3 3 9" xfId="576" xr:uid="{00000000-0005-0000-0000-0000BA020000}"/>
    <cellStyle name="Tusenskille 3 4" xfId="30" xr:uid="{00000000-0005-0000-0000-0000BB020000}"/>
    <cellStyle name="Tusenskille 3 4 10" xfId="669" xr:uid="{00000000-0005-0000-0000-0000BC020000}"/>
    <cellStyle name="Tusenskille 3 4 11" xfId="764" xr:uid="{00000000-0005-0000-0000-0000BD020000}"/>
    <cellStyle name="Tusenskille 3 4 2" xfId="52" xr:uid="{00000000-0005-0000-0000-0000BE020000}"/>
    <cellStyle name="Tusenskille 3 4 2 10" xfId="784" xr:uid="{00000000-0005-0000-0000-0000BF020000}"/>
    <cellStyle name="Tusenskille 3 4 2 2" xfId="92" xr:uid="{00000000-0005-0000-0000-0000C0020000}"/>
    <cellStyle name="Tusenskille 3 4 2 2 2" xfId="185" xr:uid="{00000000-0005-0000-0000-0000C1020000}"/>
    <cellStyle name="Tusenskille 3 4 2 2 3" xfId="275" xr:uid="{00000000-0005-0000-0000-0000C2020000}"/>
    <cellStyle name="Tusenskille 3 4 2 2 4" xfId="365" xr:uid="{00000000-0005-0000-0000-0000C3020000}"/>
    <cellStyle name="Tusenskille 3 4 2 2 5" xfId="455" xr:uid="{00000000-0005-0000-0000-0000C4020000}"/>
    <cellStyle name="Tusenskille 3 4 2 2 6" xfId="545" xr:uid="{00000000-0005-0000-0000-0000C5020000}"/>
    <cellStyle name="Tusenskille 3 4 2 2 7" xfId="635" xr:uid="{00000000-0005-0000-0000-0000C6020000}"/>
    <cellStyle name="Tusenskille 3 4 2 2 8" xfId="725" xr:uid="{00000000-0005-0000-0000-0000C7020000}"/>
    <cellStyle name="Tusenskille 3 4 2 2 9" xfId="822" xr:uid="{00000000-0005-0000-0000-0000C8020000}"/>
    <cellStyle name="Tusenskille 3 4 2 3" xfId="148" xr:uid="{00000000-0005-0000-0000-0000C9020000}"/>
    <cellStyle name="Tusenskille 3 4 2 4" xfId="238" xr:uid="{00000000-0005-0000-0000-0000CA020000}"/>
    <cellStyle name="Tusenskille 3 4 2 5" xfId="328" xr:uid="{00000000-0005-0000-0000-0000CB020000}"/>
    <cellStyle name="Tusenskille 3 4 2 6" xfId="418" xr:uid="{00000000-0005-0000-0000-0000CC020000}"/>
    <cellStyle name="Tusenskille 3 4 2 7" xfId="508" xr:uid="{00000000-0005-0000-0000-0000CD020000}"/>
    <cellStyle name="Tusenskille 3 4 2 8" xfId="598" xr:uid="{00000000-0005-0000-0000-0000CE020000}"/>
    <cellStyle name="Tusenskille 3 4 2 9" xfId="688" xr:uid="{00000000-0005-0000-0000-0000CF020000}"/>
    <cellStyle name="Tusenskille 3 4 3" xfId="73" xr:uid="{00000000-0005-0000-0000-0000D0020000}"/>
    <cellStyle name="Tusenskille 3 4 3 2" xfId="166" xr:uid="{00000000-0005-0000-0000-0000D1020000}"/>
    <cellStyle name="Tusenskille 3 4 3 3" xfId="256" xr:uid="{00000000-0005-0000-0000-0000D2020000}"/>
    <cellStyle name="Tusenskille 3 4 3 4" xfId="346" xr:uid="{00000000-0005-0000-0000-0000D3020000}"/>
    <cellStyle name="Tusenskille 3 4 3 5" xfId="436" xr:uid="{00000000-0005-0000-0000-0000D4020000}"/>
    <cellStyle name="Tusenskille 3 4 3 6" xfId="526" xr:uid="{00000000-0005-0000-0000-0000D5020000}"/>
    <cellStyle name="Tusenskille 3 4 3 7" xfId="616" xr:uid="{00000000-0005-0000-0000-0000D6020000}"/>
    <cellStyle name="Tusenskille 3 4 3 8" xfId="706" xr:uid="{00000000-0005-0000-0000-0000D7020000}"/>
    <cellStyle name="Tusenskille 3 4 3 9" xfId="803" xr:uid="{00000000-0005-0000-0000-0000D8020000}"/>
    <cellStyle name="Tusenskille 3 4 4" xfId="129" xr:uid="{00000000-0005-0000-0000-0000D9020000}"/>
    <cellStyle name="Tusenskille 3 4 5" xfId="219" xr:uid="{00000000-0005-0000-0000-0000DA020000}"/>
    <cellStyle name="Tusenskille 3 4 6" xfId="309" xr:uid="{00000000-0005-0000-0000-0000DB020000}"/>
    <cellStyle name="Tusenskille 3 4 7" xfId="399" xr:uid="{00000000-0005-0000-0000-0000DC020000}"/>
    <cellStyle name="Tusenskille 3 4 8" xfId="489" xr:uid="{00000000-0005-0000-0000-0000DD020000}"/>
    <cellStyle name="Tusenskille 3 4 9" xfId="579" xr:uid="{00000000-0005-0000-0000-0000DE020000}"/>
    <cellStyle name="Tusenskille 3 5" xfId="34" xr:uid="{00000000-0005-0000-0000-0000DF020000}"/>
    <cellStyle name="Tusenskille 3 5 10" xfId="672" xr:uid="{00000000-0005-0000-0000-0000E0020000}"/>
    <cellStyle name="Tusenskille 3 5 11" xfId="767" xr:uid="{00000000-0005-0000-0000-0000E1020000}"/>
    <cellStyle name="Tusenskille 3 5 2" xfId="56" xr:uid="{00000000-0005-0000-0000-0000E2020000}"/>
    <cellStyle name="Tusenskille 3 5 2 10" xfId="787" xr:uid="{00000000-0005-0000-0000-0000E3020000}"/>
    <cellStyle name="Tusenskille 3 5 2 2" xfId="96" xr:uid="{00000000-0005-0000-0000-0000E4020000}"/>
    <cellStyle name="Tusenskille 3 5 2 2 2" xfId="188" xr:uid="{00000000-0005-0000-0000-0000E5020000}"/>
    <cellStyle name="Tusenskille 3 5 2 2 3" xfId="278" xr:uid="{00000000-0005-0000-0000-0000E6020000}"/>
    <cellStyle name="Tusenskille 3 5 2 2 4" xfId="368" xr:uid="{00000000-0005-0000-0000-0000E7020000}"/>
    <cellStyle name="Tusenskille 3 5 2 2 5" xfId="458" xr:uid="{00000000-0005-0000-0000-0000E8020000}"/>
    <cellStyle name="Tusenskille 3 5 2 2 6" xfId="548" xr:uid="{00000000-0005-0000-0000-0000E9020000}"/>
    <cellStyle name="Tusenskille 3 5 2 2 7" xfId="638" xr:uid="{00000000-0005-0000-0000-0000EA020000}"/>
    <cellStyle name="Tusenskille 3 5 2 2 8" xfId="728" xr:uid="{00000000-0005-0000-0000-0000EB020000}"/>
    <cellStyle name="Tusenskille 3 5 2 2 9" xfId="825" xr:uid="{00000000-0005-0000-0000-0000EC020000}"/>
    <cellStyle name="Tusenskille 3 5 2 3" xfId="151" xr:uid="{00000000-0005-0000-0000-0000ED020000}"/>
    <cellStyle name="Tusenskille 3 5 2 4" xfId="241" xr:uid="{00000000-0005-0000-0000-0000EE020000}"/>
    <cellStyle name="Tusenskille 3 5 2 5" xfId="331" xr:uid="{00000000-0005-0000-0000-0000EF020000}"/>
    <cellStyle name="Tusenskille 3 5 2 6" xfId="421" xr:uid="{00000000-0005-0000-0000-0000F0020000}"/>
    <cellStyle name="Tusenskille 3 5 2 7" xfId="511" xr:uid="{00000000-0005-0000-0000-0000F1020000}"/>
    <cellStyle name="Tusenskille 3 5 2 8" xfId="601" xr:uid="{00000000-0005-0000-0000-0000F2020000}"/>
    <cellStyle name="Tusenskille 3 5 2 9" xfId="691" xr:uid="{00000000-0005-0000-0000-0000F3020000}"/>
    <cellStyle name="Tusenskille 3 5 3" xfId="76" xr:uid="{00000000-0005-0000-0000-0000F4020000}"/>
    <cellStyle name="Tusenskille 3 5 3 2" xfId="169" xr:uid="{00000000-0005-0000-0000-0000F5020000}"/>
    <cellStyle name="Tusenskille 3 5 3 3" xfId="259" xr:uid="{00000000-0005-0000-0000-0000F6020000}"/>
    <cellStyle name="Tusenskille 3 5 3 4" xfId="349" xr:uid="{00000000-0005-0000-0000-0000F7020000}"/>
    <cellStyle name="Tusenskille 3 5 3 5" xfId="439" xr:uid="{00000000-0005-0000-0000-0000F8020000}"/>
    <cellStyle name="Tusenskille 3 5 3 6" xfId="529" xr:uid="{00000000-0005-0000-0000-0000F9020000}"/>
    <cellStyle name="Tusenskille 3 5 3 7" xfId="619" xr:uid="{00000000-0005-0000-0000-0000FA020000}"/>
    <cellStyle name="Tusenskille 3 5 3 8" xfId="709" xr:uid="{00000000-0005-0000-0000-0000FB020000}"/>
    <cellStyle name="Tusenskille 3 5 3 9" xfId="806" xr:uid="{00000000-0005-0000-0000-0000FC020000}"/>
    <cellStyle name="Tusenskille 3 5 4" xfId="132" xr:uid="{00000000-0005-0000-0000-0000FD020000}"/>
    <cellStyle name="Tusenskille 3 5 5" xfId="222" xr:uid="{00000000-0005-0000-0000-0000FE020000}"/>
    <cellStyle name="Tusenskille 3 5 6" xfId="312" xr:uid="{00000000-0005-0000-0000-0000FF020000}"/>
    <cellStyle name="Tusenskille 3 5 7" xfId="402" xr:uid="{00000000-0005-0000-0000-000000030000}"/>
    <cellStyle name="Tusenskille 3 5 8" xfId="492" xr:uid="{00000000-0005-0000-0000-000001030000}"/>
    <cellStyle name="Tusenskille 3 5 9" xfId="582" xr:uid="{00000000-0005-0000-0000-000002030000}"/>
    <cellStyle name="Tusenskille 3 6" xfId="37" xr:uid="{00000000-0005-0000-0000-000003030000}"/>
    <cellStyle name="Tusenskille 3 6 10" xfId="675" xr:uid="{00000000-0005-0000-0000-000004030000}"/>
    <cellStyle name="Tusenskille 3 6 11" xfId="770" xr:uid="{00000000-0005-0000-0000-000005030000}"/>
    <cellStyle name="Tusenskille 3 6 2" xfId="59" xr:uid="{00000000-0005-0000-0000-000006030000}"/>
    <cellStyle name="Tusenskille 3 6 2 10" xfId="790" xr:uid="{00000000-0005-0000-0000-000007030000}"/>
    <cellStyle name="Tusenskille 3 6 2 2" xfId="99" xr:uid="{00000000-0005-0000-0000-000008030000}"/>
    <cellStyle name="Tusenskille 3 6 2 2 2" xfId="191" xr:uid="{00000000-0005-0000-0000-000009030000}"/>
    <cellStyle name="Tusenskille 3 6 2 2 3" xfId="281" xr:uid="{00000000-0005-0000-0000-00000A030000}"/>
    <cellStyle name="Tusenskille 3 6 2 2 4" xfId="371" xr:uid="{00000000-0005-0000-0000-00000B030000}"/>
    <cellStyle name="Tusenskille 3 6 2 2 5" xfId="461" xr:uid="{00000000-0005-0000-0000-00000C030000}"/>
    <cellStyle name="Tusenskille 3 6 2 2 6" xfId="551" xr:uid="{00000000-0005-0000-0000-00000D030000}"/>
    <cellStyle name="Tusenskille 3 6 2 2 7" xfId="641" xr:uid="{00000000-0005-0000-0000-00000E030000}"/>
    <cellStyle name="Tusenskille 3 6 2 2 8" xfId="731" xr:uid="{00000000-0005-0000-0000-00000F030000}"/>
    <cellStyle name="Tusenskille 3 6 2 2 9" xfId="828" xr:uid="{00000000-0005-0000-0000-000010030000}"/>
    <cellStyle name="Tusenskille 3 6 2 3" xfId="154" xr:uid="{00000000-0005-0000-0000-000011030000}"/>
    <cellStyle name="Tusenskille 3 6 2 4" xfId="244" xr:uid="{00000000-0005-0000-0000-000012030000}"/>
    <cellStyle name="Tusenskille 3 6 2 5" xfId="334" xr:uid="{00000000-0005-0000-0000-000013030000}"/>
    <cellStyle name="Tusenskille 3 6 2 6" xfId="424" xr:uid="{00000000-0005-0000-0000-000014030000}"/>
    <cellStyle name="Tusenskille 3 6 2 7" xfId="514" xr:uid="{00000000-0005-0000-0000-000015030000}"/>
    <cellStyle name="Tusenskille 3 6 2 8" xfId="604" xr:uid="{00000000-0005-0000-0000-000016030000}"/>
    <cellStyle name="Tusenskille 3 6 2 9" xfId="694" xr:uid="{00000000-0005-0000-0000-000017030000}"/>
    <cellStyle name="Tusenskille 3 6 3" xfId="79" xr:uid="{00000000-0005-0000-0000-000018030000}"/>
    <cellStyle name="Tusenskille 3 6 3 2" xfId="172" xr:uid="{00000000-0005-0000-0000-000019030000}"/>
    <cellStyle name="Tusenskille 3 6 3 3" xfId="262" xr:uid="{00000000-0005-0000-0000-00001A030000}"/>
    <cellStyle name="Tusenskille 3 6 3 4" xfId="352" xr:uid="{00000000-0005-0000-0000-00001B030000}"/>
    <cellStyle name="Tusenskille 3 6 3 5" xfId="442" xr:uid="{00000000-0005-0000-0000-00001C030000}"/>
    <cellStyle name="Tusenskille 3 6 3 6" xfId="532" xr:uid="{00000000-0005-0000-0000-00001D030000}"/>
    <cellStyle name="Tusenskille 3 6 3 7" xfId="622" xr:uid="{00000000-0005-0000-0000-00001E030000}"/>
    <cellStyle name="Tusenskille 3 6 3 8" xfId="712" xr:uid="{00000000-0005-0000-0000-00001F030000}"/>
    <cellStyle name="Tusenskille 3 6 3 9" xfId="809" xr:uid="{00000000-0005-0000-0000-000020030000}"/>
    <cellStyle name="Tusenskille 3 6 4" xfId="135" xr:uid="{00000000-0005-0000-0000-000021030000}"/>
    <cellStyle name="Tusenskille 3 6 5" xfId="225" xr:uid="{00000000-0005-0000-0000-000022030000}"/>
    <cellStyle name="Tusenskille 3 6 6" xfId="315" xr:uid="{00000000-0005-0000-0000-000023030000}"/>
    <cellStyle name="Tusenskille 3 6 7" xfId="405" xr:uid="{00000000-0005-0000-0000-000024030000}"/>
    <cellStyle name="Tusenskille 3 6 8" xfId="495" xr:uid="{00000000-0005-0000-0000-000025030000}"/>
    <cellStyle name="Tusenskille 3 6 9" xfId="585" xr:uid="{00000000-0005-0000-0000-000026030000}"/>
    <cellStyle name="Tusenskille 3 7" xfId="43" xr:uid="{00000000-0005-0000-0000-000027030000}"/>
    <cellStyle name="Tusenskille 3 7 10" xfId="775" xr:uid="{00000000-0005-0000-0000-000028030000}"/>
    <cellStyle name="Tusenskille 3 7 2" xfId="83" xr:uid="{00000000-0005-0000-0000-000029030000}"/>
    <cellStyle name="Tusenskille 3 7 2 2" xfId="176" xr:uid="{00000000-0005-0000-0000-00002A030000}"/>
    <cellStyle name="Tusenskille 3 7 2 3" xfId="266" xr:uid="{00000000-0005-0000-0000-00002B030000}"/>
    <cellStyle name="Tusenskille 3 7 2 4" xfId="356" xr:uid="{00000000-0005-0000-0000-00002C030000}"/>
    <cellStyle name="Tusenskille 3 7 2 5" xfId="446" xr:uid="{00000000-0005-0000-0000-00002D030000}"/>
    <cellStyle name="Tusenskille 3 7 2 6" xfId="536" xr:uid="{00000000-0005-0000-0000-00002E030000}"/>
    <cellStyle name="Tusenskille 3 7 2 7" xfId="626" xr:uid="{00000000-0005-0000-0000-00002F030000}"/>
    <cellStyle name="Tusenskille 3 7 2 8" xfId="716" xr:uid="{00000000-0005-0000-0000-000030030000}"/>
    <cellStyle name="Tusenskille 3 7 2 9" xfId="813" xr:uid="{00000000-0005-0000-0000-000031030000}"/>
    <cellStyle name="Tusenskille 3 7 3" xfId="139" xr:uid="{00000000-0005-0000-0000-000032030000}"/>
    <cellStyle name="Tusenskille 3 7 4" xfId="229" xr:uid="{00000000-0005-0000-0000-000033030000}"/>
    <cellStyle name="Tusenskille 3 7 5" xfId="319" xr:uid="{00000000-0005-0000-0000-000034030000}"/>
    <cellStyle name="Tusenskille 3 7 6" xfId="409" xr:uid="{00000000-0005-0000-0000-000035030000}"/>
    <cellStyle name="Tusenskille 3 7 7" xfId="499" xr:uid="{00000000-0005-0000-0000-000036030000}"/>
    <cellStyle name="Tusenskille 3 7 8" xfId="589" xr:uid="{00000000-0005-0000-0000-000037030000}"/>
    <cellStyle name="Tusenskille 3 7 9" xfId="679" xr:uid="{00000000-0005-0000-0000-000038030000}"/>
    <cellStyle name="Tusenskille 3 8" xfId="64" xr:uid="{00000000-0005-0000-0000-000039030000}"/>
    <cellStyle name="Tusenskille 3 8 2" xfId="157" xr:uid="{00000000-0005-0000-0000-00003A030000}"/>
    <cellStyle name="Tusenskille 3 8 3" xfId="247" xr:uid="{00000000-0005-0000-0000-00003B030000}"/>
    <cellStyle name="Tusenskille 3 8 4" xfId="337" xr:uid="{00000000-0005-0000-0000-00003C030000}"/>
    <cellStyle name="Tusenskille 3 8 5" xfId="427" xr:uid="{00000000-0005-0000-0000-00003D030000}"/>
    <cellStyle name="Tusenskille 3 8 6" xfId="517" xr:uid="{00000000-0005-0000-0000-00003E030000}"/>
    <cellStyle name="Tusenskille 3 8 7" xfId="607" xr:uid="{00000000-0005-0000-0000-00003F030000}"/>
    <cellStyle name="Tusenskille 3 8 8" xfId="697" xr:uid="{00000000-0005-0000-0000-000040030000}"/>
    <cellStyle name="Tusenskille 3 8 9" xfId="794" xr:uid="{00000000-0005-0000-0000-000041030000}"/>
    <cellStyle name="Tusenskille 3 9" xfId="102" xr:uid="{00000000-0005-0000-0000-000042030000}"/>
    <cellStyle name="Tusenskille 3 9 2" xfId="194" xr:uid="{00000000-0005-0000-0000-000043030000}"/>
    <cellStyle name="Tusenskille 3 9 3" xfId="284" xr:uid="{00000000-0005-0000-0000-000044030000}"/>
    <cellStyle name="Tusenskille 3 9 4" xfId="374" xr:uid="{00000000-0005-0000-0000-000045030000}"/>
    <cellStyle name="Tusenskille 3 9 5" xfId="464" xr:uid="{00000000-0005-0000-0000-000046030000}"/>
    <cellStyle name="Tusenskille 3 9 6" xfId="554" xr:uid="{00000000-0005-0000-0000-000047030000}"/>
    <cellStyle name="Tusenskille 3 9 7" xfId="644" xr:uid="{00000000-0005-0000-0000-000048030000}"/>
    <cellStyle name="Tusenskille 3 9 8" xfId="734" xr:uid="{00000000-0005-0000-0000-000049030000}"/>
    <cellStyle name="Tusenskille 3 9 9" xfId="831" xr:uid="{00000000-0005-0000-0000-00004A030000}"/>
    <cellStyle name="Tusenskille 4" xfId="17" xr:uid="{00000000-0005-0000-0000-00004B030000}"/>
    <cellStyle name="Tusenskille 4 2" xfId="753" xr:uid="{00000000-0005-0000-0000-00004C030000}"/>
    <cellStyle name="Tusenskille 5" xfId="13" xr:uid="{00000000-0005-0000-0000-00004D030000}"/>
    <cellStyle name="Tusenskille 5 2" xfId="749" xr:uid="{00000000-0005-0000-0000-00004E030000}"/>
    <cellStyle name="Tusenskille 6" xfId="115" xr:uid="{00000000-0005-0000-0000-00004F030000}"/>
    <cellStyle name="TusenskilleFjernNull" xfId="846" xr:uid="{00000000-0005-0000-0000-000050030000}"/>
  </cellStyles>
  <dxfs count="5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8E9D6"/>
      <color rgb="FFFFFF99"/>
      <color rgb="FFF7D7F7"/>
      <color rgb="FFFCD2E2"/>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strRef>
              <c:f>Figurer!$M$7</c:f>
              <c:strCache>
                <c:ptCount val="1"/>
                <c:pt idx="0">
                  <c:v>2024</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Figurer!$M$8:$M$30</c:f>
              <c:numCache>
                <c:formatCode>#,##0</c:formatCode>
                <c:ptCount val="23"/>
                <c:pt idx="0">
                  <c:v>2002337</c:v>
                </c:pt>
                <c:pt idx="1">
                  <c:v>354498</c:v>
                </c:pt>
                <c:pt idx="2">
                  <c:v>70533</c:v>
                </c:pt>
                <c:pt idx="3">
                  <c:v>1904465.84512</c:v>
                </c:pt>
                <c:pt idx="4">
                  <c:v>629116</c:v>
                </c:pt>
                <c:pt idx="5">
                  <c:v>4207.2179999999998</c:v>
                </c:pt>
                <c:pt idx="6">
                  <c:v>1777605.365</c:v>
                </c:pt>
                <c:pt idx="7">
                  <c:v>555519</c:v>
                </c:pt>
                <c:pt idx="8">
                  <c:v>430213.39947497001</c:v>
                </c:pt>
                <c:pt idx="9">
                  <c:v>37126670.17317</c:v>
                </c:pt>
                <c:pt idx="10">
                  <c:v>323278.35000000003</c:v>
                </c:pt>
                <c:pt idx="11">
                  <c:v>30587</c:v>
                </c:pt>
                <c:pt idx="12">
                  <c:v>21876</c:v>
                </c:pt>
                <c:pt idx="13">
                  <c:v>1101856.443037055</c:v>
                </c:pt>
                <c:pt idx="14">
                  <c:v>16932</c:v>
                </c:pt>
                <c:pt idx="15">
                  <c:v>1975000</c:v>
                </c:pt>
                <c:pt idx="16">
                  <c:v>369670</c:v>
                </c:pt>
                <c:pt idx="17">
                  <c:v>483891.55215999996</c:v>
                </c:pt>
                <c:pt idx="18">
                  <c:v>4493232.5606899997</c:v>
                </c:pt>
                <c:pt idx="19">
                  <c:v>4814</c:v>
                </c:pt>
                <c:pt idx="20">
                  <c:v>805943</c:v>
                </c:pt>
                <c:pt idx="21">
                  <c:v>1769.49</c:v>
                </c:pt>
                <c:pt idx="22">
                  <c:v>42013</c:v>
                </c:pt>
              </c:numCache>
            </c:numRef>
          </c:val>
          <c:extLst>
            <c:ext xmlns:c16="http://schemas.microsoft.com/office/drawing/2014/chart" uri="{C3380CC4-5D6E-409C-BE32-E72D297353CC}">
              <c16:uniqueId val="{00000002-93AE-4CD9-98AD-A52686D1F9FB}"/>
            </c:ext>
          </c:extLst>
        </c:ser>
        <c:ser>
          <c:idx val="1"/>
          <c:order val="1"/>
          <c:tx>
            <c:strRef>
              <c:f>Figurer!$N$7</c:f>
              <c:strCache>
                <c:ptCount val="1"/>
                <c:pt idx="0">
                  <c:v>2025</c:v>
                </c:pt>
              </c:strCache>
            </c:strRef>
          </c:tx>
          <c:invertIfNegative val="0"/>
          <c:cat>
            <c:strRef>
              <c:f>Figurer!$L$8:$L$30</c:f>
              <c:strCache>
                <c:ptCount val="23"/>
                <c:pt idx="0">
                  <c:v>DNB Liv</c:v>
                </c:pt>
                <c:pt idx="1">
                  <c:v>Eika Forsikring</c:v>
                </c:pt>
                <c:pt idx="2">
                  <c:v>Euro Accident</c:v>
                </c:pt>
                <c:pt idx="3">
                  <c:v>Fremtind Livsfors</c:v>
                </c:pt>
                <c:pt idx="4">
                  <c:v>Frende Livsfors</c:v>
                </c:pt>
                <c:pt idx="5">
                  <c:v>Frende Skade</c:v>
                </c:pt>
                <c:pt idx="6">
                  <c:v>Gjensidige Fors</c:v>
                </c:pt>
                <c:pt idx="7">
                  <c:v>Gjensidige Pensj</c:v>
                </c:pt>
                <c:pt idx="8">
                  <c:v>If Skadefors</c:v>
                </c:pt>
                <c:pt idx="9">
                  <c:v>KLP</c:v>
                </c:pt>
                <c:pt idx="10">
                  <c:v>KLP Skadef</c:v>
                </c:pt>
                <c:pt idx="11">
                  <c:v>Landkreditt Fors.</c:v>
                </c:pt>
                <c:pt idx="12">
                  <c:v>Ly Forsikring</c:v>
                </c:pt>
                <c:pt idx="13">
                  <c:v>Nordea Liv</c:v>
                </c:pt>
                <c:pt idx="14">
                  <c:v>Oslo Forsikring</c:v>
                </c:pt>
                <c:pt idx="15">
                  <c:v>OPF</c:v>
                </c:pt>
                <c:pt idx="16">
                  <c:v>Protector Fors</c:v>
                </c:pt>
                <c:pt idx="17">
                  <c:v>SpareBank 1 Forsikring</c:v>
                </c:pt>
                <c:pt idx="18">
                  <c:v>Storebrand Liv</c:v>
                </c:pt>
                <c:pt idx="19">
                  <c:v>Telenor Fors</c:v>
                </c:pt>
                <c:pt idx="20">
                  <c:v>Tryg Fors</c:v>
                </c:pt>
                <c:pt idx="21">
                  <c:v>WaterCircles Fors.</c:v>
                </c:pt>
                <c:pt idx="22">
                  <c:v>Youplus Livsf</c:v>
                </c:pt>
              </c:strCache>
            </c:strRef>
          </c:cat>
          <c:val>
            <c:numRef>
              <c:f>Figurer!$N$8:$N$30</c:f>
              <c:numCache>
                <c:formatCode>#,##0</c:formatCode>
                <c:ptCount val="23"/>
                <c:pt idx="0">
                  <c:v>2067563.5751900002</c:v>
                </c:pt>
                <c:pt idx="1">
                  <c:v>0</c:v>
                </c:pt>
                <c:pt idx="2">
                  <c:v>98235</c:v>
                </c:pt>
                <c:pt idx="3">
                  <c:v>2390090.1963299997</c:v>
                </c:pt>
                <c:pt idx="4">
                  <c:v>713852</c:v>
                </c:pt>
                <c:pt idx="5">
                  <c:v>285.51499999999999</c:v>
                </c:pt>
                <c:pt idx="6">
                  <c:v>1866326.6609999998</c:v>
                </c:pt>
                <c:pt idx="7">
                  <c:v>641764</c:v>
                </c:pt>
                <c:pt idx="8">
                  <c:v>391618.657460585</c:v>
                </c:pt>
                <c:pt idx="9">
                  <c:v>42529293.928260006</c:v>
                </c:pt>
                <c:pt idx="10">
                  <c:v>357541.45800000004</c:v>
                </c:pt>
                <c:pt idx="11">
                  <c:v>92029</c:v>
                </c:pt>
                <c:pt idx="12">
                  <c:v>23419.9</c:v>
                </c:pt>
                <c:pt idx="13">
                  <c:v>1173037.9469572529</c:v>
                </c:pt>
                <c:pt idx="14">
                  <c:v>18037</c:v>
                </c:pt>
                <c:pt idx="15">
                  <c:v>1994000</c:v>
                </c:pt>
                <c:pt idx="16">
                  <c:v>390469</c:v>
                </c:pt>
                <c:pt idx="17">
                  <c:v>524920.77477999998</c:v>
                </c:pt>
                <c:pt idx="18">
                  <c:v>5196540.0594699997</c:v>
                </c:pt>
                <c:pt idx="19">
                  <c:v>3807</c:v>
                </c:pt>
                <c:pt idx="20">
                  <c:v>821900.22899999993</c:v>
                </c:pt>
                <c:pt idx="21">
                  <c:v>1647</c:v>
                </c:pt>
                <c:pt idx="22">
                  <c:v>64210</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Figurer!$M$34</c:f>
              <c:strCache>
                <c:ptCount val="1"/>
                <c:pt idx="0">
                  <c:v>2024</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Figurer!$M$35:$M$40</c:f>
              <c:numCache>
                <c:formatCode>#,##0</c:formatCode>
                <c:ptCount val="6"/>
                <c:pt idx="0">
                  <c:v>7890424</c:v>
                </c:pt>
                <c:pt idx="1">
                  <c:v>3214737</c:v>
                </c:pt>
                <c:pt idx="2">
                  <c:v>129541.768</c:v>
                </c:pt>
                <c:pt idx="3">
                  <c:v>10691816.457010001</c:v>
                </c:pt>
                <c:pt idx="4">
                  <c:v>3747368.3149599996</c:v>
                </c:pt>
                <c:pt idx="5">
                  <c:v>8986622.7596799992</c:v>
                </c:pt>
              </c:numCache>
            </c:numRef>
          </c:val>
          <c:extLst>
            <c:ext xmlns:c16="http://schemas.microsoft.com/office/drawing/2014/chart" uri="{C3380CC4-5D6E-409C-BE32-E72D297353CC}">
              <c16:uniqueId val="{00000000-3971-4F9A-B5A3-CF52C774B823}"/>
            </c:ext>
          </c:extLst>
        </c:ser>
        <c:ser>
          <c:idx val="1"/>
          <c:order val="1"/>
          <c:tx>
            <c:strRef>
              <c:f>Figurer!$N$34</c:f>
              <c:strCache>
                <c:ptCount val="1"/>
                <c:pt idx="0">
                  <c:v>2025</c:v>
                </c:pt>
              </c:strCache>
            </c:strRef>
          </c:tx>
          <c:invertIfNegative val="0"/>
          <c:cat>
            <c:strRef>
              <c:f>Figurer!$L$35:$L$40</c:f>
              <c:strCache>
                <c:ptCount val="6"/>
                <c:pt idx="0">
                  <c:v>DNB Liv</c:v>
                </c:pt>
                <c:pt idx="1">
                  <c:v>Gjensidige Pensj</c:v>
                </c:pt>
                <c:pt idx="2">
                  <c:v>KLP</c:v>
                </c:pt>
                <c:pt idx="3">
                  <c:v>Nordea Liv</c:v>
                </c:pt>
                <c:pt idx="4">
                  <c:v>SpareBank 1 Forsikring</c:v>
                </c:pt>
                <c:pt idx="5">
                  <c:v>Storebrand Liv</c:v>
                </c:pt>
              </c:strCache>
            </c:strRef>
          </c:cat>
          <c:val>
            <c:numRef>
              <c:f>Figurer!$N$35:$N$40</c:f>
              <c:numCache>
                <c:formatCode>#,##0</c:formatCode>
                <c:ptCount val="6"/>
                <c:pt idx="0">
                  <c:v>8664894.7880000006</c:v>
                </c:pt>
                <c:pt idx="1">
                  <c:v>3517805</c:v>
                </c:pt>
                <c:pt idx="2">
                  <c:v>141671.402</c:v>
                </c:pt>
                <c:pt idx="3">
                  <c:v>9138724.7853299994</c:v>
                </c:pt>
                <c:pt idx="4">
                  <c:v>4140206.9040000001</c:v>
                </c:pt>
                <c:pt idx="5">
                  <c:v>9452704.8581099994</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Figurer!$M$52</c:f>
              <c:strCache>
                <c:ptCount val="1"/>
                <c:pt idx="0">
                  <c:v>2024</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Figurer!$M$53:$M$73</c:f>
              <c:numCache>
                <c:formatCode>#,##0</c:formatCode>
                <c:ptCount val="21"/>
                <c:pt idx="0">
                  <c:v>181950975.73127002</c:v>
                </c:pt>
                <c:pt idx="1">
                  <c:v>0</c:v>
                </c:pt>
                <c:pt idx="2">
                  <c:v>0</c:v>
                </c:pt>
                <c:pt idx="3">
                  <c:v>5629123.9688099995</c:v>
                </c:pt>
                <c:pt idx="4">
                  <c:v>1980592</c:v>
                </c:pt>
                <c:pt idx="5">
                  <c:v>0</c:v>
                </c:pt>
                <c:pt idx="6">
                  <c:v>10373836</c:v>
                </c:pt>
                <c:pt idx="7">
                  <c:v>0</c:v>
                </c:pt>
                <c:pt idx="8">
                  <c:v>775383061.84458005</c:v>
                </c:pt>
                <c:pt idx="9">
                  <c:v>144158.478</c:v>
                </c:pt>
                <c:pt idx="10">
                  <c:v>0</c:v>
                </c:pt>
                <c:pt idx="11">
                  <c:v>0</c:v>
                </c:pt>
                <c:pt idx="12">
                  <c:v>54677939.999999009</c:v>
                </c:pt>
                <c:pt idx="13">
                  <c:v>0</c:v>
                </c:pt>
                <c:pt idx="14">
                  <c:v>92155000</c:v>
                </c:pt>
                <c:pt idx="15">
                  <c:v>22009714.530510001</c:v>
                </c:pt>
                <c:pt idx="16">
                  <c:v>209403887.42301998</c:v>
                </c:pt>
                <c:pt idx="17">
                  <c:v>0</c:v>
                </c:pt>
                <c:pt idx="18">
                  <c:v>0</c:v>
                </c:pt>
                <c:pt idx="19">
                  <c:v>0</c:v>
                </c:pt>
                <c:pt idx="20">
                  <c:v>56571</c:v>
                </c:pt>
              </c:numCache>
            </c:numRef>
          </c:val>
          <c:extLst>
            <c:ext xmlns:c16="http://schemas.microsoft.com/office/drawing/2014/chart" uri="{C3380CC4-5D6E-409C-BE32-E72D297353CC}">
              <c16:uniqueId val="{00000000-F5D7-4882-A9B6-45C2F0317A05}"/>
            </c:ext>
          </c:extLst>
        </c:ser>
        <c:ser>
          <c:idx val="1"/>
          <c:order val="1"/>
          <c:tx>
            <c:strRef>
              <c:f>Figurer!$N$52</c:f>
              <c:strCache>
                <c:ptCount val="1"/>
                <c:pt idx="0">
                  <c:v>2025</c:v>
                </c:pt>
              </c:strCache>
            </c:strRef>
          </c:tx>
          <c:invertIfNegative val="0"/>
          <c:cat>
            <c:strRef>
              <c:f>Figurer!$L$53:$L$73</c:f>
              <c:strCache>
                <c:ptCount val="21"/>
                <c:pt idx="0">
                  <c:v>DNB Liv</c:v>
                </c:pt>
                <c:pt idx="1">
                  <c:v>Eika Forsikring</c:v>
                </c:pt>
                <c:pt idx="2">
                  <c:v>Euro Accident</c:v>
                </c:pt>
                <c:pt idx="3">
                  <c:v>Fremtind Livsfors</c:v>
                </c:pt>
                <c:pt idx="4">
                  <c:v>Frende Livsfors</c:v>
                </c:pt>
                <c:pt idx="5">
                  <c:v>Gjensidige Fors</c:v>
                </c:pt>
                <c:pt idx="6">
                  <c:v>Gjensidige Pensj</c:v>
                </c:pt>
                <c:pt idx="7">
                  <c:v>If Skadefors</c:v>
                </c:pt>
                <c:pt idx="8">
                  <c:v>KLP</c:v>
                </c:pt>
                <c:pt idx="9">
                  <c:v>KLP Skadef</c:v>
                </c:pt>
                <c:pt idx="10">
                  <c:v>Landkreditt Fors</c:v>
                </c:pt>
                <c:pt idx="11">
                  <c:v>Ly Forsikring</c:v>
                </c:pt>
                <c:pt idx="12">
                  <c:v>Nordea Liv</c:v>
                </c:pt>
                <c:pt idx="13">
                  <c:v>Oslo Forsikring</c:v>
                </c:pt>
                <c:pt idx="14">
                  <c:v>OPF</c:v>
                </c:pt>
                <c:pt idx="15">
                  <c:v>SpareBank 1 Forsikring</c:v>
                </c:pt>
                <c:pt idx="16">
                  <c:v>Storebrand Liv</c:v>
                </c:pt>
                <c:pt idx="17">
                  <c:v>Telenor Forsikring</c:v>
                </c:pt>
                <c:pt idx="18">
                  <c:v>Tryg Forsikring</c:v>
                </c:pt>
                <c:pt idx="19">
                  <c:v>WaterCicles Fors.</c:v>
                </c:pt>
                <c:pt idx="20">
                  <c:v>Youplus Livsf</c:v>
                </c:pt>
              </c:strCache>
            </c:strRef>
          </c:cat>
          <c:val>
            <c:numRef>
              <c:f>Figurer!$N$53:$N$73</c:f>
              <c:numCache>
                <c:formatCode>#,##0</c:formatCode>
                <c:ptCount val="21"/>
                <c:pt idx="0">
                  <c:v>179801052.9743135</c:v>
                </c:pt>
                <c:pt idx="1">
                  <c:v>0</c:v>
                </c:pt>
                <c:pt idx="2">
                  <c:v>0</c:v>
                </c:pt>
                <c:pt idx="3">
                  <c:v>6152461.3219000008</c:v>
                </c:pt>
                <c:pt idx="4">
                  <c:v>2400799</c:v>
                </c:pt>
                <c:pt idx="5">
                  <c:v>0</c:v>
                </c:pt>
                <c:pt idx="6">
                  <c:v>11504106</c:v>
                </c:pt>
                <c:pt idx="7">
                  <c:v>0</c:v>
                </c:pt>
                <c:pt idx="8">
                  <c:v>844010013.91703999</c:v>
                </c:pt>
                <c:pt idx="9">
                  <c:v>200305</c:v>
                </c:pt>
                <c:pt idx="10">
                  <c:v>0</c:v>
                </c:pt>
                <c:pt idx="11">
                  <c:v>0</c:v>
                </c:pt>
                <c:pt idx="12">
                  <c:v>55506749.999999546</c:v>
                </c:pt>
                <c:pt idx="13">
                  <c:v>0</c:v>
                </c:pt>
                <c:pt idx="14">
                  <c:v>98281000</c:v>
                </c:pt>
                <c:pt idx="15">
                  <c:v>25809563.798000004</c:v>
                </c:pt>
                <c:pt idx="16">
                  <c:v>218400250.17861</c:v>
                </c:pt>
                <c:pt idx="17">
                  <c:v>0</c:v>
                </c:pt>
                <c:pt idx="18">
                  <c:v>0</c:v>
                </c:pt>
                <c:pt idx="19">
                  <c:v>0</c:v>
                </c:pt>
                <c:pt idx="20">
                  <c:v>78901</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Figurer!$M$84</c:f>
              <c:strCache>
                <c:ptCount val="1"/>
                <c:pt idx="0">
                  <c:v>2024</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Figurer!$M$85:$M$90</c:f>
              <c:numCache>
                <c:formatCode>#,##0</c:formatCode>
                <c:ptCount val="6"/>
                <c:pt idx="0">
                  <c:v>187007474</c:v>
                </c:pt>
                <c:pt idx="1">
                  <c:v>69473279</c:v>
                </c:pt>
                <c:pt idx="2">
                  <c:v>2890424.3207899998</c:v>
                </c:pt>
                <c:pt idx="3">
                  <c:v>167574450</c:v>
                </c:pt>
                <c:pt idx="4">
                  <c:v>78440211.861239895</c:v>
                </c:pt>
                <c:pt idx="5">
                  <c:v>232431668.54273</c:v>
                </c:pt>
              </c:numCache>
            </c:numRef>
          </c:val>
          <c:extLst>
            <c:ext xmlns:c16="http://schemas.microsoft.com/office/drawing/2014/chart" uri="{C3380CC4-5D6E-409C-BE32-E72D297353CC}">
              <c16:uniqueId val="{00000000-62B1-4395-80F9-424B1553CC96}"/>
            </c:ext>
          </c:extLst>
        </c:ser>
        <c:ser>
          <c:idx val="1"/>
          <c:order val="1"/>
          <c:tx>
            <c:strRef>
              <c:f>Figurer!$N$84</c:f>
              <c:strCache>
                <c:ptCount val="1"/>
                <c:pt idx="0">
                  <c:v>2025</c:v>
                </c:pt>
              </c:strCache>
            </c:strRef>
          </c:tx>
          <c:invertIfNegative val="0"/>
          <c:cat>
            <c:strRef>
              <c:f>Figurer!$L$85:$L$90</c:f>
              <c:strCache>
                <c:ptCount val="6"/>
                <c:pt idx="0">
                  <c:v>DNB Liv</c:v>
                </c:pt>
                <c:pt idx="1">
                  <c:v>Gjensidige Pensj</c:v>
                </c:pt>
                <c:pt idx="2">
                  <c:v>KLP</c:v>
                </c:pt>
                <c:pt idx="3">
                  <c:v>Nordea Liv</c:v>
                </c:pt>
                <c:pt idx="4">
                  <c:v>SpareBank 1 Forsikring</c:v>
                </c:pt>
                <c:pt idx="5">
                  <c:v>Storebrand Liv</c:v>
                </c:pt>
              </c:strCache>
            </c:strRef>
          </c:cat>
          <c:val>
            <c:numRef>
              <c:f>Figurer!$N$85:$N$90</c:f>
              <c:numCache>
                <c:formatCode>#,##0</c:formatCode>
                <c:ptCount val="6"/>
                <c:pt idx="0">
                  <c:v>217984215.15776992</c:v>
                </c:pt>
                <c:pt idx="1">
                  <c:v>84050087</c:v>
                </c:pt>
                <c:pt idx="2">
                  <c:v>3055542.7277899999</c:v>
                </c:pt>
                <c:pt idx="3">
                  <c:v>190942730</c:v>
                </c:pt>
                <c:pt idx="4">
                  <c:v>89992141.354000002</c:v>
                </c:pt>
                <c:pt idx="5">
                  <c:v>261526448.38808</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Figurer!$M$99</c:f>
              <c:strCache>
                <c:ptCount val="1"/>
                <c:pt idx="0">
                  <c:v>2024</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Figurer!$M$100:$M$105</c:f>
              <c:numCache>
                <c:formatCode>#,##0</c:formatCode>
                <c:ptCount val="6"/>
                <c:pt idx="0">
                  <c:v>274373</c:v>
                </c:pt>
                <c:pt idx="1">
                  <c:v>63435</c:v>
                </c:pt>
                <c:pt idx="2">
                  <c:v>-2417417.0720000002</c:v>
                </c:pt>
                <c:pt idx="3">
                  <c:v>-14590.871569999499</c:v>
                </c:pt>
                <c:pt idx="4">
                  <c:v>6102.9492399999981</c:v>
                </c:pt>
                <c:pt idx="5">
                  <c:v>2322025.1032799999</c:v>
                </c:pt>
              </c:numCache>
            </c:numRef>
          </c:val>
          <c:extLst>
            <c:ext xmlns:c16="http://schemas.microsoft.com/office/drawing/2014/chart" uri="{C3380CC4-5D6E-409C-BE32-E72D297353CC}">
              <c16:uniqueId val="{00000000-2BF8-4278-857F-91A0E7196849}"/>
            </c:ext>
          </c:extLst>
        </c:ser>
        <c:ser>
          <c:idx val="1"/>
          <c:order val="1"/>
          <c:tx>
            <c:strRef>
              <c:f>Figurer!$N$99</c:f>
              <c:strCache>
                <c:ptCount val="1"/>
                <c:pt idx="0">
                  <c:v>2025</c:v>
                </c:pt>
              </c:strCache>
            </c:strRef>
          </c:tx>
          <c:invertIfNegative val="0"/>
          <c:cat>
            <c:strRef>
              <c:f>Figurer!$L$100:$L$105</c:f>
              <c:strCache>
                <c:ptCount val="6"/>
                <c:pt idx="0">
                  <c:v>DNB Liv</c:v>
                </c:pt>
                <c:pt idx="1">
                  <c:v>Gjensidige Pensj</c:v>
                </c:pt>
                <c:pt idx="2">
                  <c:v>KLP</c:v>
                </c:pt>
                <c:pt idx="3">
                  <c:v>Nordea Liv</c:v>
                </c:pt>
                <c:pt idx="4">
                  <c:v>SpareBank 1 Forsikring</c:v>
                </c:pt>
                <c:pt idx="5">
                  <c:v>Storebrand Liv</c:v>
                </c:pt>
              </c:strCache>
            </c:strRef>
          </c:cat>
          <c:val>
            <c:numRef>
              <c:f>Figurer!$N$100:$N$105</c:f>
              <c:numCache>
                <c:formatCode>#,##0</c:formatCode>
                <c:ptCount val="6"/>
                <c:pt idx="0">
                  <c:v>320659.30666999996</c:v>
                </c:pt>
                <c:pt idx="1">
                  <c:v>121874</c:v>
                </c:pt>
                <c:pt idx="2">
                  <c:v>-4091890.4170000004</c:v>
                </c:pt>
                <c:pt idx="3">
                  <c:v>-2296.0904000002402</c:v>
                </c:pt>
                <c:pt idx="4">
                  <c:v>866602.929</c:v>
                </c:pt>
                <c:pt idx="5">
                  <c:v>3136321.3332199999</c:v>
                </c:pt>
              </c:numCache>
            </c:numRef>
          </c:val>
          <c:extLst>
            <c:ext xmlns:c16="http://schemas.microsoft.com/office/drawing/2014/chart" uri="{C3380CC4-5D6E-409C-BE32-E72D297353CC}">
              <c16:uniqueId val="{00000000-0891-419B-84DB-F579F658812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9.6515177450644751E-2"/>
          <c:h val="4.553361351874527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Figurer!$M$121</c:f>
              <c:strCache>
                <c:ptCount val="1"/>
                <c:pt idx="0">
                  <c:v>2024</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Figurer!$M$122:$M$127</c:f>
              <c:numCache>
                <c:formatCode>#,##0</c:formatCode>
                <c:ptCount val="6"/>
                <c:pt idx="0">
                  <c:v>-2262655</c:v>
                </c:pt>
                <c:pt idx="1">
                  <c:v>1210268</c:v>
                </c:pt>
                <c:pt idx="2">
                  <c:v>-182.05500000000001</c:v>
                </c:pt>
                <c:pt idx="3">
                  <c:v>191676.46963999979</c:v>
                </c:pt>
                <c:pt idx="4">
                  <c:v>-206183.12543000048</c:v>
                </c:pt>
                <c:pt idx="5">
                  <c:v>-1889582.26523</c:v>
                </c:pt>
              </c:numCache>
            </c:numRef>
          </c:val>
          <c:extLst>
            <c:ext xmlns:c16="http://schemas.microsoft.com/office/drawing/2014/chart" uri="{C3380CC4-5D6E-409C-BE32-E72D297353CC}">
              <c16:uniqueId val="{00000000-B400-4C26-965B-0553A4A37873}"/>
            </c:ext>
          </c:extLst>
        </c:ser>
        <c:ser>
          <c:idx val="1"/>
          <c:order val="1"/>
          <c:tx>
            <c:strRef>
              <c:f>Figurer!$N$121</c:f>
              <c:strCache>
                <c:ptCount val="1"/>
                <c:pt idx="0">
                  <c:v>2025</c:v>
                </c:pt>
              </c:strCache>
            </c:strRef>
          </c:tx>
          <c:invertIfNegative val="0"/>
          <c:cat>
            <c:strRef>
              <c:f>Figurer!$L$122:$L$127</c:f>
              <c:strCache>
                <c:ptCount val="6"/>
                <c:pt idx="0">
                  <c:v>DNB Liv</c:v>
                </c:pt>
                <c:pt idx="1">
                  <c:v>Gjensidige Pensj</c:v>
                </c:pt>
                <c:pt idx="2">
                  <c:v>KLP</c:v>
                </c:pt>
                <c:pt idx="3">
                  <c:v>Nordea Liv</c:v>
                </c:pt>
                <c:pt idx="4">
                  <c:v>SpareBank 1 Forsikring</c:v>
                </c:pt>
                <c:pt idx="5">
                  <c:v>Storebrand Liv</c:v>
                </c:pt>
              </c:strCache>
            </c:strRef>
          </c:cat>
          <c:val>
            <c:numRef>
              <c:f>Figurer!$N$122:$N$127</c:f>
              <c:numCache>
                <c:formatCode>#,##0</c:formatCode>
                <c:ptCount val="6"/>
                <c:pt idx="0">
                  <c:v>-626160.12093999982</c:v>
                </c:pt>
                <c:pt idx="1">
                  <c:v>2066072</c:v>
                </c:pt>
                <c:pt idx="2">
                  <c:v>0</c:v>
                </c:pt>
                <c:pt idx="3">
                  <c:v>181118.67884999979</c:v>
                </c:pt>
                <c:pt idx="4">
                  <c:v>-98662.656999999657</c:v>
                </c:pt>
                <c:pt idx="5">
                  <c:v>-3543357.9182799999</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389792</xdr:colOff>
      <xdr:row>15</xdr:row>
      <xdr:rowOff>381000</xdr:rowOff>
    </xdr:from>
    <xdr:to>
      <xdr:col>4</xdr:col>
      <xdr:colOff>598714</xdr:colOff>
      <xdr:row>17</xdr:row>
      <xdr:rowOff>137745</xdr:rowOff>
    </xdr:to>
    <xdr:sp macro="" textlink="">
      <xdr:nvSpPr>
        <xdr:cNvPr id="2" name="Text Box 6">
          <a:extLst>
            <a:ext uri="{FF2B5EF4-FFF2-40B4-BE49-F238E27FC236}">
              <a16:creationId xmlns:a16="http://schemas.microsoft.com/office/drawing/2014/main" id="{499D6C09-8686-4BF0-B91B-3858981A64B8}"/>
            </a:ext>
          </a:extLst>
        </xdr:cNvPr>
        <xdr:cNvSpPr txBox="1"/>
      </xdr:nvSpPr>
      <xdr:spPr>
        <a:xfrm>
          <a:off x="389792" y="3343275"/>
          <a:ext cx="3256922" cy="61399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2025 </a:t>
          </a:r>
          <a:r>
            <a:rPr lang="nb-NO" sz="1200">
              <a:effectLst/>
              <a:latin typeface="Arial"/>
              <a:ea typeface="ＭＳ 明朝"/>
              <a:cs typeface="Times New Roman"/>
            </a:rPr>
            <a:t>(05</a:t>
          </a:r>
          <a:r>
            <a:rPr lang="nb-NO" sz="1200">
              <a:solidFill>
                <a:schemeClr val="dk1"/>
              </a:solidFill>
              <a:effectLst/>
              <a:latin typeface="Arial"/>
              <a:ea typeface="ＭＳ 明朝"/>
              <a:cs typeface="Times New Roman"/>
            </a:rPr>
            <a:t>.09.2025</a:t>
          </a:r>
          <a:r>
            <a:rPr lang="nb-NO" sz="12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306161</xdr:colOff>
      <xdr:row>11</xdr:row>
      <xdr:rowOff>31750</xdr:rowOff>
    </xdr:from>
    <xdr:to>
      <xdr:col>12</xdr:col>
      <xdr:colOff>677636</xdr:colOff>
      <xdr:row>15</xdr:row>
      <xdr:rowOff>391583</xdr:rowOff>
    </xdr:to>
    <xdr:sp macro="" textlink="">
      <xdr:nvSpPr>
        <xdr:cNvPr id="3" name="Text Box 4">
          <a:extLst>
            <a:ext uri="{FF2B5EF4-FFF2-40B4-BE49-F238E27FC236}">
              <a16:creationId xmlns:a16="http://schemas.microsoft.com/office/drawing/2014/main" id="{4B1AAB3F-EC6D-47A5-BFC8-57614BB19A63}"/>
            </a:ext>
          </a:extLst>
        </xdr:cNvPr>
        <xdr:cNvSpPr txBox="1"/>
      </xdr:nvSpPr>
      <xdr:spPr>
        <a:xfrm>
          <a:off x="306161" y="2053167"/>
          <a:ext cx="9515475" cy="126999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Markedsandeler</a:t>
          </a:r>
        </a:p>
        <a:p>
          <a:pPr>
            <a:spcAft>
              <a:spcPts val="0"/>
            </a:spcAft>
          </a:pPr>
          <a:r>
            <a:rPr lang="nb-NO" sz="2200" b="0" baseline="0">
              <a:solidFill>
                <a:srgbClr val="005670"/>
              </a:solidFill>
              <a:effectLst/>
              <a:latin typeface="Arial"/>
              <a:ea typeface="ＭＳ 明朝"/>
              <a:cs typeface="Times New Roman"/>
            </a:rPr>
            <a:t> </a:t>
          </a:r>
          <a:r>
            <a:rPr lang="nb-NO" sz="2600" b="0" baseline="0">
              <a:solidFill>
                <a:srgbClr val="005670"/>
              </a:solidFill>
              <a:effectLst/>
              <a:latin typeface="Arial"/>
              <a:ea typeface="ＭＳ 明朝"/>
              <a:cs typeface="Times New Roman"/>
            </a:rPr>
            <a:t>- endelige tall og regnskapsstatistikk</a:t>
          </a:r>
          <a:r>
            <a:rPr lang="nb-NO" sz="2800" b="0">
              <a:solidFill>
                <a:srgbClr val="005670"/>
              </a:solidFill>
              <a:effectLst/>
              <a:latin typeface="Arial"/>
              <a:ea typeface="ＭＳ 明朝"/>
              <a:cs typeface="Times New Roman"/>
            </a:rPr>
            <a:t>	</a:t>
          </a:r>
          <a:endParaRPr lang="nb-NO" sz="1200" b="0">
            <a:solidFill>
              <a:srgbClr val="005670"/>
            </a:solidFill>
            <a:effectLst/>
            <a:ea typeface="ＭＳ 明朝"/>
            <a:cs typeface="Times New Roman"/>
          </a:endParaRPr>
        </a:p>
      </xdr:txBody>
    </xdr:sp>
    <xdr:clientData/>
  </xdr:twoCellAnchor>
  <xdr:twoCellAnchor editAs="oneCell">
    <xdr:from>
      <xdr:col>0</xdr:col>
      <xdr:colOff>419099</xdr:colOff>
      <xdr:row>1</xdr:row>
      <xdr:rowOff>79523</xdr:rowOff>
    </xdr:from>
    <xdr:to>
      <xdr:col>6</xdr:col>
      <xdr:colOff>544024</xdr:colOff>
      <xdr:row>9</xdr:row>
      <xdr:rowOff>127000</xdr:rowOff>
    </xdr:to>
    <xdr:pic>
      <xdr:nvPicPr>
        <xdr:cNvPr id="4" name="Bilde 7">
          <a:extLst>
            <a:ext uri="{FF2B5EF4-FFF2-40B4-BE49-F238E27FC236}">
              <a16:creationId xmlns:a16="http://schemas.microsoft.com/office/drawing/2014/main" id="{1A0320DA-F81B-48DC-A876-A2AA50D0D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99" y="238273"/>
          <a:ext cx="4696925" cy="1455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27</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31</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228600</xdr:rowOff>
    </xdr:from>
    <xdr:to>
      <xdr:col>9</xdr:col>
      <xdr:colOff>142875</xdr:colOff>
      <xdr:row>73</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81</xdr:row>
      <xdr:rowOff>57150</xdr:rowOff>
    </xdr:from>
    <xdr:to>
      <xdr:col>9</xdr:col>
      <xdr:colOff>123825</xdr:colOff>
      <xdr:row>100</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28575</xdr:rowOff>
    </xdr:from>
    <xdr:to>
      <xdr:col>9</xdr:col>
      <xdr:colOff>180975</xdr:colOff>
      <xdr:row>123</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131</xdr:row>
      <xdr:rowOff>57150</xdr:rowOff>
    </xdr:from>
    <xdr:to>
      <xdr:col>9</xdr:col>
      <xdr:colOff>171450</xdr:colOff>
      <xdr:row>149</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137583</xdr:rowOff>
    </xdr:from>
    <xdr:to>
      <xdr:col>0</xdr:col>
      <xdr:colOff>4064000</xdr:colOff>
      <xdr:row>40</xdr:row>
      <xdr:rowOff>84666</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72583"/>
          <a:ext cx="4053417" cy="10318750"/>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baseline="0">
              <a:solidFill>
                <a:srgbClr val="000000"/>
              </a:solidFill>
              <a:latin typeface="Times New Roman"/>
              <a:cs typeface="Times New Roman"/>
            </a:rPr>
            <a:t>Euro Accident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Landkreditt 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Nordea Liv Forsikring</a:t>
          </a:r>
        </a:p>
        <a:p>
          <a:pPr algn="l" rtl="0">
            <a:lnSpc>
              <a:spcPts val="1600"/>
            </a:lnSpc>
            <a:defRPr sz="1000"/>
          </a:pPr>
          <a:r>
            <a:rPr lang="nb-NO" sz="1200" b="0" i="0" strike="noStrike">
              <a:solidFill>
                <a:srgbClr val="000000"/>
              </a:solidFill>
              <a:latin typeface="Times New Roman"/>
              <a:cs typeface="Times New Roman"/>
            </a:rPr>
            <a:t>Ly Forsikring (skadeselskap)</a:t>
          </a: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Protector Forsikring (skadeselskap)</a:t>
          </a:r>
        </a:p>
        <a:p>
          <a:pPr algn="l" rtl="0">
            <a:lnSpc>
              <a:spcPts val="1700"/>
            </a:lnSpc>
            <a:defRPr sz="1000"/>
          </a:pPr>
          <a:r>
            <a:rPr lang="nb-NO" sz="1200" b="0" i="0" strike="noStrike">
              <a:solidFill>
                <a:srgbClr val="000000"/>
              </a:solidFill>
              <a:latin typeface="Times New Roman"/>
              <a:cs typeface="Times New Roman"/>
            </a:rPr>
            <a:t>SpareBank 1 Forsikring</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WaterCircles Forsikring (Skadeforsikring)</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Youplus Livsforsikring nuf</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700"/>
            </a:lnSpc>
            <a:defRPr sz="1000"/>
          </a:pPr>
          <a:r>
            <a:rPr lang="nb-NO" sz="1200" b="0" i="0" strike="noStrike">
              <a:solidFill>
                <a:srgbClr val="000000"/>
              </a:solidFill>
              <a:latin typeface="Times New Roman"/>
              <a:cs typeface="Times New Roman"/>
            </a:rPr>
            <a:t>Nordea Liv Forsikring</a:t>
          </a:r>
          <a:endParaRPr kumimoji="0" lang="nb-NO" sz="1200" b="0" i="0" u="none" strike="noStrike" kern="0" cap="none" spc="0" normalizeH="0" baseline="0" noProof="0">
            <a:ln>
              <a:noFill/>
            </a:ln>
            <a:solidFill>
              <a:srgbClr val="000000"/>
            </a:solidFill>
            <a:effectLst/>
            <a:uLnTx/>
            <a:uFillTx/>
            <a:latin typeface="Times New Roman"/>
            <a:ea typeface="+mn-ea"/>
            <a:cs typeface="Times New Roman"/>
          </a:endParaRPr>
        </a:p>
        <a:p>
          <a:pPr algn="l" rtl="0">
            <a:lnSpc>
              <a:spcPts val="1600"/>
            </a:lnSpc>
            <a:defRPr sz="1000"/>
          </a:pPr>
          <a:r>
            <a:rPr lang="nb-NO" sz="1200" b="0" i="0" strike="noStrike">
              <a:solidFill>
                <a:srgbClr val="000000"/>
              </a:solidFill>
              <a:latin typeface="Times New Roman"/>
              <a:cs typeface="Times New Roman"/>
            </a:rPr>
            <a:t>SpareBank 1 Forsikring</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20xx-tall", menes endringer i forhold til tilsvarende periode året før.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markedstallene inngår ikke overførte reserver som gjelder Gruppeliv. Disse vil imidlertid inngå i Tabell 4.</a:t>
          </a:r>
          <a:endParaRPr lang="nb-NO" sz="1100">
            <a:latin typeface="Times New Roman" panose="02020603050405020304" pitchFamily="18" charset="0"/>
            <a:cs typeface="Times New Roman" panose="02020603050405020304" pitchFamily="18" charset="0"/>
          </a:endParaRPr>
        </a:p>
        <a:p>
          <a:endParaRPr lang="nb-NO" sz="1100" u="sng">
            <a:latin typeface="Times New Roman" panose="02020603050405020304" pitchFamily="18" charset="0"/>
            <a:cs typeface="Times New Roman" panose="02020603050405020304" pitchFamily="18" charset="0"/>
          </a:endParaRPr>
        </a:p>
        <a:p>
          <a:pPr rtl="0" eaLnBrk="1" fontAlgn="auto" latinLnBrk="0" hangingPunct="1"/>
          <a:r>
            <a:rPr lang="nb-NO" sz="1100" u="sng">
              <a:solidFill>
                <a:schemeClr val="dk1"/>
              </a:solidFill>
              <a:effectLst/>
              <a:latin typeface="+mn-lt"/>
              <a:ea typeface="+mn-ea"/>
              <a:cs typeface="+mn-cs"/>
            </a:rPr>
            <a:t>Eika Forsikring:</a:t>
          </a:r>
          <a:endParaRPr lang="nb-NO">
            <a:effectLst/>
          </a:endParaRPr>
        </a:p>
        <a:p>
          <a:pPr rtl="0" eaLnBrk="1" fontAlgn="auto" latinLnBrk="0" hangingPunct="1"/>
          <a:r>
            <a:rPr lang="nb-NO" sz="1100">
              <a:solidFill>
                <a:schemeClr val="dk1"/>
              </a:solidFill>
              <a:effectLst/>
              <a:latin typeface="+mn-lt"/>
              <a:ea typeface="+mn-ea"/>
              <a:cs typeface="+mn-cs"/>
            </a:rPr>
            <a:t>I</a:t>
          </a:r>
          <a:r>
            <a:rPr lang="nb-NO" sz="1100" baseline="0">
              <a:solidFill>
                <a:schemeClr val="dk1"/>
              </a:solidFill>
              <a:effectLst/>
              <a:latin typeface="+mn-lt"/>
              <a:ea typeface="+mn-ea"/>
              <a:cs typeface="+mn-cs"/>
            </a:rPr>
            <a:t> statistikken inngår s</a:t>
          </a:r>
          <a:r>
            <a:rPr lang="nb-NO" sz="1100">
              <a:solidFill>
                <a:schemeClr val="dk1"/>
              </a:solidFill>
              <a:effectLst/>
              <a:latin typeface="+mn-lt"/>
              <a:ea typeface="+mn-ea"/>
              <a:cs typeface="+mn-cs"/>
            </a:rPr>
            <a:t>elskapet i Fremtind Livsforsikring for 2.kvartal 2025</a:t>
          </a:r>
          <a:r>
            <a:rPr lang="nb-NO" sz="1100" baseline="0">
              <a:solidFill>
                <a:schemeClr val="dk1"/>
              </a:solidFill>
              <a:effectLst/>
              <a:latin typeface="+mn-lt"/>
              <a:ea typeface="+mn-ea"/>
              <a:cs typeface="+mn-cs"/>
            </a:rPr>
            <a:t>.</a:t>
          </a:r>
          <a:endParaRPr lang="nb-NO">
            <a:effectLst/>
          </a:endParaRPr>
        </a:p>
        <a:p>
          <a:pPr marL="0" indent="0"/>
          <a:endParaRPr lang="nb-NO" sz="1100" u="none">
            <a:solidFill>
              <a:schemeClr val="dk1"/>
            </a:solidFill>
            <a:latin typeface="Times New Roman" panose="02020603050405020304" pitchFamily="18" charset="0"/>
            <a:ea typeface="+mn-ea"/>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F6A5-CA05-4275-B867-34D92981BF97}">
  <dimension ref="A1:M38"/>
  <sheetViews>
    <sheetView showGridLines="0" zoomScale="90" zoomScaleNormal="90" workbookViewId="0">
      <selection activeCell="E27" sqref="E27"/>
    </sheetView>
  </sheetViews>
  <sheetFormatPr baseColWidth="10" defaultColWidth="11.42578125" defaultRowHeight="12.75" x14ac:dyDescent="0.2"/>
  <sheetData>
    <row r="1" spans="1:13" x14ac:dyDescent="0.2">
      <c r="A1" s="471"/>
      <c r="B1" s="471"/>
      <c r="C1" s="471"/>
      <c r="D1" s="471"/>
      <c r="E1" s="471"/>
      <c r="F1" s="471"/>
      <c r="G1" s="471"/>
      <c r="H1" s="471"/>
      <c r="I1" s="471"/>
      <c r="J1" s="471"/>
      <c r="K1" s="471"/>
      <c r="L1" s="471"/>
      <c r="M1" s="471"/>
    </row>
    <row r="2" spans="1:13" x14ac:dyDescent="0.2">
      <c r="A2" s="471"/>
      <c r="B2" s="471"/>
      <c r="C2" s="471"/>
      <c r="D2" s="471"/>
      <c r="E2" s="471"/>
      <c r="F2" s="471"/>
      <c r="G2" s="471"/>
      <c r="H2" s="471"/>
      <c r="I2" s="471"/>
      <c r="J2" s="471"/>
      <c r="K2" s="471"/>
      <c r="L2" s="471"/>
      <c r="M2" s="471"/>
    </row>
    <row r="3" spans="1:13" x14ac:dyDescent="0.2">
      <c r="A3" s="471"/>
      <c r="B3" s="471"/>
      <c r="C3" s="471"/>
      <c r="D3" s="471"/>
      <c r="E3" s="471"/>
      <c r="F3" s="471"/>
      <c r="G3" s="471"/>
      <c r="H3" s="471"/>
      <c r="I3" s="471"/>
      <c r="J3" s="471"/>
      <c r="K3" s="471"/>
      <c r="L3" s="471"/>
      <c r="M3" s="471"/>
    </row>
    <row r="4" spans="1:13" x14ac:dyDescent="0.2">
      <c r="A4" s="471"/>
      <c r="B4" s="471"/>
      <c r="C4" s="471"/>
      <c r="D4" s="471"/>
      <c r="E4" s="471"/>
      <c r="F4" s="471"/>
      <c r="G4" s="471"/>
      <c r="H4" s="471"/>
      <c r="I4" s="471"/>
      <c r="J4" s="471"/>
      <c r="K4" s="471"/>
      <c r="L4" s="471"/>
      <c r="M4" s="471"/>
    </row>
    <row r="5" spans="1:13" x14ac:dyDescent="0.2">
      <c r="A5" s="471"/>
      <c r="B5" s="472"/>
      <c r="C5" s="472"/>
      <c r="D5" s="472"/>
      <c r="E5" s="472"/>
      <c r="F5" s="472"/>
      <c r="G5" s="472"/>
      <c r="H5" s="472"/>
      <c r="I5" s="471"/>
      <c r="J5" s="471"/>
      <c r="K5" s="471"/>
      <c r="L5" s="471"/>
      <c r="M5" s="471"/>
    </row>
    <row r="6" spans="1:13" ht="23.25" x14ac:dyDescent="0.35">
      <c r="A6" s="471"/>
      <c r="B6" s="473"/>
      <c r="C6" s="472"/>
      <c r="D6" s="472"/>
      <c r="E6" s="472"/>
      <c r="F6" s="472"/>
      <c r="G6" s="472"/>
      <c r="H6" s="472"/>
      <c r="I6" s="474"/>
      <c r="J6" s="471"/>
      <c r="K6" s="471"/>
      <c r="L6" s="471"/>
      <c r="M6" s="471"/>
    </row>
    <row r="7" spans="1:13" x14ac:dyDescent="0.2">
      <c r="A7" s="471"/>
      <c r="B7" s="472"/>
      <c r="C7" s="472"/>
      <c r="D7" s="472"/>
      <c r="E7" s="472"/>
      <c r="F7" s="472"/>
      <c r="G7" s="472"/>
      <c r="H7" s="472"/>
      <c r="I7" s="472"/>
      <c r="J7" s="471"/>
      <c r="K7" s="471"/>
      <c r="L7" s="471"/>
      <c r="M7" s="471"/>
    </row>
    <row r="8" spans="1:13" x14ac:dyDescent="0.2">
      <c r="A8" s="471"/>
      <c r="B8" s="472"/>
      <c r="C8" s="472"/>
      <c r="D8" s="472"/>
      <c r="E8" s="471"/>
      <c r="F8" s="472"/>
      <c r="G8" s="472"/>
      <c r="H8" s="472"/>
      <c r="I8" s="471"/>
      <c r="J8" s="471"/>
      <c r="K8" s="471"/>
      <c r="L8" s="471"/>
      <c r="M8" s="471"/>
    </row>
    <row r="9" spans="1:13" x14ac:dyDescent="0.2">
      <c r="A9" s="471"/>
      <c r="B9" s="472"/>
      <c r="C9" s="472"/>
      <c r="D9" s="472"/>
      <c r="E9" s="472"/>
      <c r="F9" s="472"/>
      <c r="G9" s="472"/>
      <c r="H9" s="472"/>
      <c r="I9" s="471"/>
      <c r="J9" s="471"/>
      <c r="K9" s="471"/>
      <c r="L9" s="471"/>
      <c r="M9" s="471"/>
    </row>
    <row r="10" spans="1:13" ht="23.25" x14ac:dyDescent="0.35">
      <c r="A10" s="471"/>
      <c r="B10" s="472"/>
      <c r="C10" s="472"/>
      <c r="D10" s="472"/>
      <c r="E10" s="471"/>
      <c r="F10" s="471"/>
      <c r="G10" s="471"/>
      <c r="H10" s="471"/>
      <c r="I10" s="474"/>
      <c r="J10" s="471"/>
      <c r="K10" s="471"/>
      <c r="L10" s="471"/>
      <c r="M10" s="471"/>
    </row>
    <row r="11" spans="1:13" x14ac:dyDescent="0.2">
      <c r="A11" s="471"/>
      <c r="B11" s="472"/>
      <c r="C11" s="472"/>
      <c r="D11" s="472"/>
      <c r="E11" s="471"/>
      <c r="F11" s="471"/>
      <c r="G11" s="471"/>
      <c r="H11" s="471"/>
      <c r="I11" s="471"/>
      <c r="J11" s="471"/>
      <c r="K11" s="471"/>
      <c r="L11" s="471"/>
      <c r="M11" s="471"/>
    </row>
    <row r="12" spans="1:13" ht="23.25" x14ac:dyDescent="0.35">
      <c r="A12" s="471"/>
      <c r="B12" s="472"/>
      <c r="C12" s="472"/>
      <c r="D12" s="472"/>
      <c r="E12" s="472"/>
      <c r="F12" s="472"/>
      <c r="G12" s="472"/>
      <c r="H12" s="472"/>
      <c r="I12" s="474"/>
      <c r="J12" s="471"/>
      <c r="K12" s="471"/>
      <c r="L12" s="471"/>
      <c r="M12" s="471"/>
    </row>
    <row r="13" spans="1:13" ht="23.25" x14ac:dyDescent="0.35">
      <c r="A13" s="471"/>
      <c r="B13" s="472"/>
      <c r="C13" s="475"/>
      <c r="D13" s="475"/>
      <c r="E13" s="475"/>
      <c r="F13" s="475"/>
      <c r="G13" s="475"/>
      <c r="H13" s="475"/>
      <c r="I13" s="474"/>
      <c r="J13" s="471"/>
      <c r="K13" s="471"/>
      <c r="L13" s="471"/>
      <c r="M13" s="471"/>
    </row>
    <row r="14" spans="1:13" x14ac:dyDescent="0.2">
      <c r="A14" s="471"/>
      <c r="B14" s="472"/>
      <c r="C14" s="472"/>
      <c r="D14" s="472"/>
      <c r="E14" s="471"/>
      <c r="F14" s="472"/>
      <c r="G14" s="472"/>
      <c r="H14" s="472"/>
      <c r="I14" s="471"/>
      <c r="J14" s="471"/>
      <c r="K14" s="471"/>
      <c r="L14" s="471"/>
      <c r="M14" s="471"/>
    </row>
    <row r="15" spans="1:13" x14ac:dyDescent="0.2">
      <c r="A15" s="471"/>
      <c r="B15" s="472"/>
      <c r="C15" s="472"/>
      <c r="D15" s="472"/>
      <c r="E15" s="471"/>
      <c r="F15" s="472"/>
      <c r="G15" s="472"/>
      <c r="H15" s="472"/>
      <c r="I15" s="472"/>
      <c r="J15" s="471"/>
      <c r="K15" s="471"/>
      <c r="L15" s="471"/>
      <c r="M15" s="471"/>
    </row>
    <row r="16" spans="1:13" ht="34.5" x14ac:dyDescent="0.45">
      <c r="A16" s="471"/>
      <c r="B16" s="472"/>
      <c r="C16" s="472"/>
      <c r="D16" s="472"/>
      <c r="E16" s="476"/>
      <c r="F16" s="472"/>
      <c r="G16" s="472"/>
      <c r="H16" s="472"/>
      <c r="I16" s="472"/>
      <c r="J16" s="471"/>
      <c r="K16" s="471"/>
      <c r="L16" s="471"/>
      <c r="M16" s="471"/>
    </row>
    <row r="17" spans="1:13" ht="33" x14ac:dyDescent="0.45">
      <c r="A17" s="471"/>
      <c r="B17" s="472"/>
      <c r="C17" s="472"/>
      <c r="D17" s="472"/>
      <c r="E17" s="477"/>
      <c r="F17" s="472"/>
      <c r="G17" s="472"/>
      <c r="H17" s="472"/>
      <c r="I17" s="472"/>
      <c r="J17" s="471"/>
      <c r="K17" s="471"/>
      <c r="L17" s="471"/>
      <c r="M17" s="471"/>
    </row>
    <row r="18" spans="1:13" ht="33" x14ac:dyDescent="0.45">
      <c r="A18" s="471"/>
      <c r="B18" s="471"/>
      <c r="C18" s="471"/>
      <c r="D18" s="477"/>
      <c r="E18" s="471"/>
      <c r="F18" s="471"/>
      <c r="G18" s="471"/>
      <c r="H18" s="471"/>
      <c r="I18" s="471"/>
      <c r="J18" s="471"/>
      <c r="K18" s="471"/>
      <c r="L18" s="471"/>
      <c r="M18" s="471"/>
    </row>
    <row r="19" spans="1:13" ht="18.75" x14ac:dyDescent="0.3">
      <c r="A19" s="471"/>
      <c r="B19" s="471"/>
      <c r="C19" s="471"/>
      <c r="D19" s="471"/>
      <c r="E19" s="478"/>
      <c r="F19" s="471"/>
      <c r="G19" s="471"/>
      <c r="H19" s="471"/>
      <c r="I19" s="479"/>
      <c r="J19" s="471"/>
      <c r="K19" s="471"/>
      <c r="L19" s="471"/>
      <c r="M19" s="471"/>
    </row>
    <row r="20" spans="1:13" x14ac:dyDescent="0.2">
      <c r="A20" s="471"/>
      <c r="B20" s="471"/>
      <c r="C20" s="471"/>
      <c r="D20" s="471"/>
      <c r="E20" s="471"/>
      <c r="F20" s="471"/>
      <c r="G20" s="471"/>
      <c r="H20" s="471"/>
      <c r="I20" s="471"/>
      <c r="J20" s="471"/>
      <c r="K20" s="471"/>
      <c r="L20" s="471"/>
      <c r="M20" s="471"/>
    </row>
    <row r="21" spans="1:13" x14ac:dyDescent="0.2">
      <c r="A21" s="471"/>
      <c r="B21" s="471"/>
      <c r="C21" s="471"/>
      <c r="D21" s="471"/>
      <c r="E21" s="480"/>
      <c r="F21" s="471"/>
      <c r="G21" s="471"/>
      <c r="H21" s="471"/>
      <c r="I21" s="471"/>
      <c r="J21" s="471"/>
      <c r="K21" s="471"/>
      <c r="L21" s="471"/>
      <c r="M21" s="471"/>
    </row>
    <row r="22" spans="1:13" ht="26.25" x14ac:dyDescent="0.4">
      <c r="A22" s="471"/>
      <c r="B22" s="471"/>
      <c r="C22" s="471"/>
      <c r="D22" s="471"/>
      <c r="E22" s="481"/>
      <c r="F22" s="471"/>
      <c r="G22" s="471"/>
      <c r="H22" s="471"/>
      <c r="I22" s="471"/>
      <c r="J22" s="471"/>
      <c r="K22" s="471"/>
      <c r="L22" s="471"/>
      <c r="M22" s="471"/>
    </row>
    <row r="23" spans="1:13" x14ac:dyDescent="0.2">
      <c r="A23" s="471"/>
      <c r="B23" s="471"/>
      <c r="C23" s="471"/>
      <c r="D23" s="471"/>
      <c r="E23" s="471"/>
      <c r="F23" s="471"/>
      <c r="G23" s="471"/>
      <c r="H23" s="471"/>
      <c r="I23" s="471"/>
      <c r="J23" s="471"/>
      <c r="K23" s="471"/>
      <c r="L23" s="471"/>
      <c r="M23" s="471"/>
    </row>
    <row r="24" spans="1:13" x14ac:dyDescent="0.2">
      <c r="A24" s="471"/>
      <c r="B24" s="471"/>
      <c r="C24" s="471"/>
      <c r="D24" s="471"/>
      <c r="E24" s="471"/>
      <c r="F24" s="471"/>
      <c r="G24" s="471"/>
      <c r="H24" s="471"/>
      <c r="I24" s="471"/>
      <c r="J24" s="471"/>
      <c r="K24" s="471"/>
      <c r="L24" s="471"/>
      <c r="M24" s="471"/>
    </row>
    <row r="25" spans="1:13" ht="18.75" x14ac:dyDescent="0.3">
      <c r="A25" s="471"/>
      <c r="B25" s="471"/>
      <c r="C25" s="471"/>
      <c r="D25" s="471"/>
      <c r="E25" s="482"/>
      <c r="F25" s="471"/>
      <c r="G25" s="471"/>
      <c r="H25" s="471"/>
      <c r="I25" s="471"/>
      <c r="J25" s="471"/>
      <c r="K25" s="471"/>
      <c r="L25" s="471"/>
      <c r="M25" s="471"/>
    </row>
    <row r="26" spans="1:13" ht="18.75" x14ac:dyDescent="0.3">
      <c r="A26" s="471"/>
      <c r="B26" s="471"/>
      <c r="C26" s="471"/>
      <c r="D26" s="471"/>
      <c r="E26" s="483"/>
      <c r="F26" s="471"/>
      <c r="G26" s="471"/>
      <c r="H26" s="471"/>
      <c r="I26" s="471"/>
      <c r="J26" s="471"/>
      <c r="K26" s="471"/>
      <c r="L26" s="471"/>
      <c r="M26" s="471"/>
    </row>
    <row r="27" spans="1:13" x14ac:dyDescent="0.2">
      <c r="A27" s="471"/>
      <c r="B27" s="471"/>
      <c r="C27" s="471"/>
      <c r="D27" s="471"/>
      <c r="E27" s="471"/>
      <c r="F27" s="471"/>
      <c r="G27" s="471"/>
      <c r="H27" s="471"/>
      <c r="I27" s="471"/>
      <c r="J27" s="471"/>
      <c r="K27" s="471"/>
      <c r="L27" s="471"/>
      <c r="M27" s="471"/>
    </row>
    <row r="28" spans="1:13" x14ac:dyDescent="0.2">
      <c r="A28" s="471"/>
      <c r="B28" s="471"/>
      <c r="C28" s="471"/>
      <c r="D28" s="475"/>
      <c r="E28" s="475"/>
      <c r="F28" s="475"/>
      <c r="G28" s="475"/>
      <c r="H28" s="475"/>
      <c r="I28" s="471"/>
      <c r="J28" s="471"/>
      <c r="K28" s="471"/>
      <c r="L28" s="471"/>
      <c r="M28" s="471"/>
    </row>
    <row r="29" spans="1:13" x14ac:dyDescent="0.2">
      <c r="A29" s="471"/>
      <c r="B29" s="471"/>
      <c r="C29" s="471"/>
      <c r="D29" s="471"/>
      <c r="E29" s="471"/>
      <c r="F29" s="471"/>
      <c r="G29" s="471"/>
      <c r="H29" s="471"/>
      <c r="I29" s="471"/>
      <c r="J29" s="471"/>
      <c r="K29" s="471"/>
      <c r="L29" s="471"/>
      <c r="M29" s="471"/>
    </row>
    <row r="30" spans="1:13" x14ac:dyDescent="0.2">
      <c r="A30" s="471"/>
      <c r="B30" s="471"/>
      <c r="C30" s="471"/>
      <c r="D30" s="471"/>
      <c r="E30" s="471"/>
      <c r="F30" s="471"/>
      <c r="G30" s="471"/>
      <c r="H30" s="471"/>
      <c r="I30" s="471"/>
      <c r="J30" s="471"/>
      <c r="K30" s="471"/>
      <c r="L30" s="471"/>
      <c r="M30" s="471"/>
    </row>
    <row r="31" spans="1:13" x14ac:dyDescent="0.2">
      <c r="A31" s="471"/>
      <c r="B31" s="471"/>
      <c r="C31" s="471"/>
      <c r="D31" s="471"/>
      <c r="E31" s="471"/>
      <c r="F31" s="471"/>
      <c r="G31" s="471"/>
      <c r="H31" s="471"/>
      <c r="I31" s="471"/>
      <c r="J31" s="471"/>
      <c r="K31" s="471"/>
      <c r="L31" s="471"/>
      <c r="M31" s="471"/>
    </row>
    <row r="32" spans="1:13" x14ac:dyDescent="0.2">
      <c r="A32" s="471"/>
      <c r="B32" s="471"/>
      <c r="C32" s="471"/>
      <c r="D32" s="471"/>
      <c r="E32" s="471"/>
      <c r="F32" s="471"/>
      <c r="G32" s="471"/>
      <c r="H32" s="471"/>
      <c r="I32" s="471"/>
      <c r="J32" s="471"/>
      <c r="K32" s="471"/>
      <c r="L32" s="471"/>
      <c r="M32" s="471"/>
    </row>
    <row r="33" spans="1:13" ht="35.25" x14ac:dyDescent="0.2">
      <c r="A33" s="484"/>
      <c r="B33" s="471"/>
      <c r="C33" s="471"/>
      <c r="D33" s="471"/>
      <c r="E33" s="471"/>
      <c r="F33" s="471"/>
      <c r="G33" s="471"/>
      <c r="H33" s="471"/>
      <c r="I33" s="471"/>
      <c r="J33" s="471"/>
      <c r="K33" s="471"/>
      <c r="L33" s="471"/>
      <c r="M33" s="471"/>
    </row>
    <row r="34" spans="1:13" x14ac:dyDescent="0.2">
      <c r="A34" s="471"/>
      <c r="B34" s="471"/>
      <c r="C34" s="471"/>
      <c r="D34" s="471"/>
      <c r="E34" s="471"/>
      <c r="F34" s="471"/>
      <c r="G34" s="471"/>
      <c r="H34" s="471"/>
      <c r="I34" s="471"/>
      <c r="J34" s="471"/>
      <c r="K34" s="471"/>
      <c r="L34" s="471"/>
      <c r="M34" s="471"/>
    </row>
    <row r="35" spans="1:13" x14ac:dyDescent="0.2">
      <c r="A35" s="471"/>
      <c r="B35" s="471"/>
      <c r="C35" s="471"/>
      <c r="D35" s="471"/>
      <c r="E35" s="471"/>
      <c r="F35" s="471"/>
      <c r="G35" s="471"/>
      <c r="H35" s="471"/>
      <c r="I35" s="471"/>
      <c r="J35" s="471"/>
      <c r="K35" s="471"/>
      <c r="L35" s="471"/>
      <c r="M35" s="471"/>
    </row>
    <row r="36" spans="1:13" ht="33" x14ac:dyDescent="0.2">
      <c r="A36" s="471"/>
      <c r="B36" s="485"/>
      <c r="C36" s="471"/>
      <c r="D36" s="471"/>
      <c r="E36" s="471"/>
      <c r="F36" s="471"/>
      <c r="G36" s="471"/>
      <c r="H36" s="471"/>
      <c r="I36" s="471"/>
      <c r="J36" s="471"/>
      <c r="K36" s="471"/>
      <c r="L36" s="471"/>
      <c r="M36" s="471"/>
    </row>
    <row r="37" spans="1:13" x14ac:dyDescent="0.2">
      <c r="A37" s="471"/>
      <c r="B37" s="471"/>
      <c r="C37" s="471"/>
      <c r="D37" s="471"/>
      <c r="E37" s="471"/>
      <c r="F37" s="471"/>
      <c r="G37" s="471"/>
      <c r="H37" s="471"/>
      <c r="I37" s="471"/>
      <c r="J37" s="471"/>
      <c r="K37" s="471"/>
      <c r="L37" s="471"/>
      <c r="M37" s="471"/>
    </row>
    <row r="38" spans="1:13" x14ac:dyDescent="0.2">
      <c r="A38" s="471"/>
      <c r="B38" s="471"/>
      <c r="C38" s="471"/>
      <c r="D38" s="471"/>
      <c r="E38" s="471"/>
      <c r="F38" s="471"/>
      <c r="G38" s="471"/>
      <c r="H38" s="471"/>
      <c r="I38" s="471"/>
      <c r="J38" s="471"/>
      <c r="K38" s="471"/>
      <c r="L38" s="471"/>
      <c r="M38" s="47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N58"/>
  <sheetViews>
    <sheetView showGridLines="0" tabSelected="1" zoomScale="70" zoomScaleNormal="70" workbookViewId="0"/>
  </sheetViews>
  <sheetFormatPr baseColWidth="10" defaultColWidth="11.42578125" defaultRowHeight="25.5" x14ac:dyDescent="0.35"/>
  <cols>
    <col min="1" max="1" width="11.42578125" style="41"/>
    <col min="2" max="2" width="25" style="41" customWidth="1"/>
    <col min="3" max="3" width="141.7109375" style="41" customWidth="1"/>
    <col min="4" max="16384" width="11.42578125" style="41"/>
  </cols>
  <sheetData>
    <row r="1" spans="1:14" ht="20.100000000000001" customHeight="1" x14ac:dyDescent="0.35">
      <c r="C1" s="42"/>
      <c r="D1" s="43"/>
      <c r="E1" s="43"/>
      <c r="F1" s="43"/>
      <c r="G1" s="43"/>
      <c r="H1" s="43"/>
      <c r="I1" s="43"/>
      <c r="J1" s="43"/>
      <c r="K1" s="43"/>
      <c r="L1" s="43"/>
      <c r="M1" s="43"/>
      <c r="N1" s="43"/>
    </row>
    <row r="2" spans="1:14" ht="20.100000000000001" customHeight="1" x14ac:dyDescent="0.35">
      <c r="C2" s="223" t="s">
        <v>31</v>
      </c>
      <c r="D2" s="43"/>
      <c r="E2" s="43"/>
      <c r="F2" s="43"/>
      <c r="G2" s="43"/>
      <c r="H2" s="43"/>
      <c r="I2" s="43"/>
      <c r="J2" s="43"/>
      <c r="K2" s="43"/>
      <c r="L2" s="43"/>
      <c r="M2" s="43"/>
      <c r="N2" s="43"/>
    </row>
    <row r="3" spans="1:14" ht="20.100000000000001" customHeight="1" x14ac:dyDescent="0.35">
      <c r="C3" s="44"/>
      <c r="D3" s="43"/>
      <c r="E3" s="43"/>
      <c r="F3" s="43"/>
      <c r="G3" s="43"/>
      <c r="H3" s="43"/>
      <c r="I3" s="43"/>
      <c r="J3" s="43"/>
      <c r="K3" s="43"/>
      <c r="L3" s="43"/>
      <c r="M3" s="43"/>
      <c r="N3" s="43"/>
    </row>
    <row r="4" spans="1:14" ht="20.100000000000001" customHeight="1" x14ac:dyDescent="0.35">
      <c r="C4" s="44"/>
      <c r="D4" s="43"/>
      <c r="E4" s="43"/>
      <c r="F4" s="43"/>
      <c r="G4" s="43"/>
      <c r="H4" s="43"/>
      <c r="I4" s="43"/>
      <c r="J4" s="43"/>
      <c r="K4" s="43"/>
      <c r="L4" s="43"/>
      <c r="M4" s="43"/>
      <c r="N4" s="43"/>
    </row>
    <row r="5" spans="1:14" ht="20.100000000000001" customHeight="1" x14ac:dyDescent="0.35">
      <c r="A5" s="44"/>
      <c r="B5" s="44"/>
      <c r="C5" s="44"/>
      <c r="D5" s="43"/>
      <c r="E5" s="43"/>
      <c r="F5" s="43"/>
      <c r="G5" s="43"/>
      <c r="H5" s="43"/>
      <c r="I5" s="43"/>
      <c r="J5" s="43"/>
      <c r="K5" s="43"/>
      <c r="L5" s="43"/>
      <c r="M5" s="43"/>
      <c r="N5" s="43"/>
    </row>
    <row r="6" spans="1:14" ht="20.100000000000001" customHeight="1" x14ac:dyDescent="0.35">
      <c r="A6" s="45" t="s">
        <v>32</v>
      </c>
      <c r="B6" s="45"/>
      <c r="C6" s="44"/>
      <c r="D6" s="43"/>
      <c r="E6" s="43"/>
      <c r="F6" s="43"/>
      <c r="G6" s="43"/>
      <c r="H6" s="43"/>
      <c r="I6" s="43"/>
      <c r="J6" s="43"/>
      <c r="K6" s="43"/>
      <c r="L6" s="43"/>
      <c r="M6" s="43"/>
      <c r="N6" s="43"/>
    </row>
    <row r="7" spans="1:14" ht="20.100000000000001" customHeight="1" x14ac:dyDescent="0.35">
      <c r="A7" s="44"/>
      <c r="B7" s="44" t="s">
        <v>33</v>
      </c>
      <c r="C7" s="44" t="s">
        <v>34</v>
      </c>
      <c r="D7" s="43"/>
      <c r="E7" s="43"/>
      <c r="F7" s="43"/>
      <c r="G7" s="43"/>
      <c r="H7" s="43"/>
      <c r="I7" s="43"/>
      <c r="J7" s="43"/>
      <c r="K7" s="43"/>
      <c r="L7" s="43"/>
      <c r="M7" s="43"/>
      <c r="N7" s="43"/>
    </row>
    <row r="8" spans="1:14" ht="20.100000000000001" customHeight="1" x14ac:dyDescent="0.35">
      <c r="A8" s="44"/>
      <c r="B8" s="44" t="s">
        <v>35</v>
      </c>
      <c r="C8" s="44" t="s">
        <v>36</v>
      </c>
      <c r="D8" s="43"/>
      <c r="E8" s="43"/>
      <c r="F8" s="43"/>
      <c r="G8" s="43"/>
      <c r="H8" s="43"/>
      <c r="I8" s="43"/>
      <c r="J8" s="43"/>
      <c r="K8" s="43"/>
      <c r="L8" s="43"/>
      <c r="M8" s="43"/>
      <c r="N8" s="43"/>
    </row>
    <row r="9" spans="1:14" ht="20.100000000000001" customHeight="1" x14ac:dyDescent="0.35">
      <c r="A9" s="44"/>
      <c r="B9" s="44" t="s">
        <v>37</v>
      </c>
      <c r="C9" s="44" t="s">
        <v>40</v>
      </c>
      <c r="D9" s="43"/>
      <c r="E9" s="43"/>
      <c r="F9" s="43"/>
      <c r="G9" s="43"/>
      <c r="H9" s="43"/>
      <c r="I9" s="43"/>
      <c r="J9" s="43"/>
      <c r="K9" s="43"/>
      <c r="L9" s="43"/>
      <c r="M9" s="43"/>
      <c r="N9" s="43"/>
    </row>
    <row r="10" spans="1:14" ht="20.100000000000001" customHeight="1" x14ac:dyDescent="0.35">
      <c r="A10" s="44"/>
      <c r="B10" s="44" t="s">
        <v>38</v>
      </c>
      <c r="C10" s="44" t="s">
        <v>42</v>
      </c>
      <c r="D10" s="43"/>
      <c r="E10" s="43"/>
      <c r="F10" s="43"/>
      <c r="G10" s="43"/>
      <c r="H10" s="43"/>
      <c r="I10" s="43"/>
      <c r="J10" s="43"/>
      <c r="K10" s="43"/>
      <c r="L10" s="43"/>
      <c r="M10" s="43"/>
      <c r="N10" s="43"/>
    </row>
    <row r="11" spans="1:14" ht="20.100000000000001" customHeight="1" x14ac:dyDescent="0.35">
      <c r="A11" s="44"/>
      <c r="B11" s="44" t="s">
        <v>39</v>
      </c>
      <c r="C11" s="44" t="s">
        <v>43</v>
      </c>
      <c r="D11" s="43"/>
      <c r="E11" s="43"/>
      <c r="F11" s="43"/>
      <c r="G11" s="43"/>
      <c r="H11" s="43"/>
      <c r="I11" s="43"/>
      <c r="J11" s="43"/>
      <c r="K11" s="43"/>
      <c r="L11" s="43"/>
      <c r="M11" s="43"/>
      <c r="N11" s="43"/>
    </row>
    <row r="12" spans="1:14" ht="20.100000000000001" customHeight="1" x14ac:dyDescent="0.35">
      <c r="A12" s="44"/>
      <c r="B12" s="44" t="s">
        <v>41</v>
      </c>
      <c r="C12" s="44" t="s">
        <v>44</v>
      </c>
      <c r="D12" s="43"/>
      <c r="E12" s="43"/>
      <c r="F12" s="43"/>
      <c r="G12" s="43"/>
      <c r="H12" s="43"/>
      <c r="I12" s="43"/>
      <c r="J12" s="43"/>
      <c r="K12" s="43"/>
      <c r="L12" s="43"/>
      <c r="M12" s="43"/>
      <c r="N12" s="43"/>
    </row>
    <row r="13" spans="1:14" ht="18.75" customHeight="1" x14ac:dyDescent="0.35">
      <c r="A13" s="44"/>
      <c r="B13" s="44"/>
      <c r="C13" s="44"/>
      <c r="D13" s="43"/>
      <c r="E13" s="43"/>
      <c r="F13" s="43"/>
      <c r="G13" s="43"/>
      <c r="H13" s="43"/>
      <c r="I13" s="43"/>
      <c r="J13" s="43"/>
      <c r="K13" s="43"/>
      <c r="L13" s="43"/>
      <c r="M13" s="43"/>
      <c r="N13" s="43"/>
    </row>
    <row r="14" spans="1:14" ht="20.100000000000001" customHeight="1" x14ac:dyDescent="0.35">
      <c r="A14" s="222" t="s">
        <v>45</v>
      </c>
      <c r="B14" s="45"/>
      <c r="C14" s="44"/>
      <c r="D14" s="43"/>
      <c r="E14" s="43"/>
      <c r="F14" s="43"/>
      <c r="G14" s="43"/>
      <c r="H14" s="43"/>
      <c r="I14" s="43"/>
      <c r="J14" s="43"/>
      <c r="K14" s="43"/>
      <c r="L14" s="43"/>
      <c r="M14" s="43"/>
      <c r="N14" s="43"/>
    </row>
    <row r="15" spans="1:14" ht="20.100000000000001" customHeight="1" x14ac:dyDescent="0.35">
      <c r="A15" s="44"/>
      <c r="B15" s="44" t="s">
        <v>46</v>
      </c>
      <c r="C15" s="44"/>
      <c r="D15" s="43"/>
      <c r="E15" s="43"/>
      <c r="F15" s="43"/>
      <c r="G15" s="43"/>
      <c r="H15" s="43"/>
      <c r="I15" s="43"/>
      <c r="J15" s="43"/>
      <c r="K15" s="43"/>
      <c r="L15" s="43"/>
      <c r="M15" s="43"/>
      <c r="N15" s="43"/>
    </row>
    <row r="16" spans="1:14" ht="20.100000000000001" customHeight="1" x14ac:dyDescent="0.35">
      <c r="A16" s="44"/>
      <c r="B16" s="45" t="s">
        <v>47</v>
      </c>
      <c r="C16" s="44" t="s">
        <v>48</v>
      </c>
      <c r="D16" s="43"/>
      <c r="E16" s="43"/>
      <c r="F16" s="43"/>
      <c r="G16" s="43"/>
      <c r="H16" s="43"/>
      <c r="I16" s="43"/>
      <c r="J16" s="43"/>
      <c r="K16" s="43"/>
      <c r="L16" s="43"/>
      <c r="M16" s="43"/>
      <c r="N16" s="43"/>
    </row>
    <row r="17" spans="1:14" ht="20.100000000000001" customHeight="1" x14ac:dyDescent="0.35">
      <c r="A17" s="44"/>
      <c r="B17" s="45" t="s">
        <v>49</v>
      </c>
      <c r="C17" s="44" t="s">
        <v>50</v>
      </c>
      <c r="D17" s="43"/>
      <c r="E17" s="43"/>
      <c r="F17" s="43"/>
      <c r="G17" s="43"/>
      <c r="H17" s="43"/>
      <c r="I17" s="43"/>
      <c r="J17" s="43"/>
      <c r="K17" s="43"/>
      <c r="L17" s="43"/>
      <c r="M17" s="43"/>
      <c r="N17" s="43"/>
    </row>
    <row r="18" spans="1:14" ht="20.100000000000001" customHeight="1" x14ac:dyDescent="0.35">
      <c r="A18" s="44"/>
      <c r="B18" s="45" t="s">
        <v>302</v>
      </c>
      <c r="C18" s="44" t="s">
        <v>303</v>
      </c>
      <c r="D18" s="43"/>
      <c r="E18" s="43"/>
      <c r="F18" s="43"/>
      <c r="G18" s="43"/>
      <c r="H18" s="43"/>
      <c r="I18" s="43"/>
      <c r="J18" s="43"/>
      <c r="K18" s="43"/>
      <c r="L18" s="43"/>
      <c r="M18" s="43"/>
      <c r="N18" s="43"/>
    </row>
    <row r="19" spans="1:14" ht="20.100000000000001" customHeight="1" x14ac:dyDescent="0.35">
      <c r="A19" s="44"/>
      <c r="B19" s="44" t="s">
        <v>304</v>
      </c>
      <c r="C19" s="44" t="s">
        <v>243</v>
      </c>
      <c r="D19" s="43"/>
      <c r="E19" s="43"/>
      <c r="F19" s="43"/>
      <c r="G19" s="43"/>
      <c r="H19" s="43"/>
      <c r="I19" s="43"/>
      <c r="J19" s="43"/>
      <c r="K19" s="43"/>
      <c r="L19" s="43"/>
      <c r="M19" s="43"/>
      <c r="N19" s="43"/>
    </row>
    <row r="20" spans="1:14" ht="20.100000000000001" customHeight="1" x14ac:dyDescent="0.35">
      <c r="A20" s="44"/>
      <c r="B20" s="44" t="s">
        <v>306</v>
      </c>
      <c r="C20" s="44" t="s">
        <v>305</v>
      </c>
      <c r="D20" s="43"/>
      <c r="E20" s="43"/>
      <c r="F20" s="43"/>
      <c r="G20" s="43"/>
      <c r="H20" s="43"/>
      <c r="I20" s="43"/>
      <c r="J20" s="43"/>
      <c r="K20" s="43"/>
      <c r="L20" s="43"/>
      <c r="M20" s="43"/>
      <c r="N20" s="43"/>
    </row>
    <row r="21" spans="1:14" ht="20.100000000000001" customHeight="1" x14ac:dyDescent="0.35">
      <c r="A21" s="44"/>
      <c r="B21" s="44"/>
      <c r="C21" s="44"/>
    </row>
    <row r="22" spans="1:14" ht="18.75" customHeight="1" x14ac:dyDescent="0.35">
      <c r="A22" s="44"/>
      <c r="B22" s="44" t="s">
        <v>227</v>
      </c>
      <c r="C22" s="44"/>
    </row>
    <row r="23" spans="1:14" ht="20.100000000000001" customHeight="1" x14ac:dyDescent="0.35">
      <c r="A23" s="44"/>
      <c r="B23" s="285" t="s">
        <v>228</v>
      </c>
      <c r="C23" s="44" t="s">
        <v>229</v>
      </c>
    </row>
    <row r="24" spans="1:14" ht="20.100000000000001" hidden="1" customHeight="1" x14ac:dyDescent="0.35">
      <c r="A24" s="44"/>
      <c r="B24" s="285" t="s">
        <v>230</v>
      </c>
      <c r="C24" s="44" t="s">
        <v>231</v>
      </c>
    </row>
    <row r="25" spans="1:14" ht="20.100000000000001" hidden="1" customHeight="1" x14ac:dyDescent="0.35">
      <c r="A25" s="44"/>
      <c r="B25" s="285" t="s">
        <v>232</v>
      </c>
      <c r="C25" s="44" t="s">
        <v>233</v>
      </c>
    </row>
    <row r="26" spans="1:14" ht="20.100000000000001" hidden="1" customHeight="1" x14ac:dyDescent="0.35">
      <c r="A26" s="44"/>
      <c r="B26" s="285" t="s">
        <v>234</v>
      </c>
      <c r="C26" s="44" t="s">
        <v>235</v>
      </c>
    </row>
    <row r="27" spans="1:14" ht="20.100000000000001" customHeight="1" x14ac:dyDescent="0.35">
      <c r="A27" s="44"/>
      <c r="B27" s="285" t="s">
        <v>155</v>
      </c>
      <c r="C27" s="44" t="s">
        <v>236</v>
      </c>
    </row>
    <row r="28" spans="1:14" ht="20.100000000000001" hidden="1" customHeight="1" x14ac:dyDescent="0.35">
      <c r="A28" s="44"/>
      <c r="B28" s="282" t="s">
        <v>237</v>
      </c>
      <c r="C28" s="221" t="s">
        <v>238</v>
      </c>
    </row>
    <row r="29" spans="1:14" ht="20.100000000000001" hidden="1" customHeight="1" x14ac:dyDescent="0.35">
      <c r="A29" s="44"/>
      <c r="B29" s="282" t="s">
        <v>239</v>
      </c>
      <c r="C29" s="221" t="s">
        <v>240</v>
      </c>
    </row>
    <row r="30" spans="1:14" ht="18.75" customHeight="1" x14ac:dyDescent="0.35">
      <c r="A30" s="44"/>
      <c r="B30" s="285" t="s">
        <v>241</v>
      </c>
      <c r="C30" s="44" t="s">
        <v>242</v>
      </c>
    </row>
    <row r="31" spans="1:14" ht="18.75" customHeight="1" x14ac:dyDescent="0.35">
      <c r="A31" s="44"/>
      <c r="B31" s="285"/>
      <c r="C31" s="44"/>
    </row>
    <row r="32" spans="1:14" ht="20.100000000000001" customHeight="1" x14ac:dyDescent="0.35">
      <c r="A32" s="44"/>
      <c r="B32" s="44"/>
      <c r="C32" s="44"/>
    </row>
    <row r="33" spans="1:4" x14ac:dyDescent="0.35">
      <c r="A33" s="45" t="s">
        <v>51</v>
      </c>
      <c r="B33" s="44"/>
      <c r="C33" s="44"/>
    </row>
    <row r="34" spans="1:4" ht="26.25" hidden="1" customHeight="1" x14ac:dyDescent="0.4">
      <c r="C34" s="46"/>
    </row>
    <row r="35" spans="1:4" ht="26.25" hidden="1" customHeight="1" x14ac:dyDescent="0.4">
      <c r="C35" s="46"/>
    </row>
    <row r="36" spans="1:4" ht="18.75" customHeight="1" x14ac:dyDescent="0.4">
      <c r="C36" s="283"/>
      <c r="D36" s="284"/>
    </row>
    <row r="37" spans="1:4" ht="26.25" x14ac:dyDescent="0.4">
      <c r="C37" s="46"/>
    </row>
    <row r="38" spans="1:4" ht="26.25" x14ac:dyDescent="0.4">
      <c r="C38" s="46"/>
    </row>
    <row r="39" spans="1:4" ht="26.25" x14ac:dyDescent="0.4">
      <c r="C39" s="283"/>
    </row>
    <row r="40" spans="1:4" ht="26.25" x14ac:dyDescent="0.4">
      <c r="C40" s="46"/>
    </row>
    <row r="41" spans="1:4" ht="26.25" x14ac:dyDescent="0.4">
      <c r="C41" s="46"/>
    </row>
    <row r="42" spans="1:4" ht="26.25" x14ac:dyDescent="0.4">
      <c r="C42" s="46"/>
    </row>
    <row r="43" spans="1:4" ht="26.25" x14ac:dyDescent="0.4">
      <c r="C43" s="46"/>
    </row>
    <row r="44" spans="1:4" ht="26.25" x14ac:dyDescent="0.4">
      <c r="C44" s="46"/>
    </row>
    <row r="45" spans="1:4" ht="26.25" x14ac:dyDescent="0.4">
      <c r="C45" s="46"/>
    </row>
    <row r="46" spans="1:4" ht="26.25" x14ac:dyDescent="0.4">
      <c r="C46" s="46"/>
    </row>
    <row r="47" spans="1:4" ht="26.25" x14ac:dyDescent="0.4">
      <c r="C47" s="46"/>
    </row>
    <row r="48" spans="1:4" ht="26.25" x14ac:dyDescent="0.4">
      <c r="C48" s="46"/>
    </row>
    <row r="49" spans="3:3" ht="26.25" x14ac:dyDescent="0.4">
      <c r="C49" s="46"/>
    </row>
    <row r="50" spans="3:3" ht="26.25" x14ac:dyDescent="0.4">
      <c r="C50" s="46"/>
    </row>
    <row r="51" spans="3:3" ht="26.25" x14ac:dyDescent="0.4">
      <c r="C51" s="46"/>
    </row>
    <row r="52" spans="3:3" ht="26.25" x14ac:dyDescent="0.4">
      <c r="C52" s="46"/>
    </row>
    <row r="53" spans="3:3" ht="26.25" x14ac:dyDescent="0.4">
      <c r="C53" s="46"/>
    </row>
    <row r="54" spans="3:3" ht="26.25" x14ac:dyDescent="0.4">
      <c r="C54" s="46"/>
    </row>
    <row r="55" spans="3:3" ht="26.25" x14ac:dyDescent="0.4">
      <c r="C55" s="46"/>
    </row>
    <row r="56" spans="3:3" ht="26.25" x14ac:dyDescent="0.4">
      <c r="C56" s="46"/>
    </row>
    <row r="57" spans="3:3" ht="26.25" x14ac:dyDescent="0.4">
      <c r="C57" s="46"/>
    </row>
    <row r="58" spans="3:3" ht="26.25" x14ac:dyDescent="0.4">
      <c r="C58" s="46"/>
    </row>
  </sheetData>
  <hyperlinks>
    <hyperlink ref="A6" location="Figurer!A1" display="FIGURER" xr:uid="{00000000-0004-0000-0100-000000000000}"/>
    <hyperlink ref="A14" location="'Tabel 1.1'!A1" display="TABELLER" xr:uid="{00000000-0004-0000-0100-000001000000}"/>
    <hyperlink ref="B16" location="'Tabell 1.1'!A1" display="Tabell 1.1" xr:uid="{00000000-0004-0000-0100-000002000000}"/>
    <hyperlink ref="B17" location="'Tabell 1.2'!A1" display="Tabell 1.2" xr:uid="{00000000-0004-0000-0100-000003000000}"/>
    <hyperlink ref="A33" location="'Noter og kommentarer'!A1" display="NOTER OG KOMMENTARER" xr:uid="{00000000-0004-0000-0100-000004000000}"/>
    <hyperlink ref="B23" location="'Tabell 4'!A1" display="Tabell 4" xr:uid="{00000000-0004-0000-0100-000005000000}"/>
    <hyperlink ref="B27" location="'Tabell 6'!A1" display="Tabell 6" xr:uid="{00000000-0004-0000-0100-000006000000}"/>
    <hyperlink ref="B30" location="'Tabell 8'!A1" display="Tabell 8" xr:uid="{00000000-0004-0000-0100-000007000000}"/>
    <hyperlink ref="B24" location="'Tabell 5.1'!A1" display="Tabell 5.1" xr:uid="{00000000-0004-0000-0100-000008000000}"/>
    <hyperlink ref="B25" location="'Tabell 5.2'!A1" display="Tabell 5.2" xr:uid="{00000000-0004-0000-0100-000009000000}"/>
    <hyperlink ref="B26" location="'Tabell 5.3'!A1" display="Tabell 5.3" xr:uid="{00000000-0004-0000-0100-00000A000000}"/>
    <hyperlink ref="B28" location="'Tabell 7a'!A1" display="Tabell 7a" xr:uid="{00000000-0004-0000-0100-00000B000000}"/>
    <hyperlink ref="B29" location="'Tabell 7b'!A1" display="Tabell 7b" xr:uid="{00000000-0004-0000-0100-00000C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Q176"/>
  <sheetViews>
    <sheetView showGridLines="0" showZeros="0" zoomScale="90" zoomScaleNormal="90" workbookViewId="0">
      <selection activeCell="M102" sqref="M102"/>
    </sheetView>
  </sheetViews>
  <sheetFormatPr baseColWidth="10" defaultColWidth="11.42578125" defaultRowHeight="18.75" x14ac:dyDescent="0.3"/>
  <cols>
    <col min="10" max="11" width="16.7109375" customWidth="1"/>
    <col min="12" max="12" width="24.42578125" style="48" customWidth="1"/>
    <col min="13" max="14" width="15.7109375" style="48" bestFit="1" customWidth="1"/>
    <col min="15" max="15" width="22.7109375" customWidth="1"/>
    <col min="16" max="16" width="13.42578125" customWidth="1"/>
    <col min="17" max="17" width="13.7109375" customWidth="1"/>
  </cols>
  <sheetData>
    <row r="1" spans="1:15" x14ac:dyDescent="0.3">
      <c r="A1" s="47" t="s">
        <v>52</v>
      </c>
    </row>
    <row r="2" spans="1:15" x14ac:dyDescent="0.3">
      <c r="A2" s="49"/>
      <c r="B2" s="48"/>
      <c r="C2" s="48"/>
      <c r="D2" s="48"/>
      <c r="E2" s="48"/>
      <c r="F2" s="48"/>
      <c r="G2" s="48"/>
      <c r="H2" s="48"/>
      <c r="I2" s="48"/>
      <c r="J2" s="48"/>
      <c r="K2" s="48"/>
      <c r="O2" s="48"/>
    </row>
    <row r="3" spans="1:15" x14ac:dyDescent="0.3">
      <c r="A3" s="49" t="s">
        <v>32</v>
      </c>
      <c r="B3" s="48"/>
      <c r="C3" s="48"/>
      <c r="D3" s="48"/>
      <c r="E3" s="48"/>
      <c r="F3" s="48"/>
      <c r="G3" s="48"/>
      <c r="H3" s="48"/>
      <c r="I3" s="48"/>
      <c r="J3" s="48"/>
      <c r="K3" s="48"/>
      <c r="O3" s="48"/>
    </row>
    <row r="4" spans="1:15" x14ac:dyDescent="0.3">
      <c r="A4" s="48"/>
      <c r="B4" s="48"/>
      <c r="C4" s="48"/>
      <c r="D4" s="48"/>
      <c r="E4" s="48"/>
      <c r="F4" s="48"/>
      <c r="G4" s="48"/>
      <c r="H4" s="48"/>
      <c r="I4" s="48"/>
      <c r="J4" s="48"/>
      <c r="K4" s="48"/>
      <c r="L4" s="50"/>
      <c r="O4" s="48"/>
    </row>
    <row r="5" spans="1:15" x14ac:dyDescent="0.3">
      <c r="A5" s="49" t="s">
        <v>375</v>
      </c>
      <c r="B5" s="48"/>
      <c r="C5" s="48"/>
      <c r="D5" s="48"/>
      <c r="E5" s="48"/>
      <c r="F5" s="48"/>
      <c r="G5" s="48"/>
      <c r="H5" s="48"/>
      <c r="I5" s="48"/>
      <c r="J5" s="48"/>
      <c r="K5" s="48"/>
      <c r="L5" s="48" t="s">
        <v>53</v>
      </c>
      <c r="O5" s="48"/>
    </row>
    <row r="6" spans="1:15" x14ac:dyDescent="0.3">
      <c r="A6" s="48"/>
      <c r="B6" s="48"/>
      <c r="C6" s="48"/>
      <c r="D6" s="48"/>
      <c r="E6" s="48"/>
      <c r="F6" s="48"/>
      <c r="G6" s="48"/>
      <c r="H6" s="48"/>
      <c r="I6" s="48"/>
      <c r="J6" s="48"/>
      <c r="K6" s="48"/>
      <c r="L6" s="48" t="s">
        <v>0</v>
      </c>
      <c r="O6" s="48"/>
    </row>
    <row r="7" spans="1:15" x14ac:dyDescent="0.3">
      <c r="A7" s="48"/>
      <c r="B7" s="48"/>
      <c r="C7" s="48"/>
      <c r="D7" s="48"/>
      <c r="E7" s="48"/>
      <c r="F7" s="48"/>
      <c r="G7" s="48"/>
      <c r="H7" s="48"/>
      <c r="I7" s="48"/>
      <c r="J7" s="48"/>
      <c r="K7" s="48"/>
      <c r="M7" s="48">
        <v>2024</v>
      </c>
      <c r="N7" s="48">
        <v>2025</v>
      </c>
      <c r="O7" s="48"/>
    </row>
    <row r="8" spans="1:15" x14ac:dyDescent="0.3">
      <c r="A8" s="48"/>
      <c r="B8" s="48"/>
      <c r="C8" s="48"/>
      <c r="D8" s="48"/>
      <c r="E8" s="48"/>
      <c r="F8" s="48"/>
      <c r="G8" s="48"/>
      <c r="H8" s="48"/>
      <c r="I8" s="48"/>
      <c r="J8" s="48"/>
      <c r="K8" s="48"/>
      <c r="L8" s="48" t="s">
        <v>54</v>
      </c>
      <c r="M8" s="51">
        <f>'Tabel 1.1'!B9</f>
        <v>2002337</v>
      </c>
      <c r="N8" s="51">
        <f>'Tabel 1.1'!C9</f>
        <v>2067563.5751900002</v>
      </c>
      <c r="O8" s="48"/>
    </row>
    <row r="9" spans="1:15" x14ac:dyDescent="0.3">
      <c r="A9" s="48"/>
      <c r="B9" s="48"/>
      <c r="C9" s="48"/>
      <c r="D9" s="48"/>
      <c r="E9" s="48"/>
      <c r="F9" s="48"/>
      <c r="G9" s="48"/>
      <c r="H9" s="48"/>
      <c r="I9" s="48"/>
      <c r="J9" s="48"/>
      <c r="K9" s="48"/>
      <c r="L9" s="48" t="s">
        <v>55</v>
      </c>
      <c r="M9" s="51">
        <f>'Tabel 1.1'!B10</f>
        <v>354498</v>
      </c>
      <c r="N9" s="51">
        <f>'Tabel 1.1'!C10</f>
        <v>0</v>
      </c>
      <c r="O9" s="48"/>
    </row>
    <row r="10" spans="1:15" x14ac:dyDescent="0.3">
      <c r="A10" s="48"/>
      <c r="B10" s="48"/>
      <c r="C10" s="48"/>
      <c r="D10" s="48"/>
      <c r="E10" s="48"/>
      <c r="F10" s="48"/>
      <c r="G10" s="48"/>
      <c r="H10" s="48"/>
      <c r="I10" s="48"/>
      <c r="J10" s="48"/>
      <c r="K10" s="48"/>
      <c r="L10" s="48" t="s">
        <v>367</v>
      </c>
      <c r="M10" s="51">
        <f>'Tabel 1.1'!B11</f>
        <v>70533</v>
      </c>
      <c r="N10" s="51">
        <f>'Tabel 1.1'!C11</f>
        <v>98235</v>
      </c>
      <c r="O10" s="48"/>
    </row>
    <row r="11" spans="1:15" x14ac:dyDescent="0.3">
      <c r="A11" s="48"/>
      <c r="B11" s="48"/>
      <c r="C11" s="48"/>
      <c r="D11" s="48"/>
      <c r="E11" s="48"/>
      <c r="F11" s="48"/>
      <c r="G11" s="48"/>
      <c r="H11" s="48"/>
      <c r="I11" s="48"/>
      <c r="J11" s="48"/>
      <c r="K11" s="48"/>
      <c r="L11" s="48" t="s">
        <v>355</v>
      </c>
      <c r="M11" s="51">
        <f>'Tabel 1.1'!B12</f>
        <v>1904465.84512</v>
      </c>
      <c r="N11" s="51">
        <f>'Tabel 1.1'!C12</f>
        <v>2390090.1963299997</v>
      </c>
      <c r="O11" s="48"/>
    </row>
    <row r="12" spans="1:15" x14ac:dyDescent="0.3">
      <c r="A12" s="48"/>
      <c r="B12" s="48"/>
      <c r="C12" s="48"/>
      <c r="D12" s="48"/>
      <c r="E12" s="48"/>
      <c r="F12" s="48"/>
      <c r="G12" s="48"/>
      <c r="H12" s="48"/>
      <c r="I12" s="48"/>
      <c r="J12" s="48"/>
      <c r="K12" s="48"/>
      <c r="L12" s="48" t="s">
        <v>56</v>
      </c>
      <c r="M12" s="51">
        <f>'Tabel 1.1'!B13</f>
        <v>629116</v>
      </c>
      <c r="N12" s="51">
        <f>'Tabel 1.1'!C13</f>
        <v>713852</v>
      </c>
      <c r="O12" s="48"/>
    </row>
    <row r="13" spans="1:15" x14ac:dyDescent="0.3">
      <c r="A13" s="48"/>
      <c r="B13" s="48"/>
      <c r="C13" s="48"/>
      <c r="D13" s="48"/>
      <c r="E13" s="48"/>
      <c r="F13" s="48"/>
      <c r="G13" s="48"/>
      <c r="H13" s="48"/>
      <c r="I13" s="48"/>
      <c r="J13" s="48"/>
      <c r="K13" s="48"/>
      <c r="L13" s="48" t="s">
        <v>57</v>
      </c>
      <c r="M13" s="51">
        <f>'Tabel 1.1'!B14</f>
        <v>4207.2179999999998</v>
      </c>
      <c r="N13" s="51">
        <f>'Tabel 1.1'!C14</f>
        <v>285.51499999999999</v>
      </c>
      <c r="O13" s="48"/>
    </row>
    <row r="14" spans="1:15" x14ac:dyDescent="0.3">
      <c r="A14" s="48"/>
      <c r="B14" s="48"/>
      <c r="C14" s="48"/>
      <c r="D14" s="48"/>
      <c r="E14" s="48"/>
      <c r="F14" s="48"/>
      <c r="G14" s="48"/>
      <c r="H14" s="48"/>
      <c r="I14" s="48"/>
      <c r="J14" s="48"/>
      <c r="K14" s="48"/>
      <c r="L14" s="48" t="s">
        <v>58</v>
      </c>
      <c r="M14" s="51">
        <f>'Tabel 1.1'!B15</f>
        <v>1777605.365</v>
      </c>
      <c r="N14" s="51">
        <f>'Tabel 1.1'!C15</f>
        <v>1866326.6609999998</v>
      </c>
      <c r="O14" s="48"/>
    </row>
    <row r="15" spans="1:15" x14ac:dyDescent="0.3">
      <c r="A15" s="48"/>
      <c r="B15" s="48"/>
      <c r="C15" s="48"/>
      <c r="D15" s="48"/>
      <c r="E15" s="48"/>
      <c r="F15" s="48"/>
      <c r="G15" s="48"/>
      <c r="H15" s="48"/>
      <c r="I15" s="48"/>
      <c r="J15" s="48"/>
      <c r="K15" s="48"/>
      <c r="L15" s="48" t="s">
        <v>59</v>
      </c>
      <c r="M15" s="51">
        <f>'Tabel 1.1'!B16</f>
        <v>555519</v>
      </c>
      <c r="N15" s="51">
        <f>'Tabel 1.1'!C16</f>
        <v>641764</v>
      </c>
      <c r="O15" s="48"/>
    </row>
    <row r="16" spans="1:15" x14ac:dyDescent="0.3">
      <c r="A16" s="48"/>
      <c r="B16" s="48"/>
      <c r="C16" s="48"/>
      <c r="D16" s="48"/>
      <c r="E16" s="48"/>
      <c r="F16" s="48"/>
      <c r="G16" s="48"/>
      <c r="H16" s="48"/>
      <c r="I16" s="48"/>
      <c r="J16" s="48"/>
      <c r="K16" s="48"/>
      <c r="L16" s="48" t="s">
        <v>60</v>
      </c>
      <c r="M16" s="51">
        <f>'Tabel 1.1'!B17</f>
        <v>430213.39947497001</v>
      </c>
      <c r="N16" s="51">
        <f>'Tabel 1.1'!C17</f>
        <v>391618.657460585</v>
      </c>
      <c r="O16" s="48"/>
    </row>
    <row r="17" spans="1:15" x14ac:dyDescent="0.3">
      <c r="A17" s="48"/>
      <c r="B17" s="48"/>
      <c r="C17" s="48"/>
      <c r="D17" s="48"/>
      <c r="E17" s="48"/>
      <c r="F17" s="48"/>
      <c r="G17" s="48"/>
      <c r="H17" s="48"/>
      <c r="I17" s="48"/>
      <c r="J17" s="48"/>
      <c r="K17" s="48"/>
      <c r="L17" s="48" t="s">
        <v>61</v>
      </c>
      <c r="M17" s="51">
        <f>'Tabel 1.1'!B18</f>
        <v>37126670.17317</v>
      </c>
      <c r="N17" s="51">
        <f>'Tabel 1.1'!C18</f>
        <v>42529293.928260006</v>
      </c>
      <c r="O17" s="48"/>
    </row>
    <row r="18" spans="1:15" x14ac:dyDescent="0.3">
      <c r="A18" s="48"/>
      <c r="B18" s="48"/>
      <c r="C18" s="48"/>
      <c r="D18" s="48"/>
      <c r="E18" s="48"/>
      <c r="F18" s="48"/>
      <c r="G18" s="48"/>
      <c r="H18" s="48"/>
      <c r="I18" s="48"/>
      <c r="J18" s="48"/>
      <c r="K18" s="48"/>
      <c r="L18" s="48" t="s">
        <v>62</v>
      </c>
      <c r="M18" s="51">
        <f>'Tabel 1.1'!B19</f>
        <v>323278.35000000003</v>
      </c>
      <c r="N18" s="51">
        <f>'Tabel 1.1'!C19</f>
        <v>357541.45800000004</v>
      </c>
      <c r="O18" s="48"/>
    </row>
    <row r="19" spans="1:15" x14ac:dyDescent="0.3">
      <c r="A19" s="48"/>
      <c r="B19" s="48"/>
      <c r="C19" s="48"/>
      <c r="D19" s="48"/>
      <c r="E19" s="48"/>
      <c r="F19" s="48"/>
      <c r="G19" s="48"/>
      <c r="H19" s="48"/>
      <c r="I19" s="48"/>
      <c r="J19" s="48"/>
      <c r="K19" s="48"/>
      <c r="L19" s="48" t="s">
        <v>356</v>
      </c>
      <c r="M19" s="51">
        <f>'Tabel 1.1'!B20</f>
        <v>30587</v>
      </c>
      <c r="N19" s="51">
        <f>'Tabel 1.1'!C20</f>
        <v>92029</v>
      </c>
      <c r="O19" s="48"/>
    </row>
    <row r="20" spans="1:15" x14ac:dyDescent="0.3">
      <c r="A20" s="48"/>
      <c r="B20" s="48"/>
      <c r="C20" s="48"/>
      <c r="D20" s="48"/>
      <c r="E20" s="48"/>
      <c r="F20" s="48"/>
      <c r="G20" s="48"/>
      <c r="H20" s="48"/>
      <c r="I20" s="48"/>
      <c r="J20" s="48"/>
      <c r="K20" s="48"/>
      <c r="L20" s="48" t="s">
        <v>371</v>
      </c>
      <c r="M20" s="51">
        <f>'Tabel 1.1'!B21</f>
        <v>21876</v>
      </c>
      <c r="N20" s="51">
        <f>'Tabel 1.1'!C21</f>
        <v>23419.9</v>
      </c>
      <c r="O20" s="48"/>
    </row>
    <row r="21" spans="1:15" x14ac:dyDescent="0.3">
      <c r="A21" s="48"/>
      <c r="B21" s="48"/>
      <c r="C21" s="48"/>
      <c r="D21" s="48"/>
      <c r="E21" s="48"/>
      <c r="F21" s="48"/>
      <c r="G21" s="48"/>
      <c r="H21" s="48"/>
      <c r="I21" s="48"/>
      <c r="J21" s="48"/>
      <c r="K21" s="48"/>
      <c r="L21" s="48" t="s">
        <v>63</v>
      </c>
      <c r="M21" s="51">
        <f>'Tabel 1.1'!B22</f>
        <v>1101856.443037055</v>
      </c>
      <c r="N21" s="51">
        <f>'Tabel 1.1'!C22</f>
        <v>1173037.9469572529</v>
      </c>
      <c r="O21" s="48"/>
    </row>
    <row r="22" spans="1:15" x14ac:dyDescent="0.3">
      <c r="A22" s="48"/>
      <c r="B22" s="48"/>
      <c r="C22" s="48"/>
      <c r="D22" s="48"/>
      <c r="E22" s="48"/>
      <c r="F22" s="48"/>
      <c r="G22" s="48"/>
      <c r="H22" s="48"/>
      <c r="I22" s="48"/>
      <c r="J22" s="48"/>
      <c r="K22" s="48"/>
      <c r="L22" s="48" t="s">
        <v>406</v>
      </c>
      <c r="M22" s="51">
        <f>'Tabel 1.1'!B23</f>
        <v>16932</v>
      </c>
      <c r="N22" s="51">
        <f>'Tabel 1.1'!C23</f>
        <v>18037</v>
      </c>
      <c r="O22" s="48"/>
    </row>
    <row r="23" spans="1:15" x14ac:dyDescent="0.3">
      <c r="A23" s="48"/>
      <c r="B23" s="48"/>
      <c r="C23" s="48"/>
      <c r="D23" s="48"/>
      <c r="E23" s="48"/>
      <c r="F23" s="48"/>
      <c r="G23" s="48"/>
      <c r="H23" s="48"/>
      <c r="I23" s="48"/>
      <c r="J23" s="48"/>
      <c r="K23" s="48"/>
      <c r="L23" s="48" t="s">
        <v>64</v>
      </c>
      <c r="M23" s="51">
        <f>'Tabel 1.1'!B24</f>
        <v>1975000</v>
      </c>
      <c r="N23" s="51">
        <f>'Tabel 1.1'!C24</f>
        <v>1994000</v>
      </c>
      <c r="O23" s="48"/>
    </row>
    <row r="24" spans="1:15" x14ac:dyDescent="0.3">
      <c r="A24" s="48"/>
      <c r="B24" s="48"/>
      <c r="C24" s="48"/>
      <c r="D24" s="48"/>
      <c r="E24" s="48"/>
      <c r="F24" s="48"/>
      <c r="G24" s="48"/>
      <c r="H24" s="48"/>
      <c r="I24" s="48"/>
      <c r="J24" s="48"/>
      <c r="K24" s="48"/>
      <c r="L24" s="48" t="s">
        <v>352</v>
      </c>
      <c r="M24" s="51">
        <f>'Tabel 1.1'!B25</f>
        <v>369670</v>
      </c>
      <c r="N24" s="51">
        <f>'Tabel 1.1'!C25</f>
        <v>390469</v>
      </c>
      <c r="O24" s="48"/>
    </row>
    <row r="25" spans="1:15" x14ac:dyDescent="0.3">
      <c r="A25" s="48"/>
      <c r="B25" s="48"/>
      <c r="C25" s="48"/>
      <c r="D25" s="48"/>
      <c r="E25" s="48"/>
      <c r="F25" s="48"/>
      <c r="G25" s="48"/>
      <c r="H25" s="48"/>
      <c r="I25" s="48"/>
      <c r="J25" s="48"/>
      <c r="K25" s="48"/>
      <c r="L25" s="48" t="s">
        <v>370</v>
      </c>
      <c r="M25" s="51">
        <f>'Tabel 1.1'!B26</f>
        <v>483891.55215999996</v>
      </c>
      <c r="N25" s="51">
        <f>'Tabel 1.1'!C26</f>
        <v>524920.77477999998</v>
      </c>
      <c r="O25" s="48"/>
    </row>
    <row r="26" spans="1:15" x14ac:dyDescent="0.3">
      <c r="A26" s="48"/>
      <c r="B26" s="48"/>
      <c r="C26" s="48"/>
      <c r="D26" s="48"/>
      <c r="E26" s="48"/>
      <c r="F26" s="48"/>
      <c r="G26" s="48"/>
      <c r="H26" s="48"/>
      <c r="I26" s="48"/>
      <c r="J26" s="48"/>
      <c r="K26" s="48"/>
      <c r="L26" s="48" t="s">
        <v>387</v>
      </c>
      <c r="M26" s="51">
        <f>'Tabel 1.1'!B27</f>
        <v>4493232.5606899997</v>
      </c>
      <c r="N26" s="51">
        <f>'Tabel 1.1'!C27</f>
        <v>5196540.0594699997</v>
      </c>
      <c r="O26" s="48"/>
    </row>
    <row r="27" spans="1:15" x14ac:dyDescent="0.3">
      <c r="A27" s="48"/>
      <c r="B27" s="48"/>
      <c r="C27" s="48"/>
      <c r="D27" s="48"/>
      <c r="E27" s="48"/>
      <c r="F27" s="48"/>
      <c r="G27" s="48"/>
      <c r="H27" s="48"/>
      <c r="I27" s="48"/>
      <c r="J27" s="48"/>
      <c r="K27" s="48"/>
      <c r="L27" s="48" t="s">
        <v>66</v>
      </c>
      <c r="M27" s="51">
        <f>'Tabel 1.1'!B28</f>
        <v>4814</v>
      </c>
      <c r="N27" s="51">
        <f>'Tabel 1.1'!C28</f>
        <v>3807</v>
      </c>
      <c r="O27" s="48"/>
    </row>
    <row r="28" spans="1:15" x14ac:dyDescent="0.3">
      <c r="A28" s="48"/>
      <c r="B28" s="48"/>
      <c r="C28" s="48"/>
      <c r="D28" s="48"/>
      <c r="E28" s="48"/>
      <c r="F28" s="48"/>
      <c r="G28" s="48"/>
      <c r="H28" s="48"/>
      <c r="I28" s="48"/>
      <c r="J28" s="48"/>
      <c r="K28" s="48"/>
      <c r="L28" s="48" t="s">
        <v>67</v>
      </c>
      <c r="M28" s="51">
        <f>'Tabel 1.1'!B29</f>
        <v>805943</v>
      </c>
      <c r="N28" s="51">
        <f>'Tabel 1.1'!C29</f>
        <v>821900.22899999993</v>
      </c>
    </row>
    <row r="29" spans="1:15" x14ac:dyDescent="0.3">
      <c r="A29" s="48"/>
      <c r="B29" s="48"/>
      <c r="C29" s="48"/>
      <c r="D29" s="48"/>
      <c r="E29" s="48"/>
      <c r="F29" s="48"/>
      <c r="G29" s="48"/>
      <c r="H29" s="48"/>
      <c r="I29" s="48"/>
      <c r="J29" s="48"/>
      <c r="K29" s="48"/>
      <c r="L29" s="48" t="s">
        <v>362</v>
      </c>
      <c r="M29" s="51">
        <f>'Tabel 1.1'!B30</f>
        <v>1769.49</v>
      </c>
      <c r="N29" s="51">
        <f>'Tabel 1.1'!C30</f>
        <v>1647</v>
      </c>
    </row>
    <row r="30" spans="1:15" x14ac:dyDescent="0.3">
      <c r="A30" s="48"/>
      <c r="B30" s="48"/>
      <c r="C30" s="48"/>
      <c r="D30" s="48"/>
      <c r="E30" s="48"/>
      <c r="F30" s="48"/>
      <c r="G30" s="48"/>
      <c r="H30" s="48"/>
      <c r="I30" s="48"/>
      <c r="J30" s="48"/>
      <c r="K30" s="48"/>
      <c r="L30" s="48" t="s">
        <v>374</v>
      </c>
      <c r="M30" s="51">
        <f>'Tabel 1.1'!B31</f>
        <v>42013</v>
      </c>
      <c r="N30" s="51">
        <f>'Tabel 1.1'!C31</f>
        <v>64210</v>
      </c>
    </row>
    <row r="31" spans="1:15" x14ac:dyDescent="0.3">
      <c r="A31" s="49" t="s">
        <v>376</v>
      </c>
      <c r="B31" s="48"/>
      <c r="C31" s="48"/>
      <c r="D31" s="48"/>
      <c r="E31" s="48"/>
      <c r="F31" s="48"/>
      <c r="G31" s="48"/>
      <c r="H31" s="48"/>
      <c r="I31" s="48"/>
      <c r="J31" s="48"/>
      <c r="K31" s="48"/>
    </row>
    <row r="32" spans="1:15" x14ac:dyDescent="0.3">
      <c r="B32" s="48"/>
      <c r="C32" s="48"/>
      <c r="D32" s="48"/>
      <c r="E32" s="48"/>
      <c r="F32" s="48"/>
      <c r="G32" s="48"/>
      <c r="H32" s="48"/>
      <c r="I32" s="48"/>
      <c r="J32" s="48"/>
      <c r="K32" s="48"/>
      <c r="L32" s="48" t="s">
        <v>53</v>
      </c>
    </row>
    <row r="33" spans="1:15" x14ac:dyDescent="0.3">
      <c r="B33" s="48"/>
      <c r="C33" s="48"/>
      <c r="D33" s="48"/>
      <c r="E33" s="48"/>
      <c r="F33" s="48"/>
      <c r="G33" s="48"/>
      <c r="H33" s="48"/>
      <c r="I33" s="48"/>
      <c r="J33" s="48"/>
      <c r="K33" s="48"/>
      <c r="L33" s="48" t="s">
        <v>1</v>
      </c>
    </row>
    <row r="34" spans="1:15" x14ac:dyDescent="0.3">
      <c r="A34" s="48"/>
      <c r="B34" s="48"/>
      <c r="C34" s="48"/>
      <c r="D34" s="48"/>
      <c r="E34" s="48"/>
      <c r="F34" s="48"/>
      <c r="G34" s="48"/>
      <c r="H34" s="48"/>
      <c r="I34" s="48"/>
      <c r="J34" s="48"/>
      <c r="K34" s="48"/>
      <c r="M34" s="48">
        <f>M7</f>
        <v>2024</v>
      </c>
      <c r="N34" s="48">
        <f>N7</f>
        <v>2025</v>
      </c>
    </row>
    <row r="35" spans="1:15" x14ac:dyDescent="0.3">
      <c r="A35" s="48"/>
      <c r="B35" s="48"/>
      <c r="C35" s="48"/>
      <c r="D35" s="48"/>
      <c r="E35" s="48"/>
      <c r="F35" s="48"/>
      <c r="G35" s="48"/>
      <c r="H35" s="48"/>
      <c r="I35" s="48"/>
      <c r="J35" s="48"/>
      <c r="K35" s="48"/>
      <c r="L35" s="48" t="s">
        <v>54</v>
      </c>
      <c r="M35" s="51">
        <f>'Tabel 1.1'!B35</f>
        <v>7890424</v>
      </c>
      <c r="N35" s="51">
        <f>'Tabel 1.1'!C35</f>
        <v>8664894.7880000006</v>
      </c>
    </row>
    <row r="36" spans="1:15" x14ac:dyDescent="0.3">
      <c r="A36" s="48"/>
      <c r="B36" s="48"/>
      <c r="C36" s="48"/>
      <c r="D36" s="48"/>
      <c r="E36" s="48"/>
      <c r="F36" s="48"/>
      <c r="G36" s="48"/>
      <c r="H36" s="48"/>
      <c r="I36" s="48"/>
      <c r="J36" s="48"/>
      <c r="K36" s="48"/>
      <c r="L36" s="48" t="s">
        <v>59</v>
      </c>
      <c r="M36" s="51">
        <f>'Tabel 1.1'!B36</f>
        <v>3214737</v>
      </c>
      <c r="N36" s="51">
        <f>'Tabel 1.1'!C36</f>
        <v>3517805</v>
      </c>
    </row>
    <row r="37" spans="1:15" x14ac:dyDescent="0.3">
      <c r="A37" s="48"/>
      <c r="B37" s="48"/>
      <c r="C37" s="48"/>
      <c r="D37" s="48"/>
      <c r="E37" s="48"/>
      <c r="F37" s="48"/>
      <c r="G37" s="48"/>
      <c r="H37" s="48"/>
      <c r="I37" s="48"/>
      <c r="J37" s="48"/>
      <c r="K37" s="48"/>
      <c r="L37" s="48" t="s">
        <v>61</v>
      </c>
      <c r="M37" s="51">
        <f>'Tabel 1.1'!B37</f>
        <v>129541.768</v>
      </c>
      <c r="N37" s="51">
        <f>'Tabel 1.1'!C37</f>
        <v>141671.402</v>
      </c>
    </row>
    <row r="38" spans="1:15" x14ac:dyDescent="0.3">
      <c r="A38" s="48"/>
      <c r="B38" s="48"/>
      <c r="C38" s="48"/>
      <c r="D38" s="48"/>
      <c r="E38" s="48"/>
      <c r="F38" s="48"/>
      <c r="G38" s="48"/>
      <c r="H38" s="48"/>
      <c r="I38" s="48"/>
      <c r="J38" s="48"/>
      <c r="K38" s="48"/>
      <c r="L38" s="48" t="s">
        <v>63</v>
      </c>
      <c r="M38" s="51">
        <f>'Tabel 1.1'!B38</f>
        <v>10691816.457010001</v>
      </c>
      <c r="N38" s="51">
        <f>'Tabel 1.1'!C38</f>
        <v>9138724.7853299994</v>
      </c>
    </row>
    <row r="39" spans="1:15" x14ac:dyDescent="0.3">
      <c r="A39" s="48"/>
      <c r="B39" s="48"/>
      <c r="C39" s="48"/>
      <c r="D39" s="48"/>
      <c r="E39" s="48"/>
      <c r="F39" s="48"/>
      <c r="G39" s="48"/>
      <c r="H39" s="48"/>
      <c r="I39" s="48"/>
      <c r="J39" s="48"/>
      <c r="K39" s="48"/>
      <c r="L39" s="48" t="s">
        <v>370</v>
      </c>
      <c r="M39" s="51">
        <f>'Tabel 1.1'!B39</f>
        <v>3747368.3149599996</v>
      </c>
      <c r="N39" s="51">
        <f>'Tabel 1.1'!C39</f>
        <v>4140206.9040000001</v>
      </c>
    </row>
    <row r="40" spans="1:15" x14ac:dyDescent="0.3">
      <c r="A40" s="48"/>
      <c r="B40" s="48"/>
      <c r="C40" s="48"/>
      <c r="D40" s="48"/>
      <c r="E40" s="48"/>
      <c r="F40" s="48"/>
      <c r="G40" s="48"/>
      <c r="H40" s="48"/>
      <c r="I40" s="48"/>
      <c r="J40" s="48"/>
      <c r="K40" s="48"/>
      <c r="L40" s="48" t="s">
        <v>387</v>
      </c>
      <c r="M40" s="51">
        <f>'Tabel 1.1'!B40</f>
        <v>8986622.7596799992</v>
      </c>
      <c r="N40" s="51">
        <f>'Tabel 1.1'!C40</f>
        <v>9452704.8581099994</v>
      </c>
    </row>
    <row r="41" spans="1:15" x14ac:dyDescent="0.3">
      <c r="A41" s="48"/>
      <c r="B41" s="48"/>
      <c r="C41" s="48"/>
      <c r="D41" s="48"/>
      <c r="E41" s="48"/>
      <c r="F41" s="48"/>
      <c r="G41" s="48"/>
      <c r="H41" s="48"/>
      <c r="I41" s="48"/>
      <c r="J41" s="48"/>
      <c r="K41" s="48"/>
      <c r="O41" s="48"/>
    </row>
    <row r="42" spans="1:15" x14ac:dyDescent="0.3">
      <c r="A42" s="48"/>
      <c r="B42" s="48"/>
      <c r="C42" s="48"/>
      <c r="D42" s="48"/>
      <c r="E42" s="48"/>
      <c r="F42" s="48"/>
      <c r="G42" s="48"/>
      <c r="H42" s="48"/>
      <c r="I42" s="48"/>
      <c r="J42" s="48"/>
      <c r="K42" s="48"/>
      <c r="M42" s="51"/>
      <c r="N42" s="51"/>
      <c r="O42" s="48"/>
    </row>
    <row r="43" spans="1:15" x14ac:dyDescent="0.3">
      <c r="A43" s="48"/>
      <c r="B43" s="48"/>
      <c r="C43" s="48"/>
      <c r="D43" s="48"/>
      <c r="E43" s="48"/>
      <c r="F43" s="48"/>
      <c r="G43" s="48"/>
      <c r="H43" s="48"/>
      <c r="I43" s="48"/>
      <c r="J43" s="48"/>
      <c r="K43" s="48"/>
      <c r="M43" s="51"/>
      <c r="N43" s="51"/>
      <c r="O43" s="48"/>
    </row>
    <row r="44" spans="1:15" x14ac:dyDescent="0.3">
      <c r="A44" s="48"/>
      <c r="B44" s="48"/>
      <c r="C44" s="48"/>
      <c r="D44" s="48"/>
      <c r="E44" s="48"/>
      <c r="F44" s="48"/>
      <c r="G44" s="48"/>
      <c r="H44" s="48"/>
      <c r="I44" s="48"/>
      <c r="J44" s="48"/>
      <c r="K44" s="48"/>
      <c r="M44" s="51"/>
      <c r="N44" s="51"/>
      <c r="O44" s="48"/>
    </row>
    <row r="45" spans="1:15" x14ac:dyDescent="0.3">
      <c r="A45" s="48"/>
      <c r="B45" s="48"/>
      <c r="C45" s="48"/>
      <c r="D45" s="48"/>
      <c r="E45" s="48"/>
      <c r="F45" s="48"/>
      <c r="G45" s="48"/>
      <c r="H45" s="48"/>
      <c r="I45" s="48"/>
      <c r="J45" s="48"/>
      <c r="K45" s="48"/>
      <c r="M45" s="51"/>
      <c r="N45" s="51"/>
      <c r="O45" s="48"/>
    </row>
    <row r="46" spans="1:15" x14ac:dyDescent="0.3">
      <c r="A46" s="48"/>
      <c r="B46" s="48"/>
      <c r="C46" s="48"/>
      <c r="D46" s="48"/>
      <c r="E46" s="48"/>
      <c r="F46" s="48"/>
      <c r="G46" s="48"/>
      <c r="H46" s="48"/>
      <c r="I46" s="48"/>
      <c r="J46" s="48"/>
      <c r="K46" s="48"/>
      <c r="M46" s="51"/>
      <c r="N46" s="51"/>
      <c r="O46" s="48"/>
    </row>
    <row r="47" spans="1:15" x14ac:dyDescent="0.3">
      <c r="A47" s="48"/>
      <c r="B47" s="48"/>
      <c r="C47" s="48"/>
      <c r="D47" s="48"/>
      <c r="E47" s="48"/>
      <c r="F47" s="48"/>
      <c r="G47" s="48"/>
      <c r="H47" s="48"/>
      <c r="I47" s="48"/>
      <c r="J47" s="48"/>
      <c r="K47" s="48"/>
      <c r="O47" s="48"/>
    </row>
    <row r="48" spans="1:15" x14ac:dyDescent="0.3">
      <c r="A48" s="48"/>
      <c r="B48" s="48"/>
      <c r="C48" s="48"/>
      <c r="D48" s="48"/>
      <c r="E48" s="48"/>
      <c r="F48" s="48"/>
      <c r="G48" s="48"/>
      <c r="H48" s="48"/>
      <c r="I48" s="48"/>
      <c r="J48" s="48"/>
      <c r="K48" s="48"/>
      <c r="O48" s="48"/>
    </row>
    <row r="49" spans="1:15" x14ac:dyDescent="0.3">
      <c r="A49" s="48"/>
      <c r="B49" s="48"/>
      <c r="C49" s="48"/>
      <c r="D49" s="48"/>
      <c r="E49" s="48"/>
      <c r="F49" s="48"/>
      <c r="G49" s="48"/>
      <c r="H49" s="48"/>
      <c r="I49" s="48"/>
      <c r="J49" s="48"/>
      <c r="K49" s="48"/>
      <c r="O49" s="48"/>
    </row>
    <row r="50" spans="1:15" x14ac:dyDescent="0.3">
      <c r="A50" s="48"/>
      <c r="B50" s="48"/>
      <c r="C50" s="48"/>
      <c r="D50" s="48"/>
      <c r="E50" s="48"/>
      <c r="F50" s="48"/>
      <c r="G50" s="48"/>
      <c r="H50" s="48"/>
      <c r="I50" s="48"/>
      <c r="J50" s="48"/>
      <c r="K50" s="48"/>
      <c r="L50" s="48" t="s">
        <v>69</v>
      </c>
      <c r="O50" s="48"/>
    </row>
    <row r="51" spans="1:15" x14ac:dyDescent="0.3">
      <c r="A51" s="48"/>
      <c r="B51" s="48"/>
      <c r="C51" s="48"/>
      <c r="D51" s="48"/>
      <c r="E51" s="48"/>
      <c r="F51" s="48"/>
      <c r="G51" s="48"/>
      <c r="H51" s="48"/>
      <c r="I51" s="48"/>
      <c r="J51" s="48"/>
      <c r="K51" s="48"/>
      <c r="L51" s="48" t="s">
        <v>0</v>
      </c>
      <c r="O51" s="48"/>
    </row>
    <row r="52" spans="1:15" x14ac:dyDescent="0.3">
      <c r="A52" s="48"/>
      <c r="B52" s="48"/>
      <c r="C52" s="48"/>
      <c r="D52" s="48"/>
      <c r="E52" s="48"/>
      <c r="F52" s="48"/>
      <c r="G52" s="48"/>
      <c r="H52" s="48"/>
      <c r="I52" s="48"/>
      <c r="J52" s="48"/>
      <c r="K52" s="48"/>
      <c r="M52" s="48">
        <f>M7</f>
        <v>2024</v>
      </c>
      <c r="N52" s="48">
        <f>N7</f>
        <v>2025</v>
      </c>
      <c r="O52" s="48"/>
    </row>
    <row r="53" spans="1:15" x14ac:dyDescent="0.3">
      <c r="A53" s="48"/>
      <c r="B53" s="48"/>
      <c r="C53" s="48"/>
      <c r="D53" s="48"/>
      <c r="E53" s="48"/>
      <c r="F53" s="48"/>
      <c r="G53" s="48"/>
      <c r="H53" s="48"/>
      <c r="I53" s="48"/>
      <c r="J53" s="48"/>
      <c r="K53" s="48"/>
      <c r="L53" s="48" t="s">
        <v>54</v>
      </c>
      <c r="M53" s="51">
        <f>'Tabel 1.1'!G9</f>
        <v>181950975.73127002</v>
      </c>
      <c r="N53" s="51">
        <f>'Tabel 1.1'!H9</f>
        <v>179801052.9743135</v>
      </c>
      <c r="O53" s="48"/>
    </row>
    <row r="54" spans="1:15" x14ac:dyDescent="0.3">
      <c r="A54" s="48"/>
      <c r="B54" s="48"/>
      <c r="C54" s="48"/>
      <c r="D54" s="48"/>
      <c r="E54" s="48"/>
      <c r="F54" s="48"/>
      <c r="G54" s="48"/>
      <c r="H54" s="48"/>
      <c r="I54" s="48"/>
      <c r="J54" s="48"/>
      <c r="K54" s="48"/>
      <c r="L54" s="48" t="s">
        <v>55</v>
      </c>
      <c r="M54" s="51">
        <f>'Tabel 1.1'!G10</f>
        <v>0</v>
      </c>
      <c r="N54" s="51">
        <f>'Tabel 1.1'!H10</f>
        <v>0</v>
      </c>
      <c r="O54" s="48"/>
    </row>
    <row r="55" spans="1:15" x14ac:dyDescent="0.3">
      <c r="A55" s="48"/>
      <c r="B55" s="48"/>
      <c r="C55" s="48"/>
      <c r="D55" s="48"/>
      <c r="E55" s="48"/>
      <c r="F55" s="48"/>
      <c r="G55" s="48"/>
      <c r="H55" s="48"/>
      <c r="I55" s="48"/>
      <c r="J55" s="48"/>
      <c r="K55" s="48"/>
      <c r="L55" s="48" t="s">
        <v>367</v>
      </c>
      <c r="M55" s="51">
        <f>'Tabel 1.1'!G11</f>
        <v>0</v>
      </c>
      <c r="N55" s="51">
        <f>'Tabel 1.1'!H11</f>
        <v>0</v>
      </c>
      <c r="O55" s="48"/>
    </row>
    <row r="56" spans="1:15" x14ac:dyDescent="0.3">
      <c r="A56" s="49" t="s">
        <v>377</v>
      </c>
      <c r="B56" s="48"/>
      <c r="C56" s="48"/>
      <c r="D56" s="48"/>
      <c r="E56" s="48"/>
      <c r="F56" s="48"/>
      <c r="G56" s="48"/>
      <c r="H56" s="48"/>
      <c r="I56" s="48"/>
      <c r="J56" s="48"/>
      <c r="K56" s="48"/>
      <c r="L56" s="48" t="s">
        <v>355</v>
      </c>
      <c r="M56" s="51">
        <f>'Tabel 1.1'!G12</f>
        <v>5629123.9688099995</v>
      </c>
      <c r="N56" s="51">
        <f>'Tabel 1.1'!H12</f>
        <v>6152461.3219000008</v>
      </c>
      <c r="O56" s="48"/>
    </row>
    <row r="57" spans="1:15" x14ac:dyDescent="0.3">
      <c r="A57" s="48"/>
      <c r="B57" s="48"/>
      <c r="C57" s="48"/>
      <c r="D57" s="48"/>
      <c r="E57" s="48"/>
      <c r="F57" s="48"/>
      <c r="G57" s="48"/>
      <c r="H57" s="48"/>
      <c r="I57" s="48"/>
      <c r="J57" s="48"/>
      <c r="K57" s="48"/>
      <c r="L57" s="48" t="s">
        <v>56</v>
      </c>
      <c r="M57" s="51">
        <f>'Tabel 1.1'!G13</f>
        <v>1980592</v>
      </c>
      <c r="N57" s="51">
        <f>'Tabel 1.1'!H13</f>
        <v>2400799</v>
      </c>
      <c r="O57" s="48"/>
    </row>
    <row r="58" spans="1:15" x14ac:dyDescent="0.3">
      <c r="A58" s="48"/>
      <c r="B58" s="48"/>
      <c r="C58" s="48"/>
      <c r="D58" s="48"/>
      <c r="E58" s="48"/>
      <c r="F58" s="48"/>
      <c r="G58" s="48"/>
      <c r="H58" s="48"/>
      <c r="I58" s="48"/>
      <c r="J58" s="48"/>
      <c r="K58" s="48"/>
      <c r="L58" s="48" t="s">
        <v>58</v>
      </c>
      <c r="M58" s="51">
        <f>'Tabel 1.1'!G14</f>
        <v>0</v>
      </c>
      <c r="N58" s="51">
        <f>'Tabel 1.1'!H14</f>
        <v>0</v>
      </c>
      <c r="O58" s="48"/>
    </row>
    <row r="59" spans="1:15" x14ac:dyDescent="0.3">
      <c r="A59" s="48"/>
      <c r="B59" s="48"/>
      <c r="C59" s="48"/>
      <c r="D59" s="48"/>
      <c r="E59" s="48"/>
      <c r="F59" s="48"/>
      <c r="G59" s="48"/>
      <c r="H59" s="48"/>
      <c r="I59" s="48"/>
      <c r="J59" s="48"/>
      <c r="K59" s="48"/>
      <c r="L59" s="48" t="s">
        <v>59</v>
      </c>
      <c r="M59" s="51">
        <f>'Tabel 1.1'!G16</f>
        <v>10373836</v>
      </c>
      <c r="N59" s="51">
        <f>'Tabel 1.1'!H16</f>
        <v>11504106</v>
      </c>
      <c r="O59" s="48"/>
    </row>
    <row r="60" spans="1:15" x14ac:dyDescent="0.3">
      <c r="A60" s="48"/>
      <c r="B60" s="48"/>
      <c r="C60" s="48"/>
      <c r="D60" s="48"/>
      <c r="E60" s="48"/>
      <c r="F60" s="48"/>
      <c r="G60" s="48"/>
      <c r="H60" s="48"/>
      <c r="I60" s="48"/>
      <c r="J60" s="48"/>
      <c r="K60" s="48"/>
      <c r="L60" s="48" t="s">
        <v>60</v>
      </c>
      <c r="M60" s="51">
        <f>'Tabel 1.1'!G17</f>
        <v>0</v>
      </c>
      <c r="N60" s="51">
        <f>'Tabel 1.1'!H17</f>
        <v>0</v>
      </c>
      <c r="O60" s="48"/>
    </row>
    <row r="61" spans="1:15" x14ac:dyDescent="0.3">
      <c r="A61" s="48"/>
      <c r="B61" s="48"/>
      <c r="C61" s="48"/>
      <c r="D61" s="48"/>
      <c r="E61" s="48"/>
      <c r="F61" s="48"/>
      <c r="G61" s="48"/>
      <c r="H61" s="48"/>
      <c r="I61" s="48"/>
      <c r="J61" s="48"/>
      <c r="K61" s="48"/>
      <c r="L61" s="48" t="s">
        <v>61</v>
      </c>
      <c r="M61" s="51">
        <f>'Tabel 1.1'!G18</f>
        <v>775383061.84458005</v>
      </c>
      <c r="N61" s="51">
        <f>'Tabel 1.1'!H18</f>
        <v>844010013.91703999</v>
      </c>
      <c r="O61" s="48"/>
    </row>
    <row r="62" spans="1:15" x14ac:dyDescent="0.3">
      <c r="A62" s="48"/>
      <c r="B62" s="48"/>
      <c r="C62" s="48"/>
      <c r="D62" s="48"/>
      <c r="E62" s="48"/>
      <c r="F62" s="48"/>
      <c r="G62" s="48"/>
      <c r="H62" s="48"/>
      <c r="I62" s="48"/>
      <c r="J62" s="48"/>
      <c r="K62" s="48"/>
      <c r="L62" s="48" t="s">
        <v>62</v>
      </c>
      <c r="M62" s="51">
        <f>'Tabel 1.1'!G19</f>
        <v>144158.478</v>
      </c>
      <c r="N62" s="51">
        <f>'Tabel 1.1'!H19</f>
        <v>200305</v>
      </c>
      <c r="O62" s="48"/>
    </row>
    <row r="63" spans="1:15" x14ac:dyDescent="0.3">
      <c r="A63" s="48"/>
      <c r="B63" s="48"/>
      <c r="C63" s="48"/>
      <c r="D63" s="48"/>
      <c r="E63" s="48"/>
      <c r="F63" s="48"/>
      <c r="G63" s="48"/>
      <c r="H63" s="48"/>
      <c r="I63" s="48"/>
      <c r="J63" s="48"/>
      <c r="K63" s="48"/>
      <c r="L63" s="48" t="s">
        <v>366</v>
      </c>
      <c r="M63" s="51">
        <f>'Tabel 1.1'!G20</f>
        <v>0</v>
      </c>
      <c r="N63" s="51">
        <f>'Tabel 1.1'!H20</f>
        <v>0</v>
      </c>
      <c r="O63" s="48"/>
    </row>
    <row r="64" spans="1:15" x14ac:dyDescent="0.3">
      <c r="A64" s="48"/>
      <c r="B64" s="48"/>
      <c r="C64" s="48"/>
      <c r="D64" s="48"/>
      <c r="E64" s="48"/>
      <c r="F64" s="48"/>
      <c r="G64" s="48"/>
      <c r="H64" s="48"/>
      <c r="I64" s="48"/>
      <c r="J64" s="48"/>
      <c r="K64" s="48"/>
      <c r="L64" s="48" t="s">
        <v>371</v>
      </c>
      <c r="M64" s="51">
        <f>'Tabel 1.1'!G21</f>
        <v>0</v>
      </c>
      <c r="N64" s="51">
        <f>'Tabel 1.1'!H21</f>
        <v>0</v>
      </c>
      <c r="O64" s="48"/>
    </row>
    <row r="65" spans="1:15" x14ac:dyDescent="0.3">
      <c r="A65" s="48"/>
      <c r="B65" s="48"/>
      <c r="C65" s="48"/>
      <c r="D65" s="48"/>
      <c r="E65" s="48"/>
      <c r="F65" s="48"/>
      <c r="G65" s="48"/>
      <c r="H65" s="48"/>
      <c r="I65" s="48"/>
      <c r="J65" s="48"/>
      <c r="K65" s="48"/>
      <c r="L65" s="48" t="s">
        <v>63</v>
      </c>
      <c r="M65" s="51">
        <f>'Tabel 1.1'!G22</f>
        <v>54677939.999999009</v>
      </c>
      <c r="N65" s="51">
        <f>'Tabel 1.1'!H22</f>
        <v>55506749.999999546</v>
      </c>
      <c r="O65" s="48"/>
    </row>
    <row r="66" spans="1:15" x14ac:dyDescent="0.3">
      <c r="A66" s="48"/>
      <c r="B66" s="48"/>
      <c r="C66" s="48"/>
      <c r="D66" s="48"/>
      <c r="E66" s="48"/>
      <c r="F66" s="48"/>
      <c r="G66" s="48"/>
      <c r="H66" s="48"/>
      <c r="I66" s="48"/>
      <c r="J66" s="48"/>
      <c r="K66" s="48"/>
      <c r="L66" s="48" t="s">
        <v>406</v>
      </c>
      <c r="M66" s="51">
        <f>'Tabel 1.1'!G23</f>
        <v>0</v>
      </c>
      <c r="N66" s="51">
        <f>'Tabel 1.1'!H23</f>
        <v>0</v>
      </c>
      <c r="O66" s="48"/>
    </row>
    <row r="67" spans="1:15" x14ac:dyDescent="0.3">
      <c r="A67" s="48"/>
      <c r="B67" s="48"/>
      <c r="C67" s="48"/>
      <c r="D67" s="48"/>
      <c r="E67" s="48"/>
      <c r="F67" s="48"/>
      <c r="G67" s="48"/>
      <c r="H67" s="48"/>
      <c r="I67" s="48"/>
      <c r="J67" s="48"/>
      <c r="K67" s="48"/>
      <c r="L67" s="48" t="s">
        <v>64</v>
      </c>
      <c r="M67" s="51">
        <f>'Tabel 1.1'!G24</f>
        <v>92155000</v>
      </c>
      <c r="N67" s="51">
        <f>'Tabel 1.1'!H24</f>
        <v>98281000</v>
      </c>
      <c r="O67" s="48"/>
    </row>
    <row r="68" spans="1:15" x14ac:dyDescent="0.3">
      <c r="A68" s="48"/>
      <c r="B68" s="48"/>
      <c r="C68" s="48"/>
      <c r="D68" s="48"/>
      <c r="E68" s="48"/>
      <c r="F68" s="48"/>
      <c r="G68" s="48"/>
      <c r="H68" s="48"/>
      <c r="I68" s="48"/>
      <c r="J68" s="48"/>
      <c r="K68" s="48"/>
      <c r="L68" s="48" t="s">
        <v>370</v>
      </c>
      <c r="M68" s="51">
        <f>'Tabel 1.1'!G26</f>
        <v>22009714.530510001</v>
      </c>
      <c r="N68" s="51">
        <f>'Tabel 1.1'!H26</f>
        <v>25809563.798000004</v>
      </c>
      <c r="O68" s="48"/>
    </row>
    <row r="69" spans="1:15" x14ac:dyDescent="0.3">
      <c r="A69" s="48"/>
      <c r="B69" s="48"/>
      <c r="C69" s="48"/>
      <c r="D69" s="48"/>
      <c r="E69" s="48"/>
      <c r="F69" s="48"/>
      <c r="G69" s="48"/>
      <c r="H69" s="48"/>
      <c r="I69" s="48"/>
      <c r="J69" s="48"/>
      <c r="K69" s="48"/>
      <c r="L69" s="48" t="s">
        <v>387</v>
      </c>
      <c r="M69" s="51">
        <f>'Tabel 1.1'!G27</f>
        <v>209403887.42301998</v>
      </c>
      <c r="N69" s="51">
        <f>'Tabel 1.1'!H27</f>
        <v>218400250.17861</v>
      </c>
      <c r="O69" s="48"/>
    </row>
    <row r="70" spans="1:15" x14ac:dyDescent="0.3">
      <c r="A70" s="48"/>
      <c r="B70" s="48"/>
      <c r="C70" s="48"/>
      <c r="D70" s="48"/>
      <c r="E70" s="48"/>
      <c r="F70" s="48"/>
      <c r="G70" s="48"/>
      <c r="H70" s="48"/>
      <c r="I70" s="48"/>
      <c r="J70" s="48"/>
      <c r="K70" s="48"/>
      <c r="L70" s="48" t="s">
        <v>90</v>
      </c>
      <c r="M70" s="51">
        <f>'Tabel 1.1'!G28</f>
        <v>0</v>
      </c>
      <c r="N70" s="51">
        <f>'Tabel 1.1'!H28</f>
        <v>0</v>
      </c>
      <c r="O70" s="48"/>
    </row>
    <row r="71" spans="1:15" x14ac:dyDescent="0.3">
      <c r="A71" s="48"/>
      <c r="B71" s="48"/>
      <c r="C71" s="48"/>
      <c r="D71" s="48"/>
      <c r="E71" s="48"/>
      <c r="F71" s="48"/>
      <c r="G71" s="48"/>
      <c r="H71" s="48"/>
      <c r="I71" s="48"/>
      <c r="J71" s="48"/>
      <c r="K71" s="48"/>
      <c r="L71" s="48" t="s">
        <v>91</v>
      </c>
      <c r="M71" s="51">
        <f>'Tabel 1.1'!G29</f>
        <v>0</v>
      </c>
      <c r="N71" s="51">
        <f>'Tabel 1.1'!H29</f>
        <v>0</v>
      </c>
      <c r="O71" s="48"/>
    </row>
    <row r="72" spans="1:15" x14ac:dyDescent="0.3">
      <c r="A72" s="48"/>
      <c r="B72" s="48"/>
      <c r="C72" s="48"/>
      <c r="D72" s="48"/>
      <c r="E72" s="48"/>
      <c r="F72" s="48"/>
      <c r="G72" s="48"/>
      <c r="H72" s="48"/>
      <c r="I72" s="48"/>
      <c r="J72" s="48"/>
      <c r="K72" s="48"/>
      <c r="L72" s="48" t="s">
        <v>363</v>
      </c>
      <c r="M72" s="51">
        <f>'Tabel 1.1'!G30</f>
        <v>0</v>
      </c>
      <c r="N72" s="51">
        <f>'Tabel 1.1'!H30</f>
        <v>0</v>
      </c>
      <c r="O72" s="48"/>
    </row>
    <row r="73" spans="1:15" x14ac:dyDescent="0.3">
      <c r="A73" s="48"/>
      <c r="B73" s="48"/>
      <c r="C73" s="48"/>
      <c r="D73" s="48"/>
      <c r="E73" s="48"/>
      <c r="F73" s="48"/>
      <c r="G73" s="48"/>
      <c r="H73" s="48"/>
      <c r="I73" s="48"/>
      <c r="J73" s="48"/>
      <c r="K73" s="48"/>
      <c r="L73" s="48" t="s">
        <v>374</v>
      </c>
      <c r="M73" s="51">
        <f>'Tabel 1.1'!G31</f>
        <v>56571</v>
      </c>
      <c r="N73" s="51">
        <f>'Tabel 1.1'!H31</f>
        <v>78901</v>
      </c>
      <c r="O73" s="48"/>
    </row>
    <row r="74" spans="1:15" x14ac:dyDescent="0.3">
      <c r="A74" s="48"/>
      <c r="B74" s="48"/>
      <c r="C74" s="48"/>
      <c r="D74" s="48"/>
      <c r="E74" s="48"/>
      <c r="F74" s="48"/>
      <c r="G74" s="48"/>
      <c r="H74" s="48"/>
      <c r="I74" s="48"/>
      <c r="J74" s="48"/>
      <c r="K74" s="48"/>
      <c r="O74" s="48"/>
    </row>
    <row r="75" spans="1:15" x14ac:dyDescent="0.3">
      <c r="A75" s="48"/>
      <c r="B75" s="48"/>
      <c r="C75" s="48"/>
      <c r="D75" s="48"/>
      <c r="E75" s="48"/>
      <c r="F75" s="48"/>
      <c r="G75" s="48"/>
      <c r="H75" s="48"/>
      <c r="I75" s="48"/>
      <c r="J75" s="48"/>
      <c r="K75" s="48"/>
      <c r="O75" s="48"/>
    </row>
    <row r="76" spans="1:15" x14ac:dyDescent="0.3">
      <c r="A76" s="48"/>
      <c r="B76" s="48"/>
      <c r="C76" s="48"/>
      <c r="D76" s="48"/>
      <c r="E76" s="48"/>
      <c r="F76" s="48"/>
      <c r="G76" s="48"/>
      <c r="H76" s="48"/>
      <c r="I76" s="48"/>
      <c r="J76" s="48"/>
      <c r="K76" s="48"/>
      <c r="O76" s="48"/>
    </row>
    <row r="77" spans="1:15" x14ac:dyDescent="0.3">
      <c r="A77" s="48"/>
      <c r="B77" s="48"/>
      <c r="C77" s="48"/>
      <c r="D77" s="48"/>
      <c r="E77" s="48"/>
      <c r="F77" s="48"/>
      <c r="G77" s="48"/>
      <c r="H77" s="48"/>
      <c r="I77" s="48"/>
      <c r="J77" s="48"/>
      <c r="K77" s="48"/>
      <c r="O77" s="48"/>
    </row>
    <row r="78" spans="1:15" x14ac:dyDescent="0.3">
      <c r="A78" s="48"/>
      <c r="B78" s="48"/>
      <c r="C78" s="48"/>
      <c r="D78" s="48"/>
      <c r="E78" s="48"/>
      <c r="F78" s="48"/>
      <c r="G78" s="48"/>
      <c r="H78" s="48"/>
      <c r="I78" s="48"/>
      <c r="J78" s="48"/>
      <c r="K78" s="48"/>
      <c r="O78" s="48"/>
    </row>
    <row r="79" spans="1:15" x14ac:dyDescent="0.3">
      <c r="A79" s="48"/>
      <c r="B79" s="48"/>
      <c r="C79" s="48"/>
      <c r="D79" s="48"/>
      <c r="E79" s="48"/>
      <c r="F79" s="48"/>
      <c r="G79" s="48"/>
      <c r="H79" s="48"/>
      <c r="I79" s="48"/>
      <c r="J79" s="48"/>
      <c r="K79" s="48"/>
      <c r="O79" s="48"/>
    </row>
    <row r="80" spans="1:15" x14ac:dyDescent="0.3">
      <c r="A80" s="49" t="s">
        <v>378</v>
      </c>
      <c r="B80" s="48"/>
      <c r="C80" s="48"/>
      <c r="D80" s="48"/>
      <c r="E80" s="48"/>
      <c r="F80" s="48"/>
      <c r="G80" s="48"/>
      <c r="H80" s="48"/>
      <c r="I80" s="48"/>
      <c r="J80" s="48"/>
      <c r="K80" s="48"/>
      <c r="O80" s="48"/>
    </row>
    <row r="81" spans="1:15" x14ac:dyDescent="0.3">
      <c r="B81" s="48"/>
      <c r="C81" s="48"/>
      <c r="D81" s="48"/>
      <c r="E81" s="48"/>
      <c r="F81" s="48"/>
      <c r="G81" s="48"/>
      <c r="H81" s="48"/>
      <c r="I81" s="48"/>
      <c r="J81" s="48"/>
      <c r="K81" s="48"/>
      <c r="O81" s="48"/>
    </row>
    <row r="82" spans="1:15" x14ac:dyDescent="0.3">
      <c r="A82" s="48"/>
      <c r="B82" s="48"/>
      <c r="C82" s="48"/>
      <c r="D82" s="48"/>
      <c r="E82" s="48"/>
      <c r="F82" s="48"/>
      <c r="G82" s="48"/>
      <c r="H82" s="48"/>
      <c r="I82" s="48"/>
      <c r="J82" s="48"/>
      <c r="K82" s="48"/>
      <c r="L82" s="48" t="s">
        <v>69</v>
      </c>
      <c r="O82" s="48"/>
    </row>
    <row r="83" spans="1:15" x14ac:dyDescent="0.3">
      <c r="A83" s="48"/>
      <c r="B83" s="48"/>
      <c r="C83" s="48"/>
      <c r="D83" s="48"/>
      <c r="E83" s="48"/>
      <c r="F83" s="48"/>
      <c r="G83" s="48"/>
      <c r="H83" s="48"/>
      <c r="I83" s="48"/>
      <c r="J83" s="48"/>
      <c r="K83" s="48"/>
      <c r="L83" s="48" t="s">
        <v>1</v>
      </c>
      <c r="O83" s="48"/>
    </row>
    <row r="84" spans="1:15" x14ac:dyDescent="0.3">
      <c r="A84" s="48"/>
      <c r="B84" s="48"/>
      <c r="C84" s="48"/>
      <c r="D84" s="48"/>
      <c r="E84" s="48"/>
      <c r="F84" s="48"/>
      <c r="G84" s="48"/>
      <c r="H84" s="48"/>
      <c r="I84" s="48"/>
      <c r="J84" s="48"/>
      <c r="K84" s="48"/>
      <c r="M84" s="48">
        <f>M7</f>
        <v>2024</v>
      </c>
      <c r="N84" s="48">
        <f>N7</f>
        <v>2025</v>
      </c>
      <c r="O84" s="48"/>
    </row>
    <row r="85" spans="1:15" x14ac:dyDescent="0.3">
      <c r="B85" s="48"/>
      <c r="C85" s="48"/>
      <c r="D85" s="48"/>
      <c r="E85" s="48"/>
      <c r="F85" s="48"/>
      <c r="G85" s="48"/>
      <c r="H85" s="48"/>
      <c r="I85" s="48"/>
      <c r="J85" s="48"/>
      <c r="K85" s="48"/>
      <c r="L85" s="48" t="s">
        <v>54</v>
      </c>
      <c r="M85" s="51">
        <f>'Tabel 1.1'!G35</f>
        <v>187007474</v>
      </c>
      <c r="N85" s="51">
        <f>'Tabel 1.1'!H35</f>
        <v>217984215.15776992</v>
      </c>
      <c r="O85" s="48"/>
    </row>
    <row r="86" spans="1:15" x14ac:dyDescent="0.3">
      <c r="B86" s="48"/>
      <c r="C86" s="48"/>
      <c r="D86" s="48"/>
      <c r="E86" s="48"/>
      <c r="F86" s="48"/>
      <c r="G86" s="48"/>
      <c r="H86" s="48"/>
      <c r="I86" s="48"/>
      <c r="J86" s="48"/>
      <c r="K86" s="48"/>
      <c r="L86" s="48" t="s">
        <v>59</v>
      </c>
      <c r="M86" s="51">
        <f>'Tabel 1.1'!G36</f>
        <v>69473279</v>
      </c>
      <c r="N86" s="51">
        <f>'Tabel 1.1'!H36</f>
        <v>84050087</v>
      </c>
      <c r="O86" s="48"/>
    </row>
    <row r="87" spans="1:15" x14ac:dyDescent="0.3">
      <c r="B87" s="48"/>
      <c r="C87" s="48"/>
      <c r="D87" s="48"/>
      <c r="E87" s="48"/>
      <c r="F87" s="48"/>
      <c r="G87" s="48"/>
      <c r="H87" s="48"/>
      <c r="I87" s="48"/>
      <c r="J87" s="48"/>
      <c r="K87" s="48"/>
      <c r="L87" s="48" t="s">
        <v>61</v>
      </c>
      <c r="M87" s="51">
        <f>'Tabel 1.1'!G37</f>
        <v>2890424.3207899998</v>
      </c>
      <c r="N87" s="51">
        <f>'Tabel 1.1'!H37</f>
        <v>3055542.7277899999</v>
      </c>
      <c r="O87" s="48"/>
    </row>
    <row r="88" spans="1:15" x14ac:dyDescent="0.3">
      <c r="B88" s="48"/>
      <c r="C88" s="48"/>
      <c r="D88" s="48"/>
      <c r="E88" s="48"/>
      <c r="F88" s="48"/>
      <c r="G88" s="48"/>
      <c r="H88" s="48"/>
      <c r="I88" s="48"/>
      <c r="J88" s="48"/>
      <c r="K88" s="48"/>
      <c r="L88" s="48" t="s">
        <v>63</v>
      </c>
      <c r="M88" s="51">
        <f>'Tabel 1.1'!G38</f>
        <v>167574450</v>
      </c>
      <c r="N88" s="51">
        <f>'Tabel 1.1'!H38</f>
        <v>190942730</v>
      </c>
      <c r="O88" s="48"/>
    </row>
    <row r="89" spans="1:15" x14ac:dyDescent="0.3">
      <c r="B89" s="48"/>
      <c r="C89" s="48"/>
      <c r="D89" s="48"/>
      <c r="E89" s="48"/>
      <c r="F89" s="48"/>
      <c r="G89" s="48"/>
      <c r="H89" s="48"/>
      <c r="I89" s="48"/>
      <c r="J89" s="48"/>
      <c r="K89" s="48"/>
      <c r="L89" s="48" t="s">
        <v>370</v>
      </c>
      <c r="M89" s="51">
        <f>'Tabel 1.1'!G39</f>
        <v>78440211.861239895</v>
      </c>
      <c r="N89" s="51">
        <f>'Tabel 1.1'!H39</f>
        <v>89992141.354000002</v>
      </c>
      <c r="O89" s="48"/>
    </row>
    <row r="90" spans="1:15" x14ac:dyDescent="0.3">
      <c r="B90" s="48"/>
      <c r="C90" s="48"/>
      <c r="D90" s="48"/>
      <c r="E90" s="48"/>
      <c r="F90" s="48"/>
      <c r="G90" s="48"/>
      <c r="H90" s="48"/>
      <c r="I90" s="48"/>
      <c r="J90" s="48"/>
      <c r="K90" s="48"/>
      <c r="L90" s="48" t="s">
        <v>387</v>
      </c>
      <c r="M90" s="51">
        <f>'Tabel 1.1'!G40</f>
        <v>232431668.54273</v>
      </c>
      <c r="N90" s="51">
        <f>'Tabel 1.1'!H40</f>
        <v>261526448.38808</v>
      </c>
      <c r="O90" s="48"/>
    </row>
    <row r="91" spans="1:15" x14ac:dyDescent="0.3">
      <c r="A91" s="48"/>
      <c r="B91" s="48"/>
      <c r="C91" s="48"/>
      <c r="D91" s="48"/>
      <c r="E91" s="48"/>
      <c r="F91" s="48"/>
      <c r="G91" s="48"/>
      <c r="H91" s="48"/>
      <c r="I91" s="48"/>
      <c r="J91" s="48"/>
      <c r="K91" s="48"/>
      <c r="O91" s="48"/>
    </row>
    <row r="92" spans="1:15" ht="18.75" customHeight="1" x14ac:dyDescent="0.3">
      <c r="A92" s="48"/>
      <c r="B92" s="48"/>
      <c r="C92" s="48"/>
      <c r="D92" s="48"/>
      <c r="E92" s="48"/>
      <c r="F92" s="48"/>
      <c r="G92" s="48"/>
      <c r="H92" s="48"/>
      <c r="I92" s="48"/>
      <c r="J92" s="48"/>
      <c r="K92" s="48"/>
      <c r="O92" s="48"/>
    </row>
    <row r="93" spans="1:15" ht="18.75" customHeight="1" x14ac:dyDescent="0.3">
      <c r="A93" s="48"/>
      <c r="B93" s="48"/>
      <c r="C93" s="48"/>
      <c r="D93" s="48"/>
      <c r="E93" s="48"/>
      <c r="F93" s="48"/>
      <c r="G93" s="48"/>
      <c r="H93" s="48"/>
      <c r="I93" s="48"/>
      <c r="J93" s="48"/>
      <c r="K93" s="48"/>
      <c r="O93" s="48"/>
    </row>
    <row r="94" spans="1:15" ht="18.75" customHeight="1" x14ac:dyDescent="0.3">
      <c r="A94" s="48"/>
      <c r="B94" s="48"/>
      <c r="C94" s="48"/>
      <c r="D94" s="48"/>
      <c r="E94" s="48"/>
      <c r="F94" s="48"/>
      <c r="G94" s="48"/>
      <c r="H94" s="48"/>
      <c r="I94" s="48"/>
      <c r="J94" s="48"/>
      <c r="K94" s="48"/>
      <c r="O94" s="48"/>
    </row>
    <row r="95" spans="1:15" ht="18.75" customHeight="1" x14ac:dyDescent="0.3">
      <c r="A95" s="48"/>
      <c r="B95" s="48"/>
      <c r="C95" s="48"/>
      <c r="D95" s="48"/>
      <c r="E95" s="48"/>
      <c r="F95" s="48"/>
      <c r="G95" s="48"/>
      <c r="H95" s="48"/>
      <c r="I95" s="48"/>
      <c r="J95" s="48"/>
      <c r="K95" s="48"/>
      <c r="O95" s="48"/>
    </row>
    <row r="96" spans="1:15" ht="18.75" customHeight="1" x14ac:dyDescent="0.3">
      <c r="A96" s="48"/>
      <c r="B96" s="48"/>
      <c r="C96" s="48"/>
      <c r="D96" s="48"/>
      <c r="E96" s="48"/>
      <c r="F96" s="48"/>
      <c r="G96" s="48"/>
      <c r="H96" s="48"/>
      <c r="I96" s="48"/>
      <c r="J96" s="48"/>
      <c r="K96" s="48"/>
      <c r="O96" s="48"/>
    </row>
    <row r="97" spans="1:17" ht="18.75" customHeight="1" x14ac:dyDescent="0.3">
      <c r="A97" s="48"/>
      <c r="B97" s="48"/>
      <c r="C97" s="48"/>
      <c r="D97" s="48"/>
      <c r="E97" s="48"/>
      <c r="F97" s="48"/>
      <c r="G97" s="48"/>
      <c r="H97" s="48"/>
      <c r="I97" s="48"/>
      <c r="J97" s="48"/>
      <c r="K97" s="48"/>
      <c r="L97" s="48" t="s">
        <v>70</v>
      </c>
      <c r="O97" s="48"/>
      <c r="Q97" s="48"/>
    </row>
    <row r="98" spans="1:17" ht="18.75" customHeight="1" x14ac:dyDescent="0.3">
      <c r="A98" s="48"/>
      <c r="B98" s="48"/>
      <c r="C98" s="48"/>
      <c r="D98" s="48"/>
      <c r="E98" s="48"/>
      <c r="F98" s="48"/>
      <c r="G98" s="48"/>
      <c r="H98" s="48"/>
      <c r="I98" s="48"/>
      <c r="J98" s="48"/>
      <c r="K98" s="48"/>
      <c r="L98" s="48" t="s">
        <v>0</v>
      </c>
      <c r="O98" s="48"/>
      <c r="Q98" s="48"/>
    </row>
    <row r="99" spans="1:17" ht="18.75" customHeight="1" x14ac:dyDescent="0.3">
      <c r="A99" s="48"/>
      <c r="B99" s="48"/>
      <c r="C99" s="48"/>
      <c r="D99" s="48"/>
      <c r="E99" s="48"/>
      <c r="F99" s="48"/>
      <c r="G99" s="48"/>
      <c r="H99" s="48"/>
      <c r="I99" s="48"/>
      <c r="J99" s="48"/>
      <c r="K99" s="48"/>
      <c r="M99" s="48">
        <f>M7</f>
        <v>2024</v>
      </c>
      <c r="N99" s="48">
        <f>N7</f>
        <v>2025</v>
      </c>
      <c r="O99" s="48"/>
      <c r="Q99" s="48"/>
    </row>
    <row r="100" spans="1:17" ht="18.75" customHeight="1" x14ac:dyDescent="0.3">
      <c r="A100" s="48"/>
      <c r="B100" s="48"/>
      <c r="C100" s="48"/>
      <c r="D100" s="48"/>
      <c r="E100" s="48"/>
      <c r="F100" s="48"/>
      <c r="G100" s="48"/>
      <c r="H100" s="48"/>
      <c r="I100" s="48"/>
      <c r="J100" s="48"/>
      <c r="K100" s="48"/>
      <c r="L100" s="48" t="s">
        <v>54</v>
      </c>
      <c r="M100" s="51">
        <f>'DNB Livsforsikring'!B11-'DNB Livsforsikring'!B12+'DNB Livsforsikring'!B34-'DNB Livsforsikring'!B35+'DNB Livsforsikring'!B38-'DNB Livsforsikring'!B39+'DNB Livsforsikring'!B111-'DNB Livsforsikring'!B119+'DNB Livsforsikring'!B136-'DNB Livsforsikring'!B137</f>
        <v>274373</v>
      </c>
      <c r="N100" s="51">
        <f>'DNB Livsforsikring'!C11-'DNB Livsforsikring'!C12+'DNB Livsforsikring'!C34-'DNB Livsforsikring'!C35+'DNB Livsforsikring'!C38-'DNB Livsforsikring'!C39+'DNB Livsforsikring'!C111-'DNB Livsforsikring'!C119+'DNB Livsforsikring'!C136-'DNB Livsforsikring'!C137</f>
        <v>320659.30666999996</v>
      </c>
      <c r="O100" s="48"/>
      <c r="Q100" s="48"/>
    </row>
    <row r="101" spans="1:17" ht="18.75" customHeight="1" x14ac:dyDescent="0.3">
      <c r="A101" s="48"/>
      <c r="B101" s="48"/>
      <c r="C101" s="48"/>
      <c r="D101" s="48"/>
      <c r="E101" s="48"/>
      <c r="F101" s="48"/>
      <c r="G101" s="48"/>
      <c r="H101" s="48"/>
      <c r="I101" s="48"/>
      <c r="J101" s="48"/>
      <c r="K101" s="48"/>
      <c r="L101" s="48" t="s">
        <v>59</v>
      </c>
      <c r="M101" s="51">
        <f>'Gjensidige Pensjon'!B11-'Gjensidige Pensjon'!B12+'Gjensidige Pensjon'!B34-'Gjensidige Pensjon'!B35+'Gjensidige Pensjon'!B38-'Gjensidige Pensjon'!B39+'Gjensidige Pensjon'!B111-'Gjensidige Pensjon'!B119+'Gjensidige Pensjon'!B136-'Gjensidige Pensjon'!B137</f>
        <v>63435</v>
      </c>
      <c r="N101" s="51">
        <f>'Gjensidige Pensjon'!C11-'Gjensidige Pensjon'!C12+'Gjensidige Pensjon'!C34-'Gjensidige Pensjon'!C35+'Gjensidige Pensjon'!C38-'Gjensidige Pensjon'!C39+'Gjensidige Pensjon'!C111-'Gjensidige Pensjon'!C119+'Gjensidige Pensjon'!C136-'Gjensidige Pensjon'!C137</f>
        <v>121874</v>
      </c>
      <c r="O101" s="48"/>
      <c r="Q101" s="48"/>
    </row>
    <row r="102" spans="1:17" ht="18.75" customHeight="1" x14ac:dyDescent="0.3">
      <c r="A102" s="48"/>
      <c r="B102" s="48"/>
      <c r="C102" s="48"/>
      <c r="D102" s="48"/>
      <c r="E102" s="48"/>
      <c r="F102" s="48"/>
      <c r="G102" s="48"/>
      <c r="H102" s="48"/>
      <c r="I102" s="48"/>
      <c r="J102" s="48"/>
      <c r="K102" s="48"/>
      <c r="L102" s="48" t="s">
        <v>61</v>
      </c>
      <c r="M102" s="51">
        <f>KLP!B11-KLP!B12+KLP!B34-KLP!B35+KLP!B38-KLP!B39+KLP!B111-KLP!B119+KLP!B136-KLP!B137</f>
        <v>-2417417.0720000002</v>
      </c>
      <c r="N102" s="51">
        <f>KLP!C11-KLP!C12+KLP!C34-KLP!C35+KLP!C38-KLP!C39+KLP!C111-KLP!C119+KLP!C136-KLP!C137</f>
        <v>-4091890.4170000004</v>
      </c>
      <c r="O102" s="48"/>
      <c r="Q102" s="48"/>
    </row>
    <row r="103" spans="1:17" ht="18.75" customHeight="1" x14ac:dyDescent="0.3">
      <c r="A103" s="48"/>
      <c r="B103" s="48"/>
      <c r="C103" s="48"/>
      <c r="D103" s="48"/>
      <c r="E103" s="48"/>
      <c r="F103" s="48"/>
      <c r="G103" s="48"/>
      <c r="H103" s="48"/>
      <c r="I103" s="48"/>
      <c r="J103" s="48"/>
      <c r="K103" s="48"/>
      <c r="L103" s="48" t="s">
        <v>63</v>
      </c>
      <c r="M103" s="51">
        <f>'Nordea Liv '!B11-'Nordea Liv '!B12+'Nordea Liv '!B34-'Nordea Liv '!B35+'Nordea Liv '!B38-'Nordea Liv '!B39+'Nordea Liv '!B111-'Nordea Liv '!B119+'Nordea Liv '!B136-'Nordea Liv '!B137</f>
        <v>-14590.871569999499</v>
      </c>
      <c r="N103" s="51">
        <f>'Nordea Liv '!C11-'Nordea Liv '!C12+'Nordea Liv '!C34-'Nordea Liv '!C35+'Nordea Liv '!C38-'Nordea Liv '!C39+'Nordea Liv '!C111-'Nordea Liv '!C119+'Nordea Liv '!C136-'Nordea Liv '!C137</f>
        <v>-2296.0904000002402</v>
      </c>
      <c r="O103" s="48"/>
      <c r="Q103" s="48"/>
    </row>
    <row r="104" spans="1:17" ht="18.75" customHeight="1" x14ac:dyDescent="0.3">
      <c r="A104" s="48"/>
      <c r="B104" s="48"/>
      <c r="C104" s="48"/>
      <c r="D104" s="48"/>
      <c r="E104" s="48"/>
      <c r="F104" s="48"/>
      <c r="G104" s="48"/>
      <c r="H104" s="48"/>
      <c r="I104" s="48"/>
      <c r="J104" s="48"/>
      <c r="K104" s="48"/>
      <c r="L104" s="48" t="s">
        <v>370</v>
      </c>
      <c r="M104" s="51">
        <f>'Sparebank 1 Fors.'!B11-'Sparebank 1 Fors.'!B12+'Sparebank 1 Fors.'!B34-'Sparebank 1 Fors.'!B35+'Sparebank 1 Fors.'!B38-'Sparebank 1 Fors.'!B39+'Sparebank 1 Fors.'!B111-'Sparebank 1 Fors.'!B119+'Sparebank 1 Fors.'!B136-'Sparebank 1 Fors.'!B137</f>
        <v>6102.9492399999981</v>
      </c>
      <c r="N104" s="51">
        <f>'Sparebank 1 Fors.'!C11-'Sparebank 1 Fors.'!C12+'Sparebank 1 Fors.'!C34-'Sparebank 1 Fors.'!C35+'Sparebank 1 Fors.'!C38-'Sparebank 1 Fors.'!C39+'Sparebank 1 Fors.'!C111-'Sparebank 1 Fors.'!C119+'Sparebank 1 Fors.'!C136-'Sparebank 1 Fors.'!C137</f>
        <v>866602.929</v>
      </c>
      <c r="O104" s="48"/>
      <c r="Q104" s="48"/>
    </row>
    <row r="105" spans="1:17" ht="18.75" customHeight="1" x14ac:dyDescent="0.3">
      <c r="A105" s="48"/>
      <c r="B105" s="48"/>
      <c r="C105" s="48"/>
      <c r="D105" s="48"/>
      <c r="E105" s="48"/>
      <c r="F105" s="48"/>
      <c r="G105" s="48"/>
      <c r="H105" s="48"/>
      <c r="I105" s="48"/>
      <c r="J105" s="48"/>
      <c r="K105" s="48"/>
      <c r="L105" s="48" t="s">
        <v>387</v>
      </c>
      <c r="M105" s="51">
        <f>'Storebrand Livsforsikring'!B11-'Storebrand Livsforsikring'!B12+'Storebrand Livsforsikring'!B34-'Storebrand Livsforsikring'!B35+'Storebrand Livsforsikring'!B38-'Storebrand Livsforsikring'!B39+'Storebrand Livsforsikring'!B111-'Storebrand Livsforsikring'!B119+'Storebrand Livsforsikring'!B136-'Storebrand Livsforsikring'!B137</f>
        <v>2322025.1032799999</v>
      </c>
      <c r="N105" s="51">
        <f>'Storebrand Livsforsikring'!C11-'Storebrand Livsforsikring'!C12+'Storebrand Livsforsikring'!C34-'Storebrand Livsforsikring'!C35+'Storebrand Livsforsikring'!C38-'Storebrand Livsforsikring'!C39+'Storebrand Livsforsikring'!C111-'Storebrand Livsforsikring'!C119+'Storebrand Livsforsikring'!C136-'Storebrand Livsforsikring'!C137</f>
        <v>3136321.3332199999</v>
      </c>
      <c r="O105" s="48"/>
      <c r="Q105" s="48"/>
    </row>
    <row r="106" spans="1:17" ht="18.75" customHeight="1" x14ac:dyDescent="0.3">
      <c r="A106" s="49" t="s">
        <v>379</v>
      </c>
      <c r="B106" s="48"/>
      <c r="C106" s="48"/>
      <c r="D106" s="48"/>
      <c r="E106" s="48"/>
      <c r="F106" s="48"/>
      <c r="G106" s="48"/>
      <c r="H106" s="48"/>
      <c r="I106" s="48"/>
      <c r="J106" s="48"/>
      <c r="K106" s="48"/>
      <c r="M106" s="51"/>
      <c r="N106" s="51"/>
      <c r="O106" s="48"/>
      <c r="Q106" s="48"/>
    </row>
    <row r="107" spans="1:17" ht="18.75" customHeight="1" x14ac:dyDescent="0.3">
      <c r="A107" s="48"/>
      <c r="B107" s="48"/>
      <c r="C107" s="48"/>
      <c r="D107" s="48"/>
      <c r="E107" s="48"/>
      <c r="F107" s="48"/>
      <c r="G107" s="48"/>
      <c r="H107" s="48"/>
      <c r="I107" s="48"/>
      <c r="J107" s="48"/>
      <c r="K107" s="48"/>
      <c r="M107" s="51"/>
      <c r="N107" s="51"/>
      <c r="O107" s="48"/>
      <c r="Q107" s="48"/>
    </row>
    <row r="108" spans="1:17" ht="18.75" customHeight="1" x14ac:dyDescent="0.3">
      <c r="A108" s="48"/>
      <c r="B108" s="48"/>
      <c r="C108" s="48"/>
      <c r="D108" s="48"/>
      <c r="E108" s="48"/>
      <c r="F108" s="48"/>
      <c r="G108" s="48"/>
      <c r="H108" s="48"/>
      <c r="I108" s="48"/>
      <c r="J108" s="48"/>
      <c r="K108" s="48"/>
      <c r="M108" s="51"/>
      <c r="N108" s="51"/>
      <c r="O108" s="48"/>
      <c r="Q108" s="48"/>
    </row>
    <row r="109" spans="1:17" ht="18.75" customHeight="1" x14ac:dyDescent="0.3">
      <c r="A109" s="48"/>
      <c r="B109" s="48"/>
      <c r="C109" s="48"/>
      <c r="D109" s="48"/>
      <c r="E109" s="48"/>
      <c r="F109" s="48"/>
      <c r="G109" s="48"/>
      <c r="H109" s="48"/>
      <c r="I109" s="48"/>
      <c r="J109" s="48"/>
      <c r="K109" s="48"/>
      <c r="M109" s="51"/>
      <c r="N109" s="51"/>
      <c r="O109" s="48"/>
      <c r="Q109" s="48"/>
    </row>
    <row r="110" spans="1:17" ht="18.75" customHeight="1" x14ac:dyDescent="0.3">
      <c r="A110" s="48"/>
      <c r="B110" s="48"/>
      <c r="C110" s="48"/>
      <c r="D110" s="48"/>
      <c r="E110" s="48"/>
      <c r="F110" s="48"/>
      <c r="G110" s="48"/>
      <c r="H110" s="48"/>
      <c r="I110" s="48"/>
      <c r="J110" s="48"/>
      <c r="K110" s="48"/>
      <c r="M110" s="51"/>
      <c r="N110" s="51"/>
      <c r="O110" s="48"/>
      <c r="Q110" s="48"/>
    </row>
    <row r="111" spans="1:17" ht="18.75" customHeight="1" x14ac:dyDescent="0.3">
      <c r="A111" s="48"/>
      <c r="B111" s="48"/>
      <c r="C111" s="48"/>
      <c r="D111" s="48"/>
      <c r="E111" s="48"/>
      <c r="F111" s="48"/>
      <c r="G111" s="48"/>
      <c r="H111" s="48"/>
      <c r="I111" s="48"/>
      <c r="J111" s="48"/>
      <c r="K111" s="48"/>
      <c r="M111" s="51"/>
      <c r="N111" s="51"/>
      <c r="O111" s="48"/>
      <c r="Q111" s="48"/>
    </row>
    <row r="112" spans="1:17" ht="18.75" customHeight="1" x14ac:dyDescent="0.3">
      <c r="A112" s="48"/>
      <c r="B112" s="48"/>
      <c r="C112" s="48"/>
      <c r="D112" s="48"/>
      <c r="E112" s="48"/>
      <c r="F112" s="48"/>
      <c r="G112" s="48"/>
      <c r="H112" s="48"/>
      <c r="I112" s="48"/>
      <c r="J112" s="48"/>
      <c r="K112" s="48"/>
      <c r="M112" s="51"/>
      <c r="N112" s="51"/>
      <c r="O112" s="48"/>
      <c r="Q112" s="48"/>
    </row>
    <row r="113" spans="1:17" ht="18.75" customHeight="1" x14ac:dyDescent="0.3">
      <c r="A113" s="48"/>
      <c r="B113" s="48"/>
      <c r="C113" s="48"/>
      <c r="D113" s="48"/>
      <c r="E113" s="48"/>
      <c r="F113" s="48"/>
      <c r="G113" s="48"/>
      <c r="H113" s="48"/>
      <c r="I113" s="48"/>
      <c r="J113" s="48"/>
      <c r="K113" s="48"/>
      <c r="O113" s="48"/>
      <c r="Q113" s="48"/>
    </row>
    <row r="114" spans="1:17" ht="18.75" customHeight="1" x14ac:dyDescent="0.3">
      <c r="A114" s="48"/>
      <c r="B114" s="48"/>
      <c r="C114" s="48"/>
      <c r="D114" s="48"/>
      <c r="E114" s="48"/>
      <c r="F114" s="48"/>
      <c r="G114" s="48"/>
      <c r="H114" s="48"/>
      <c r="I114" s="48"/>
      <c r="J114" s="48"/>
      <c r="K114" s="48"/>
      <c r="O114" s="48"/>
      <c r="Q114" s="48"/>
    </row>
    <row r="115" spans="1:17" ht="18.75" customHeight="1" x14ac:dyDescent="0.3">
      <c r="A115" s="48"/>
      <c r="B115" s="48"/>
      <c r="C115" s="48"/>
      <c r="D115" s="48"/>
      <c r="E115" s="48"/>
      <c r="F115" s="48"/>
      <c r="G115" s="48"/>
      <c r="H115" s="48"/>
      <c r="I115" s="48"/>
      <c r="J115" s="48"/>
      <c r="K115" s="48"/>
      <c r="O115" s="48"/>
      <c r="Q115" s="48"/>
    </row>
    <row r="116" spans="1:17" ht="18.75" customHeight="1" x14ac:dyDescent="0.3">
      <c r="A116" s="48"/>
      <c r="B116" s="48"/>
      <c r="C116" s="48"/>
      <c r="D116" s="48"/>
      <c r="E116" s="48"/>
      <c r="F116" s="48"/>
      <c r="G116" s="48"/>
      <c r="H116" s="48"/>
      <c r="I116" s="48"/>
      <c r="J116" s="48"/>
      <c r="K116" s="48"/>
      <c r="O116" s="48"/>
      <c r="Q116" s="48"/>
    </row>
    <row r="117" spans="1:17" ht="18.75" customHeight="1" x14ac:dyDescent="0.3">
      <c r="A117" s="48"/>
      <c r="B117" s="48"/>
      <c r="C117" s="48"/>
      <c r="D117" s="48"/>
      <c r="E117" s="48"/>
      <c r="F117" s="48"/>
      <c r="G117" s="48"/>
      <c r="H117" s="48"/>
      <c r="I117" s="48"/>
      <c r="J117" s="48"/>
      <c r="K117" s="48"/>
      <c r="O117" s="48"/>
    </row>
    <row r="118" spans="1:17" ht="18.75" customHeight="1" x14ac:dyDescent="0.3">
      <c r="A118" s="48"/>
      <c r="B118" s="48"/>
      <c r="C118" s="48"/>
      <c r="D118" s="48"/>
      <c r="E118" s="48"/>
      <c r="F118" s="48"/>
      <c r="G118" s="48"/>
      <c r="H118" s="48"/>
      <c r="I118" s="48"/>
      <c r="J118" s="48"/>
      <c r="K118" s="48"/>
      <c r="O118" s="48"/>
    </row>
    <row r="119" spans="1:17" ht="18.75" customHeight="1" x14ac:dyDescent="0.3">
      <c r="A119" s="48"/>
      <c r="B119" s="48"/>
      <c r="C119" s="48"/>
      <c r="D119" s="48"/>
      <c r="E119" s="48"/>
      <c r="F119" s="48"/>
      <c r="G119" s="48"/>
      <c r="H119" s="48"/>
      <c r="I119" s="48"/>
      <c r="J119" s="48"/>
      <c r="K119" s="48"/>
      <c r="L119" s="48" t="s">
        <v>71</v>
      </c>
      <c r="O119" s="48"/>
    </row>
    <row r="120" spans="1:17" ht="18.75" customHeight="1" x14ac:dyDescent="0.3">
      <c r="A120" s="48"/>
      <c r="B120" s="48"/>
      <c r="C120" s="48"/>
      <c r="D120" s="48"/>
      <c r="E120" s="48"/>
      <c r="F120" s="48"/>
      <c r="G120" s="48"/>
      <c r="H120" s="48"/>
      <c r="I120" s="48"/>
      <c r="J120" s="48"/>
      <c r="K120" s="48"/>
      <c r="L120" s="48" t="s">
        <v>1</v>
      </c>
      <c r="O120" s="48"/>
    </row>
    <row r="121" spans="1:17" ht="18.75" customHeight="1" x14ac:dyDescent="0.3">
      <c r="A121" s="48"/>
      <c r="B121" s="48"/>
      <c r="C121" s="48"/>
      <c r="D121" s="48"/>
      <c r="E121" s="48"/>
      <c r="F121" s="48"/>
      <c r="G121" s="48"/>
      <c r="H121" s="48"/>
      <c r="I121" s="48"/>
      <c r="J121" s="48"/>
      <c r="K121" s="48"/>
      <c r="M121" s="48">
        <f>M7</f>
        <v>2024</v>
      </c>
      <c r="N121" s="48">
        <f>N7</f>
        <v>2025</v>
      </c>
      <c r="O121" s="48"/>
    </row>
    <row r="122" spans="1:17" ht="18.75" customHeight="1" x14ac:dyDescent="0.3">
      <c r="A122" s="48"/>
      <c r="B122" s="48"/>
      <c r="C122" s="48"/>
      <c r="D122" s="48"/>
      <c r="E122" s="48"/>
      <c r="F122" s="48"/>
      <c r="G122" s="48"/>
      <c r="H122" s="48"/>
      <c r="I122" s="48"/>
      <c r="J122" s="48"/>
      <c r="K122" s="48"/>
      <c r="L122" s="48" t="s">
        <v>54</v>
      </c>
      <c r="M122" s="51">
        <f>'DNB Livsforsikring'!F11-'DNB Livsforsikring'!F12+'DNB Livsforsikring'!F34-'DNB Livsforsikring'!F35+'DNB Livsforsikring'!F38-'DNB Livsforsikring'!F39+'DNB Livsforsikring'!F111-'DNB Livsforsikring'!F119+'DNB Livsforsikring'!F136-'DNB Livsforsikring'!F137</f>
        <v>-2262655</v>
      </c>
      <c r="N122" s="51">
        <f>'DNB Livsforsikring'!G11-'DNB Livsforsikring'!G12+'DNB Livsforsikring'!G34-'DNB Livsforsikring'!G35+'DNB Livsforsikring'!G38-'DNB Livsforsikring'!G39+'DNB Livsforsikring'!G111-'DNB Livsforsikring'!G119+'DNB Livsforsikring'!G136-'DNB Livsforsikring'!G137</f>
        <v>-626160.12093999982</v>
      </c>
      <c r="O122" s="48"/>
    </row>
    <row r="123" spans="1:17" x14ac:dyDescent="0.3">
      <c r="A123" s="48"/>
      <c r="B123" s="48"/>
      <c r="C123" s="48"/>
      <c r="D123" s="48"/>
      <c r="E123" s="48"/>
      <c r="F123" s="48"/>
      <c r="G123" s="48"/>
      <c r="H123" s="48"/>
      <c r="I123" s="48"/>
      <c r="J123" s="48"/>
      <c r="K123" s="48"/>
      <c r="L123" s="48" t="s">
        <v>59</v>
      </c>
      <c r="M123" s="51">
        <f>'Gjensidige Pensjon'!F11-'Gjensidige Pensjon'!F12+'Gjensidige Pensjon'!F34-'Gjensidige Pensjon'!F35+'Gjensidige Pensjon'!F38-'Gjensidige Pensjon'!F39+'Gjensidige Pensjon'!F111-'Gjensidige Pensjon'!F119+'Gjensidige Pensjon'!F136-'Gjensidige Pensjon'!F137</f>
        <v>1210268</v>
      </c>
      <c r="N123" s="51">
        <f>'Gjensidige Pensjon'!G11-'Gjensidige Pensjon'!G12+'Gjensidige Pensjon'!G34-'Gjensidige Pensjon'!G35+'Gjensidige Pensjon'!G38-'Gjensidige Pensjon'!G39+'Gjensidige Pensjon'!G111-'Gjensidige Pensjon'!G119+'Gjensidige Pensjon'!G136-'Gjensidige Pensjon'!G137</f>
        <v>2066072</v>
      </c>
      <c r="O123" s="48"/>
    </row>
    <row r="124" spans="1:17" x14ac:dyDescent="0.3">
      <c r="A124" s="48"/>
      <c r="B124" s="48"/>
      <c r="C124" s="48"/>
      <c r="D124" s="48"/>
      <c r="E124" s="48"/>
      <c r="F124" s="48"/>
      <c r="G124" s="48"/>
      <c r="H124" s="48"/>
      <c r="I124" s="48"/>
      <c r="J124" s="48"/>
      <c r="K124" s="48"/>
      <c r="L124" s="48" t="s">
        <v>61</v>
      </c>
      <c r="M124" s="51">
        <f>KLP!F11-KLP!F12+KLP!F34-KLP!F35+KLP!F38-KLP!F39+KLP!F111-KLP!F119+KLP!F136-KLP!F137</f>
        <v>-182.05500000000001</v>
      </c>
      <c r="N124" s="51">
        <f>KLP!G11-KLP!G12+KLP!G34-KLP!G35+KLP!G38-KLP!G39+KLP!G111-KLP!G119+KLP!G136-KLP!G137</f>
        <v>0</v>
      </c>
      <c r="O124" s="48"/>
    </row>
    <row r="125" spans="1:17" x14ac:dyDescent="0.3">
      <c r="A125" s="48"/>
      <c r="B125" s="48"/>
      <c r="C125" s="48"/>
      <c r="D125" s="48"/>
      <c r="E125" s="48"/>
      <c r="F125" s="48"/>
      <c r="G125" s="48"/>
      <c r="H125" s="48"/>
      <c r="I125" s="48"/>
      <c r="J125" s="48"/>
      <c r="K125" s="48"/>
      <c r="L125" s="48" t="s">
        <v>63</v>
      </c>
      <c r="M125" s="51">
        <f>'Nordea Liv '!F11-'Nordea Liv '!F12+'Nordea Liv '!F34-'Nordea Liv '!F35+'Nordea Liv '!F38-'Nordea Liv '!F39+'Nordea Liv '!F111-'Nordea Liv '!F119+'Nordea Liv '!F136-'Nordea Liv '!F137</f>
        <v>191676.46963999979</v>
      </c>
      <c r="N125" s="51">
        <f>'Nordea Liv '!G11-'Nordea Liv '!G12+'Nordea Liv '!G34-'Nordea Liv '!G35+'Nordea Liv '!G38-'Nordea Liv '!G39+'Nordea Liv '!G111-'Nordea Liv '!G119+'Nordea Liv '!G136-'Nordea Liv '!G137</f>
        <v>181118.67884999979</v>
      </c>
      <c r="O125" s="48"/>
    </row>
    <row r="126" spans="1:17" x14ac:dyDescent="0.3">
      <c r="A126" s="48"/>
      <c r="B126" s="48"/>
      <c r="C126" s="48"/>
      <c r="D126" s="48"/>
      <c r="E126" s="48"/>
      <c r="F126" s="48"/>
      <c r="G126" s="48"/>
      <c r="H126" s="48"/>
      <c r="I126" s="48"/>
      <c r="J126" s="48"/>
      <c r="K126" s="48"/>
      <c r="L126" s="48" t="s">
        <v>370</v>
      </c>
      <c r="M126" s="51">
        <f>'Sparebank 1 Fors.'!F11-'Sparebank 1 Fors.'!F12+'Sparebank 1 Fors.'!F34-'Sparebank 1 Fors.'!F35+'Sparebank 1 Fors.'!F38-'Sparebank 1 Fors.'!F39+'Sparebank 1 Fors.'!F111-'Sparebank 1 Fors.'!F119+'Sparebank 1 Fors.'!F136-'Sparebank 1 Fors.'!F137</f>
        <v>-206183.12543000048</v>
      </c>
      <c r="N126" s="51">
        <f>'Sparebank 1 Fors.'!G11-'Sparebank 1 Fors.'!G12+'Sparebank 1 Fors.'!G34-'Sparebank 1 Fors.'!G35+'Sparebank 1 Fors.'!G38-'Sparebank 1 Fors.'!G39+'Sparebank 1 Fors.'!G111-'Sparebank 1 Fors.'!G119+'Sparebank 1 Fors.'!G136-'Sparebank 1 Fors.'!G137</f>
        <v>-98662.656999999657</v>
      </c>
      <c r="O126" s="48"/>
    </row>
    <row r="127" spans="1:17" x14ac:dyDescent="0.3">
      <c r="A127" s="48"/>
      <c r="B127" s="48"/>
      <c r="C127" s="48"/>
      <c r="D127" s="48"/>
      <c r="E127" s="48"/>
      <c r="F127" s="48"/>
      <c r="G127" s="48"/>
      <c r="H127" s="48"/>
      <c r="I127" s="48"/>
      <c r="J127" s="48"/>
      <c r="K127" s="48"/>
      <c r="L127" s="48" t="s">
        <v>387</v>
      </c>
      <c r="M127" s="51">
        <f>'Storebrand Livsforsikring'!F11-'Storebrand Livsforsikring'!F12+'Storebrand Livsforsikring'!F34-'Storebrand Livsforsikring'!F35+'Storebrand Livsforsikring'!F38-'Storebrand Livsforsikring'!F39+'Storebrand Livsforsikring'!F111-'Storebrand Livsforsikring'!F119+'Storebrand Livsforsikring'!F136-'Storebrand Livsforsikring'!F137</f>
        <v>-1889582.26523</v>
      </c>
      <c r="N127" s="51">
        <f>'Storebrand Livsforsikring'!G11-'Storebrand Livsforsikring'!G12+'Storebrand Livsforsikring'!G34-'Storebrand Livsforsikring'!G35+'Storebrand Livsforsikring'!G38-'Storebrand Livsforsikring'!G39+'Storebrand Livsforsikring'!G111-'Storebrand Livsforsikring'!G119+'Storebrand Livsforsikring'!G136-'Storebrand Livsforsikring'!G137</f>
        <v>-3543357.9182799999</v>
      </c>
      <c r="O127" s="48"/>
    </row>
    <row r="128" spans="1:17" x14ac:dyDescent="0.3">
      <c r="A128" s="48"/>
      <c r="B128" s="48"/>
      <c r="C128" s="48"/>
      <c r="D128" s="48"/>
      <c r="E128" s="48"/>
      <c r="F128" s="48"/>
      <c r="G128" s="48"/>
      <c r="H128" s="48"/>
      <c r="I128" s="48"/>
      <c r="J128" s="48"/>
      <c r="K128" s="48"/>
      <c r="O128" s="48"/>
    </row>
    <row r="129" spans="1:15" x14ac:dyDescent="0.3">
      <c r="A129" s="48"/>
      <c r="B129" s="48"/>
      <c r="C129" s="48"/>
      <c r="D129" s="48"/>
      <c r="E129" s="48"/>
      <c r="F129" s="48"/>
      <c r="G129" s="48"/>
      <c r="H129" s="48"/>
      <c r="I129" s="48"/>
      <c r="J129" s="48"/>
      <c r="K129" s="48"/>
      <c r="O129" s="48"/>
    </row>
    <row r="130" spans="1:15" x14ac:dyDescent="0.3">
      <c r="A130" s="49" t="s">
        <v>380</v>
      </c>
      <c r="B130" s="48"/>
      <c r="C130" s="48"/>
      <c r="D130" s="48"/>
      <c r="E130" s="48"/>
      <c r="F130" s="48"/>
      <c r="G130" s="48"/>
      <c r="H130" s="48"/>
      <c r="I130" s="48"/>
      <c r="J130" s="48"/>
      <c r="K130" s="48"/>
      <c r="O130" s="48"/>
    </row>
    <row r="131" spans="1:15" x14ac:dyDescent="0.3">
      <c r="B131" s="48"/>
      <c r="C131" s="48"/>
      <c r="D131" s="48"/>
      <c r="E131" s="48"/>
      <c r="F131" s="48"/>
      <c r="G131" s="48"/>
      <c r="H131" s="48"/>
      <c r="I131" s="48"/>
      <c r="J131" s="48"/>
      <c r="K131" s="48"/>
      <c r="O131" s="48"/>
    </row>
    <row r="132" spans="1:15" x14ac:dyDescent="0.3">
      <c r="A132" s="48"/>
      <c r="B132" s="48"/>
      <c r="C132" s="48"/>
      <c r="D132" s="48"/>
      <c r="E132" s="48"/>
      <c r="F132" s="48"/>
      <c r="G132" s="48"/>
      <c r="H132" s="48"/>
      <c r="I132" s="48"/>
      <c r="J132" s="48"/>
      <c r="K132" s="48"/>
      <c r="O132" s="48"/>
    </row>
    <row r="133" spans="1:15" x14ac:dyDescent="0.3">
      <c r="A133" s="48"/>
      <c r="B133" s="48"/>
      <c r="C133" s="48"/>
      <c r="D133" s="48"/>
      <c r="E133" s="48"/>
      <c r="F133" s="48"/>
      <c r="G133" s="48"/>
      <c r="H133" s="48"/>
      <c r="I133" s="48"/>
      <c r="J133" s="48"/>
      <c r="K133" s="48"/>
      <c r="O133" s="48"/>
    </row>
    <row r="134" spans="1:15" x14ac:dyDescent="0.3">
      <c r="A134" s="48"/>
      <c r="B134" s="48"/>
      <c r="C134" s="48"/>
      <c r="D134" s="48"/>
      <c r="E134" s="48"/>
      <c r="F134" s="48"/>
      <c r="G134" s="48"/>
      <c r="H134" s="48"/>
      <c r="I134" s="48"/>
      <c r="J134" s="48"/>
      <c r="K134" s="48"/>
      <c r="O134" s="48"/>
    </row>
    <row r="135" spans="1:15" x14ac:dyDescent="0.3">
      <c r="A135" s="48"/>
      <c r="B135" s="48"/>
      <c r="C135" s="48"/>
      <c r="D135" s="48"/>
      <c r="E135" s="48"/>
      <c r="F135" s="48"/>
      <c r="G135" s="48"/>
      <c r="H135" s="48"/>
      <c r="I135" s="48"/>
      <c r="J135" s="48"/>
      <c r="K135" s="48"/>
      <c r="O135" s="48"/>
    </row>
    <row r="136" spans="1:15" x14ac:dyDescent="0.3">
      <c r="A136" s="48"/>
      <c r="B136" s="48"/>
      <c r="C136" s="48"/>
      <c r="D136" s="48"/>
      <c r="E136" s="48"/>
      <c r="F136" s="48"/>
      <c r="G136" s="48"/>
      <c r="H136" s="48"/>
      <c r="I136" s="48"/>
      <c r="J136" s="48"/>
      <c r="K136" s="48"/>
      <c r="O136" s="48"/>
    </row>
    <row r="137" spans="1:15" x14ac:dyDescent="0.3">
      <c r="A137" s="48"/>
      <c r="B137" s="48"/>
      <c r="C137" s="48"/>
      <c r="D137" s="48"/>
      <c r="E137" s="48"/>
      <c r="F137" s="48"/>
      <c r="G137" s="48"/>
      <c r="H137" s="48"/>
      <c r="I137" s="48"/>
      <c r="J137" s="48"/>
      <c r="K137" s="48"/>
      <c r="O137" s="48"/>
    </row>
    <row r="138" spans="1:15" x14ac:dyDescent="0.3">
      <c r="A138" s="48"/>
      <c r="B138" s="48"/>
      <c r="C138" s="48"/>
      <c r="D138" s="48"/>
      <c r="E138" s="48"/>
      <c r="F138" s="48"/>
      <c r="G138" s="48"/>
      <c r="H138" s="48"/>
      <c r="I138" s="48"/>
      <c r="J138" s="48"/>
      <c r="K138" s="48"/>
      <c r="O138" s="48"/>
    </row>
    <row r="139" spans="1:15" x14ac:dyDescent="0.3">
      <c r="A139" s="48"/>
      <c r="B139" s="48"/>
      <c r="C139" s="48"/>
      <c r="D139" s="48"/>
      <c r="E139" s="48"/>
      <c r="F139" s="48"/>
      <c r="G139" s="48"/>
      <c r="H139" s="48"/>
      <c r="I139" s="48"/>
      <c r="J139" s="48"/>
      <c r="K139" s="48"/>
      <c r="O139" s="48"/>
    </row>
    <row r="140" spans="1:15" x14ac:dyDescent="0.3">
      <c r="A140" s="48"/>
      <c r="B140" s="48"/>
      <c r="C140" s="48"/>
      <c r="D140" s="48"/>
      <c r="E140" s="48"/>
      <c r="F140" s="48"/>
      <c r="G140" s="48"/>
      <c r="H140" s="48"/>
      <c r="I140" s="48"/>
      <c r="J140" s="48"/>
      <c r="K140" s="48"/>
      <c r="O140" s="48"/>
    </row>
    <row r="141" spans="1:15" x14ac:dyDescent="0.3">
      <c r="A141" s="48"/>
      <c r="B141" s="48"/>
      <c r="C141" s="48"/>
      <c r="D141" s="48"/>
      <c r="E141" s="48"/>
      <c r="F141" s="48"/>
      <c r="G141" s="48"/>
      <c r="H141" s="48"/>
      <c r="I141" s="48"/>
      <c r="J141" s="48"/>
      <c r="K141" s="48"/>
      <c r="O141" s="48"/>
    </row>
    <row r="142" spans="1:15" x14ac:dyDescent="0.3">
      <c r="A142" s="48"/>
      <c r="B142" s="48"/>
      <c r="C142" s="48"/>
      <c r="D142" s="48"/>
      <c r="E142" s="48"/>
      <c r="F142" s="48"/>
      <c r="G142" s="48"/>
      <c r="H142" s="48"/>
      <c r="I142" s="48"/>
      <c r="J142" s="48"/>
      <c r="K142" s="48"/>
      <c r="O142" s="48"/>
    </row>
    <row r="143" spans="1:15" x14ac:dyDescent="0.3">
      <c r="A143" s="48"/>
      <c r="B143" s="48"/>
      <c r="C143" s="48"/>
      <c r="D143" s="48"/>
      <c r="E143" s="48"/>
      <c r="F143" s="48"/>
      <c r="G143" s="48"/>
      <c r="H143" s="48"/>
      <c r="I143" s="48"/>
      <c r="J143" s="48"/>
      <c r="K143" s="48"/>
      <c r="O143" s="48"/>
    </row>
    <row r="144" spans="1:15" x14ac:dyDescent="0.3">
      <c r="A144" s="48"/>
      <c r="B144" s="48"/>
      <c r="C144" s="48"/>
      <c r="D144" s="48"/>
      <c r="E144" s="48"/>
      <c r="F144" s="48"/>
      <c r="G144" s="48"/>
      <c r="H144" s="48"/>
      <c r="I144" s="48"/>
      <c r="J144" s="48"/>
      <c r="K144" s="48"/>
      <c r="O144" s="48"/>
    </row>
    <row r="145" spans="1:15" x14ac:dyDescent="0.3">
      <c r="A145" s="48"/>
      <c r="B145" s="48"/>
      <c r="C145" s="48"/>
      <c r="D145" s="48"/>
      <c r="E145" s="48"/>
      <c r="F145" s="48"/>
      <c r="G145" s="48"/>
      <c r="H145" s="48"/>
      <c r="I145" s="48"/>
      <c r="J145" s="48"/>
      <c r="K145" s="48"/>
      <c r="O145" s="48"/>
    </row>
    <row r="146" spans="1:15" x14ac:dyDescent="0.3">
      <c r="A146" s="48"/>
      <c r="B146" s="48"/>
      <c r="C146" s="48"/>
      <c r="D146" s="48"/>
      <c r="E146" s="48"/>
      <c r="F146" s="48"/>
      <c r="G146" s="48"/>
      <c r="H146" s="48"/>
      <c r="I146" s="48"/>
      <c r="J146" s="48"/>
      <c r="K146" s="48"/>
      <c r="O146" s="48"/>
    </row>
    <row r="147" spans="1:15" x14ac:dyDescent="0.3">
      <c r="A147" s="48"/>
      <c r="B147" s="48"/>
      <c r="C147" s="48"/>
      <c r="D147" s="48"/>
      <c r="E147" s="48"/>
      <c r="F147" s="48"/>
      <c r="G147" s="48"/>
      <c r="H147" s="48"/>
      <c r="I147" s="48"/>
      <c r="J147" s="48"/>
      <c r="K147" s="48"/>
      <c r="O147" s="48"/>
    </row>
    <row r="148" spans="1:15" x14ac:dyDescent="0.3">
      <c r="A148" s="48"/>
      <c r="B148" s="48"/>
      <c r="C148" s="48"/>
      <c r="D148" s="48"/>
      <c r="E148" s="48"/>
      <c r="F148" s="48"/>
      <c r="G148" s="48"/>
      <c r="H148" s="48"/>
      <c r="I148" s="48"/>
      <c r="J148" s="48"/>
      <c r="K148" s="48"/>
      <c r="O148" s="48"/>
    </row>
    <row r="149" spans="1:15" x14ac:dyDescent="0.3">
      <c r="A149" s="48"/>
      <c r="B149" s="48"/>
      <c r="C149" s="48"/>
      <c r="D149" s="48"/>
      <c r="E149" s="48"/>
      <c r="F149" s="48"/>
      <c r="G149" s="48"/>
      <c r="H149" s="48"/>
      <c r="I149" s="48"/>
      <c r="J149" s="48"/>
      <c r="K149" s="48"/>
      <c r="O149" s="48"/>
    </row>
    <row r="150" spans="1:15" x14ac:dyDescent="0.3">
      <c r="A150" s="48"/>
      <c r="B150" s="48"/>
      <c r="C150" s="48"/>
      <c r="D150" s="48"/>
      <c r="E150" s="48"/>
      <c r="F150" s="48"/>
      <c r="G150" s="48"/>
      <c r="H150" s="48"/>
      <c r="I150" s="48"/>
      <c r="J150" s="48"/>
      <c r="K150" s="48"/>
      <c r="O150" s="48"/>
    </row>
    <row r="151" spans="1:15" x14ac:dyDescent="0.3">
      <c r="A151" s="48"/>
      <c r="B151" s="48"/>
      <c r="C151" s="48"/>
      <c r="D151" s="48"/>
      <c r="E151" s="48"/>
      <c r="F151" s="48"/>
      <c r="G151" s="48"/>
      <c r="H151" s="48"/>
      <c r="I151" s="48"/>
      <c r="J151" s="48"/>
      <c r="K151" s="48"/>
      <c r="O151" s="48"/>
    </row>
    <row r="152" spans="1:15" x14ac:dyDescent="0.3">
      <c r="A152" s="48"/>
      <c r="B152" s="48"/>
      <c r="C152" s="48"/>
      <c r="D152" s="48"/>
      <c r="E152" s="48"/>
      <c r="F152" s="48"/>
      <c r="G152" s="48"/>
      <c r="H152" s="48"/>
      <c r="I152" s="48"/>
      <c r="J152" s="48"/>
      <c r="K152" s="48"/>
      <c r="O152" s="48"/>
    </row>
    <row r="153" spans="1:15" x14ac:dyDescent="0.3">
      <c r="A153" s="48"/>
      <c r="B153" s="48"/>
      <c r="C153" s="48"/>
      <c r="D153" s="48"/>
      <c r="E153" s="48"/>
      <c r="F153" s="48"/>
      <c r="G153" s="48"/>
      <c r="H153" s="48"/>
      <c r="I153" s="48"/>
      <c r="J153" s="48"/>
      <c r="K153" s="48"/>
      <c r="O153" s="48"/>
    </row>
    <row r="154" spans="1:15" x14ac:dyDescent="0.3">
      <c r="O154" s="48"/>
    </row>
    <row r="155" spans="1:15" x14ac:dyDescent="0.3">
      <c r="O155" s="48"/>
    </row>
    <row r="156" spans="1:15" x14ac:dyDescent="0.3">
      <c r="O156" s="48"/>
    </row>
    <row r="157" spans="1:15" x14ac:dyDescent="0.3">
      <c r="O157" s="48"/>
    </row>
    <row r="158" spans="1:15" x14ac:dyDescent="0.3">
      <c r="O158" s="48"/>
    </row>
    <row r="159" spans="1:15" x14ac:dyDescent="0.3">
      <c r="O159" s="48"/>
    </row>
    <row r="160" spans="1:15" x14ac:dyDescent="0.3">
      <c r="O160" s="48"/>
    </row>
    <row r="161" spans="1:15" x14ac:dyDescent="0.3">
      <c r="O161" s="48"/>
    </row>
    <row r="162" spans="1:15" x14ac:dyDescent="0.3">
      <c r="O162" s="48"/>
    </row>
    <row r="163" spans="1:15" x14ac:dyDescent="0.3">
      <c r="O163" s="48"/>
    </row>
    <row r="164" spans="1:15" x14ac:dyDescent="0.3">
      <c r="O164" s="48"/>
    </row>
    <row r="165" spans="1:15" x14ac:dyDescent="0.3">
      <c r="O165" s="48"/>
    </row>
    <row r="166" spans="1:15" x14ac:dyDescent="0.3">
      <c r="O166" s="48"/>
    </row>
    <row r="167" spans="1:15" x14ac:dyDescent="0.3">
      <c r="O167" s="48"/>
    </row>
    <row r="168" spans="1:15" x14ac:dyDescent="0.3">
      <c r="O168" s="48"/>
    </row>
    <row r="169" spans="1:15" x14ac:dyDescent="0.3">
      <c r="O169" s="48"/>
    </row>
    <row r="170" spans="1:15" x14ac:dyDescent="0.3">
      <c r="A170" s="48"/>
      <c r="B170" s="48"/>
      <c r="C170" s="48"/>
      <c r="D170" s="48"/>
      <c r="E170" s="48"/>
      <c r="F170" s="48"/>
      <c r="G170" s="48"/>
      <c r="H170" s="48"/>
      <c r="I170" s="48"/>
      <c r="J170" s="48"/>
      <c r="K170" s="48"/>
      <c r="O170" s="48"/>
    </row>
    <row r="171" spans="1:15" x14ac:dyDescent="0.3">
      <c r="A171" s="48"/>
      <c r="B171" s="48"/>
      <c r="C171" s="48"/>
      <c r="D171" s="48"/>
      <c r="E171" s="48"/>
      <c r="F171" s="48"/>
      <c r="G171" s="48"/>
      <c r="H171" s="48"/>
      <c r="I171" s="48"/>
      <c r="J171" s="48"/>
      <c r="K171" s="48"/>
      <c r="O171" s="48"/>
    </row>
    <row r="172" spans="1:15" x14ac:dyDescent="0.3">
      <c r="A172" s="48"/>
      <c r="B172" s="48"/>
      <c r="C172" s="48"/>
      <c r="D172" s="48"/>
      <c r="E172" s="48"/>
      <c r="F172" s="48"/>
      <c r="G172" s="48"/>
      <c r="H172" s="48"/>
      <c r="I172" s="48"/>
      <c r="J172" s="48"/>
      <c r="K172" s="48"/>
      <c r="O172" s="48"/>
    </row>
    <row r="173" spans="1:15" x14ac:dyDescent="0.3">
      <c r="A173" s="48"/>
      <c r="B173" s="48"/>
      <c r="C173" s="48"/>
      <c r="D173" s="48"/>
      <c r="E173" s="48"/>
      <c r="F173" s="48"/>
      <c r="G173" s="48"/>
      <c r="H173" s="48"/>
      <c r="I173" s="48"/>
      <c r="J173" s="48"/>
      <c r="K173" s="48"/>
      <c r="O173" s="48"/>
    </row>
    <row r="174" spans="1:15" x14ac:dyDescent="0.3">
      <c r="A174" s="48"/>
      <c r="B174" s="48"/>
      <c r="C174" s="48"/>
      <c r="D174" s="48"/>
      <c r="E174" s="48"/>
      <c r="F174" s="48"/>
      <c r="G174" s="48"/>
      <c r="H174" s="48"/>
      <c r="I174" s="48"/>
      <c r="J174" s="48"/>
      <c r="K174" s="48"/>
      <c r="O174" s="48"/>
    </row>
    <row r="175" spans="1:15" x14ac:dyDescent="0.3">
      <c r="A175" s="48"/>
      <c r="B175" s="48"/>
      <c r="C175" s="48"/>
      <c r="D175" s="48"/>
      <c r="E175" s="48"/>
      <c r="F175" s="48"/>
      <c r="G175" s="48"/>
      <c r="H175" s="48"/>
      <c r="I175" s="48"/>
      <c r="J175" s="48"/>
      <c r="K175" s="48"/>
      <c r="O175" s="48"/>
    </row>
    <row r="176" spans="1:15" x14ac:dyDescent="0.3">
      <c r="A176" s="48"/>
      <c r="B176" s="48"/>
      <c r="C176" s="48"/>
      <c r="D176" s="48"/>
      <c r="E176" s="48"/>
      <c r="F176" s="48"/>
      <c r="G176" s="48"/>
      <c r="H176" s="48"/>
      <c r="I176" s="48"/>
      <c r="J176" s="48"/>
      <c r="K176" s="48"/>
      <c r="O176" s="48"/>
    </row>
  </sheetData>
  <hyperlinks>
    <hyperlink ref="A1" location="Innhold!A1" display="Tilbake" xr:uid="{00000000-0004-0000-0200-000000000000}"/>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IF107"/>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2.75" x14ac:dyDescent="0.2"/>
  <cols>
    <col min="1" max="1" width="49" style="59" customWidth="1"/>
    <col min="2" max="3" width="15.7109375" style="59" customWidth="1"/>
    <col min="4" max="4" width="8.7109375" style="59" customWidth="1"/>
    <col min="5" max="5" width="12.140625" style="59" bestFit="1" customWidth="1"/>
    <col min="6" max="6" width="4.7109375" style="59" customWidth="1"/>
    <col min="7" max="7" width="18.42578125" style="59" customWidth="1"/>
    <col min="8" max="8" width="17.7109375" style="59" customWidth="1"/>
    <col min="9" max="9" width="8.7109375" style="59" customWidth="1"/>
    <col min="10" max="10" width="12.140625" style="59" bestFit="1" customWidth="1"/>
    <col min="11" max="11" width="13.42578125" style="59" hidden="1" customWidth="1"/>
    <col min="12" max="12" width="14.7109375" style="59" hidden="1" customWidth="1"/>
    <col min="13" max="13" width="13.7109375" style="59" hidden="1" customWidth="1"/>
    <col min="14" max="15" width="15.7109375" style="59" hidden="1" customWidth="1"/>
    <col min="16" max="16" width="11.42578125" style="59" hidden="1" customWidth="1"/>
    <col min="17" max="19" width="11.42578125" style="59" customWidth="1"/>
    <col min="20" max="16384" width="11.42578125" style="59"/>
  </cols>
  <sheetData>
    <row r="1" spans="1:18" ht="20.25" x14ac:dyDescent="0.3">
      <c r="A1" s="52" t="s">
        <v>72</v>
      </c>
      <c r="B1" s="47" t="s">
        <v>52</v>
      </c>
      <c r="C1" s="48"/>
      <c r="D1" s="48"/>
      <c r="E1" s="48"/>
      <c r="F1" s="48"/>
      <c r="G1" s="48"/>
      <c r="H1" s="48"/>
      <c r="I1" s="48"/>
      <c r="J1" s="48"/>
      <c r="K1" s="48"/>
    </row>
    <row r="2" spans="1:18" ht="20.25" x14ac:dyDescent="0.3">
      <c r="A2" s="52" t="s">
        <v>73</v>
      </c>
      <c r="B2" s="48"/>
      <c r="C2" s="48"/>
      <c r="D2" s="48"/>
      <c r="E2" s="517"/>
      <c r="F2" s="50"/>
      <c r="G2" s="50"/>
      <c r="H2" s="50"/>
      <c r="I2" s="50"/>
      <c r="J2" s="50"/>
      <c r="K2" s="50"/>
      <c r="L2" s="518"/>
      <c r="M2" s="518"/>
      <c r="N2" s="518"/>
      <c r="O2" s="518"/>
      <c r="P2" s="518"/>
      <c r="Q2" s="518"/>
    </row>
    <row r="3" spans="1:18" ht="18.75" x14ac:dyDescent="0.3">
      <c r="A3" s="562" t="s">
        <v>74</v>
      </c>
      <c r="B3" s="562"/>
      <c r="C3" s="48"/>
      <c r="D3" s="48"/>
      <c r="E3" s="48"/>
      <c r="F3" s="48"/>
      <c r="G3" s="48"/>
      <c r="H3" s="48"/>
      <c r="I3" s="48"/>
      <c r="J3" s="48"/>
      <c r="K3" s="48"/>
    </row>
    <row r="4" spans="1:18" ht="18.75" x14ac:dyDescent="0.3">
      <c r="A4" s="54" t="s">
        <v>364</v>
      </c>
      <c r="B4" s="55"/>
      <c r="C4" s="56"/>
      <c r="D4" s="56"/>
      <c r="E4" s="57"/>
      <c r="F4" s="58"/>
      <c r="G4" s="55"/>
      <c r="H4" s="56"/>
      <c r="I4" s="56"/>
      <c r="J4" s="57"/>
      <c r="K4" s="48"/>
      <c r="L4" s="160"/>
      <c r="M4" s="161"/>
      <c r="N4" s="162"/>
      <c r="O4" s="161"/>
    </row>
    <row r="5" spans="1:18" ht="22.5" x14ac:dyDescent="0.3">
      <c r="A5" s="60"/>
      <c r="B5" s="563" t="s">
        <v>75</v>
      </c>
      <c r="C5" s="564"/>
      <c r="D5" s="564"/>
      <c r="E5" s="565"/>
      <c r="F5" s="62"/>
      <c r="G5" s="563" t="s">
        <v>351</v>
      </c>
      <c r="H5" s="564"/>
      <c r="I5" s="564"/>
      <c r="J5" s="565"/>
      <c r="K5" s="61"/>
      <c r="L5" s="566" t="s">
        <v>126</v>
      </c>
      <c r="M5" s="561"/>
      <c r="N5" s="560" t="s">
        <v>127</v>
      </c>
      <c r="O5" s="561"/>
    </row>
    <row r="6" spans="1:18" ht="18.75" x14ac:dyDescent="0.3">
      <c r="A6" s="63"/>
      <c r="B6" s="64"/>
      <c r="C6" s="65"/>
      <c r="D6" s="65" t="s">
        <v>76</v>
      </c>
      <c r="E6" s="66" t="s">
        <v>29</v>
      </c>
      <c r="F6" s="67"/>
      <c r="G6" s="64"/>
      <c r="H6" s="65"/>
      <c r="I6" s="65" t="s">
        <v>76</v>
      </c>
      <c r="J6" s="66" t="s">
        <v>29</v>
      </c>
      <c r="K6" s="72"/>
      <c r="L6" s="163"/>
      <c r="M6" s="164"/>
      <c r="N6" s="165"/>
      <c r="O6" s="164"/>
    </row>
    <row r="7" spans="1:18" ht="15.75" x14ac:dyDescent="0.25">
      <c r="A7" s="68" t="s">
        <v>77</v>
      </c>
      <c r="B7" s="69">
        <v>2024</v>
      </c>
      <c r="C7" s="69">
        <v>2025</v>
      </c>
      <c r="D7" s="70" t="s">
        <v>78</v>
      </c>
      <c r="E7" s="71" t="s">
        <v>30</v>
      </c>
      <c r="F7" s="67"/>
      <c r="G7" s="69">
        <v>2024</v>
      </c>
      <c r="H7" s="69">
        <v>2025</v>
      </c>
      <c r="I7" s="70" t="s">
        <v>78</v>
      </c>
      <c r="J7" s="71" t="s">
        <v>30</v>
      </c>
      <c r="K7" s="72"/>
      <c r="L7" s="166">
        <v>2015</v>
      </c>
      <c r="M7" s="167">
        <v>2016</v>
      </c>
      <c r="N7" s="168">
        <v>2015</v>
      </c>
      <c r="O7" s="167">
        <v>2016</v>
      </c>
      <c r="P7" s="59" t="s">
        <v>130</v>
      </c>
    </row>
    <row r="8" spans="1:18" ht="18.75" x14ac:dyDescent="0.3">
      <c r="A8" s="73" t="s">
        <v>0</v>
      </c>
      <c r="B8" s="97"/>
      <c r="C8" s="75"/>
      <c r="D8" s="76"/>
      <c r="E8" s="329"/>
      <c r="F8" s="134"/>
      <c r="G8" s="97"/>
      <c r="H8" s="97"/>
      <c r="I8" s="75"/>
      <c r="J8" s="329"/>
      <c r="K8" s="51"/>
      <c r="L8" s="169" t="s">
        <v>0</v>
      </c>
      <c r="M8" s="170"/>
      <c r="N8" s="171"/>
      <c r="O8" s="170"/>
      <c r="P8" s="59" t="s">
        <v>135</v>
      </c>
    </row>
    <row r="9" spans="1:18" ht="18.75" x14ac:dyDescent="0.3">
      <c r="A9" s="77" t="s">
        <v>79</v>
      </c>
      <c r="B9" s="134">
        <f>'DNB Livsforsikring'!B7+'DNB Livsforsikring'!B22+'DNB Livsforsikring'!B36+'DNB Livsforsikring'!B47+'DNB Livsforsikring'!B66+'DNB Livsforsikring'!B134</f>
        <v>2002337</v>
      </c>
      <c r="C9" s="134">
        <f>'DNB Livsforsikring'!C7+'DNB Livsforsikring'!C22+'DNB Livsforsikring'!C36+'DNB Livsforsikring'!C47+'DNB Livsforsikring'!C66+'DNB Livsforsikring'!C134</f>
        <v>2067563.5751900002</v>
      </c>
      <c r="D9" s="76">
        <f t="shared" ref="D9:D30" si="0">IF(B9=0, "    ---- ", IF(ABS(ROUND(100/B9*C9-100,1))&lt;999,ROUND(100/B9*C9-100,1),IF(ROUND(100/B9*C9-100,1)&gt;999,999,-999)))</f>
        <v>3.3</v>
      </c>
      <c r="E9" s="329">
        <f t="shared" ref="E9:E31" si="1">100/C$32*C9</f>
        <v>3.3695302020499596</v>
      </c>
      <c r="F9" s="75"/>
      <c r="G9" s="134">
        <f>'DNB Livsforsikring'!B10+'DNB Livsforsikring'!B29+'DNB Livsforsikring'!B37+'DNB Livsforsikring'!B87+'DNB Livsforsikring'!B135</f>
        <v>181950975.73127002</v>
      </c>
      <c r="H9" s="134">
        <f>'DNB Livsforsikring'!C10+'DNB Livsforsikring'!C29+'DNB Livsforsikring'!C37+'DNB Livsforsikring'!C87+'DNB Livsforsikring'!C135</f>
        <v>179801052.9743135</v>
      </c>
      <c r="I9" s="76">
        <f t="shared" ref="I9:I27" si="2">IF(G9=0, "    ---- ", IF(ABS(ROUND(100/G9*H9-100,1))&lt;999,ROUND(100/G9*H9-100,1),IF(ROUND(100/G9*H9-100,1)&gt;999,999,-999)))</f>
        <v>-1.2</v>
      </c>
      <c r="J9" s="329">
        <f t="shared" ref="J9:J31" si="3">100/H$32*H9</f>
        <v>12.46761092964937</v>
      </c>
      <c r="K9" s="159" t="s">
        <v>132</v>
      </c>
      <c r="L9" s="172" t="e">
        <f ca="1">INDIRECT("'" &amp;#REF! &amp; "'!" &amp; $P$7)</f>
        <v>#REF!</v>
      </c>
      <c r="M9" s="170" t="e">
        <f ca="1">INDIRECT("'" &amp;#REF! &amp; "'!" &amp; $P$8)</f>
        <v>#REF!</v>
      </c>
      <c r="N9" s="172" t="e">
        <f ca="1">INDIRECT("'" &amp;#REF! &amp; "'!" &amp;#REF!)</f>
        <v>#REF!</v>
      </c>
      <c r="O9" s="170" t="e">
        <f ca="1">INDIRECT("'" &amp;#REF! &amp; "'!" &amp; $P$9)</f>
        <v>#REF!</v>
      </c>
      <c r="P9" s="59" t="s">
        <v>140</v>
      </c>
    </row>
    <row r="10" spans="1:18" ht="18.75" x14ac:dyDescent="0.3">
      <c r="A10" s="77" t="s">
        <v>80</v>
      </c>
      <c r="B10" s="134">
        <f>'Eika Forsikring AS'!B7+'Eika Forsikring AS'!B22+'Eika Forsikring AS'!B36+'Eika Forsikring AS'!B47+'Eika Forsikring AS'!B66+'Eika Forsikring AS'!B134</f>
        <v>354498</v>
      </c>
      <c r="C10" s="134">
        <f>'Eika Forsikring AS'!C7+'Eika Forsikring AS'!C22+'Eika Forsikring AS'!C36+'Eika Forsikring AS'!C47+'Eika Forsikring AS'!C66+'Eika Forsikring AS'!C134</f>
        <v>0</v>
      </c>
      <c r="D10" s="76">
        <f t="shared" si="0"/>
        <v>-100</v>
      </c>
      <c r="E10" s="329">
        <f t="shared" si="1"/>
        <v>0</v>
      </c>
      <c r="F10" s="75"/>
      <c r="G10" s="134">
        <f>'Eika Forsikring AS'!B10+'Eika Forsikring AS'!B29+'Eika Forsikring AS'!B37+'Eika Forsikring AS'!B87+'Eika Forsikring AS'!B135</f>
        <v>0</v>
      </c>
      <c r="H10" s="134">
        <f>'Eika Forsikring AS'!C10+'Eika Forsikring AS'!C29+'Eika Forsikring AS'!C37+'Eika Forsikring AS'!C87+'Eika Forsikring AS'!C135</f>
        <v>0</v>
      </c>
      <c r="I10" s="76"/>
      <c r="J10" s="329">
        <f t="shared" si="3"/>
        <v>0</v>
      </c>
      <c r="K10" s="59" t="s">
        <v>128</v>
      </c>
      <c r="L10" s="172">
        <f ca="1">INDIRECT("'" &amp; $A9 &amp; "'!" &amp; $P$7)</f>
        <v>0</v>
      </c>
      <c r="M10" s="170">
        <f ca="1">INDIRECT("'" &amp; $A9 &amp; "'!" &amp; $P$8)</f>
        <v>0</v>
      </c>
      <c r="N10" s="172" t="e">
        <f ca="1">INDIRECT("'" &amp; $A9 &amp; "'!" &amp;#REF!)</f>
        <v>#REF!</v>
      </c>
      <c r="O10" s="170">
        <f ca="1">INDIRECT("'" &amp; $A9 &amp; "'!" &amp; $P$9)</f>
        <v>0</v>
      </c>
    </row>
    <row r="11" spans="1:18" ht="18.75" x14ac:dyDescent="0.3">
      <c r="A11" s="77" t="s">
        <v>367</v>
      </c>
      <c r="B11" s="134">
        <f>'Euro Accident'!B7+'Euro Accident'!B22+'Euro Accident'!B36+'Euro Accident'!B47+'Euro Accident'!B66+'Euro Accident'!B134</f>
        <v>70533</v>
      </c>
      <c r="C11" s="134">
        <f>'Euro Accident'!C7+'Euro Accident'!C22+'Euro Accident'!C36+'Euro Accident'!C47+'Euro Accident'!C66+'Euro Accident'!C134</f>
        <v>98235</v>
      </c>
      <c r="D11" s="76">
        <f t="shared" ref="D11" si="4">IF(B11=0, "    ---- ", IF(ABS(ROUND(100/B11*C11-100,1))&lt;999,ROUND(100/B11*C11-100,1),IF(ROUND(100/B11*C11-100,1)&gt;999,999,-999)))</f>
        <v>39.299999999999997</v>
      </c>
      <c r="E11" s="329">
        <f t="shared" si="1"/>
        <v>0.16009461734107006</v>
      </c>
      <c r="F11" s="75"/>
      <c r="G11" s="134">
        <f>'Euro Accident'!B10+'Euro Accident'!B29+'Euro Accident'!B37+'Euro Accident'!B87+'Euro Accident'!B135</f>
        <v>0</v>
      </c>
      <c r="H11" s="134">
        <f>'Euro Accident'!C10+'Euro Accident'!C29+'Euro Accident'!C37+'Euro Accident'!C87+'Euro Accident'!C135</f>
        <v>0</v>
      </c>
      <c r="I11" s="76"/>
      <c r="J11" s="329">
        <f t="shared" si="3"/>
        <v>0</v>
      </c>
      <c r="L11" s="172"/>
      <c r="M11" s="170"/>
      <c r="N11" s="172"/>
      <c r="O11" s="170"/>
    </row>
    <row r="12" spans="1:18" ht="18.75" x14ac:dyDescent="0.3">
      <c r="A12" s="77" t="s">
        <v>354</v>
      </c>
      <c r="B12" s="134">
        <f>'Fremtind Livsforsikring'!B7+'Fremtind Livsforsikring'!B22+'Fremtind Livsforsikring'!B36+'Fremtind Livsforsikring'!B47+'Fremtind Livsforsikring'!B66+'Fremtind Livsforsikring'!B134</f>
        <v>1904465.84512</v>
      </c>
      <c r="C12" s="134">
        <f>'Fremtind Livsforsikring'!C7+'Fremtind Livsforsikring'!C22+'Fremtind Livsforsikring'!C36+'Fremtind Livsforsikring'!C47+'Fremtind Livsforsikring'!C66+'Fremtind Livsforsikring'!C134</f>
        <v>2390090.1963299997</v>
      </c>
      <c r="D12" s="76">
        <f t="shared" si="0"/>
        <v>25.5</v>
      </c>
      <c r="E12" s="329">
        <f t="shared" si="1"/>
        <v>3.8951552439771393</v>
      </c>
      <c r="F12" s="75"/>
      <c r="G12" s="134">
        <f>'Fremtind Livsforsikring'!B10+'Fremtind Livsforsikring'!B29+'Fremtind Livsforsikring'!B37+'Fremtind Livsforsikring'!B87+'Fremtind Livsforsikring'!B135</f>
        <v>5629123.9688099995</v>
      </c>
      <c r="H12" s="134">
        <f>'Fremtind Livsforsikring'!C10+'Fremtind Livsforsikring'!C29+'Fremtind Livsforsikring'!C37+'Fremtind Livsforsikring'!C87+'Fremtind Livsforsikring'!C135</f>
        <v>6152461.3219000008</v>
      </c>
      <c r="I12" s="76">
        <f t="shared" si="2"/>
        <v>9.3000000000000007</v>
      </c>
      <c r="J12" s="329">
        <f t="shared" si="3"/>
        <v>0.42661871414136715</v>
      </c>
      <c r="K12" s="59" t="s">
        <v>133</v>
      </c>
      <c r="L12" s="172">
        <f ca="1">INDIRECT("'" &amp; $A10 &amp; "'!" &amp; $P$7)</f>
        <v>0</v>
      </c>
      <c r="M12" s="170">
        <f ca="1">INDIRECT("'" &amp; $A10 &amp; "'!" &amp; $P$8)</f>
        <v>0</v>
      </c>
      <c r="N12" s="172" t="e">
        <f ca="1">INDIRECT("'" &amp; $A10 &amp; "'!" &amp;#REF!)</f>
        <v>#REF!</v>
      </c>
      <c r="O12" s="170">
        <f ca="1">INDIRECT("'" &amp; $A10 &amp; "'!" &amp; $P$9)</f>
        <v>0</v>
      </c>
      <c r="R12" s="426"/>
    </row>
    <row r="13" spans="1:18" ht="18.75" x14ac:dyDescent="0.3">
      <c r="A13" s="77" t="s">
        <v>81</v>
      </c>
      <c r="B13" s="134">
        <f>'Frende Livsforsikring'!B7+'Frende Livsforsikring'!B22+'Frende Livsforsikring'!B36+'Frende Livsforsikring'!B47+'Frende Livsforsikring'!B66+'Frende Livsforsikring'!B134</f>
        <v>629116</v>
      </c>
      <c r="C13" s="134">
        <f>'Frende Livsforsikring'!C7+'Frende Livsforsikring'!C22+'Frende Livsforsikring'!C36+'Frende Livsforsikring'!C47+'Frende Livsforsikring'!C66+'Frende Livsforsikring'!C134</f>
        <v>713852</v>
      </c>
      <c r="D13" s="76">
        <f t="shared" si="0"/>
        <v>13.5</v>
      </c>
      <c r="E13" s="329">
        <f t="shared" si="1"/>
        <v>1.1633721461613227</v>
      </c>
      <c r="F13" s="75"/>
      <c r="G13" s="134">
        <f>'Frende Livsforsikring'!B10+'Frende Livsforsikring'!B29+'Frende Livsforsikring'!B37+'Frende Livsforsikring'!B87+'Frende Livsforsikring'!B135</f>
        <v>1980592</v>
      </c>
      <c r="H13" s="134">
        <f>'Frende Livsforsikring'!C10+'Frende Livsforsikring'!C29+'Frende Livsforsikring'!C37+'Frende Livsforsikring'!C87+'Frende Livsforsikring'!C135</f>
        <v>2400799</v>
      </c>
      <c r="I13" s="76">
        <f t="shared" si="2"/>
        <v>21.2</v>
      </c>
      <c r="J13" s="329">
        <f t="shared" si="3"/>
        <v>0.16647415216510114</v>
      </c>
      <c r="L13" s="172"/>
      <c r="M13" s="170"/>
      <c r="N13" s="172"/>
      <c r="O13" s="170"/>
    </row>
    <row r="14" spans="1:18" ht="18.75" x14ac:dyDescent="0.3">
      <c r="A14" s="77" t="s">
        <v>82</v>
      </c>
      <c r="B14" s="134">
        <f>'Frende Skadeforsikring'!B7+'Frende Skadeforsikring'!B22+'Frende Skadeforsikring'!B36+'Frende Skadeforsikring'!B47+'Frende Skadeforsikring'!B66+'Frende Skadeforsikring'!B134</f>
        <v>4207.2179999999998</v>
      </c>
      <c r="C14" s="134">
        <f>'Frende Skadeforsikring'!C7+'Frende Skadeforsikring'!C22+'Frende Skadeforsikring'!C36+'Frende Skadeforsikring'!C47+'Frende Skadeforsikring'!C66+'Frende Skadeforsikring'!C134</f>
        <v>285.51499999999999</v>
      </c>
      <c r="D14" s="76">
        <f t="shared" si="0"/>
        <v>-93.2</v>
      </c>
      <c r="E14" s="329">
        <f t="shared" si="1"/>
        <v>4.6530681193195512E-4</v>
      </c>
      <c r="F14" s="75"/>
      <c r="G14" s="134">
        <f>'Frende Skadeforsikring'!B10+'Frende Skadeforsikring'!B29+'Frende Skadeforsikring'!B37+'Frende Skadeforsikring'!B87+'Frende Skadeforsikring'!B135</f>
        <v>0</v>
      </c>
      <c r="H14" s="134">
        <f>'Frende Skadeforsikring'!C10+'Frende Skadeforsikring'!C29+'Frende Skadeforsikring'!C37+'Frende Skadeforsikring'!C87+'Frende Skadeforsikring'!C135</f>
        <v>0</v>
      </c>
      <c r="I14" s="76"/>
      <c r="J14" s="329">
        <f t="shared" si="3"/>
        <v>0</v>
      </c>
      <c r="K14" s="59" t="s">
        <v>129</v>
      </c>
      <c r="L14" s="172">
        <f t="shared" ref="L14:L30" ca="1" si="5">INDIRECT("'" &amp; $A13 &amp; "'!" &amp; $P$7)</f>
        <v>0</v>
      </c>
      <c r="M14" s="170">
        <f t="shared" ref="M14:M30" ca="1" si="6">INDIRECT("'" &amp; $A13 &amp; "'!" &amp; $P$8)</f>
        <v>0</v>
      </c>
      <c r="N14" s="172" t="e">
        <f ca="1">INDIRECT("'" &amp; $A13 &amp; "'!" &amp;#REF!)</f>
        <v>#REF!</v>
      </c>
      <c r="O14" s="170">
        <f t="shared" ref="O14:O30" ca="1" si="7">INDIRECT("'" &amp; $A13 &amp; "'!" &amp; $P$9)</f>
        <v>0</v>
      </c>
    </row>
    <row r="15" spans="1:18" ht="18.75" x14ac:dyDescent="0.3">
      <c r="A15" s="77" t="s">
        <v>83</v>
      </c>
      <c r="B15" s="134">
        <f>'Gjensidige Forsikring'!B7+'Gjensidige Forsikring'!B22+'Gjensidige Forsikring'!B36+'Gjensidige Forsikring'!B47+'Gjensidige Forsikring'!B66+'Gjensidige Forsikring'!B134</f>
        <v>1777605.365</v>
      </c>
      <c r="C15" s="134">
        <f>'Gjensidige Forsikring'!C7+'Gjensidige Forsikring'!C22+'Gjensidige Forsikring'!C36+'Gjensidige Forsikring'!C47+'Gjensidige Forsikring'!C66+'Gjensidige Forsikring'!C134</f>
        <v>1866326.6609999998</v>
      </c>
      <c r="D15" s="76">
        <f t="shared" si="0"/>
        <v>5</v>
      </c>
      <c r="E15" s="329">
        <f t="shared" si="1"/>
        <v>3.0415722769504954</v>
      </c>
      <c r="F15" s="75"/>
      <c r="G15" s="134">
        <f>'Gjensidige Forsikring'!B10+'Gjensidige Forsikring'!B29+'Gjensidige Forsikring'!B37+'Gjensidige Forsikring'!B87+'Gjensidige Forsikring'!B135</f>
        <v>0</v>
      </c>
      <c r="H15" s="134">
        <f>'Gjensidige Forsikring'!C10+'Gjensidige Forsikring'!C29+'Gjensidige Forsikring'!C37+'Gjensidige Forsikring'!C87+'Gjensidige Forsikring'!C135</f>
        <v>0</v>
      </c>
      <c r="I15" s="76"/>
      <c r="J15" s="329">
        <f t="shared" si="3"/>
        <v>0</v>
      </c>
      <c r="K15" s="59" t="s">
        <v>134</v>
      </c>
      <c r="L15" s="172">
        <f t="shared" ca="1" si="5"/>
        <v>0</v>
      </c>
      <c r="M15" s="170">
        <f t="shared" ca="1" si="6"/>
        <v>0</v>
      </c>
      <c r="N15" s="172" t="e">
        <f ca="1">INDIRECT("'" &amp; $A14 &amp; "'!" &amp;#REF!)</f>
        <v>#REF!</v>
      </c>
      <c r="O15" s="170">
        <f t="shared" ca="1" si="7"/>
        <v>0</v>
      </c>
    </row>
    <row r="16" spans="1:18" ht="18.75" x14ac:dyDescent="0.3">
      <c r="A16" s="77" t="s">
        <v>84</v>
      </c>
      <c r="B16" s="134">
        <f>'Gjensidige Pensjon'!B7+'Gjensidige Pensjon'!B22+'Gjensidige Pensjon'!B36+'Gjensidige Pensjon'!B47+'Gjensidige Pensjon'!B66+'Gjensidige Pensjon'!B134</f>
        <v>555519</v>
      </c>
      <c r="C16" s="134">
        <f>'Gjensidige Pensjon'!C7+'Gjensidige Pensjon'!C22+'Gjensidige Pensjon'!C36+'Gjensidige Pensjon'!C47+'Gjensidige Pensjon'!C66+'Gjensidige Pensjon'!C134</f>
        <v>641764</v>
      </c>
      <c r="D16" s="76">
        <f t="shared" si="0"/>
        <v>15.5</v>
      </c>
      <c r="E16" s="329">
        <f t="shared" si="1"/>
        <v>1.0458895709601921</v>
      </c>
      <c r="F16" s="75"/>
      <c r="G16" s="134">
        <f>'Gjensidige Pensjon'!B10+'Gjensidige Pensjon'!B29+'Gjensidige Pensjon'!B37+'Gjensidige Pensjon'!B87+'Gjensidige Pensjon'!B135</f>
        <v>10373836</v>
      </c>
      <c r="H16" s="134">
        <f>'Gjensidige Pensjon'!C10+'Gjensidige Pensjon'!C29+'Gjensidige Pensjon'!C37+'Gjensidige Pensjon'!C87+'Gjensidige Pensjon'!C135</f>
        <v>11504106</v>
      </c>
      <c r="I16" s="76">
        <f t="shared" si="2"/>
        <v>10.9</v>
      </c>
      <c r="J16" s="329">
        <f t="shared" si="3"/>
        <v>0.79770788506970103</v>
      </c>
      <c r="K16" s="59" t="s">
        <v>130</v>
      </c>
      <c r="L16" s="172">
        <f t="shared" ca="1" si="5"/>
        <v>0</v>
      </c>
      <c r="M16" s="170">
        <f t="shared" ca="1" si="6"/>
        <v>0</v>
      </c>
      <c r="N16" s="172" t="e">
        <f ca="1">INDIRECT("'" &amp; $A15 &amp; "'!" &amp;#REF!)</f>
        <v>#REF!</v>
      </c>
      <c r="O16" s="170">
        <f t="shared" ca="1" si="7"/>
        <v>0</v>
      </c>
    </row>
    <row r="17" spans="1:21" ht="18.75" x14ac:dyDescent="0.3">
      <c r="A17" s="77" t="s">
        <v>85</v>
      </c>
      <c r="B17" s="134">
        <f>'If Skadeforsikring NUF'!B7+'If Skadeforsikring NUF'!B22+'If Skadeforsikring NUF'!B36+'If Skadeforsikring NUF'!B47+'If Skadeforsikring NUF'!B66+'If Skadeforsikring NUF'!B134</f>
        <v>430213.39947497001</v>
      </c>
      <c r="C17" s="134">
        <f>'If Skadeforsikring NUF'!C7+'If Skadeforsikring NUF'!C22+'If Skadeforsikring NUF'!C36+'If Skadeforsikring NUF'!C47+'If Skadeforsikring NUF'!C66+'If Skadeforsikring NUF'!C134</f>
        <v>391618.657460585</v>
      </c>
      <c r="D17" s="76">
        <f t="shared" si="0"/>
        <v>-9</v>
      </c>
      <c r="E17" s="329">
        <f t="shared" si="1"/>
        <v>0.63822506346796903</v>
      </c>
      <c r="F17" s="75"/>
      <c r="G17" s="134">
        <f>'If Skadeforsikring NUF'!B10+'If Skadeforsikring NUF'!B29+'If Skadeforsikring NUF'!B37+'If Skadeforsikring NUF'!B87+'If Skadeforsikring NUF'!B135</f>
        <v>0</v>
      </c>
      <c r="H17" s="134">
        <f>'If Skadeforsikring NUF'!C10+'If Skadeforsikring NUF'!C29+'If Skadeforsikring NUF'!C37+'If Skadeforsikring NUF'!C87+'If Skadeforsikring NUF'!C135</f>
        <v>0</v>
      </c>
      <c r="I17" s="76"/>
      <c r="J17" s="329">
        <f t="shared" si="3"/>
        <v>0</v>
      </c>
      <c r="K17" s="51"/>
      <c r="L17" s="172" t="e">
        <f ca="1">INDIRECT("'" &amp;#REF! &amp; "'!" &amp; $P$7)</f>
        <v>#REF!</v>
      </c>
      <c r="M17" s="170" t="e">
        <f ca="1">INDIRECT("'" &amp;#REF! &amp; "'!" &amp; $P$8)</f>
        <v>#REF!</v>
      </c>
      <c r="N17" s="172" t="e">
        <f ca="1">INDIRECT("'" &amp;#REF! &amp; "'!" &amp;#REF!)</f>
        <v>#REF!</v>
      </c>
      <c r="O17" s="170" t="e">
        <f ca="1">INDIRECT("'" &amp;#REF! &amp; "'!" &amp; $P$9)</f>
        <v>#REF!</v>
      </c>
    </row>
    <row r="18" spans="1:21" ht="18.75" x14ac:dyDescent="0.3">
      <c r="A18" s="77" t="s">
        <v>61</v>
      </c>
      <c r="B18" s="134">
        <f>KLP!B7+KLP!B22+KLP!B36+KLP!B47+KLP!B66+KLP!B134</f>
        <v>37126670.17317</v>
      </c>
      <c r="C18" s="134">
        <f>KLP!C7+KLP!C22+KLP!C36+KLP!C47+KLP!C66+KLP!C134</f>
        <v>42529293.928260006</v>
      </c>
      <c r="D18" s="76">
        <f t="shared" si="0"/>
        <v>14.6</v>
      </c>
      <c r="E18" s="329">
        <f t="shared" si="1"/>
        <v>69.310439631808208</v>
      </c>
      <c r="F18" s="75"/>
      <c r="G18" s="134">
        <f>KLP!B10+KLP!B29+KLP!B37+KLP!B87+KLP!B135</f>
        <v>775383061.84458005</v>
      </c>
      <c r="H18" s="134">
        <f>KLP!C10+KLP!C29+KLP!C37+KLP!C87+KLP!C135</f>
        <v>844010013.91703999</v>
      </c>
      <c r="I18" s="76">
        <f t="shared" si="2"/>
        <v>8.9</v>
      </c>
      <c r="J18" s="329">
        <f t="shared" si="3"/>
        <v>58.524620963976766</v>
      </c>
      <c r="K18" s="51"/>
      <c r="L18" s="172" t="e">
        <f ca="1">INDIRECT("'" &amp;#REF! &amp; "'!" &amp; $P$7)</f>
        <v>#REF!</v>
      </c>
      <c r="M18" s="170" t="e">
        <f ca="1">INDIRECT("'" &amp;#REF! &amp; "'!" &amp; $P$8)</f>
        <v>#REF!</v>
      </c>
      <c r="N18" s="172" t="e">
        <f ca="1">INDIRECT("'" &amp;#REF! &amp; "'!" &amp;#REF!)</f>
        <v>#REF!</v>
      </c>
      <c r="O18" s="170" t="e">
        <f ca="1">INDIRECT("'" &amp;#REF! &amp; "'!" &amp; $P$9)</f>
        <v>#REF!</v>
      </c>
    </row>
    <row r="19" spans="1:21" ht="18.75" x14ac:dyDescent="0.3">
      <c r="A19" s="77" t="s">
        <v>86</v>
      </c>
      <c r="B19" s="134">
        <f>'KLP Skadeforsikring AS'!B7+'KLP Skadeforsikring AS'!B22+'KLP Skadeforsikring AS'!B36+'KLP Skadeforsikring AS'!B47+'KLP Skadeforsikring AS'!B66+'KLP Skadeforsikring AS'!B134</f>
        <v>323278.35000000003</v>
      </c>
      <c r="C19" s="134">
        <f>'KLP Skadeforsikring AS'!C7+'KLP Skadeforsikring AS'!C22+'KLP Skadeforsikring AS'!C36+'KLP Skadeforsikring AS'!C47+'KLP Skadeforsikring AS'!C66+'KLP Skadeforsikring AS'!C134</f>
        <v>357541.45800000004</v>
      </c>
      <c r="D19" s="76">
        <f t="shared" si="0"/>
        <v>10.6</v>
      </c>
      <c r="E19" s="329">
        <f t="shared" si="1"/>
        <v>0.58268909148550185</v>
      </c>
      <c r="F19" s="75"/>
      <c r="G19" s="134">
        <f>'KLP Skadeforsikring AS'!B10+'KLP Skadeforsikring AS'!B29+'KLP Skadeforsikring AS'!B37+'KLP Skadeforsikring AS'!B87+'KLP Skadeforsikring AS'!B135</f>
        <v>144158.478</v>
      </c>
      <c r="H19" s="134">
        <f>'KLP Skadeforsikring AS'!C10+'KLP Skadeforsikring AS'!C29+'KLP Skadeforsikring AS'!C37+'KLP Skadeforsikring AS'!C87+'KLP Skadeforsikring AS'!C135</f>
        <v>200305</v>
      </c>
      <c r="I19" s="76">
        <f t="shared" si="2"/>
        <v>38.9</v>
      </c>
      <c r="J19" s="329">
        <f t="shared" si="3"/>
        <v>1.3889378098470795E-2</v>
      </c>
      <c r="K19" s="51"/>
      <c r="L19" s="172">
        <f ca="1">INDIRECT("'" &amp; $A31 &amp; "'!" &amp; $P$7)</f>
        <v>0</v>
      </c>
      <c r="M19" s="170">
        <f ca="1">INDIRECT("'" &amp; $A31 &amp; "'!" &amp; $P$8)</f>
        <v>0</v>
      </c>
      <c r="N19" s="172" t="e">
        <f ca="1">INDIRECT("'" &amp; $A31 &amp; "'!" &amp;#REF!)</f>
        <v>#REF!</v>
      </c>
      <c r="O19" s="170">
        <f ca="1">INDIRECT("'" &amp; $A31 &amp; "'!" &amp; $P$9)</f>
        <v>0</v>
      </c>
    </row>
    <row r="20" spans="1:21" ht="18.75" x14ac:dyDescent="0.3">
      <c r="A20" s="77" t="s">
        <v>361</v>
      </c>
      <c r="B20" s="134">
        <f>'Landkreditt Forsikring'!B7+'Landkreditt Forsikring'!B22+'Landkreditt Forsikring'!B36+'Landkreditt Forsikring'!B47+'Landkreditt Forsikring'!B66+'Landkreditt Forsikring'!B134</f>
        <v>30587</v>
      </c>
      <c r="C20" s="134">
        <f>'Landkreditt Forsikring'!C7+'Landkreditt Forsikring'!C22+'Landkreditt Forsikring'!C36+'Landkreditt Forsikring'!C47+'Landkreditt Forsikring'!C66+'Landkreditt Forsikring'!C134</f>
        <v>92029</v>
      </c>
      <c r="D20" s="76">
        <f t="shared" si="0"/>
        <v>200.9</v>
      </c>
      <c r="E20" s="329">
        <f t="shared" si="1"/>
        <v>0.14998063357541949</v>
      </c>
      <c r="F20" s="75"/>
      <c r="G20" s="134">
        <f>'Landkreditt Forsikring'!B10+'Landkreditt Forsikring'!B29+'Landkreditt Forsikring'!B37+'Landkreditt Forsikring'!B87+'Landkreditt Forsikring'!B135</f>
        <v>0</v>
      </c>
      <c r="H20" s="134">
        <f>'Landkreditt Forsikring'!C10+'Landkreditt Forsikring'!C29+'Landkreditt Forsikring'!C37+'Landkreditt Forsikring'!C87+'Landkreditt Forsikring'!C135</f>
        <v>0</v>
      </c>
      <c r="I20" s="76"/>
      <c r="J20" s="329">
        <f t="shared" si="3"/>
        <v>0</v>
      </c>
      <c r="K20" s="51"/>
      <c r="L20" s="172">
        <f t="shared" ca="1" si="5"/>
        <v>0</v>
      </c>
      <c r="M20" s="170">
        <f t="shared" ca="1" si="6"/>
        <v>0</v>
      </c>
      <c r="N20" s="172" t="e">
        <f ca="1">INDIRECT("'" &amp; $A19 &amp; "'!" &amp;#REF!)</f>
        <v>#REF!</v>
      </c>
      <c r="O20" s="170">
        <f t="shared" ca="1" si="7"/>
        <v>0</v>
      </c>
    </row>
    <row r="21" spans="1:21" ht="18.75" x14ac:dyDescent="0.3">
      <c r="A21" s="77" t="s">
        <v>371</v>
      </c>
      <c r="B21" s="134">
        <f>'Ly Forsikring'!B7+'Ly Forsikring'!B22+'Ly Forsikring'!B36+'Ly Forsikring'!B47+'Ly Forsikring'!B66+'Ly Forsikring'!B134</f>
        <v>21876</v>
      </c>
      <c r="C21" s="134">
        <f>'Ly Forsikring'!C7+'Ly Forsikring'!C22+'Ly Forsikring'!C36+'Ly Forsikring'!C47+'Ly Forsikring'!C66+'Ly Forsikring'!C134</f>
        <v>23419.9</v>
      </c>
      <c r="D21" s="76">
        <f t="shared" ref="D21" si="8">IF(B21=0, "    ---- ", IF(ABS(ROUND(100/B21*C21-100,1))&lt;999,ROUND(100/B21*C21-100,1),IF(ROUND(100/B21*C21-100,1)&gt;999,999,-999)))</f>
        <v>7.1</v>
      </c>
      <c r="E21" s="329">
        <f t="shared" si="1"/>
        <v>3.8167658458452963E-2</v>
      </c>
      <c r="F21" s="75"/>
      <c r="G21" s="134">
        <f>'Ly Forsikring'!B10+'Ly Forsikring'!B29+'Ly Forsikring'!B37+'Ly Forsikring'!B87+'Ly Forsikring'!B135</f>
        <v>0</v>
      </c>
      <c r="H21" s="134">
        <f>'Ly Forsikring'!C10+'Ly Forsikring'!C29+'Ly Forsikring'!C37+'Ly Forsikring'!C87+'Ly Forsikring'!C135</f>
        <v>0</v>
      </c>
      <c r="I21" s="76"/>
      <c r="J21" s="329">
        <f t="shared" si="3"/>
        <v>0</v>
      </c>
      <c r="K21" s="51"/>
      <c r="L21" s="172"/>
      <c r="M21" s="170"/>
      <c r="N21" s="172"/>
      <c r="O21" s="170"/>
    </row>
    <row r="22" spans="1:21" ht="18.75" x14ac:dyDescent="0.3">
      <c r="A22" s="77" t="s">
        <v>87</v>
      </c>
      <c r="B22" s="134">
        <f>'Nordea Liv '!B7+'Nordea Liv '!B22+'Nordea Liv '!B36+'Nordea Liv '!B47+'Nordea Liv '!B66+'Nordea Liv '!B134</f>
        <v>1101856.443037055</v>
      </c>
      <c r="C22" s="134">
        <f>'Nordea Liv '!C7+'Nordea Liv '!C22+'Nordea Liv '!C36+'Nordea Liv '!C47+'Nordea Liv '!C66+'Nordea Liv '!C134</f>
        <v>1173037.9469572529</v>
      </c>
      <c r="D22" s="76">
        <f t="shared" si="0"/>
        <v>6.5</v>
      </c>
      <c r="E22" s="329">
        <f t="shared" si="1"/>
        <v>1.9117123351623742</v>
      </c>
      <c r="F22" s="75"/>
      <c r="G22" s="134">
        <f>'Nordea Liv '!B10+'Nordea Liv '!B29+'Nordea Liv '!B37+'Nordea Liv '!B87+'Nordea Liv '!B135</f>
        <v>54677939.999999009</v>
      </c>
      <c r="H22" s="134">
        <f>'Nordea Liv '!C10+'Nordea Liv '!C29+'Nordea Liv '!C37+'Nordea Liv '!C87+'Nordea Liv '!C135</f>
        <v>55506749.999999546</v>
      </c>
      <c r="I22" s="76">
        <f t="shared" si="2"/>
        <v>1.5</v>
      </c>
      <c r="J22" s="329">
        <f t="shared" si="3"/>
        <v>3.8489016138752778</v>
      </c>
      <c r="K22" s="51"/>
      <c r="L22" s="172">
        <f ca="1">INDIRECT("'" &amp; $A20 &amp; "'!" &amp; $P$7)</f>
        <v>0</v>
      </c>
      <c r="M22" s="170">
        <f ca="1">INDIRECT("'" &amp; $A20 &amp; "'!" &amp; $P$8)</f>
        <v>0</v>
      </c>
      <c r="N22" s="172" t="e">
        <f ca="1">INDIRECT("'" &amp; $A20 &amp; "'!" &amp;#REF!)</f>
        <v>#REF!</v>
      </c>
      <c r="O22" s="170">
        <f ca="1">INDIRECT("'" &amp; $A20 &amp; "'!" &amp; $P$9)</f>
        <v>0</v>
      </c>
    </row>
    <row r="23" spans="1:21" ht="18.75" x14ac:dyDescent="0.3">
      <c r="A23" s="77" t="s">
        <v>406</v>
      </c>
      <c r="B23" s="134">
        <f>'Oslo Forsikring'!B7+'Oslo Forsikring'!B22+'Oslo Forsikring'!B36+'Oslo Forsikring'!B47+'Oslo Forsikring'!B66+'Oslo Forsikring'!B134</f>
        <v>16932</v>
      </c>
      <c r="C23" s="134">
        <f>'Oslo Forsikring'!C7+'Oslo Forsikring'!C22+'Oslo Forsikring'!C36+'Oslo Forsikring'!C47+'Oslo Forsikring'!C66+'Oslo Forsikring'!C134</f>
        <v>18037</v>
      </c>
      <c r="D23" s="76">
        <f t="shared" ref="D23" si="9">IF(B23=0, "    ---- ", IF(ABS(ROUND(100/B23*C23-100,1))&lt;999,ROUND(100/B23*C23-100,1),IF(ROUND(100/B23*C23-100,1)&gt;999,999,-999)))</f>
        <v>6.5</v>
      </c>
      <c r="E23" s="329">
        <f t="shared" si="1"/>
        <v>2.9395089458755845E-2</v>
      </c>
      <c r="F23" s="75"/>
      <c r="G23" s="134">
        <f>'Oslo Forsikring'!B10+'Oslo Forsikring'!B29+'Oslo Forsikring'!B37+'Oslo Forsikring'!B87+'Oslo Forsikring'!B135</f>
        <v>0</v>
      </c>
      <c r="H23" s="134">
        <f>'Oslo Forsikring'!C10+'Oslo Forsikring'!C29+'Oslo Forsikring'!C37+'Oslo Forsikring'!C87+'Oslo Forsikring'!C135</f>
        <v>0</v>
      </c>
      <c r="I23" s="76"/>
      <c r="J23" s="329">
        <f t="shared" si="3"/>
        <v>0</v>
      </c>
      <c r="K23" s="51"/>
      <c r="L23" s="172"/>
      <c r="M23" s="170"/>
      <c r="N23" s="172"/>
      <c r="O23" s="170"/>
    </row>
    <row r="24" spans="1:21" ht="18.75" x14ac:dyDescent="0.3">
      <c r="A24" s="77" t="s">
        <v>88</v>
      </c>
      <c r="B24" s="134">
        <f>'Oslo Pensjonsforsikring'!B7+'Oslo Pensjonsforsikring'!B22+'Oslo Pensjonsforsikring'!B36+'Oslo Pensjonsforsikring'!B47+'Oslo Pensjonsforsikring'!B66+'Oslo Pensjonsforsikring'!B134</f>
        <v>1975000</v>
      </c>
      <c r="C24" s="134">
        <f>'Oslo Pensjonsforsikring'!C7+'Oslo Pensjonsforsikring'!C22+'Oslo Pensjonsforsikring'!C36+'Oslo Pensjonsforsikring'!C47+'Oslo Pensjonsforsikring'!C66+'Oslo Pensjonsforsikring'!C134</f>
        <v>1994000</v>
      </c>
      <c r="D24" s="76">
        <f t="shared" si="0"/>
        <v>1</v>
      </c>
      <c r="E24" s="329">
        <f t="shared" si="1"/>
        <v>3.2496428663724095</v>
      </c>
      <c r="F24" s="75"/>
      <c r="G24" s="134">
        <f>'Oslo Pensjonsforsikring'!B10+'Oslo Pensjonsforsikring'!B29+'Oslo Pensjonsforsikring'!B37+'Oslo Pensjonsforsikring'!B87+'Oslo Pensjonsforsikring'!B135</f>
        <v>92155000</v>
      </c>
      <c r="H24" s="134">
        <f>'Oslo Pensjonsforsikring'!C10+'Oslo Pensjonsforsikring'!C29+'Oslo Pensjonsforsikring'!C37+'Oslo Pensjonsforsikring'!C87+'Oslo Pensjonsforsikring'!C135</f>
        <v>98281000</v>
      </c>
      <c r="I24" s="76">
        <f t="shared" si="2"/>
        <v>6.6</v>
      </c>
      <c r="J24" s="329">
        <f t="shared" si="3"/>
        <v>6.8149170959077816</v>
      </c>
      <c r="K24" s="51"/>
      <c r="L24" s="172">
        <f ca="1">INDIRECT("'" &amp; $A22 &amp; "'!" &amp; $P$7)</f>
        <v>0</v>
      </c>
      <c r="M24" s="170">
        <f ca="1">INDIRECT("'" &amp; $A22 &amp; "'!" &amp; $P$8)</f>
        <v>0</v>
      </c>
      <c r="N24" s="172" t="e">
        <f ca="1">INDIRECT("'" &amp; $A22 &amp; "'!" &amp;#REF!)</f>
        <v>#REF!</v>
      </c>
      <c r="O24" s="170">
        <f ca="1">INDIRECT("'" &amp; $A22 &amp; "'!" &amp; $P$9)</f>
        <v>0</v>
      </c>
    </row>
    <row r="25" spans="1:21" ht="18.75" x14ac:dyDescent="0.3">
      <c r="A25" s="77" t="s">
        <v>322</v>
      </c>
      <c r="B25" s="134">
        <f>'Protector Forsikring'!B7+'Protector Forsikring'!B22+'Protector Forsikring'!B36+'Protector Forsikring'!B47+'Protector Forsikring'!B66+'Protector Forsikring'!B134</f>
        <v>369670</v>
      </c>
      <c r="C25" s="134">
        <f>'Protector Forsikring'!C7+'Protector Forsikring'!C22+'Protector Forsikring'!C36+'Protector Forsikring'!C47+'Protector Forsikring'!C66+'Protector Forsikring'!C134</f>
        <v>390469</v>
      </c>
      <c r="D25" s="76">
        <f t="shared" si="0"/>
        <v>5.6</v>
      </c>
      <c r="E25" s="329">
        <f t="shared" si="1"/>
        <v>0.63635145455845965</v>
      </c>
      <c r="F25" s="75"/>
      <c r="G25" s="134">
        <f>'Protector Forsikring'!B10+'Protector Forsikring'!B29+'Protector Forsikring'!B37+'Protector Forsikring'!B87+'Protector Forsikring'!B135</f>
        <v>0</v>
      </c>
      <c r="H25" s="134">
        <f>'Protector Forsikring'!C10+'Protector Forsikring'!C29+'Protector Forsikring'!C37+'Protector Forsikring'!C87+'Protector Forsikring'!C135</f>
        <v>0</v>
      </c>
      <c r="I25" s="76"/>
      <c r="J25" s="329">
        <f t="shared" si="3"/>
        <v>0</v>
      </c>
      <c r="K25" s="51"/>
      <c r="L25" s="172">
        <f t="shared" ca="1" si="5"/>
        <v>0</v>
      </c>
      <c r="M25" s="170">
        <f t="shared" ca="1" si="6"/>
        <v>0</v>
      </c>
      <c r="N25" s="172" t="e">
        <f ca="1">INDIRECT("'" &amp; $A24 &amp; "'!" &amp;#REF!)</f>
        <v>#REF!</v>
      </c>
      <c r="O25" s="170">
        <f t="shared" ca="1" si="7"/>
        <v>0</v>
      </c>
    </row>
    <row r="26" spans="1:21" ht="18.75" x14ac:dyDescent="0.3">
      <c r="A26" s="77" t="s">
        <v>370</v>
      </c>
      <c r="B26" s="134">
        <f>'Sparebank 1 Fors.'!B7+'Sparebank 1 Fors.'!B22+'Sparebank 1 Fors.'!B36+'Sparebank 1 Fors.'!B47+'Sparebank 1 Fors.'!B66+'Sparebank 1 Fors.'!B134</f>
        <v>483891.55215999996</v>
      </c>
      <c r="C26" s="134">
        <f>'Sparebank 1 Fors.'!C7+'Sparebank 1 Fors.'!C22+'Sparebank 1 Fors.'!C36+'Sparebank 1 Fors.'!C47+'Sparebank 1 Fors.'!C66+'Sparebank 1 Fors.'!C134</f>
        <v>524920.77477999998</v>
      </c>
      <c r="D26" s="76">
        <f t="shared" si="0"/>
        <v>8.5</v>
      </c>
      <c r="E26" s="329">
        <f t="shared" si="1"/>
        <v>0.8554689323844058</v>
      </c>
      <c r="F26" s="75"/>
      <c r="G26" s="134">
        <f>'Sparebank 1 Fors.'!B10+'Sparebank 1 Fors.'!B29+'Sparebank 1 Fors.'!B37+'Sparebank 1 Fors.'!B87+'Sparebank 1 Fors.'!B135</f>
        <v>22009714.530510001</v>
      </c>
      <c r="H26" s="134">
        <f>'Sparebank 1 Fors.'!C10+'Sparebank 1 Fors.'!C29+'Sparebank 1 Fors.'!C37+'Sparebank 1 Fors.'!C87+'Sparebank 1 Fors.'!C135</f>
        <v>25809563.798000004</v>
      </c>
      <c r="I26" s="76">
        <f t="shared" si="2"/>
        <v>17.3</v>
      </c>
      <c r="J26" s="329">
        <f t="shared" si="3"/>
        <v>1.7896647120492548</v>
      </c>
      <c r="K26" s="51"/>
      <c r="L26" s="172">
        <f t="shared" ca="1" si="5"/>
        <v>0</v>
      </c>
      <c r="M26" s="170">
        <f t="shared" ca="1" si="6"/>
        <v>0</v>
      </c>
      <c r="N26" s="172" t="e">
        <f ca="1">INDIRECT("'" &amp; $A25 &amp; "'!" &amp;#REF!)</f>
        <v>#REF!</v>
      </c>
      <c r="O26" s="170">
        <f t="shared" ca="1" si="7"/>
        <v>0</v>
      </c>
    </row>
    <row r="27" spans="1:21" ht="18.75" x14ac:dyDescent="0.3">
      <c r="A27" s="77" t="s">
        <v>89</v>
      </c>
      <c r="B27" s="134">
        <f>'Storebrand Livsforsikring'!B7+'Storebrand Livsforsikring'!B22+'Storebrand Livsforsikring'!B36+'Storebrand Livsforsikring'!B47+'Storebrand Livsforsikring'!B66+'Storebrand Livsforsikring'!B134</f>
        <v>4493232.5606899997</v>
      </c>
      <c r="C27" s="134">
        <f>'Storebrand Livsforsikring'!C7+'Storebrand Livsforsikring'!C22+'Storebrand Livsforsikring'!C36+'Storebrand Livsforsikring'!C47+'Storebrand Livsforsikring'!C66+'Storebrand Livsforsikring'!C134</f>
        <v>5196540.0594699997</v>
      </c>
      <c r="D27" s="76">
        <f t="shared" si="0"/>
        <v>15.7</v>
      </c>
      <c r="E27" s="329">
        <f t="shared" si="1"/>
        <v>8.4688562357448056</v>
      </c>
      <c r="F27" s="75"/>
      <c r="G27" s="134">
        <f>'Storebrand Livsforsikring'!B10+'Storebrand Livsforsikring'!B29+'Storebrand Livsforsikring'!B37+'Storebrand Livsforsikring'!B87+'Storebrand Livsforsikring'!B135</f>
        <v>209403887.42301998</v>
      </c>
      <c r="H27" s="134">
        <f>'Storebrand Livsforsikring'!C10+'Storebrand Livsforsikring'!C29+'Storebrand Livsforsikring'!C37+'Storebrand Livsforsikring'!C87+'Storebrand Livsforsikring'!C135</f>
        <v>218400250.17861</v>
      </c>
      <c r="I27" s="76">
        <f t="shared" si="2"/>
        <v>4.3</v>
      </c>
      <c r="J27" s="329">
        <f t="shared" si="3"/>
        <v>15.144123469365857</v>
      </c>
      <c r="K27" s="51"/>
      <c r="L27" s="172" t="e">
        <f t="shared" ca="1" si="5"/>
        <v>#REF!</v>
      </c>
      <c r="M27" s="170" t="e">
        <f t="shared" ca="1" si="6"/>
        <v>#REF!</v>
      </c>
      <c r="N27" s="172" t="e">
        <f ca="1">INDIRECT("'" &amp; $A26 &amp; "'!" &amp;#REF!)</f>
        <v>#REF!</v>
      </c>
      <c r="O27" s="170" t="e">
        <f t="shared" ca="1" si="7"/>
        <v>#REF!</v>
      </c>
    </row>
    <row r="28" spans="1:21" ht="18.75" x14ac:dyDescent="0.3">
      <c r="A28" s="77" t="s">
        <v>90</v>
      </c>
      <c r="B28" s="134">
        <f>'Telenor Forsikring'!B7+'Telenor Forsikring'!B22+'Telenor Forsikring'!B36+'Telenor Forsikring'!B47+'Telenor Forsikring'!B66+'Telenor Forsikring'!B134</f>
        <v>4814</v>
      </c>
      <c r="C28" s="134">
        <f>'Telenor Forsikring'!C7+'Telenor Forsikring'!C22+'Telenor Forsikring'!C36+'Telenor Forsikring'!C47+'Telenor Forsikring'!C66+'Telenor Forsikring'!C134</f>
        <v>3807</v>
      </c>
      <c r="D28" s="76">
        <f t="shared" si="0"/>
        <v>-20.9</v>
      </c>
      <c r="E28" s="329">
        <f t="shared" si="1"/>
        <v>6.2043081205013862E-3</v>
      </c>
      <c r="F28" s="75"/>
      <c r="G28" s="134">
        <f>'Telenor Forsikring'!B10+'Telenor Forsikring'!B29+'Telenor Forsikring'!B37+'Telenor Forsikring'!B87+'Telenor Forsikring'!B135</f>
        <v>0</v>
      </c>
      <c r="H28" s="134">
        <f>'Telenor Forsikring'!C10+'Telenor Forsikring'!C29+'Telenor Forsikring'!C37+'Telenor Forsikring'!C87+'Telenor Forsikring'!C135</f>
        <v>0</v>
      </c>
      <c r="I28" s="76"/>
      <c r="J28" s="329">
        <f t="shared" si="3"/>
        <v>0</v>
      </c>
      <c r="K28" s="51"/>
      <c r="L28" s="172">
        <f t="shared" ca="1" si="5"/>
        <v>0</v>
      </c>
      <c r="M28" s="170">
        <f t="shared" ca="1" si="6"/>
        <v>0</v>
      </c>
      <c r="N28" s="172" t="e">
        <f ca="1">INDIRECT("'" &amp; $A27 &amp; "'!" &amp;#REF!)</f>
        <v>#REF!</v>
      </c>
      <c r="O28" s="170">
        <f t="shared" ca="1" si="7"/>
        <v>0</v>
      </c>
      <c r="R28" s="426"/>
    </row>
    <row r="29" spans="1:21" ht="18.75" x14ac:dyDescent="0.3">
      <c r="A29" s="77" t="s">
        <v>91</v>
      </c>
      <c r="B29" s="134">
        <f>'Tryg Forsikring'!B7+'Tryg Forsikring'!B22+'Tryg Forsikring'!B36+'Tryg Forsikring'!B47+'Tryg Forsikring'!B66+'Tryg Forsikring'!B134</f>
        <v>805943</v>
      </c>
      <c r="C29" s="134">
        <f>'Tryg Forsikring'!C7+'Tryg Forsikring'!C22+'Tryg Forsikring'!C36+'Tryg Forsikring'!C47+'Tryg Forsikring'!C66+'Tryg Forsikring'!C134</f>
        <v>821900.22899999993</v>
      </c>
      <c r="D29" s="76">
        <f t="shared" si="0"/>
        <v>2</v>
      </c>
      <c r="E29" s="329">
        <f t="shared" si="1"/>
        <v>1.3394594864792877</v>
      </c>
      <c r="F29" s="75"/>
      <c r="G29" s="548"/>
      <c r="H29" s="549"/>
      <c r="I29" s="76"/>
      <c r="J29" s="329">
        <f t="shared" si="3"/>
        <v>0</v>
      </c>
      <c r="K29" s="159"/>
      <c r="L29" s="172">
        <f t="shared" ca="1" si="5"/>
        <v>0</v>
      </c>
      <c r="M29" s="170">
        <f t="shared" ca="1" si="6"/>
        <v>0</v>
      </c>
      <c r="N29" s="172" t="e">
        <f ca="1">INDIRECT("'" &amp; $A28 &amp; "'!" &amp;#REF!)</f>
        <v>#REF!</v>
      </c>
      <c r="O29" s="170">
        <f t="shared" ca="1" si="7"/>
        <v>0</v>
      </c>
    </row>
    <row r="30" spans="1:21" ht="18.75" x14ac:dyDescent="0.3">
      <c r="A30" s="77" t="s">
        <v>365</v>
      </c>
      <c r="B30" s="134">
        <f>'WaterCircles F'!B7+'WaterCircles F'!B22+'WaterCircles F'!B36+'WaterCircles F'!B47+'WaterCircles F'!B66+'WaterCircles F'!B136</f>
        <v>1769.49</v>
      </c>
      <c r="C30" s="134">
        <f>'WaterCircles F'!C7+'WaterCircles F'!C22+'WaterCircles F'!C36+'WaterCircles F'!C47+'WaterCircles F'!C66+'WaterCircles F'!C136</f>
        <v>1647</v>
      </c>
      <c r="D30" s="76">
        <f t="shared" si="0"/>
        <v>-6.9</v>
      </c>
      <c r="E30" s="329">
        <f t="shared" si="1"/>
        <v>2.6841333003587557E-3</v>
      </c>
      <c r="F30" s="77"/>
      <c r="G30" s="75">
        <f>'WaterCircles F'!B10+'WaterCircles F'!B29+'WaterCircles F'!B37+'WaterCircles F'!B87+'WaterCircles F'!B135</f>
        <v>0</v>
      </c>
      <c r="H30" s="75">
        <f>'WaterCircles F'!C10+'WaterCircles F'!C29+'WaterCircles F'!C37+'WaterCircles F'!C87+'WaterCircles F'!C135</f>
        <v>0</v>
      </c>
      <c r="I30" s="76"/>
      <c r="J30" s="329">
        <f t="shared" si="3"/>
        <v>0</v>
      </c>
      <c r="K30" s="159"/>
      <c r="L30" s="172">
        <f t="shared" ca="1" si="5"/>
        <v>0</v>
      </c>
      <c r="M30" s="170">
        <f t="shared" ca="1" si="6"/>
        <v>0</v>
      </c>
      <c r="N30" s="172" t="e">
        <f ca="1">INDIRECT("'" &amp; $A29 &amp; "'!" &amp;#REF!)</f>
        <v>#REF!</v>
      </c>
      <c r="O30" s="170">
        <f t="shared" ca="1" si="7"/>
        <v>0</v>
      </c>
    </row>
    <row r="31" spans="1:21" ht="18.75" x14ac:dyDescent="0.3">
      <c r="A31" s="77" t="s">
        <v>372</v>
      </c>
      <c r="B31" s="134">
        <f>'Youplus Livsforsikring'!B7+'Youplus Livsforsikring'!B22+'Youplus Livsforsikring'!B36+'Youplus Livsforsikring'!B47+'Youplus Livsforsikring'!B66+'Youplus Livsforsikring'!B134</f>
        <v>42013</v>
      </c>
      <c r="C31" s="134">
        <f>'Youplus Livsforsikring'!C7+'Youplus Livsforsikring'!C22+'Youplus Livsforsikring'!C36+'Youplus Livsforsikring'!C47+'Youplus Livsforsikring'!C66+'Youplus Livsforsikring'!C134</f>
        <v>64210</v>
      </c>
      <c r="D31" s="76">
        <f>IF(B31=0, "    ---- ", IF(ABS(ROUND(100/B31*C31-100,1))&lt;999,ROUND(100/B31*C31-100,1),IF(ROUND(100/B31*C31-100,1)&gt;999,999,-999)))</f>
        <v>52.8</v>
      </c>
      <c r="E31" s="329">
        <f t="shared" si="1"/>
        <v>0.10464371537099922</v>
      </c>
      <c r="F31" s="75"/>
      <c r="G31" s="134">
        <f>'Youplus Livsforsikring'!B10+'Youplus Livsforsikring'!B29+'Youplus Livsforsikring'!B37+'Youplus Livsforsikring'!B87+'Youplus Livsforsikring'!B135</f>
        <v>56571</v>
      </c>
      <c r="H31" s="134">
        <f>'Youplus Livsforsikring'!C10+'Youplus Livsforsikring'!C29+'Youplus Livsforsikring'!C37+'Youplus Livsforsikring'!C87+'Youplus Livsforsikring'!C135</f>
        <v>78901</v>
      </c>
      <c r="I31" s="76">
        <f>IF(G31=0, "    ---- ", IF(ABS(ROUND(100/G31*H31-100,1))&lt;999,ROUND(100/G31*H31-100,1),IF(ROUND(100/G31*H31-100,1)&gt;999,999,-999)))</f>
        <v>39.5</v>
      </c>
      <c r="J31" s="329">
        <f t="shared" si="3"/>
        <v>5.4710857010431303E-3</v>
      </c>
      <c r="K31" s="51"/>
      <c r="L31" s="172">
        <f ca="1">INDIRECT("'" &amp; $A18 &amp; "'!" &amp; $P$7)</f>
        <v>0</v>
      </c>
      <c r="M31" s="170">
        <f ca="1">INDIRECT("'" &amp; $A18 &amp; "'!" &amp; $P$8)</f>
        <v>0</v>
      </c>
      <c r="N31" s="172" t="e">
        <f ca="1">INDIRECT("'" &amp; $A18 &amp; "'!" &amp;#REF!)</f>
        <v>#REF!</v>
      </c>
      <c r="O31" s="170">
        <f ca="1">INDIRECT("'" &amp; $A18 &amp; "'!" &amp; $P$9)</f>
        <v>0</v>
      </c>
    </row>
    <row r="32" spans="1:21" s="80" customFormat="1" ht="18.75" x14ac:dyDescent="0.3">
      <c r="A32" s="103" t="s">
        <v>92</v>
      </c>
      <c r="B32" s="63">
        <f>SUM(B9:B31)</f>
        <v>54526028.396652035</v>
      </c>
      <c r="C32" s="190">
        <f>SUM(C9:C31)</f>
        <v>61360588.901447833</v>
      </c>
      <c r="D32" s="79">
        <f t="shared" ref="D32" si="10">IF(B32=0, "    ---- ", IF(ABS(ROUND(100/B32*C32-100,1))&lt;999,ROUND(100/B32*C32-100,1),IF(ROUND(100/B32*C32-100,1)&gt;999,999,-999)))</f>
        <v>12.5</v>
      </c>
      <c r="E32" s="330">
        <f>SUM(E9:E31)</f>
        <v>100.00000000000004</v>
      </c>
      <c r="F32" s="78"/>
      <c r="G32" s="63">
        <f>SUM(G9:G31)</f>
        <v>1353764860.9761891</v>
      </c>
      <c r="H32" s="63">
        <f>SUM(H9:H31)</f>
        <v>1442145203.1898632</v>
      </c>
      <c r="I32" s="79">
        <f t="shared" ref="I32" si="11">IF(G32=0, "    ---- ", IF(ABS(ROUND(100/G32*H32-100,1))&lt;999,ROUND(100/G32*H32-100,1),IF(ROUND(100/G32*H32-100,1)&gt;999,999,-999)))</f>
        <v>6.5</v>
      </c>
      <c r="J32" s="330">
        <f>SUM(J9:J31)</f>
        <v>100</v>
      </c>
      <c r="K32" s="157"/>
      <c r="L32" s="172" t="e">
        <f ca="1">SUM(L9:L30)</f>
        <v>#REF!</v>
      </c>
      <c r="M32" s="170" t="e">
        <f ca="1">SUM(M9:M30)</f>
        <v>#REF!</v>
      </c>
      <c r="N32" s="172" t="e">
        <f ca="1">SUM(N9:N30)</f>
        <v>#REF!</v>
      </c>
      <c r="O32" s="170" t="e">
        <f ca="1">SUM(O9:O30)</f>
        <v>#REF!</v>
      </c>
      <c r="U32" s="157"/>
    </row>
    <row r="33" spans="1:20" ht="18.75" x14ac:dyDescent="0.3">
      <c r="A33" s="58"/>
      <c r="B33" s="134"/>
      <c r="C33" s="51"/>
      <c r="D33" s="76"/>
      <c r="E33" s="329"/>
      <c r="F33" s="75"/>
      <c r="G33" s="134"/>
      <c r="H33" s="75"/>
      <c r="I33" s="76"/>
      <c r="J33" s="329"/>
      <c r="K33" s="159"/>
      <c r="L33" s="169" t="s">
        <v>1</v>
      </c>
      <c r="M33" s="170"/>
      <c r="N33" s="172"/>
      <c r="O33" s="170"/>
    </row>
    <row r="34" spans="1:20" ht="18.75" x14ac:dyDescent="0.3">
      <c r="A34" s="73" t="s">
        <v>1</v>
      </c>
      <c r="B34" s="134"/>
      <c r="C34" s="51"/>
      <c r="D34" s="76"/>
      <c r="E34" s="329"/>
      <c r="F34" s="75"/>
      <c r="G34" s="134"/>
      <c r="H34" s="75"/>
      <c r="I34" s="76"/>
      <c r="J34" s="329"/>
      <c r="K34" s="159"/>
      <c r="L34" s="173">
        <v>2015</v>
      </c>
      <c r="M34" s="174">
        <v>2016</v>
      </c>
      <c r="N34" s="173">
        <v>2015</v>
      </c>
      <c r="O34" s="174">
        <v>2016</v>
      </c>
      <c r="P34" s="59" t="s">
        <v>138</v>
      </c>
    </row>
    <row r="35" spans="1:20" ht="18.75" x14ac:dyDescent="0.3">
      <c r="A35" s="58" t="s">
        <v>79</v>
      </c>
      <c r="B35" s="98">
        <f>'DNB Livsforsikring'!F7+'DNB Livsforsikring'!F22+'DNB Livsforsikring'!F66+'DNB Livsforsikring'!F134</f>
        <v>7890424</v>
      </c>
      <c r="C35" s="98">
        <f>'DNB Livsforsikring'!G7+'DNB Livsforsikring'!G22+'DNB Livsforsikring'!G66+'DNB Livsforsikring'!G134</f>
        <v>8664894.7880000006</v>
      </c>
      <c r="D35" s="76">
        <f t="shared" ref="D35:D41" si="12">IF(B35=0, "    ---- ", IF(ABS(ROUND(100/B35*C35-100,1))&lt;999,ROUND(100/B35*C35-100,1),IF(ROUND(100/B35*C35-100,1)&gt;999,999,-999)))</f>
        <v>9.8000000000000007</v>
      </c>
      <c r="E35" s="329">
        <f t="shared" ref="E35:E40" si="13">100/C$41*C35</f>
        <v>24.717289124585189</v>
      </c>
      <c r="F35" s="75"/>
      <c r="G35" s="134">
        <f>'DNB Livsforsikring'!F10+'DNB Livsforsikring'!F29+'DNB Livsforsikring'!F87+'DNB Livsforsikring'!F135</f>
        <v>187007474</v>
      </c>
      <c r="H35" s="134">
        <f>'DNB Livsforsikring'!G10+'DNB Livsforsikring'!G29+'DNB Livsforsikring'!G87+'DNB Livsforsikring'!G135</f>
        <v>217984215.15776992</v>
      </c>
      <c r="I35" s="76">
        <f t="shared" ref="I35:I41" si="14">IF(G35=0, "    ---- ", IF(ABS(ROUND(100/G35*H35-100,1))&lt;999,ROUND(100/G35*H35-100,1),IF(ROUND(100/G35*H35-100,1)&gt;999,999,-999)))</f>
        <v>16.600000000000001</v>
      </c>
      <c r="J35" s="329">
        <f t="shared" ref="J35:J40" si="15">100/H$41*H35</f>
        <v>25.719298640045917</v>
      </c>
      <c r="K35" s="59" t="s">
        <v>136</v>
      </c>
      <c r="L35" s="172">
        <f t="shared" ref="L35:L40" ca="1" si="16">INDIRECT("'" &amp; $A35 &amp; "'!" &amp; $P$34)</f>
        <v>0</v>
      </c>
      <c r="M35" s="170" t="e">
        <f ca="1">INDIRECT("'" &amp; $A35 &amp; "'!" &amp;#REF!)</f>
        <v>#REF!</v>
      </c>
      <c r="N35" s="172">
        <f t="shared" ref="N35:N40" ca="1" si="17">INDIRECT("'" &amp; $A35 &amp; "'!" &amp; $P$35)</f>
        <v>0</v>
      </c>
      <c r="O35" s="170" t="e">
        <f ca="1">INDIRECT("'"&amp;$A35&amp;"'!"&amp;#REF!)</f>
        <v>#REF!</v>
      </c>
      <c r="P35" s="59" t="s">
        <v>139</v>
      </c>
    </row>
    <row r="36" spans="1:20" ht="18.75" x14ac:dyDescent="0.3">
      <c r="A36" s="58" t="s">
        <v>84</v>
      </c>
      <c r="B36" s="98">
        <f>'Gjensidige Pensjon'!F7+'Gjensidige Pensjon'!F22+'Gjensidige Pensjon'!F66+'Gjensidige Pensjon'!F134</f>
        <v>3214737</v>
      </c>
      <c r="C36" s="98">
        <f>'Gjensidige Pensjon'!G7+'Gjensidige Pensjon'!G22+'Gjensidige Pensjon'!G66+'Gjensidige Pensjon'!G134</f>
        <v>3517805</v>
      </c>
      <c r="D36" s="76">
        <f t="shared" si="12"/>
        <v>9.4</v>
      </c>
      <c r="E36" s="329">
        <f t="shared" si="13"/>
        <v>10.034813508564369</v>
      </c>
      <c r="F36" s="75"/>
      <c r="G36" s="134">
        <f>'Gjensidige Pensjon'!F10+'Gjensidige Pensjon'!F29+'Gjensidige Pensjon'!F87+'Gjensidige Pensjon'!F135</f>
        <v>69473279</v>
      </c>
      <c r="H36" s="134">
        <f>'Gjensidige Pensjon'!G10+'Gjensidige Pensjon'!G29+'Gjensidige Pensjon'!G87+'Gjensidige Pensjon'!G135</f>
        <v>84050087</v>
      </c>
      <c r="I36" s="76">
        <f t="shared" si="14"/>
        <v>21</v>
      </c>
      <c r="J36" s="329">
        <f t="shared" si="15"/>
        <v>9.9168157047989265</v>
      </c>
      <c r="K36" s="59" t="s">
        <v>137</v>
      </c>
      <c r="L36" s="172">
        <f t="shared" ca="1" si="16"/>
        <v>0</v>
      </c>
      <c r="M36" s="170" t="e">
        <f ca="1">INDIRECT("'" &amp; $A36 &amp; "'!" &amp;#REF!)</f>
        <v>#REF!</v>
      </c>
      <c r="N36" s="172">
        <f t="shared" ca="1" si="17"/>
        <v>0</v>
      </c>
      <c r="O36" s="170" t="e">
        <f ca="1">INDIRECT("'"&amp;$A36&amp;"'!"&amp;#REF!)</f>
        <v>#REF!</v>
      </c>
    </row>
    <row r="37" spans="1:20" ht="18.75" x14ac:dyDescent="0.3">
      <c r="A37" s="58" t="s">
        <v>61</v>
      </c>
      <c r="B37" s="98">
        <f>KLP!F7+KLP!F22+KLP!F66+KLP!F134</f>
        <v>129541.768</v>
      </c>
      <c r="C37" s="98">
        <f>KLP!G7+KLP!G22+KLP!G66+KLP!G134</f>
        <v>141671.402</v>
      </c>
      <c r="D37" s="76">
        <f t="shared" si="12"/>
        <v>9.4</v>
      </c>
      <c r="E37" s="329">
        <f t="shared" si="13"/>
        <v>0.40412873896274898</v>
      </c>
      <c r="F37" s="75"/>
      <c r="G37" s="134">
        <f>KLP!F10+KLP!F29+KLP!F87+KLP!F135</f>
        <v>2890424.3207899998</v>
      </c>
      <c r="H37" s="134">
        <f>KLP!G10+KLP!G29+KLP!G87+KLP!G135</f>
        <v>3055542.7277899999</v>
      </c>
      <c r="I37" s="76">
        <f t="shared" si="14"/>
        <v>5.7</v>
      </c>
      <c r="J37" s="329">
        <f t="shared" si="15"/>
        <v>0.36051425038539253</v>
      </c>
      <c r="K37" s="59" t="s">
        <v>131</v>
      </c>
      <c r="L37" s="172">
        <f t="shared" ca="1" si="16"/>
        <v>0</v>
      </c>
      <c r="M37" s="170" t="e">
        <f ca="1">INDIRECT("'" &amp; $A37 &amp; "'!" &amp;#REF!)</f>
        <v>#REF!</v>
      </c>
      <c r="N37" s="172">
        <f t="shared" ca="1" si="17"/>
        <v>0</v>
      </c>
      <c r="O37" s="170" t="e">
        <f ca="1">INDIRECT("'"&amp;$A37&amp;"'!"&amp;#REF!)</f>
        <v>#REF!</v>
      </c>
    </row>
    <row r="38" spans="1:20" ht="18.75" x14ac:dyDescent="0.3">
      <c r="A38" s="58" t="s">
        <v>87</v>
      </c>
      <c r="B38" s="98">
        <f>'Nordea Liv '!F7+'Nordea Liv '!F22+'Nordea Liv '!F66+'Nordea Liv '!F134</f>
        <v>10691816.457010001</v>
      </c>
      <c r="C38" s="98">
        <f>'Nordea Liv '!G7+'Nordea Liv '!G22+'Nordea Liv '!G66+'Nordea Liv '!G134</f>
        <v>9138724.7853299994</v>
      </c>
      <c r="D38" s="76">
        <f t="shared" si="12"/>
        <v>-14.5</v>
      </c>
      <c r="E38" s="329">
        <f t="shared" si="13"/>
        <v>26.068926198831797</v>
      </c>
      <c r="F38" s="75"/>
      <c r="G38" s="134">
        <f>'Nordea Liv '!F10+'Nordea Liv '!F29+'Nordea Liv '!F87+'Nordea Liv '!F135</f>
        <v>167574450</v>
      </c>
      <c r="H38" s="134">
        <f>'Nordea Liv '!G10+'Nordea Liv '!G29+'Nordea Liv '!G87+'Nordea Liv '!G135</f>
        <v>190942730</v>
      </c>
      <c r="I38" s="76">
        <f t="shared" si="14"/>
        <v>13.9</v>
      </c>
      <c r="J38" s="329">
        <f t="shared" si="15"/>
        <v>22.528755545264115</v>
      </c>
      <c r="K38" s="159"/>
      <c r="L38" s="172">
        <f t="shared" ca="1" si="16"/>
        <v>0</v>
      </c>
      <c r="M38" s="170" t="e">
        <f ca="1">INDIRECT("'" &amp; $A38 &amp; "'!" &amp;#REF!)</f>
        <v>#REF!</v>
      </c>
      <c r="N38" s="172">
        <f t="shared" ca="1" si="17"/>
        <v>0</v>
      </c>
      <c r="O38" s="170" t="e">
        <f ca="1">INDIRECT("'"&amp;$A38&amp;"'!"&amp;#REF!)</f>
        <v>#REF!</v>
      </c>
    </row>
    <row r="39" spans="1:20" ht="18.75" x14ac:dyDescent="0.3">
      <c r="A39" s="58" t="s">
        <v>370</v>
      </c>
      <c r="B39" s="98">
        <f>'Sparebank 1 Fors.'!F7+'Sparebank 1 Fors.'!F22+'Sparebank 1 Fors.'!F66+'Sparebank 1 Fors.'!F134</f>
        <v>3747368.3149599996</v>
      </c>
      <c r="C39" s="98">
        <f>'Sparebank 1 Fors.'!G7+'Sparebank 1 Fors.'!G22+'Sparebank 1 Fors.'!G66+'Sparebank 1 Fors.'!G134</f>
        <v>4140206.9040000001</v>
      </c>
      <c r="D39" s="76">
        <f t="shared" si="12"/>
        <v>10.5</v>
      </c>
      <c r="E39" s="329">
        <f t="shared" si="13"/>
        <v>11.810263550285097</v>
      </c>
      <c r="F39" s="75"/>
      <c r="G39" s="134">
        <f>'Sparebank 1 Fors.'!F10+'Sparebank 1 Fors.'!F29+'Sparebank 1 Fors.'!F87+'Sparebank 1 Fors.'!F135</f>
        <v>78440211.861239895</v>
      </c>
      <c r="H39" s="134">
        <f>'Sparebank 1 Fors.'!G10+'Sparebank 1 Fors.'!G29+'Sparebank 1 Fors.'!G87+'Sparebank 1 Fors.'!G135</f>
        <v>89992141.354000002</v>
      </c>
      <c r="I39" s="76">
        <f t="shared" si="14"/>
        <v>14.7</v>
      </c>
      <c r="J39" s="329">
        <f t="shared" si="15"/>
        <v>10.617900736828888</v>
      </c>
      <c r="K39" s="51"/>
      <c r="L39" s="172" t="e">
        <f t="shared" ca="1" si="16"/>
        <v>#REF!</v>
      </c>
      <c r="M39" s="170" t="e">
        <f ca="1">INDIRECT("'" &amp; $A39 &amp; "'!" &amp;#REF!)</f>
        <v>#REF!</v>
      </c>
      <c r="N39" s="172" t="e">
        <f t="shared" ca="1" si="17"/>
        <v>#REF!</v>
      </c>
      <c r="O39" s="170" t="e">
        <f ca="1">INDIRECT("'"&amp;$A39&amp;"'!"&amp;#REF!)</f>
        <v>#REF!</v>
      </c>
    </row>
    <row r="40" spans="1:20" ht="18.75" x14ac:dyDescent="0.3">
      <c r="A40" s="58" t="s">
        <v>89</v>
      </c>
      <c r="B40" s="98">
        <f>'Storebrand Livsforsikring'!F7+'Storebrand Livsforsikring'!F22+'Storebrand Livsforsikring'!F66+'Storebrand Livsforsikring'!F134</f>
        <v>8986622.7596799992</v>
      </c>
      <c r="C40" s="98">
        <f>'Storebrand Livsforsikring'!G7+'Storebrand Livsforsikring'!G22+'Storebrand Livsforsikring'!G66+'Storebrand Livsforsikring'!G134</f>
        <v>9452704.8581099994</v>
      </c>
      <c r="D40" s="76">
        <f t="shared" si="12"/>
        <v>5.2</v>
      </c>
      <c r="E40" s="329">
        <f t="shared" si="13"/>
        <v>26.964578878770784</v>
      </c>
      <c r="F40" s="75"/>
      <c r="G40" s="134">
        <f>'Storebrand Livsforsikring'!F10+'Storebrand Livsforsikring'!F29+'Storebrand Livsforsikring'!F87+'Storebrand Livsforsikring'!F135</f>
        <v>232431668.54273</v>
      </c>
      <c r="H40" s="134">
        <f>'Storebrand Livsforsikring'!G10+'Storebrand Livsforsikring'!G29+'Storebrand Livsforsikring'!G87+'Storebrand Livsforsikring'!G135</f>
        <v>261526448.38808</v>
      </c>
      <c r="I40" s="76">
        <f t="shared" si="14"/>
        <v>12.5</v>
      </c>
      <c r="J40" s="329">
        <f t="shared" si="15"/>
        <v>30.856715122676764</v>
      </c>
      <c r="K40" s="51"/>
      <c r="L40" s="172">
        <f t="shared" ca="1" si="16"/>
        <v>0</v>
      </c>
      <c r="M40" s="170" t="e">
        <f ca="1">INDIRECT("'" &amp; $A40 &amp; "'!" &amp;#REF!)</f>
        <v>#REF!</v>
      </c>
      <c r="N40" s="172">
        <f t="shared" ca="1" si="17"/>
        <v>0</v>
      </c>
      <c r="O40" s="170" t="e">
        <f ca="1">INDIRECT("'"&amp;$A40&amp;"'!"&amp;#REF!)</f>
        <v>#REF!</v>
      </c>
    </row>
    <row r="41" spans="1:20" s="80" customFormat="1" ht="18.75" x14ac:dyDescent="0.3">
      <c r="A41" s="73" t="s">
        <v>93</v>
      </c>
      <c r="B41" s="190">
        <f>SUM(B35:B40)</f>
        <v>34660510.299649999</v>
      </c>
      <c r="C41" s="190">
        <f>SUM(C35:C40)</f>
        <v>35056007.737440005</v>
      </c>
      <c r="D41" s="79">
        <f t="shared" si="12"/>
        <v>1.1000000000000001</v>
      </c>
      <c r="E41" s="330">
        <f>SUM(E35:E40)</f>
        <v>99.999999999999986</v>
      </c>
      <c r="F41" s="78"/>
      <c r="G41" s="63">
        <f>SUM(G35:G40)</f>
        <v>737817507.72475994</v>
      </c>
      <c r="H41" s="63">
        <f>SUM(H35:H40)</f>
        <v>847551164.62763989</v>
      </c>
      <c r="I41" s="79">
        <f t="shared" si="14"/>
        <v>14.9</v>
      </c>
      <c r="J41" s="330">
        <f>SUM(J35:J40)</f>
        <v>100</v>
      </c>
      <c r="K41" s="51"/>
      <c r="L41" s="172" t="e">
        <f ca="1">SUM(L35:L40)</f>
        <v>#REF!</v>
      </c>
      <c r="M41" s="170" t="e">
        <f ca="1">SUM(M35:M40)</f>
        <v>#REF!</v>
      </c>
      <c r="N41" s="172" t="e">
        <f ca="1">SUM(N35:N40)</f>
        <v>#REF!</v>
      </c>
      <c r="O41" s="170" t="e">
        <f ca="1">SUM(O35:O40)</f>
        <v>#REF!</v>
      </c>
    </row>
    <row r="42" spans="1:20" ht="18.75" x14ac:dyDescent="0.3">
      <c r="A42" s="73"/>
      <c r="B42" s="98"/>
      <c r="C42" s="78"/>
      <c r="D42" s="79"/>
      <c r="E42" s="329"/>
      <c r="F42" s="78"/>
      <c r="G42" s="63"/>
      <c r="H42" s="78"/>
      <c r="I42" s="79"/>
      <c r="J42" s="330"/>
      <c r="K42" s="51"/>
      <c r="L42" s="169" t="s">
        <v>94</v>
      </c>
      <c r="M42" s="175"/>
      <c r="N42" s="176"/>
      <c r="O42" s="175"/>
    </row>
    <row r="43" spans="1:20" ht="18.75" x14ac:dyDescent="0.3">
      <c r="A43" s="58"/>
      <c r="B43" s="98"/>
      <c r="C43" s="75"/>
      <c r="D43" s="76"/>
      <c r="E43" s="329"/>
      <c r="F43" s="75"/>
      <c r="G43" s="134"/>
      <c r="H43" s="75"/>
      <c r="I43" s="76"/>
      <c r="J43" s="329"/>
      <c r="K43" s="51"/>
      <c r="L43" s="173">
        <v>2015</v>
      </c>
      <c r="M43" s="174">
        <v>2016</v>
      </c>
      <c r="N43" s="173">
        <v>2015</v>
      </c>
      <c r="O43" s="174">
        <v>2016</v>
      </c>
    </row>
    <row r="44" spans="1:20" ht="18.75" x14ac:dyDescent="0.3">
      <c r="A44" s="73" t="s">
        <v>94</v>
      </c>
      <c r="B44" s="98"/>
      <c r="C44" s="75"/>
      <c r="D44" s="76"/>
      <c r="E44" s="329"/>
      <c r="F44" s="75"/>
      <c r="G44" s="134"/>
      <c r="H44" s="75"/>
      <c r="I44" s="76"/>
      <c r="J44" s="329"/>
      <c r="K44" s="51"/>
      <c r="L44" s="172"/>
      <c r="M44" s="170"/>
      <c r="N44" s="172"/>
      <c r="O44" s="170"/>
      <c r="P44" s="159"/>
      <c r="Q44" s="159"/>
      <c r="R44" s="159"/>
      <c r="S44" s="137"/>
      <c r="T44" s="51"/>
    </row>
    <row r="45" spans="1:20" ht="18.75" x14ac:dyDescent="0.3">
      <c r="A45" s="58" t="s">
        <v>79</v>
      </c>
      <c r="B45" s="98">
        <f>B9+B35</f>
        <v>9892761</v>
      </c>
      <c r="C45" s="75">
        <f>+C9+C35</f>
        <v>10732458.363190001</v>
      </c>
      <c r="D45" s="76">
        <f t="shared" ref="D45:D66" si="18">IF(B45=0, "    ---- ", IF(ABS(ROUND(100/B45*C45-100,1))&lt;999,ROUND(100/B45*C45-100,1),IF(ROUND(100/B45*C45-100,1)&gt;999,999,-999)))</f>
        <v>8.5</v>
      </c>
      <c r="E45" s="329">
        <f t="shared" ref="E45:E65" si="19">100/C$68*C45</f>
        <v>11.131339144220801</v>
      </c>
      <c r="F45" s="75"/>
      <c r="G45" s="134">
        <f>+G9+G35</f>
        <v>368958449.73127002</v>
      </c>
      <c r="H45" s="134">
        <f>+H9+H35</f>
        <v>397785268.13208342</v>
      </c>
      <c r="I45" s="76">
        <f t="shared" ref="I45:I63" si="20">IF(G45=0, "    ---- ", IF(ABS(ROUND(100/G45*H45-100,1))&lt;999,ROUND(100/G45*H45-100,1),IF(ROUND(100/G45*H45-100,1)&gt;999,999,-999)))</f>
        <v>7.8</v>
      </c>
      <c r="J45" s="329">
        <f t="shared" ref="J45:J65" si="21">100/H$68*H45</f>
        <v>17.37283919925353</v>
      </c>
      <c r="K45" s="51"/>
      <c r="L45" s="172">
        <f ca="1">L10+L35</f>
        <v>0</v>
      </c>
      <c r="M45" s="170" t="e">
        <f ca="1">+M10+M35</f>
        <v>#REF!</v>
      </c>
      <c r="N45" s="172" t="e">
        <f ca="1">+N10+N35</f>
        <v>#REF!</v>
      </c>
      <c r="O45" s="170" t="e">
        <f ca="1">+O10+O35</f>
        <v>#REF!</v>
      </c>
      <c r="P45" s="159"/>
      <c r="Q45" s="159"/>
      <c r="R45" s="159"/>
      <c r="S45" s="137"/>
      <c r="T45" s="51"/>
    </row>
    <row r="46" spans="1:20" ht="18.75" x14ac:dyDescent="0.3">
      <c r="A46" s="58" t="s">
        <v>80</v>
      </c>
      <c r="B46" s="98">
        <f t="shared" ref="B46:C50" si="22">B10</f>
        <v>354498</v>
      </c>
      <c r="C46" s="75">
        <f t="shared" si="22"/>
        <v>0</v>
      </c>
      <c r="D46" s="76">
        <f t="shared" si="18"/>
        <v>-100</v>
      </c>
      <c r="E46" s="329">
        <f t="shared" si="19"/>
        <v>0</v>
      </c>
      <c r="F46" s="75"/>
      <c r="G46" s="134">
        <f>+G10</f>
        <v>0</v>
      </c>
      <c r="H46" s="134">
        <f t="shared" ref="H46:H50" si="23">H10</f>
        <v>0</v>
      </c>
      <c r="I46" s="76"/>
      <c r="J46" s="329">
        <f t="shared" si="21"/>
        <v>0</v>
      </c>
      <c r="K46" s="51"/>
      <c r="L46" s="172">
        <f ca="1">L12</f>
        <v>0</v>
      </c>
      <c r="M46" s="170">
        <f ca="1">M12</f>
        <v>0</v>
      </c>
      <c r="N46" s="172" t="e">
        <f ca="1">N12</f>
        <v>#REF!</v>
      </c>
      <c r="O46" s="170" t="e">
        <f ca="1">+O12+#REF!</f>
        <v>#REF!</v>
      </c>
      <c r="P46" s="159"/>
      <c r="Q46" s="159"/>
      <c r="R46" s="159"/>
      <c r="S46" s="137"/>
      <c r="T46" s="51"/>
    </row>
    <row r="47" spans="1:20" ht="18.75" x14ac:dyDescent="0.3">
      <c r="A47" s="58" t="s">
        <v>367</v>
      </c>
      <c r="B47" s="98">
        <f t="shared" si="22"/>
        <v>70533</v>
      </c>
      <c r="C47" s="98">
        <f t="shared" si="22"/>
        <v>98235</v>
      </c>
      <c r="D47" s="76">
        <f t="shared" ref="D47" si="24">IF(B47=0, "    ---- ", IF(ABS(ROUND(100/B47*C47-100,1))&lt;999,ROUND(100/B47*C47-100,1),IF(ROUND(100/B47*C47-100,1)&gt;999,999,-999)))</f>
        <v>39.299999999999997</v>
      </c>
      <c r="E47" s="329">
        <f t="shared" si="19"/>
        <v>0.10188598584113343</v>
      </c>
      <c r="F47" s="75"/>
      <c r="G47" s="134">
        <f>+G11</f>
        <v>0</v>
      </c>
      <c r="H47" s="134">
        <f t="shared" si="23"/>
        <v>0</v>
      </c>
      <c r="I47" s="76"/>
      <c r="J47" s="329">
        <f t="shared" si="21"/>
        <v>0</v>
      </c>
      <c r="K47" s="51"/>
      <c r="L47" s="172"/>
      <c r="M47" s="170"/>
      <c r="N47" s="172"/>
      <c r="O47" s="170"/>
      <c r="P47" s="159"/>
      <c r="Q47" s="159"/>
      <c r="R47" s="159"/>
      <c r="S47" s="137"/>
      <c r="T47" s="51"/>
    </row>
    <row r="48" spans="1:20" ht="18.75" x14ac:dyDescent="0.3">
      <c r="A48" s="58" t="s">
        <v>354</v>
      </c>
      <c r="B48" s="98">
        <f t="shared" si="22"/>
        <v>1904465.84512</v>
      </c>
      <c r="C48" s="98">
        <f t="shared" si="22"/>
        <v>2390090.1963299997</v>
      </c>
      <c r="D48" s="76">
        <f t="shared" ref="D48" si="25">IF(B48=0, "    ---- ", IF(ABS(ROUND(100/B48*C48-100,1))&lt;999,ROUND(100/B48*C48-100,1),IF(ROUND(100/B48*C48-100,1)&gt;999,999,-999)))</f>
        <v>25.5</v>
      </c>
      <c r="E48" s="329">
        <f t="shared" si="19"/>
        <v>2.4789198951729032</v>
      </c>
      <c r="F48" s="75"/>
      <c r="G48" s="134">
        <f t="shared" ref="G48:G50" si="26">G12</f>
        <v>5629123.9688099995</v>
      </c>
      <c r="H48" s="134">
        <f t="shared" si="23"/>
        <v>6152461.3219000008</v>
      </c>
      <c r="I48" s="76">
        <f t="shared" ref="I48" si="27">IF(G48=0, "    ---- ", IF(ABS(ROUND(100/G48*H48-100,1))&lt;999,ROUND(100/G48*H48-100,1),IF(ROUND(100/G48*H48-100,1)&gt;999,999,-999)))</f>
        <v>9.3000000000000007</v>
      </c>
      <c r="J48" s="329">
        <f t="shared" si="21"/>
        <v>0.268702060603975</v>
      </c>
      <c r="K48" s="51"/>
      <c r="L48" s="172"/>
      <c r="M48" s="170"/>
      <c r="N48" s="172"/>
      <c r="O48" s="170"/>
      <c r="P48" s="159"/>
      <c r="Q48" s="159"/>
      <c r="R48" s="159"/>
      <c r="S48" s="137"/>
      <c r="T48" s="51"/>
    </row>
    <row r="49" spans="1:20" ht="18.75" x14ac:dyDescent="0.3">
      <c r="A49" s="58" t="s">
        <v>81</v>
      </c>
      <c r="B49" s="98">
        <f t="shared" si="22"/>
        <v>629116</v>
      </c>
      <c r="C49" s="75">
        <f t="shared" si="22"/>
        <v>713852</v>
      </c>
      <c r="D49" s="76">
        <f t="shared" si="18"/>
        <v>13.5</v>
      </c>
      <c r="E49" s="329">
        <f t="shared" si="19"/>
        <v>0.74038290593642564</v>
      </c>
      <c r="F49" s="75"/>
      <c r="G49" s="134">
        <f t="shared" si="26"/>
        <v>1980592</v>
      </c>
      <c r="H49" s="134">
        <f t="shared" si="23"/>
        <v>2400799</v>
      </c>
      <c r="I49" s="76">
        <f t="shared" si="20"/>
        <v>21.2</v>
      </c>
      <c r="J49" s="329">
        <f t="shared" si="21"/>
        <v>0.10485228669373302</v>
      </c>
      <c r="K49" s="51"/>
      <c r="L49" s="172" t="e">
        <f ca="1">L14+#REF!</f>
        <v>#REF!</v>
      </c>
      <c r="M49" s="170" t="e">
        <f ca="1">M14+#REF!</f>
        <v>#REF!</v>
      </c>
      <c r="N49" s="172" t="e">
        <f ca="1">N14+#REF!</f>
        <v>#REF!</v>
      </c>
      <c r="O49" s="170" t="e">
        <f ca="1">O14+#REF!</f>
        <v>#REF!</v>
      </c>
      <c r="P49" s="159"/>
      <c r="Q49" s="159"/>
      <c r="R49" s="159"/>
      <c r="S49" s="137"/>
      <c r="T49" s="51"/>
    </row>
    <row r="50" spans="1:20" ht="18.75" x14ac:dyDescent="0.3">
      <c r="A50" s="58" t="s">
        <v>82</v>
      </c>
      <c r="B50" s="98">
        <f t="shared" si="22"/>
        <v>4207.2179999999998</v>
      </c>
      <c r="C50" s="75">
        <f t="shared" si="22"/>
        <v>285.51499999999999</v>
      </c>
      <c r="D50" s="76">
        <f t="shared" si="18"/>
        <v>-93.2</v>
      </c>
      <c r="E50" s="329">
        <f t="shared" si="19"/>
        <v>2.9612640349601678E-4</v>
      </c>
      <c r="F50" s="75"/>
      <c r="G50" s="134">
        <f t="shared" si="26"/>
        <v>0</v>
      </c>
      <c r="H50" s="134">
        <f t="shared" si="23"/>
        <v>0</v>
      </c>
      <c r="I50" s="76"/>
      <c r="J50" s="329">
        <f t="shared" si="21"/>
        <v>0</v>
      </c>
      <c r="K50" s="51"/>
      <c r="L50" s="172">
        <f ca="1">L15</f>
        <v>0</v>
      </c>
      <c r="M50" s="170">
        <f ca="1">M15</f>
        <v>0</v>
      </c>
      <c r="N50" s="172" t="e">
        <f ca="1">N15</f>
        <v>#REF!</v>
      </c>
      <c r="O50" s="170">
        <f ca="1">O15</f>
        <v>0</v>
      </c>
      <c r="P50" s="159"/>
      <c r="Q50" s="159"/>
      <c r="R50" s="159"/>
      <c r="S50" s="137"/>
      <c r="T50" s="51"/>
    </row>
    <row r="51" spans="1:20" ht="18.75" x14ac:dyDescent="0.3">
      <c r="A51" s="58" t="s">
        <v>83</v>
      </c>
      <c r="B51" s="75">
        <f>B15</f>
        <v>1777605.365</v>
      </c>
      <c r="C51" s="75">
        <f>+C15</f>
        <v>1866326.6609999998</v>
      </c>
      <c r="D51" s="76">
        <f t="shared" si="18"/>
        <v>5</v>
      </c>
      <c r="E51" s="329">
        <f t="shared" si="19"/>
        <v>1.9356902504970306</v>
      </c>
      <c r="F51" s="75"/>
      <c r="G51" s="134">
        <f>+G15</f>
        <v>0</v>
      </c>
      <c r="H51" s="134">
        <f>+H15</f>
        <v>0</v>
      </c>
      <c r="I51" s="76"/>
      <c r="J51" s="329">
        <f t="shared" si="21"/>
        <v>0</v>
      </c>
      <c r="K51" s="51"/>
      <c r="L51" s="172">
        <f ca="1">L16</f>
        <v>0</v>
      </c>
      <c r="M51" s="170">
        <f ca="1">+M16</f>
        <v>0</v>
      </c>
      <c r="N51" s="172" t="e">
        <f ca="1">+N16</f>
        <v>#REF!</v>
      </c>
      <c r="O51" s="170">
        <f ca="1">+O16</f>
        <v>0</v>
      </c>
      <c r="P51" s="159"/>
      <c r="Q51" s="159"/>
      <c r="R51" s="159"/>
      <c r="S51" s="137"/>
      <c r="T51" s="51"/>
    </row>
    <row r="52" spans="1:20" ht="18.75" x14ac:dyDescent="0.3">
      <c r="A52" s="58" t="s">
        <v>84</v>
      </c>
      <c r="B52" s="75">
        <f>B16+B36</f>
        <v>3770256</v>
      </c>
      <c r="C52" s="75">
        <f>C16+C36</f>
        <v>4159569</v>
      </c>
      <c r="D52" s="76">
        <f t="shared" si="18"/>
        <v>10.3</v>
      </c>
      <c r="E52" s="329">
        <f t="shared" si="19"/>
        <v>4.314162856814959</v>
      </c>
      <c r="F52" s="75"/>
      <c r="G52" s="134">
        <f>G16+G36</f>
        <v>79847115</v>
      </c>
      <c r="H52" s="134">
        <f>H16+H36</f>
        <v>95554193</v>
      </c>
      <c r="I52" s="76">
        <f t="shared" si="20"/>
        <v>19.7</v>
      </c>
      <c r="J52" s="329">
        <f t="shared" si="21"/>
        <v>4.1732255133496379</v>
      </c>
      <c r="K52" s="51"/>
      <c r="L52" s="172" t="e">
        <f ca="1">#REF!+L36</f>
        <v>#REF!</v>
      </c>
      <c r="M52" s="170" t="e">
        <f ca="1">#REF!+M36</f>
        <v>#REF!</v>
      </c>
      <c r="N52" s="172" t="e">
        <f ca="1">#REF!+N36</f>
        <v>#REF!</v>
      </c>
      <c r="O52" s="170" t="e">
        <f ca="1">#REF!+O36</f>
        <v>#REF!</v>
      </c>
      <c r="P52" s="159"/>
      <c r="Q52" s="159"/>
      <c r="R52" s="159"/>
      <c r="S52" s="137"/>
      <c r="T52" s="51"/>
    </row>
    <row r="53" spans="1:20" ht="18.75" x14ac:dyDescent="0.3">
      <c r="A53" s="58" t="s">
        <v>85</v>
      </c>
      <c r="B53" s="75">
        <f>B17</f>
        <v>430213.39947497001</v>
      </c>
      <c r="C53" s="75">
        <f>+C17</f>
        <v>391618.657460585</v>
      </c>
      <c r="D53" s="76">
        <f t="shared" si="18"/>
        <v>-9</v>
      </c>
      <c r="E53" s="329">
        <f t="shared" si="19"/>
        <v>0.40617349202578351</v>
      </c>
      <c r="F53" s="75"/>
      <c r="G53" s="134">
        <f>+G17</f>
        <v>0</v>
      </c>
      <c r="H53" s="134">
        <f>+H17</f>
        <v>0</v>
      </c>
      <c r="I53" s="76"/>
      <c r="J53" s="329">
        <f t="shared" si="21"/>
        <v>0</v>
      </c>
      <c r="K53" s="51"/>
      <c r="L53" s="172" t="e">
        <f>#REF!</f>
        <v>#REF!</v>
      </c>
      <c r="M53" s="170" t="e">
        <f>+#REF!</f>
        <v>#REF!</v>
      </c>
      <c r="N53" s="172" t="e">
        <f>+#REF!</f>
        <v>#REF!</v>
      </c>
      <c r="O53" s="170" t="e">
        <f>+#REF!</f>
        <v>#REF!</v>
      </c>
      <c r="P53" s="159"/>
      <c r="Q53" s="159"/>
      <c r="R53" s="159"/>
      <c r="S53" s="137"/>
      <c r="T53" s="51"/>
    </row>
    <row r="54" spans="1:20" ht="18.75" x14ac:dyDescent="0.3">
      <c r="A54" s="58" t="s">
        <v>61</v>
      </c>
      <c r="B54" s="75">
        <f>B18+B37</f>
        <v>37256211.94117</v>
      </c>
      <c r="C54" s="75">
        <f>C18+C37</f>
        <v>42670965.330260009</v>
      </c>
      <c r="D54" s="76">
        <f t="shared" si="18"/>
        <v>14.5</v>
      </c>
      <c r="E54" s="329">
        <f t="shared" si="19"/>
        <v>44.256867404350452</v>
      </c>
      <c r="F54" s="75"/>
      <c r="G54" s="134">
        <f>G18+G37</f>
        <v>778273486.16537011</v>
      </c>
      <c r="H54" s="134">
        <f>H18+H37</f>
        <v>847065556.64482999</v>
      </c>
      <c r="I54" s="76">
        <f t="shared" si="20"/>
        <v>8.8000000000000007</v>
      </c>
      <c r="J54" s="329">
        <f t="shared" si="21"/>
        <v>36.994667439344262</v>
      </c>
      <c r="K54" s="51"/>
      <c r="L54" s="172">
        <f ca="1">L31+L37</f>
        <v>0</v>
      </c>
      <c r="M54" s="170" t="e">
        <f ca="1">M31+M37</f>
        <v>#REF!</v>
      </c>
      <c r="N54" s="172" t="e">
        <f ca="1">N31+N37</f>
        <v>#REF!</v>
      </c>
      <c r="O54" s="170" t="e">
        <f ca="1">O31+O37</f>
        <v>#REF!</v>
      </c>
      <c r="P54" s="159"/>
      <c r="Q54" s="159"/>
      <c r="R54" s="159"/>
      <c r="S54" s="137"/>
      <c r="T54" s="51"/>
    </row>
    <row r="55" spans="1:20" ht="18.75" x14ac:dyDescent="0.3">
      <c r="A55" s="58" t="s">
        <v>86</v>
      </c>
      <c r="B55" s="75">
        <f t="shared" ref="B55:C57" si="28">B19</f>
        <v>323278.35000000003</v>
      </c>
      <c r="C55" s="75">
        <f t="shared" si="28"/>
        <v>357541.45800000004</v>
      </c>
      <c r="D55" s="76">
        <f t="shared" si="18"/>
        <v>10.6</v>
      </c>
      <c r="E55" s="329">
        <f t="shared" si="19"/>
        <v>0.37082978497894037</v>
      </c>
      <c r="F55" s="75"/>
      <c r="G55" s="134">
        <f t="shared" ref="G55:G57" si="29">G19</f>
        <v>144158.478</v>
      </c>
      <c r="H55" s="134">
        <f t="shared" ref="H55:H57" si="30">H19</f>
        <v>200305</v>
      </c>
      <c r="I55" s="76">
        <f t="shared" si="20"/>
        <v>38.9</v>
      </c>
      <c r="J55" s="329">
        <f t="shared" si="21"/>
        <v>8.7481031465725338E-3</v>
      </c>
      <c r="K55" s="51"/>
      <c r="L55" s="172">
        <f ca="1">L20</f>
        <v>0</v>
      </c>
      <c r="M55" s="170">
        <f ca="1">M20</f>
        <v>0</v>
      </c>
      <c r="N55" s="172" t="e">
        <f ca="1">N20</f>
        <v>#REF!</v>
      </c>
      <c r="O55" s="170">
        <f ca="1">O20</f>
        <v>0</v>
      </c>
      <c r="P55" s="159"/>
      <c r="Q55" s="159"/>
      <c r="R55" s="159"/>
      <c r="S55" s="137"/>
      <c r="T55" s="51"/>
    </row>
    <row r="56" spans="1:20" ht="18.75" x14ac:dyDescent="0.3">
      <c r="A56" s="77" t="s">
        <v>361</v>
      </c>
      <c r="B56" s="75">
        <f t="shared" si="28"/>
        <v>30587</v>
      </c>
      <c r="C56" s="75">
        <f t="shared" si="28"/>
        <v>92029</v>
      </c>
      <c r="D56" s="76">
        <f t="shared" si="18"/>
        <v>200.9</v>
      </c>
      <c r="E56" s="329">
        <f t="shared" si="19"/>
        <v>9.5449334666602201E-2</v>
      </c>
      <c r="F56" s="75"/>
      <c r="G56" s="134">
        <f t="shared" si="29"/>
        <v>0</v>
      </c>
      <c r="H56" s="134">
        <f t="shared" si="30"/>
        <v>0</v>
      </c>
      <c r="I56" s="76"/>
      <c r="J56" s="329">
        <f t="shared" si="21"/>
        <v>0</v>
      </c>
      <c r="K56" s="51"/>
      <c r="L56" s="172">
        <f ca="1">L22</f>
        <v>0</v>
      </c>
      <c r="M56" s="170">
        <f ca="1">M22</f>
        <v>0</v>
      </c>
      <c r="N56" s="172" t="e">
        <f ca="1">N22</f>
        <v>#REF!</v>
      </c>
      <c r="O56" s="170">
        <f ca="1">O22</f>
        <v>0</v>
      </c>
      <c r="P56" s="159"/>
      <c r="Q56" s="159"/>
      <c r="R56" s="159"/>
      <c r="S56" s="137"/>
      <c r="T56" s="51"/>
    </row>
    <row r="57" spans="1:20" ht="18.75" x14ac:dyDescent="0.3">
      <c r="A57" s="77" t="s">
        <v>371</v>
      </c>
      <c r="B57" s="75">
        <f t="shared" si="28"/>
        <v>21876</v>
      </c>
      <c r="C57" s="75">
        <f t="shared" si="28"/>
        <v>23419.9</v>
      </c>
      <c r="D57" s="76">
        <f t="shared" ref="D57" si="31">IF(B57=0, "    ---- ", IF(ABS(ROUND(100/B57*C57-100,1))&lt;999,ROUND(100/B57*C57-100,1),IF(ROUND(100/B57*C57-100,1)&gt;999,999,-999)))</f>
        <v>7.1</v>
      </c>
      <c r="E57" s="329">
        <f t="shared" si="19"/>
        <v>2.4290320148630945E-2</v>
      </c>
      <c r="F57" s="75"/>
      <c r="G57" s="134">
        <f t="shared" si="29"/>
        <v>0</v>
      </c>
      <c r="H57" s="134">
        <f t="shared" si="30"/>
        <v>0</v>
      </c>
      <c r="I57" s="76"/>
      <c r="J57" s="329">
        <f t="shared" si="21"/>
        <v>0</v>
      </c>
      <c r="K57" s="51"/>
      <c r="L57" s="172"/>
      <c r="M57" s="170"/>
      <c r="N57" s="172"/>
      <c r="O57" s="170"/>
      <c r="P57" s="159"/>
      <c r="Q57" s="159"/>
      <c r="R57" s="159"/>
      <c r="S57" s="137"/>
      <c r="T57" s="51"/>
    </row>
    <row r="58" spans="1:20" ht="18.75" x14ac:dyDescent="0.3">
      <c r="A58" s="58" t="s">
        <v>63</v>
      </c>
      <c r="B58" s="75">
        <f>B22+B38</f>
        <v>11793672.900047056</v>
      </c>
      <c r="C58" s="75">
        <f>+C22+C38</f>
        <v>10311762.732287252</v>
      </c>
      <c r="D58" s="76">
        <f t="shared" si="18"/>
        <v>-12.6</v>
      </c>
      <c r="E58" s="329">
        <f t="shared" si="19"/>
        <v>10.695008008743791</v>
      </c>
      <c r="F58" s="75"/>
      <c r="G58" s="134">
        <f>+G22+G38</f>
        <v>222252389.99999902</v>
      </c>
      <c r="H58" s="134">
        <f>+H22+H38</f>
        <v>246449479.99999955</v>
      </c>
      <c r="I58" s="76">
        <f t="shared" si="20"/>
        <v>10.9</v>
      </c>
      <c r="J58" s="329">
        <f t="shared" si="21"/>
        <v>10.763413152238641</v>
      </c>
      <c r="K58" s="51"/>
      <c r="L58" s="172">
        <f ca="1">L24+L38</f>
        <v>0</v>
      </c>
      <c r="M58" s="170" t="e">
        <f ca="1">+M24+M38</f>
        <v>#REF!</v>
      </c>
      <c r="N58" s="172" t="e">
        <f ca="1">+N24+N38</f>
        <v>#REF!</v>
      </c>
      <c r="O58" s="170" t="e">
        <f ca="1">+O24+O38</f>
        <v>#REF!</v>
      </c>
      <c r="P58" s="159"/>
      <c r="Q58" s="159"/>
      <c r="R58" s="159"/>
      <c r="S58" s="137"/>
      <c r="T58" s="51"/>
    </row>
    <row r="59" spans="1:20" ht="18.75" x14ac:dyDescent="0.3">
      <c r="A59" s="58" t="s">
        <v>406</v>
      </c>
      <c r="B59" s="75">
        <f t="shared" ref="B59:C61" si="32">B23</f>
        <v>16932</v>
      </c>
      <c r="C59" s="75">
        <f t="shared" si="32"/>
        <v>18037</v>
      </c>
      <c r="D59" s="76">
        <f t="shared" ref="D59" si="33">IF(B59=0, "    ---- ", IF(ABS(ROUND(100/B59*C59-100,1))&lt;999,ROUND(100/B59*C59-100,1),IF(ROUND(100/B59*C59-100,1)&gt;999,999,-999)))</f>
        <v>6.5</v>
      </c>
      <c r="E59" s="329">
        <f t="shared" si="19"/>
        <v>1.8707360173222616E-2</v>
      </c>
      <c r="F59" s="75"/>
      <c r="G59" s="134">
        <f t="shared" ref="G59:G61" si="34">G23</f>
        <v>0</v>
      </c>
      <c r="H59" s="134">
        <f t="shared" ref="H59:H61" si="35">H23</f>
        <v>0</v>
      </c>
      <c r="I59" s="76"/>
      <c r="J59" s="329">
        <f t="shared" si="21"/>
        <v>0</v>
      </c>
      <c r="K59" s="51"/>
      <c r="L59" s="172"/>
      <c r="M59" s="170"/>
      <c r="N59" s="172"/>
      <c r="O59" s="170"/>
      <c r="P59" s="159"/>
      <c r="Q59" s="159"/>
      <c r="R59" s="159"/>
      <c r="S59" s="137"/>
      <c r="T59" s="51"/>
    </row>
    <row r="60" spans="1:20" ht="18.75" customHeight="1" x14ac:dyDescent="0.3">
      <c r="A60" s="58" t="s">
        <v>88</v>
      </c>
      <c r="B60" s="75">
        <f t="shared" si="32"/>
        <v>1975000</v>
      </c>
      <c r="C60" s="75">
        <f t="shared" si="32"/>
        <v>1994000</v>
      </c>
      <c r="D60" s="76">
        <f t="shared" si="18"/>
        <v>1</v>
      </c>
      <c r="E60" s="329">
        <f t="shared" si="19"/>
        <v>2.0681086758000715</v>
      </c>
      <c r="F60" s="75"/>
      <c r="G60" s="134">
        <f t="shared" si="34"/>
        <v>92155000</v>
      </c>
      <c r="H60" s="134">
        <f t="shared" si="35"/>
        <v>98281000</v>
      </c>
      <c r="I60" s="76">
        <f t="shared" si="20"/>
        <v>6.6</v>
      </c>
      <c r="J60" s="329">
        <f t="shared" si="21"/>
        <v>4.2923158450777326</v>
      </c>
      <c r="K60" s="51"/>
      <c r="L60" s="172">
        <f ca="1">L25</f>
        <v>0</v>
      </c>
      <c r="M60" s="170">
        <f ca="1">M25</f>
        <v>0</v>
      </c>
      <c r="N60" s="172" t="e">
        <f ca="1">N25</f>
        <v>#REF!</v>
      </c>
      <c r="O60" s="170">
        <f ca="1">O25</f>
        <v>0</v>
      </c>
      <c r="P60" s="159"/>
      <c r="Q60" s="159"/>
      <c r="R60" s="159"/>
      <c r="S60" s="137"/>
      <c r="T60" s="51"/>
    </row>
    <row r="61" spans="1:20" ht="18.75" customHeight="1" x14ac:dyDescent="0.3">
      <c r="A61" s="58" t="s">
        <v>322</v>
      </c>
      <c r="B61" s="75">
        <f t="shared" si="32"/>
        <v>369670</v>
      </c>
      <c r="C61" s="75">
        <f t="shared" si="32"/>
        <v>390469</v>
      </c>
      <c r="D61" s="76">
        <f t="shared" ref="D61" si="36">IF(B61=0, "    ---- ", IF(ABS(ROUND(100/B61*C61-100,1))&lt;999,ROUND(100/B61*C61-100,1),IF(ROUND(100/B61*C61-100,1)&gt;999,999,-999)))</f>
        <v>5.6</v>
      </c>
      <c r="E61" s="329">
        <f t="shared" si="19"/>
        <v>0.40498110658524483</v>
      </c>
      <c r="F61" s="75"/>
      <c r="G61" s="134">
        <f t="shared" si="34"/>
        <v>0</v>
      </c>
      <c r="H61" s="134">
        <f t="shared" si="35"/>
        <v>0</v>
      </c>
      <c r="I61" s="76"/>
      <c r="J61" s="329">
        <f t="shared" si="21"/>
        <v>0</v>
      </c>
      <c r="K61" s="51"/>
      <c r="L61" s="172"/>
      <c r="M61" s="170"/>
      <c r="N61" s="172"/>
      <c r="O61" s="170"/>
      <c r="P61" s="159"/>
      <c r="Q61" s="159"/>
      <c r="R61" s="159"/>
      <c r="S61" s="137"/>
      <c r="T61" s="51"/>
    </row>
    <row r="62" spans="1:20" ht="18.75" customHeight="1" x14ac:dyDescent="0.3">
      <c r="A62" s="58" t="s">
        <v>370</v>
      </c>
      <c r="B62" s="75">
        <f>B26+B39</f>
        <v>4231259.8671199996</v>
      </c>
      <c r="C62" s="75">
        <f>+C26+C39</f>
        <v>4665127.6787799997</v>
      </c>
      <c r="D62" s="76">
        <f t="shared" si="18"/>
        <v>10.3</v>
      </c>
      <c r="E62" s="329">
        <f t="shared" si="19"/>
        <v>4.8385110462386995</v>
      </c>
      <c r="F62" s="75"/>
      <c r="G62" s="134">
        <f>+G26+G39</f>
        <v>100449926.39174989</v>
      </c>
      <c r="H62" s="134">
        <f>+H26+H39</f>
        <v>115801705.15200001</v>
      </c>
      <c r="I62" s="76">
        <f t="shared" si="20"/>
        <v>15.3</v>
      </c>
      <c r="J62" s="329">
        <f t="shared" si="21"/>
        <v>5.0575135978566488</v>
      </c>
      <c r="K62" s="51"/>
      <c r="L62" s="172" t="e">
        <f ca="1">L27+L39</f>
        <v>#REF!</v>
      </c>
      <c r="M62" s="170" t="e">
        <f t="shared" ref="M62:O63" ca="1" si="37">+M27+M39</f>
        <v>#REF!</v>
      </c>
      <c r="N62" s="172" t="e">
        <f t="shared" ca="1" si="37"/>
        <v>#REF!</v>
      </c>
      <c r="O62" s="170" t="e">
        <f t="shared" ca="1" si="37"/>
        <v>#REF!</v>
      </c>
      <c r="P62" s="159"/>
      <c r="Q62" s="159"/>
      <c r="R62" s="159"/>
      <c r="S62" s="137"/>
      <c r="T62" s="51"/>
    </row>
    <row r="63" spans="1:20" ht="18.75" customHeight="1" x14ac:dyDescent="0.3">
      <c r="A63" s="58" t="s">
        <v>89</v>
      </c>
      <c r="B63" s="75">
        <f>B40+B27</f>
        <v>13479855.32037</v>
      </c>
      <c r="C63" s="75">
        <f>+C27+C40</f>
        <v>14649244.917579999</v>
      </c>
      <c r="D63" s="76">
        <f t="shared" si="18"/>
        <v>8.6999999999999993</v>
      </c>
      <c r="E63" s="329">
        <f t="shared" si="19"/>
        <v>15.193696343012689</v>
      </c>
      <c r="F63" s="75"/>
      <c r="G63" s="134">
        <f>+G27+G40</f>
        <v>441835555.96574998</v>
      </c>
      <c r="H63" s="134">
        <f>+H27+H40</f>
        <v>479926698.56668997</v>
      </c>
      <c r="I63" s="76">
        <f t="shared" si="20"/>
        <v>8.6</v>
      </c>
      <c r="J63" s="329">
        <f t="shared" si="21"/>
        <v>20.960276887024431</v>
      </c>
      <c r="K63" s="51"/>
      <c r="L63" s="172">
        <f ca="1">L40+L28</f>
        <v>0</v>
      </c>
      <c r="M63" s="170" t="e">
        <f t="shared" ca="1" si="37"/>
        <v>#REF!</v>
      </c>
      <c r="N63" s="172" t="e">
        <f t="shared" ca="1" si="37"/>
        <v>#REF!</v>
      </c>
      <c r="O63" s="170" t="e">
        <f t="shared" ca="1" si="37"/>
        <v>#REF!</v>
      </c>
      <c r="P63" s="159"/>
      <c r="Q63" s="159"/>
      <c r="R63" s="159"/>
      <c r="S63" s="137"/>
      <c r="T63" s="51"/>
    </row>
    <row r="64" spans="1:20" ht="18.75" customHeight="1" x14ac:dyDescent="0.3">
      <c r="A64" s="58" t="s">
        <v>90</v>
      </c>
      <c r="B64" s="75">
        <f>B28</f>
        <v>4814</v>
      </c>
      <c r="C64" s="75">
        <f>+C28</f>
        <v>3807</v>
      </c>
      <c r="D64" s="76">
        <f t="shared" si="18"/>
        <v>-20.9</v>
      </c>
      <c r="E64" s="329">
        <f t="shared" si="19"/>
        <v>3.948490335391611E-3</v>
      </c>
      <c r="F64" s="75"/>
      <c r="G64" s="134">
        <f>+G28</f>
        <v>0</v>
      </c>
      <c r="H64" s="134">
        <f t="shared" ref="H64:H66" si="38">+H28</f>
        <v>0</v>
      </c>
      <c r="I64" s="76"/>
      <c r="J64" s="329">
        <f t="shared" si="21"/>
        <v>0</v>
      </c>
      <c r="K64" s="51"/>
      <c r="L64" s="172">
        <f ca="1">L29</f>
        <v>0</v>
      </c>
      <c r="M64" s="170">
        <f t="shared" ref="M64:O65" ca="1" si="39">+M29</f>
        <v>0</v>
      </c>
      <c r="N64" s="172" t="e">
        <f t="shared" ca="1" si="39"/>
        <v>#REF!</v>
      </c>
      <c r="O64" s="170">
        <f t="shared" ca="1" si="39"/>
        <v>0</v>
      </c>
      <c r="P64" s="159"/>
      <c r="Q64" s="159"/>
      <c r="R64" s="159"/>
      <c r="S64" s="137"/>
      <c r="T64" s="51"/>
    </row>
    <row r="65" spans="1:240" ht="18.75" customHeight="1" x14ac:dyDescent="0.3">
      <c r="A65" s="58" t="s">
        <v>91</v>
      </c>
      <c r="B65" s="75">
        <f>B29</f>
        <v>805943</v>
      </c>
      <c r="C65" s="75">
        <f>+C29</f>
        <v>821900.22899999993</v>
      </c>
      <c r="D65" s="76">
        <f t="shared" si="18"/>
        <v>2</v>
      </c>
      <c r="E65" s="329">
        <f t="shared" si="19"/>
        <v>0.85244683763137696</v>
      </c>
      <c r="F65" s="75"/>
      <c r="G65" s="134">
        <f>+G29</f>
        <v>0</v>
      </c>
      <c r="H65" s="134">
        <f t="shared" si="38"/>
        <v>0</v>
      </c>
      <c r="I65" s="76"/>
      <c r="J65" s="329">
        <f t="shared" si="21"/>
        <v>0</v>
      </c>
      <c r="K65" s="51"/>
      <c r="L65" s="172">
        <f ca="1">L30</f>
        <v>0</v>
      </c>
      <c r="M65" s="170">
        <f t="shared" ca="1" si="39"/>
        <v>0</v>
      </c>
      <c r="N65" s="172" t="e">
        <f t="shared" ca="1" si="39"/>
        <v>#REF!</v>
      </c>
      <c r="O65" s="170">
        <f t="shared" ca="1" si="39"/>
        <v>0</v>
      </c>
      <c r="P65" s="159"/>
      <c r="Q65" s="159"/>
      <c r="R65" s="159"/>
      <c r="S65" s="137"/>
      <c r="T65" s="51"/>
    </row>
    <row r="66" spans="1:240" ht="18.75" x14ac:dyDescent="0.3">
      <c r="A66" s="77" t="s">
        <v>365</v>
      </c>
      <c r="B66" s="75">
        <f>B30</f>
        <v>1769.49</v>
      </c>
      <c r="C66" s="75">
        <f>C30</f>
        <v>1647</v>
      </c>
      <c r="D66" s="76">
        <f t="shared" si="18"/>
        <v>-6.9</v>
      </c>
      <c r="E66" s="329">
        <f t="shared" ref="E66" si="40">100/C$32*C66</f>
        <v>2.6841333003587557E-3</v>
      </c>
      <c r="F66" s="77"/>
      <c r="G66" s="134">
        <f>+G30</f>
        <v>0</v>
      </c>
      <c r="H66" s="134">
        <f t="shared" si="38"/>
        <v>0</v>
      </c>
      <c r="I66" s="77"/>
      <c r="J66" s="329">
        <f t="shared" ref="J66" si="41">100/H$32*H66</f>
        <v>0</v>
      </c>
      <c r="K66" s="159"/>
      <c r="L66" s="172">
        <f t="shared" ref="L66" ca="1" si="42">INDIRECT("'" &amp; $A65 &amp; "'!" &amp; $P$7)</f>
        <v>0</v>
      </c>
      <c r="M66" s="170">
        <f t="shared" ref="M66" ca="1" si="43">INDIRECT("'" &amp; $A65 &amp; "'!" &amp; $P$8)</f>
        <v>0</v>
      </c>
      <c r="N66" s="172" t="e">
        <f ca="1">INDIRECT("'" &amp; $A65 &amp; "'!" &amp;#REF!)</f>
        <v>#REF!</v>
      </c>
      <c r="O66" s="170">
        <f t="shared" ref="O66" ca="1" si="44">INDIRECT("'" &amp; $A65 &amp; "'!" &amp; $P$9)</f>
        <v>0</v>
      </c>
    </row>
    <row r="67" spans="1:240" ht="18.75" x14ac:dyDescent="0.3">
      <c r="A67" s="58" t="s">
        <v>372</v>
      </c>
      <c r="B67" s="75">
        <f>B31</f>
        <v>42013</v>
      </c>
      <c r="C67" s="75">
        <f>+C31</f>
        <v>64210</v>
      </c>
      <c r="D67" s="76">
        <f>IF(B67=0, "    ---- ", IF(ABS(ROUND(100/B67*C67-100,1))&lt;999,ROUND(100/B67*C67-100,1),IF(ROUND(100/B67*C67-100,1)&gt;999,999,-999)))</f>
        <v>52.8</v>
      </c>
      <c r="E67" s="329">
        <f>100/C$68*C67</f>
        <v>6.6596418291435616E-2</v>
      </c>
      <c r="F67" s="75"/>
      <c r="G67" s="134">
        <f>G31</f>
        <v>56571</v>
      </c>
      <c r="H67" s="134">
        <f>H31</f>
        <v>78901</v>
      </c>
      <c r="I67" s="76">
        <f>IF(G67=0, "    ---- ", IF(ABS(ROUND(100/G67*H67-100,1))&lt;999,ROUND(100/G67*H67-100,1),IF(ROUND(100/G67*H67-100,1)&gt;999,999,-999)))</f>
        <v>39.5</v>
      </c>
      <c r="J67" s="329">
        <f>100/H$68*H67</f>
        <v>3.4459154108370709E-3</v>
      </c>
      <c r="K67" s="51"/>
      <c r="L67" s="172" t="e">
        <f ca="1">L19+#REF!</f>
        <v>#REF!</v>
      </c>
      <c r="M67" s="170" t="e">
        <f ca="1">+M19+#REF!</f>
        <v>#REF!</v>
      </c>
      <c r="N67" s="172" t="e">
        <f ca="1">N19+#REF!</f>
        <v>#REF!</v>
      </c>
      <c r="O67" s="170" t="e">
        <f ca="1">O19+#REF!</f>
        <v>#REF!</v>
      </c>
      <c r="P67" s="159"/>
      <c r="Q67" s="159"/>
      <c r="R67" s="159"/>
      <c r="S67" s="137"/>
      <c r="T67" s="51"/>
    </row>
    <row r="68" spans="1:240" s="80" customFormat="1" ht="18.75" customHeight="1" x14ac:dyDescent="0.3">
      <c r="A68" s="81" t="s">
        <v>2</v>
      </c>
      <c r="B68" s="82">
        <f>SUM(B45:B67)</f>
        <v>89186538.696302027</v>
      </c>
      <c r="C68" s="82">
        <f>SUM(C45:C67)</f>
        <v>96416596.638887852</v>
      </c>
      <c r="D68" s="83">
        <f>IF(B68=0, "    ---- ", IF(ABS(ROUND(100/B68*C68-100,1))&lt;999,ROUND(100/B68*C68-100,1),IF(ROUND(100/B68*C68-100,1)&gt;999,999,-999)))</f>
        <v>8.1</v>
      </c>
      <c r="E68" s="331">
        <f>SUM(E45:E67)</f>
        <v>100.00097592116944</v>
      </c>
      <c r="F68" s="78"/>
      <c r="G68" s="136">
        <f>SUM(G45:G67)</f>
        <v>2091582368.700949</v>
      </c>
      <c r="H68" s="136">
        <f>SUM(H45:H67)</f>
        <v>2289696367.817503</v>
      </c>
      <c r="I68" s="83">
        <f>IF(G68=0, "    ---- ", IF(ABS(ROUND(100/G68*H68-100,1))&lt;999,ROUND(100/G68*H68-100,1),IF(ROUND(100/G68*H68-100,1)&gt;999,999,-999)))</f>
        <v>9.5</v>
      </c>
      <c r="J68" s="331">
        <f>SUM(J45:J67)</f>
        <v>100.00000000000001</v>
      </c>
      <c r="K68" s="135"/>
      <c r="L68" s="177" t="e">
        <f ca="1">SUM(L45:L65)</f>
        <v>#REF!</v>
      </c>
      <c r="M68" s="178" t="e">
        <f ca="1">SUM(M45:M65)</f>
        <v>#REF!</v>
      </c>
      <c r="N68" s="177" t="e">
        <f ca="1">SUM(N45:N65)</f>
        <v>#REF!</v>
      </c>
      <c r="O68" s="178" t="e">
        <f ca="1">SUM(O45:O65)</f>
        <v>#REF!</v>
      </c>
      <c r="P68" s="157"/>
      <c r="Q68" s="157"/>
      <c r="R68" s="157"/>
      <c r="S68" s="104"/>
      <c r="T68" s="135"/>
    </row>
    <row r="69" spans="1:240" ht="18.75" customHeight="1" x14ac:dyDescent="0.3">
      <c r="A69" s="48" t="s">
        <v>95</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48"/>
      <c r="EK69" s="48"/>
      <c r="EL69" s="48"/>
      <c r="EM69" s="48"/>
      <c r="EN69" s="48"/>
      <c r="EO69" s="48"/>
      <c r="EP69" s="48"/>
      <c r="EQ69" s="48"/>
      <c r="ER69" s="48"/>
      <c r="ES69" s="48"/>
      <c r="ET69" s="48"/>
      <c r="EU69" s="48"/>
      <c r="EV69" s="48"/>
      <c r="EW69" s="48"/>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48"/>
      <c r="HC69" s="48"/>
      <c r="HD69" s="4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row>
    <row r="70" spans="1:240" ht="18.75" customHeight="1" x14ac:dyDescent="0.3">
      <c r="A70" s="48"/>
      <c r="B70" s="48"/>
      <c r="C70" s="48"/>
      <c r="D70" s="48"/>
      <c r="E70" s="48"/>
      <c r="F70" s="48"/>
      <c r="G70" s="48"/>
      <c r="H70" s="48"/>
      <c r="I70" s="48"/>
      <c r="J70" s="48"/>
      <c r="K70" s="48"/>
    </row>
    <row r="71" spans="1:240" ht="18.75" customHeight="1" x14ac:dyDescent="0.3">
      <c r="A71" s="48"/>
      <c r="B71" s="48"/>
      <c r="C71" s="48"/>
      <c r="D71" s="48"/>
      <c r="E71" s="48"/>
      <c r="F71" s="48"/>
      <c r="G71" s="48"/>
      <c r="H71" s="48"/>
      <c r="I71" s="48"/>
      <c r="J71" s="48"/>
      <c r="K71" s="48"/>
    </row>
    <row r="72" spans="1:240" ht="18.75" customHeight="1" x14ac:dyDescent="0.3">
      <c r="A72" s="48"/>
      <c r="B72" s="51"/>
      <c r="C72" s="51"/>
      <c r="D72" s="48"/>
      <c r="E72" s="48"/>
      <c r="F72" s="48"/>
      <c r="G72" s="51"/>
      <c r="H72" s="51"/>
      <c r="I72" s="48"/>
      <c r="J72" s="48"/>
      <c r="K72" s="48"/>
    </row>
    <row r="73" spans="1:240" ht="18.75" customHeight="1" x14ac:dyDescent="0.3">
      <c r="A73" s="48"/>
      <c r="B73" s="48"/>
      <c r="C73" s="48"/>
      <c r="D73" s="48"/>
      <c r="E73" s="48"/>
      <c r="F73" s="48"/>
      <c r="G73" s="48"/>
      <c r="H73" s="48"/>
      <c r="I73" s="48"/>
      <c r="J73" s="48"/>
      <c r="K73" s="48"/>
    </row>
    <row r="74" spans="1:240" ht="18.75" customHeight="1" x14ac:dyDescent="0.3">
      <c r="A74" s="48"/>
      <c r="B74" s="48"/>
      <c r="C74" s="48"/>
      <c r="D74" s="48"/>
      <c r="E74" s="48"/>
      <c r="F74" s="48"/>
      <c r="G74" s="48"/>
      <c r="H74" s="48"/>
      <c r="I74" s="48"/>
      <c r="J74" s="48"/>
      <c r="K74" s="48"/>
    </row>
    <row r="75" spans="1:240" ht="18.75" customHeight="1" x14ac:dyDescent="0.3">
      <c r="A75" s="48"/>
      <c r="B75" s="48"/>
      <c r="C75" s="48"/>
      <c r="D75" s="48"/>
      <c r="E75" s="48"/>
      <c r="F75" s="48"/>
      <c r="G75" s="48"/>
      <c r="H75" s="48"/>
      <c r="I75" s="48"/>
      <c r="J75" s="48"/>
      <c r="K75" s="48"/>
    </row>
    <row r="76" spans="1:240" ht="18.75" customHeight="1" x14ac:dyDescent="0.3">
      <c r="A76" s="48"/>
      <c r="B76" s="48"/>
      <c r="C76" s="48"/>
      <c r="D76" s="48"/>
      <c r="E76" s="48"/>
      <c r="F76" s="48"/>
      <c r="G76" s="48"/>
      <c r="H76" s="48"/>
      <c r="I76" s="48"/>
      <c r="J76" s="48"/>
      <c r="K76" s="48"/>
    </row>
    <row r="77" spans="1:240" ht="18.75" x14ac:dyDescent="0.3">
      <c r="A77" s="48"/>
      <c r="B77" s="48"/>
      <c r="C77" s="48"/>
      <c r="D77" s="48"/>
      <c r="E77" s="48"/>
      <c r="F77" s="48"/>
      <c r="G77" s="48"/>
      <c r="H77" s="48"/>
      <c r="I77" s="48"/>
      <c r="J77" s="48"/>
      <c r="K77" s="48"/>
    </row>
    <row r="78" spans="1:240" ht="18.75" x14ac:dyDescent="0.3">
      <c r="A78" s="48"/>
      <c r="B78" s="48"/>
      <c r="C78" s="48"/>
      <c r="D78" s="48"/>
      <c r="E78" s="48"/>
      <c r="F78" s="48"/>
      <c r="G78" s="48"/>
      <c r="H78" s="48"/>
      <c r="I78" s="48"/>
      <c r="J78" s="48"/>
      <c r="K78" s="48"/>
    </row>
    <row r="79" spans="1:240" ht="18.75" x14ac:dyDescent="0.3">
      <c r="A79" s="48"/>
      <c r="B79" s="48"/>
      <c r="C79" s="48"/>
      <c r="D79" s="48"/>
      <c r="E79" s="48"/>
      <c r="F79" s="48"/>
      <c r="G79" s="48"/>
      <c r="H79" s="48"/>
      <c r="I79" s="48"/>
      <c r="J79" s="48"/>
      <c r="K79" s="48"/>
    </row>
    <row r="80" spans="1:240" ht="18.75" x14ac:dyDescent="0.3">
      <c r="A80" s="48"/>
      <c r="B80" s="48"/>
      <c r="C80" s="48"/>
      <c r="D80" s="48"/>
      <c r="E80" s="48"/>
      <c r="F80" s="48"/>
      <c r="G80" s="48"/>
      <c r="H80" s="48"/>
      <c r="I80" s="48"/>
      <c r="J80" s="48"/>
      <c r="K80" s="48"/>
    </row>
    <row r="81" spans="1:11" ht="18.75" x14ac:dyDescent="0.3">
      <c r="A81" s="48"/>
      <c r="B81" s="48"/>
      <c r="C81" s="48"/>
      <c r="D81" s="48"/>
      <c r="E81" s="48"/>
      <c r="F81" s="48"/>
      <c r="G81" s="48"/>
      <c r="H81" s="48"/>
      <c r="I81" s="48"/>
      <c r="J81" s="48"/>
      <c r="K81" s="48"/>
    </row>
    <row r="82" spans="1:11" ht="18.75" x14ac:dyDescent="0.3">
      <c r="A82" s="48"/>
      <c r="B82" s="48"/>
      <c r="C82" s="48"/>
      <c r="D82" s="48"/>
      <c r="E82" s="48"/>
      <c r="F82" s="48"/>
      <c r="G82" s="48"/>
      <c r="H82" s="48"/>
      <c r="I82" s="48"/>
      <c r="J82" s="48"/>
      <c r="K82" s="48"/>
    </row>
    <row r="83" spans="1:11" ht="18.75" x14ac:dyDescent="0.3">
      <c r="A83" s="48"/>
      <c r="B83" s="48"/>
      <c r="C83" s="48"/>
      <c r="D83" s="48"/>
      <c r="E83" s="48"/>
      <c r="F83" s="48"/>
      <c r="G83" s="48"/>
      <c r="H83" s="48"/>
      <c r="I83" s="48"/>
      <c r="J83" s="48"/>
      <c r="K83" s="48"/>
    </row>
    <row r="84" spans="1:11" ht="18.75" x14ac:dyDescent="0.3">
      <c r="A84" s="48"/>
      <c r="B84" s="48"/>
      <c r="C84" s="48"/>
      <c r="D84" s="48"/>
      <c r="E84" s="48"/>
      <c r="F84" s="48"/>
      <c r="G84" s="48"/>
      <c r="H84" s="48"/>
      <c r="I84" s="48"/>
      <c r="J84" s="48"/>
      <c r="K84" s="48"/>
    </row>
    <row r="85" spans="1:11" ht="18.75" x14ac:dyDescent="0.3">
      <c r="A85" s="48"/>
      <c r="B85" s="48"/>
      <c r="C85" s="48"/>
      <c r="D85" s="48"/>
      <c r="E85" s="48"/>
      <c r="F85" s="48"/>
      <c r="G85" s="48"/>
      <c r="H85" s="48"/>
      <c r="I85" s="48"/>
      <c r="J85" s="48"/>
      <c r="K85" s="48"/>
    </row>
    <row r="86" spans="1:11" ht="18.75" x14ac:dyDescent="0.3">
      <c r="A86" s="48"/>
      <c r="B86" s="48"/>
      <c r="C86" s="48"/>
      <c r="D86" s="48"/>
      <c r="E86" s="48"/>
      <c r="F86" s="48"/>
      <c r="G86" s="48"/>
      <c r="H86" s="48"/>
      <c r="I86" s="48"/>
      <c r="J86" s="48"/>
      <c r="K86" s="48"/>
    </row>
    <row r="87" spans="1:11" ht="18.75" x14ac:dyDescent="0.3">
      <c r="A87" s="48"/>
      <c r="B87" s="48"/>
      <c r="C87" s="48"/>
      <c r="D87" s="48"/>
      <c r="E87" s="48"/>
      <c r="F87" s="48"/>
      <c r="G87" s="48"/>
      <c r="H87" s="48"/>
      <c r="I87" s="48"/>
      <c r="J87" s="48"/>
      <c r="K87" s="48"/>
    </row>
    <row r="88" spans="1:11" ht="18.75" x14ac:dyDescent="0.3">
      <c r="A88" s="48"/>
      <c r="B88" s="48"/>
      <c r="C88" s="48"/>
      <c r="D88" s="48"/>
      <c r="E88" s="48"/>
      <c r="F88" s="48"/>
      <c r="G88" s="48"/>
      <c r="H88" s="48"/>
      <c r="I88" s="48"/>
      <c r="J88" s="48"/>
      <c r="K88" s="48"/>
    </row>
    <row r="89" spans="1:11" ht="18.75" x14ac:dyDescent="0.3">
      <c r="A89" s="48"/>
      <c r="B89" s="48"/>
      <c r="C89" s="48"/>
      <c r="D89" s="48"/>
      <c r="E89" s="48"/>
      <c r="F89" s="48"/>
      <c r="G89" s="48"/>
      <c r="H89" s="48"/>
      <c r="I89" s="48"/>
      <c r="J89" s="48"/>
      <c r="K89" s="48"/>
    </row>
    <row r="90" spans="1:11" ht="18.75" x14ac:dyDescent="0.3">
      <c r="A90" s="48"/>
      <c r="B90" s="48"/>
      <c r="C90" s="48"/>
      <c r="D90" s="48"/>
      <c r="E90" s="48"/>
      <c r="F90" s="48"/>
      <c r="G90" s="48"/>
      <c r="H90" s="48"/>
      <c r="I90" s="48"/>
      <c r="J90" s="48"/>
      <c r="K90" s="48"/>
    </row>
    <row r="91" spans="1:11" ht="18.75" x14ac:dyDescent="0.3">
      <c r="A91" s="48"/>
      <c r="B91" s="48"/>
      <c r="C91" s="48"/>
      <c r="D91" s="48"/>
      <c r="E91" s="48"/>
      <c r="F91" s="48"/>
      <c r="G91" s="48"/>
      <c r="H91" s="48"/>
      <c r="I91" s="48"/>
      <c r="J91" s="48"/>
      <c r="K91" s="48"/>
    </row>
    <row r="92" spans="1:11" ht="18.75" x14ac:dyDescent="0.3">
      <c r="A92" s="48"/>
      <c r="B92" s="48"/>
      <c r="C92" s="48"/>
      <c r="D92" s="48"/>
      <c r="E92" s="48"/>
      <c r="F92" s="48"/>
      <c r="G92" s="48"/>
      <c r="H92" s="48"/>
      <c r="I92" s="48"/>
      <c r="J92" s="48"/>
      <c r="K92" s="48"/>
    </row>
    <row r="93" spans="1:11" ht="18.75" x14ac:dyDescent="0.3">
      <c r="A93" s="48"/>
      <c r="B93" s="48"/>
      <c r="C93" s="48"/>
      <c r="D93" s="48"/>
      <c r="E93" s="48"/>
      <c r="F93" s="48"/>
      <c r="G93" s="48"/>
      <c r="H93" s="48"/>
      <c r="I93" s="48"/>
      <c r="J93" s="48"/>
      <c r="K93" s="48"/>
    </row>
    <row r="94" spans="1:11" ht="18.75" x14ac:dyDescent="0.3">
      <c r="A94" s="48"/>
      <c r="B94" s="48"/>
      <c r="C94" s="48"/>
      <c r="D94" s="48"/>
      <c r="E94" s="48"/>
      <c r="F94" s="48"/>
      <c r="G94" s="48"/>
      <c r="H94" s="48"/>
      <c r="I94" s="48"/>
      <c r="J94" s="48"/>
      <c r="K94" s="48"/>
    </row>
    <row r="95" spans="1:11" ht="18.75" x14ac:dyDescent="0.3">
      <c r="A95" s="84"/>
      <c r="B95" s="85"/>
      <c r="C95" s="85"/>
      <c r="D95" s="85"/>
      <c r="E95" s="48"/>
      <c r="F95" s="48"/>
      <c r="G95" s="48"/>
      <c r="H95" s="48"/>
      <c r="I95" s="48"/>
      <c r="J95" s="49"/>
      <c r="K95" s="49"/>
    </row>
    <row r="96" spans="1:11" ht="18.75" x14ac:dyDescent="0.3">
      <c r="A96" s="48"/>
      <c r="B96" s="48"/>
      <c r="C96" s="48"/>
      <c r="D96" s="48"/>
      <c r="E96" s="48"/>
      <c r="F96" s="48"/>
      <c r="G96" s="48"/>
      <c r="H96" s="48"/>
      <c r="I96" s="48"/>
      <c r="J96" s="48"/>
      <c r="K96" s="48"/>
    </row>
    <row r="97" spans="1:11" ht="18.75" x14ac:dyDescent="0.3">
      <c r="A97" s="48"/>
      <c r="B97" s="48"/>
      <c r="C97" s="48"/>
      <c r="D97" s="48"/>
      <c r="E97" s="48"/>
      <c r="F97" s="48"/>
      <c r="G97" s="48"/>
      <c r="H97" s="48"/>
      <c r="I97" s="48"/>
      <c r="J97" s="48"/>
      <c r="K97" s="48"/>
    </row>
    <row r="98" spans="1:11" ht="18.75" x14ac:dyDescent="0.3">
      <c r="A98" s="48"/>
      <c r="B98" s="48"/>
      <c r="C98" s="48"/>
      <c r="D98" s="48"/>
      <c r="E98" s="48"/>
      <c r="F98" s="48"/>
      <c r="G98" s="48"/>
      <c r="H98" s="48"/>
      <c r="I98" s="48"/>
      <c r="J98" s="48"/>
      <c r="K98" s="48"/>
    </row>
    <row r="99" spans="1:11" ht="18.75" x14ac:dyDescent="0.3">
      <c r="A99" s="48"/>
      <c r="B99" s="48"/>
      <c r="C99" s="48"/>
      <c r="D99" s="48"/>
      <c r="E99" s="48"/>
      <c r="F99" s="48"/>
      <c r="G99" s="48"/>
      <c r="H99" s="48"/>
      <c r="I99" s="48"/>
      <c r="J99" s="48"/>
      <c r="K99" s="48"/>
    </row>
    <row r="100" spans="1:11" ht="18.75" x14ac:dyDescent="0.3">
      <c r="A100" s="48"/>
      <c r="B100" s="48"/>
      <c r="C100" s="48"/>
      <c r="D100" s="48"/>
      <c r="E100" s="48"/>
      <c r="F100" s="48"/>
      <c r="G100" s="48"/>
      <c r="H100" s="48"/>
      <c r="I100" s="48"/>
      <c r="J100" s="48"/>
      <c r="K100" s="48"/>
    </row>
    <row r="101" spans="1:11" ht="18.75" x14ac:dyDescent="0.3">
      <c r="A101" s="48"/>
      <c r="B101" s="48"/>
      <c r="C101" s="48"/>
      <c r="D101" s="48"/>
      <c r="E101" s="48"/>
      <c r="F101" s="48"/>
      <c r="G101" s="48"/>
      <c r="H101" s="48"/>
      <c r="I101" s="48"/>
      <c r="J101" s="48"/>
      <c r="K101" s="48"/>
    </row>
    <row r="102" spans="1:11" ht="18.75" x14ac:dyDescent="0.3">
      <c r="A102" s="48"/>
      <c r="B102" s="48"/>
      <c r="C102" s="48"/>
      <c r="D102" s="48"/>
      <c r="E102" s="48"/>
      <c r="F102" s="48"/>
      <c r="G102" s="48"/>
      <c r="H102" s="48"/>
      <c r="I102" s="48"/>
      <c r="J102" s="48"/>
      <c r="K102" s="48"/>
    </row>
    <row r="103" spans="1:11" ht="18.75" x14ac:dyDescent="0.3">
      <c r="A103" s="48"/>
      <c r="B103" s="48"/>
      <c r="C103" s="48"/>
      <c r="D103" s="48"/>
      <c r="E103" s="48"/>
      <c r="F103" s="48"/>
      <c r="G103" s="48"/>
      <c r="H103" s="48"/>
      <c r="I103" s="48"/>
      <c r="J103" s="48"/>
      <c r="K103" s="48"/>
    </row>
    <row r="104" spans="1:11" ht="18.75" x14ac:dyDescent="0.3">
      <c r="A104" s="48"/>
      <c r="B104" s="48"/>
      <c r="C104" s="48"/>
      <c r="D104" s="48"/>
      <c r="E104" s="48"/>
      <c r="F104" s="48"/>
      <c r="G104" s="48"/>
      <c r="H104" s="48"/>
      <c r="I104" s="48"/>
      <c r="J104" s="48"/>
      <c r="K104" s="48"/>
    </row>
    <row r="105" spans="1:11" ht="18.75" x14ac:dyDescent="0.3">
      <c r="A105" s="48"/>
      <c r="B105" s="48"/>
      <c r="C105" s="48"/>
      <c r="D105" s="48"/>
      <c r="E105" s="48"/>
      <c r="F105" s="48"/>
      <c r="G105" s="48"/>
      <c r="H105" s="48"/>
      <c r="I105" s="48"/>
      <c r="J105" s="48"/>
      <c r="K105" s="48"/>
    </row>
    <row r="106" spans="1:11" ht="18.75" x14ac:dyDescent="0.3">
      <c r="A106" s="48"/>
      <c r="B106" s="48"/>
      <c r="C106" s="48"/>
      <c r="D106" s="48"/>
      <c r="E106" s="48"/>
      <c r="F106" s="48"/>
      <c r="G106" s="48"/>
      <c r="H106" s="48"/>
      <c r="I106" s="48"/>
      <c r="J106" s="48"/>
      <c r="K106" s="48"/>
    </row>
    <row r="107" spans="1:11" ht="18.75" x14ac:dyDescent="0.3">
      <c r="A107" s="48"/>
      <c r="B107" s="48"/>
      <c r="C107" s="48"/>
      <c r="D107" s="48"/>
      <c r="E107" s="48"/>
      <c r="F107" s="48"/>
      <c r="G107" s="48"/>
      <c r="H107" s="48"/>
      <c r="I107" s="48"/>
      <c r="J107" s="48"/>
      <c r="K107" s="48"/>
    </row>
  </sheetData>
  <mergeCells count="5">
    <mergeCell ref="N5:O5"/>
    <mergeCell ref="A3:B3"/>
    <mergeCell ref="B5:E5"/>
    <mergeCell ref="G5:J5"/>
    <mergeCell ref="L5:M5"/>
  </mergeCells>
  <hyperlinks>
    <hyperlink ref="B1" location="Innhold!A1" display="Tilbake" xr:uid="{00000000-0004-0000-0300-000000000000}"/>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O115"/>
  <sheetViews>
    <sheetView showGridLines="0" showZero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4" sqref="A4"/>
    </sheetView>
  </sheetViews>
  <sheetFormatPr baseColWidth="10" defaultColWidth="11.42578125" defaultRowHeight="18" x14ac:dyDescent="0.25"/>
  <cols>
    <col min="1" max="1" width="51" style="53" customWidth="1"/>
    <col min="2" max="3" width="17.85546875" style="53" bestFit="1" customWidth="1"/>
    <col min="4" max="4" width="9.28515625" style="53" bestFit="1" customWidth="1"/>
    <col min="5" max="5" width="4.7109375" style="53" customWidth="1"/>
    <col min="6" max="7" width="16.7109375" style="53" customWidth="1"/>
    <col min="8" max="8" width="9.28515625" style="53" bestFit="1" customWidth="1"/>
    <col min="9" max="9" width="4.7109375" style="53" customWidth="1"/>
    <col min="10" max="10" width="18.7109375" style="53" customWidth="1"/>
    <col min="11" max="11" width="18" style="53" bestFit="1" customWidth="1"/>
    <col min="12" max="12" width="9.28515625" style="53" bestFit="1" customWidth="1"/>
    <col min="13" max="13" width="11.42578125" style="53"/>
    <col min="14" max="15" width="17.28515625" style="53" bestFit="1" customWidth="1"/>
    <col min="16" max="16384" width="11.42578125" style="53"/>
  </cols>
  <sheetData>
    <row r="1" spans="1:13" ht="20.25" x14ac:dyDescent="0.3">
      <c r="A1" s="52" t="s">
        <v>72</v>
      </c>
      <c r="B1" s="47" t="s">
        <v>52</v>
      </c>
      <c r="C1" s="48"/>
      <c r="D1" s="48"/>
      <c r="E1" s="48"/>
      <c r="F1" s="48"/>
      <c r="G1" s="48"/>
      <c r="H1" s="48"/>
      <c r="I1" s="48"/>
      <c r="J1" s="48"/>
      <c r="K1" s="48"/>
      <c r="L1" s="48"/>
      <c r="M1" s="48"/>
    </row>
    <row r="2" spans="1:13" ht="20.25" x14ac:dyDescent="0.3">
      <c r="A2" s="52" t="s">
        <v>96</v>
      </c>
      <c r="B2" s="47"/>
      <c r="C2" s="48"/>
      <c r="D2" s="48"/>
      <c r="E2" s="48"/>
      <c r="F2" s="48"/>
      <c r="G2" s="48"/>
      <c r="H2" s="48"/>
      <c r="I2" s="48"/>
      <c r="J2" s="48"/>
      <c r="K2" s="48"/>
      <c r="L2" s="48"/>
      <c r="M2" s="48"/>
    </row>
    <row r="3" spans="1:13" ht="18.75" x14ac:dyDescent="0.3">
      <c r="A3" s="49" t="s">
        <v>97</v>
      </c>
      <c r="B3" s="48"/>
      <c r="C3" s="48"/>
      <c r="D3" s="48"/>
      <c r="E3" s="48"/>
      <c r="F3" s="48"/>
      <c r="G3" s="48"/>
      <c r="H3" s="48"/>
      <c r="I3" s="48"/>
      <c r="J3" s="48"/>
      <c r="K3" s="48"/>
      <c r="L3" s="48"/>
      <c r="M3" s="48"/>
    </row>
    <row r="4" spans="1:13" ht="18.75" x14ac:dyDescent="0.3">
      <c r="A4" s="54" t="s">
        <v>364</v>
      </c>
      <c r="B4" s="74"/>
      <c r="C4" s="86"/>
      <c r="D4" s="87"/>
      <c r="E4" s="48"/>
      <c r="F4" s="55"/>
      <c r="G4" s="56"/>
      <c r="H4" s="57"/>
      <c r="I4" s="48"/>
      <c r="J4" s="55"/>
      <c r="K4" s="56"/>
      <c r="L4" s="57"/>
      <c r="M4" s="48"/>
    </row>
    <row r="5" spans="1:13" ht="18.75" x14ac:dyDescent="0.3">
      <c r="A5" s="88"/>
      <c r="B5" s="563" t="s">
        <v>0</v>
      </c>
      <c r="C5" s="564"/>
      <c r="D5" s="565"/>
      <c r="E5" s="61"/>
      <c r="F5" s="563" t="s">
        <v>1</v>
      </c>
      <c r="G5" s="564"/>
      <c r="H5" s="565"/>
      <c r="I5" s="89"/>
      <c r="J5" s="563" t="s">
        <v>98</v>
      </c>
      <c r="K5" s="564"/>
      <c r="L5" s="565"/>
      <c r="M5" s="48"/>
    </row>
    <row r="6" spans="1:13" ht="18.75" x14ac:dyDescent="0.3">
      <c r="A6" s="90"/>
      <c r="B6" s="91"/>
      <c r="C6" s="92"/>
      <c r="D6" s="66" t="s">
        <v>99</v>
      </c>
      <c r="E6" s="72"/>
      <c r="F6" s="91"/>
      <c r="G6" s="92"/>
      <c r="H6" s="66" t="s">
        <v>99</v>
      </c>
      <c r="I6" s="93"/>
      <c r="J6" s="91"/>
      <c r="K6" s="92"/>
      <c r="L6" s="66" t="s">
        <v>99</v>
      </c>
      <c r="M6" s="48"/>
    </row>
    <row r="7" spans="1:13" ht="18.75" x14ac:dyDescent="0.3">
      <c r="A7" s="94" t="s">
        <v>100</v>
      </c>
      <c r="B7" s="95">
        <v>2024</v>
      </c>
      <c r="C7" s="140">
        <v>2025</v>
      </c>
      <c r="D7" s="71" t="s">
        <v>78</v>
      </c>
      <c r="E7" s="72"/>
      <c r="F7" s="69">
        <v>2024</v>
      </c>
      <c r="G7" s="95">
        <v>2025</v>
      </c>
      <c r="H7" s="71" t="s">
        <v>78</v>
      </c>
      <c r="I7" s="96"/>
      <c r="J7" s="139">
        <v>2024</v>
      </c>
      <c r="K7" s="140">
        <v>2025</v>
      </c>
      <c r="L7" s="71" t="s">
        <v>78</v>
      </c>
      <c r="M7" s="48"/>
    </row>
    <row r="8" spans="1:13" ht="22.5" x14ac:dyDescent="0.3">
      <c r="A8" s="145" t="s">
        <v>101</v>
      </c>
      <c r="B8" s="180"/>
      <c r="C8" s="153"/>
      <c r="D8" s="153"/>
      <c r="E8" s="137"/>
      <c r="F8" s="153"/>
      <c r="G8" s="153"/>
      <c r="H8" s="153"/>
      <c r="I8" s="154"/>
      <c r="J8" s="153"/>
      <c r="K8" s="153"/>
      <c r="L8" s="153"/>
      <c r="M8" s="48"/>
    </row>
    <row r="9" spans="1:13" ht="18.75" x14ac:dyDescent="0.3">
      <c r="A9" s="77" t="s">
        <v>102</v>
      </c>
      <c r="B9" s="76">
        <f>'Skjema total MA'!B7</f>
        <v>3149499.8382932115</v>
      </c>
      <c r="C9" s="76">
        <f>'Skjema total MA'!C7</f>
        <v>3317920.7564190603</v>
      </c>
      <c r="D9" s="181">
        <f>IF(B9=0, "    ---- ", IF(ABS(ROUND(100/B9*C9-100,1))&lt;999,ROUND(100/B9*C9-100,1),IF(ROUND(100/B9*C9-100,1)&gt;999,999,-999)))</f>
        <v>5.3</v>
      </c>
      <c r="E9" s="137"/>
      <c r="F9" s="148">
        <f>'Skjema total MA'!E7</f>
        <v>7780547.8374900008</v>
      </c>
      <c r="G9" s="148">
        <f>'Skjema total MA'!F7</f>
        <v>5552917.968580001</v>
      </c>
      <c r="H9" s="181">
        <f>IF(F9=0, "    ---- ", IF(ABS(ROUND(100/F9*G9-100,1))&lt;999,ROUND(100/F9*G9-100,1),IF(ROUND(100/F9*G9-100,1)&gt;999,999,-999)))</f>
        <v>-28.6</v>
      </c>
      <c r="I9" s="137"/>
      <c r="J9" s="148">
        <f t="shared" ref="J9:K60" si="0">SUM(B9+F9)</f>
        <v>10930047.675783213</v>
      </c>
      <c r="K9" s="148">
        <f t="shared" si="0"/>
        <v>8870838.7249990609</v>
      </c>
      <c r="L9" s="179">
        <f>IF(J9=0, "    ---- ", IF(ABS(ROUND(100/J9*K9-100,1))&lt;999,ROUND(100/J9*K9-100,1),IF(ROUND(100/J9*K9-100,1)&gt;999,999,-999)))</f>
        <v>-18.8</v>
      </c>
      <c r="M9" s="48"/>
    </row>
    <row r="10" spans="1:13" ht="18.75" x14ac:dyDescent="0.3">
      <c r="A10" s="77" t="s">
        <v>103</v>
      </c>
      <c r="B10" s="76">
        <f>'Skjema total MA'!B22</f>
        <v>1398456.327878813</v>
      </c>
      <c r="C10" s="76">
        <f>'Skjema total MA'!C22</f>
        <v>1561224.3198987776</v>
      </c>
      <c r="D10" s="181">
        <f t="shared" ref="D10:D17" si="1">IF(B10=0, "    ---- ", IF(ABS(ROUND(100/B10*C10-100,1))&lt;999,ROUND(100/B10*C10-100,1),IF(ROUND(100/B10*C10-100,1)&gt;999,999,-999)))</f>
        <v>11.6</v>
      </c>
      <c r="E10" s="137"/>
      <c r="F10" s="148">
        <f>'Skjema total MA'!E22</f>
        <v>477697.59114000003</v>
      </c>
      <c r="G10" s="148">
        <f>'Skjema total MA'!F22</f>
        <v>543828.42116000003</v>
      </c>
      <c r="H10" s="181">
        <f t="shared" ref="H10:H57" si="2">IF(F10=0, "    ---- ", IF(ABS(ROUND(100/F10*G10-100,1))&lt;999,ROUND(100/F10*G10-100,1),IF(ROUND(100/F10*G10-100,1)&gt;999,999,-999)))</f>
        <v>13.8</v>
      </c>
      <c r="I10" s="137"/>
      <c r="J10" s="148">
        <f t="shared" si="0"/>
        <v>1876153.9190188129</v>
      </c>
      <c r="K10" s="148">
        <f t="shared" si="0"/>
        <v>2105052.7410587776</v>
      </c>
      <c r="L10" s="179">
        <f t="shared" ref="L10:L60" si="3">IF(J10=0, "    ---- ", IF(ABS(ROUND(100/J10*K10-100,1))&lt;999,ROUND(100/J10*K10-100,1),IF(ROUND(100/J10*K10-100,1)&gt;999,999,-999)))</f>
        <v>12.2</v>
      </c>
      <c r="M10" s="48"/>
    </row>
    <row r="11" spans="1:13" ht="18.75" x14ac:dyDescent="0.3">
      <c r="A11" s="77" t="s">
        <v>104</v>
      </c>
      <c r="B11" s="76">
        <f>'Skjema total MA'!B47</f>
        <v>5212381.7525399998</v>
      </c>
      <c r="C11" s="76">
        <f>'Skjema total MA'!C47</f>
        <v>5545985.3500199998</v>
      </c>
      <c r="D11" s="181">
        <f t="shared" si="1"/>
        <v>6.4</v>
      </c>
      <c r="E11" s="137"/>
      <c r="F11" s="148"/>
      <c r="G11" s="148"/>
      <c r="H11" s="181"/>
      <c r="I11" s="137"/>
      <c r="J11" s="148">
        <f t="shared" si="0"/>
        <v>5212381.7525399998</v>
      </c>
      <c r="K11" s="148">
        <f t="shared" si="0"/>
        <v>5545985.3500199998</v>
      </c>
      <c r="L11" s="179">
        <f t="shared" si="3"/>
        <v>6.4</v>
      </c>
      <c r="M11" s="48"/>
    </row>
    <row r="12" spans="1:13" ht="18.75" x14ac:dyDescent="0.3">
      <c r="A12" s="77" t="s">
        <v>105</v>
      </c>
      <c r="B12" s="76">
        <f>'Skjema total MA'!B66</f>
        <v>4883862.1312699998</v>
      </c>
      <c r="C12" s="76">
        <f>'Skjema total MA'!C66</f>
        <v>5099637.1207900001</v>
      </c>
      <c r="D12" s="181">
        <f t="shared" si="1"/>
        <v>4.4000000000000004</v>
      </c>
      <c r="E12" s="137"/>
      <c r="F12" s="148">
        <f>'Skjema total MA'!E66</f>
        <v>26272723.103019997</v>
      </c>
      <c r="G12" s="148">
        <f>'Skjema total MA'!F66</f>
        <v>28817589.945699997</v>
      </c>
      <c r="H12" s="181">
        <f t="shared" si="2"/>
        <v>9.6999999999999993</v>
      </c>
      <c r="I12" s="137"/>
      <c r="J12" s="148">
        <f t="shared" si="0"/>
        <v>31156585.234289996</v>
      </c>
      <c r="K12" s="148">
        <f t="shared" si="0"/>
        <v>33917227.066489995</v>
      </c>
      <c r="L12" s="179">
        <f t="shared" si="3"/>
        <v>8.9</v>
      </c>
      <c r="M12" s="48"/>
    </row>
    <row r="13" spans="1:13" ht="18.75" x14ac:dyDescent="0.3">
      <c r="A13" s="77" t="s">
        <v>106</v>
      </c>
      <c r="B13" s="76">
        <f>'Skjema total MA'!B68</f>
        <v>16944.74914</v>
      </c>
      <c r="C13" s="76">
        <f>'Skjema total MA'!C68</f>
        <v>13965.851000000001</v>
      </c>
      <c r="D13" s="181">
        <f t="shared" si="1"/>
        <v>-17.600000000000001</v>
      </c>
      <c r="E13" s="137"/>
      <c r="F13" s="148">
        <f>'Skjema total MA'!E68</f>
        <v>25246125.334059998</v>
      </c>
      <c r="G13" s="148">
        <f>'Skjema total MA'!F68</f>
        <v>27743267.765700001</v>
      </c>
      <c r="H13" s="181">
        <f t="shared" si="2"/>
        <v>9.9</v>
      </c>
      <c r="I13" s="137"/>
      <c r="J13" s="148">
        <f t="shared" si="0"/>
        <v>25263070.0832</v>
      </c>
      <c r="K13" s="148">
        <f t="shared" si="0"/>
        <v>27757233.616700001</v>
      </c>
      <c r="L13" s="179">
        <f t="shared" si="3"/>
        <v>9.9</v>
      </c>
      <c r="M13" s="48"/>
    </row>
    <row r="14" spans="1:13" s="100" customFormat="1" ht="18.75" x14ac:dyDescent="0.3">
      <c r="A14" s="146" t="s">
        <v>107</v>
      </c>
      <c r="B14" s="99">
        <f>'Skjema total MA'!B75+'Skjema total MA'!B76</f>
        <v>1967012.279951626</v>
      </c>
      <c r="C14" s="99">
        <f>'Skjema total MA'!C75+'Skjema total MA'!C76</f>
        <v>2304337.2203545859</v>
      </c>
      <c r="D14" s="181">
        <f t="shared" si="1"/>
        <v>17.100000000000001</v>
      </c>
      <c r="E14" s="138"/>
      <c r="F14" s="149">
        <f>'Skjema total MA'!E75+'Skjema total MA'!E76</f>
        <v>1026597.76896</v>
      </c>
      <c r="G14" s="149">
        <f>'Skjema total MA'!F75+'Skjema total MA'!F76</f>
        <v>1074322.18</v>
      </c>
      <c r="H14" s="181">
        <f t="shared" si="2"/>
        <v>4.5999999999999996</v>
      </c>
      <c r="I14" s="138"/>
      <c r="J14" s="148">
        <f t="shared" si="0"/>
        <v>2993610.048911626</v>
      </c>
      <c r="K14" s="148">
        <f t="shared" si="0"/>
        <v>3378659.4003545856</v>
      </c>
      <c r="L14" s="179">
        <f t="shared" si="3"/>
        <v>12.9</v>
      </c>
      <c r="M14" s="50"/>
    </row>
    <row r="15" spans="1:13" ht="22.5" x14ac:dyDescent="0.3">
      <c r="A15" s="77" t="s">
        <v>313</v>
      </c>
      <c r="B15" s="76">
        <f>'Skjema total MA'!B134</f>
        <v>39874610.619670004</v>
      </c>
      <c r="C15" s="76">
        <f>'Skjema total MA'!C134</f>
        <v>45825909.354320005</v>
      </c>
      <c r="D15" s="181">
        <f t="shared" si="1"/>
        <v>14.9</v>
      </c>
      <c r="E15" s="137"/>
      <c r="F15" s="148">
        <f>'Skjema total MA'!E134</f>
        <v>129541.768</v>
      </c>
      <c r="G15" s="148">
        <f>'Skjema total MA'!F134</f>
        <v>141671.402</v>
      </c>
      <c r="H15" s="181">
        <f t="shared" si="2"/>
        <v>9.4</v>
      </c>
      <c r="I15" s="137"/>
      <c r="J15" s="148">
        <f t="shared" si="0"/>
        <v>40004152.387670003</v>
      </c>
      <c r="K15" s="148">
        <f t="shared" si="0"/>
        <v>45967580.756320007</v>
      </c>
      <c r="L15" s="179">
        <f t="shared" si="3"/>
        <v>14.9</v>
      </c>
      <c r="M15" s="48"/>
    </row>
    <row r="16" spans="1:13" ht="18.75" x14ac:dyDescent="0.3">
      <c r="A16" s="77" t="s">
        <v>108</v>
      </c>
      <c r="B16" s="76">
        <f>'Skjema total MA'!B36</f>
        <v>7217.7269999999999</v>
      </c>
      <c r="C16" s="76">
        <f>'Skjema total MA'!C36</f>
        <v>9912</v>
      </c>
      <c r="D16" s="181">
        <f t="shared" si="1"/>
        <v>37.299999999999997</v>
      </c>
      <c r="E16" s="137"/>
      <c r="F16" s="148">
        <f>'Skjema total MA'!E36</f>
        <v>0</v>
      </c>
      <c r="G16" s="148">
        <f>'Skjema total MA'!F36</f>
        <v>0</v>
      </c>
      <c r="H16" s="181"/>
      <c r="I16" s="137"/>
      <c r="J16" s="148">
        <f t="shared" si="0"/>
        <v>7217.7269999999999</v>
      </c>
      <c r="K16" s="148">
        <f t="shared" si="0"/>
        <v>9912</v>
      </c>
      <c r="L16" s="179">
        <f t="shared" si="3"/>
        <v>37.299999999999997</v>
      </c>
      <c r="M16" s="48"/>
    </row>
    <row r="17" spans="1:15" s="102" customFormat="1" ht="18.75" customHeight="1" x14ac:dyDescent="0.3">
      <c r="A17" s="103" t="s">
        <v>109</v>
      </c>
      <c r="B17" s="79">
        <f>'Tabel 1.1'!B32</f>
        <v>54526028.396652035</v>
      </c>
      <c r="C17" s="150">
        <f>'Tabel 1.1'!C32</f>
        <v>61360588.901447833</v>
      </c>
      <c r="D17" s="550">
        <f t="shared" si="1"/>
        <v>12.5</v>
      </c>
      <c r="E17" s="104"/>
      <c r="F17" s="150">
        <f>'Tabel 1.1'!B41</f>
        <v>34660510.299649999</v>
      </c>
      <c r="G17" s="150">
        <f>'Tabel 1.1'!C41</f>
        <v>35056007.737440005</v>
      </c>
      <c r="H17" s="550">
        <f t="shared" si="2"/>
        <v>1.1000000000000001</v>
      </c>
      <c r="I17" s="104"/>
      <c r="J17" s="150">
        <f t="shared" si="0"/>
        <v>89186538.696302027</v>
      </c>
      <c r="K17" s="150">
        <f t="shared" si="0"/>
        <v>96416596.638887838</v>
      </c>
      <c r="L17" s="551">
        <f t="shared" si="3"/>
        <v>8.1</v>
      </c>
      <c r="M17" s="49"/>
      <c r="N17" s="101"/>
      <c r="O17" s="101"/>
    </row>
    <row r="18" spans="1:15" ht="18.75" customHeight="1" x14ac:dyDescent="0.3">
      <c r="A18" s="103"/>
      <c r="B18" s="76"/>
      <c r="C18" s="148"/>
      <c r="D18" s="148"/>
      <c r="E18" s="137"/>
      <c r="F18" s="148"/>
      <c r="G18" s="148"/>
      <c r="H18" s="181"/>
      <c r="I18" s="137"/>
      <c r="J18" s="148"/>
      <c r="K18" s="148"/>
      <c r="L18" s="179"/>
      <c r="M18" s="48"/>
    </row>
    <row r="19" spans="1:15" ht="18.75" customHeight="1" x14ac:dyDescent="0.3">
      <c r="A19" s="145" t="s">
        <v>314</v>
      </c>
      <c r="B19" s="152"/>
      <c r="C19" s="155"/>
      <c r="D19" s="148"/>
      <c r="E19" s="137"/>
      <c r="F19" s="155"/>
      <c r="G19" s="155"/>
      <c r="H19" s="181"/>
      <c r="I19" s="137"/>
      <c r="J19" s="148"/>
      <c r="K19" s="148"/>
      <c r="L19" s="179"/>
      <c r="M19" s="48"/>
    </row>
    <row r="20" spans="1:15" ht="18.75" customHeight="1" x14ac:dyDescent="0.3">
      <c r="A20" s="77" t="s">
        <v>102</v>
      </c>
      <c r="B20" s="76">
        <f>'Skjema total MA'!B10</f>
        <v>13239316.319243755</v>
      </c>
      <c r="C20" s="76">
        <f>'Skjema total MA'!C10</f>
        <v>12648624.920110075</v>
      </c>
      <c r="D20" s="181">
        <f>IF(B20=0, "    ---- ", IF(ABS(ROUND(100/B20*C20-100,1))&lt;999,ROUND(100/B20*C20-100,1),IF(ROUND(100/B20*C20-100,1)&gt;999,999,-999)))</f>
        <v>-4.5</v>
      </c>
      <c r="E20" s="137"/>
      <c r="F20" s="148">
        <f>'Skjema total MA'!E10</f>
        <v>93774474.278255001</v>
      </c>
      <c r="G20" s="148">
        <f>'Skjema total MA'!F10</f>
        <v>99593259.466991916</v>
      </c>
      <c r="H20" s="181">
        <f t="shared" si="2"/>
        <v>6.2</v>
      </c>
      <c r="I20" s="137"/>
      <c r="J20" s="148">
        <f t="shared" si="0"/>
        <v>107013790.59749876</v>
      </c>
      <c r="K20" s="148">
        <f t="shared" si="0"/>
        <v>112241884.38710199</v>
      </c>
      <c r="L20" s="179">
        <f t="shared" si="3"/>
        <v>4.9000000000000004</v>
      </c>
      <c r="M20" s="48"/>
    </row>
    <row r="21" spans="1:15" ht="18.75" customHeight="1" x14ac:dyDescent="0.3">
      <c r="A21" s="77" t="s">
        <v>103</v>
      </c>
      <c r="B21" s="76">
        <f>'Skjema total MA'!B29</f>
        <v>43785593.137016952</v>
      </c>
      <c r="C21" s="76">
        <f>'Skjema total MA'!C29</f>
        <v>44099076.266325556</v>
      </c>
      <c r="D21" s="181">
        <f t="shared" ref="D21:D27" si="4">IF(B21=0, "    ---- ", IF(ABS(ROUND(100/B21*C21-100,1))&lt;999,ROUND(100/B21*C21-100,1),IF(ROUND(100/B21*C21-100,1)&gt;999,999,-999)))</f>
        <v>0.7</v>
      </c>
      <c r="E21" s="137"/>
      <c r="F21" s="148">
        <f>'Skjema total MA'!E29</f>
        <v>28475620.883710001</v>
      </c>
      <c r="G21" s="148">
        <f>'Skjema total MA'!F29</f>
        <v>30044832.991145004</v>
      </c>
      <c r="H21" s="181">
        <f t="shared" si="2"/>
        <v>5.5</v>
      </c>
      <c r="I21" s="137"/>
      <c r="J21" s="148">
        <f t="shared" si="0"/>
        <v>72261214.020726949</v>
      </c>
      <c r="K21" s="148">
        <f t="shared" si="0"/>
        <v>74143909.257470563</v>
      </c>
      <c r="L21" s="179">
        <f t="shared" si="3"/>
        <v>2.6</v>
      </c>
      <c r="M21" s="48"/>
    </row>
    <row r="22" spans="1:15" ht="18.75" x14ac:dyDescent="0.3">
      <c r="A22" s="77" t="s">
        <v>105</v>
      </c>
      <c r="B22" s="76">
        <f>'Skjema total MA'!B87</f>
        <v>403963693.13131827</v>
      </c>
      <c r="C22" s="76">
        <f>'Skjema total MA'!C87</f>
        <v>411519797.50512445</v>
      </c>
      <c r="D22" s="181">
        <f t="shared" si="4"/>
        <v>1.9</v>
      </c>
      <c r="E22" s="137"/>
      <c r="F22" s="148">
        <f>'Skjema total MA'!E87</f>
        <v>612676988.24200487</v>
      </c>
      <c r="G22" s="148">
        <f>'Skjema total MA'!F87</f>
        <v>714857529.44171309</v>
      </c>
      <c r="H22" s="181">
        <f t="shared" si="2"/>
        <v>16.7</v>
      </c>
      <c r="I22" s="137"/>
      <c r="J22" s="148">
        <f t="shared" si="0"/>
        <v>1016640681.3733232</v>
      </c>
      <c r="K22" s="148">
        <f t="shared" si="0"/>
        <v>1126377326.9468374</v>
      </c>
      <c r="L22" s="179">
        <f t="shared" si="3"/>
        <v>10.8</v>
      </c>
      <c r="M22" s="48"/>
    </row>
    <row r="23" spans="1:15" ht="22.5" x14ac:dyDescent="0.3">
      <c r="A23" s="77" t="s">
        <v>110</v>
      </c>
      <c r="B23" s="76">
        <f>'Skjema total MA'!B89</f>
        <v>2394733.1854943</v>
      </c>
      <c r="C23" s="76">
        <f>'Skjema total MA'!C89</f>
        <v>4099874.1789395139</v>
      </c>
      <c r="D23" s="181">
        <f t="shared" si="4"/>
        <v>71.2</v>
      </c>
      <c r="E23" s="137"/>
      <c r="F23" s="148">
        <f>'Skjema total MA'!E89</f>
        <v>603422703.44499493</v>
      </c>
      <c r="G23" s="148">
        <f>'Skjema total MA'!F89</f>
        <v>703574201.62968302</v>
      </c>
      <c r="H23" s="181">
        <f t="shared" si="2"/>
        <v>16.600000000000001</v>
      </c>
      <c r="I23" s="137"/>
      <c r="J23" s="148">
        <f t="shared" si="0"/>
        <v>605817436.63048923</v>
      </c>
      <c r="K23" s="148">
        <f t="shared" si="0"/>
        <v>707674075.80862248</v>
      </c>
      <c r="L23" s="179">
        <f t="shared" si="3"/>
        <v>16.8</v>
      </c>
      <c r="M23" s="48"/>
    </row>
    <row r="24" spans="1:15" ht="18.75" x14ac:dyDescent="0.3">
      <c r="A24" s="146" t="s">
        <v>107</v>
      </c>
      <c r="B24" s="76">
        <f>'Skjema total MA'!B96+'Skjema total MA'!B97</f>
        <v>17438473.80892</v>
      </c>
      <c r="C24" s="76">
        <f>'Skjema total MA'!C96+'Skjema total MA'!C97</f>
        <v>21147451.851259999</v>
      </c>
      <c r="D24" s="181">
        <f t="shared" si="4"/>
        <v>21.3</v>
      </c>
      <c r="E24" s="137"/>
      <c r="F24" s="148">
        <f>'Skjema total MA'!E96+'Skjema total MA'!E97</f>
        <v>9254284.7970100008</v>
      </c>
      <c r="G24" s="148">
        <f>'Skjema total MA'!F96+'Skjema total MA'!F97</f>
        <v>11283327.812030001</v>
      </c>
      <c r="H24" s="181">
        <f t="shared" si="2"/>
        <v>21.9</v>
      </c>
      <c r="I24" s="137"/>
      <c r="J24" s="148">
        <f t="shared" si="0"/>
        <v>26692758.605930001</v>
      </c>
      <c r="K24" s="148">
        <f t="shared" si="0"/>
        <v>32430779.663290001</v>
      </c>
      <c r="L24" s="179">
        <f t="shared" si="3"/>
        <v>21.5</v>
      </c>
      <c r="M24" s="48"/>
    </row>
    <row r="25" spans="1:15" ht="22.5" x14ac:dyDescent="0.3">
      <c r="A25" s="77" t="s">
        <v>313</v>
      </c>
      <c r="B25" s="76">
        <f>'Skjema total MA'!B135</f>
        <v>890183698.16070008</v>
      </c>
      <c r="C25" s="76">
        <f>'Skjema total MA'!C135</f>
        <v>971464378.85356998</v>
      </c>
      <c r="D25" s="181">
        <f t="shared" si="4"/>
        <v>9.1</v>
      </c>
      <c r="E25" s="137"/>
      <c r="F25" s="148">
        <f>'Skjema total MA'!E135</f>
        <v>2890424.3207899998</v>
      </c>
      <c r="G25" s="148">
        <f>'Skjema total MA'!F135</f>
        <v>3055542.7277899999</v>
      </c>
      <c r="H25" s="181">
        <f t="shared" si="2"/>
        <v>5.7</v>
      </c>
      <c r="I25" s="137"/>
      <c r="J25" s="148">
        <f t="shared" si="0"/>
        <v>893074122.48149014</v>
      </c>
      <c r="K25" s="148">
        <f t="shared" si="0"/>
        <v>974519921.58135998</v>
      </c>
      <c r="L25" s="179">
        <f t="shared" si="3"/>
        <v>9.1</v>
      </c>
      <c r="M25" s="48"/>
    </row>
    <row r="26" spans="1:15" ht="18.75" x14ac:dyDescent="0.3">
      <c r="A26" s="77" t="s">
        <v>108</v>
      </c>
      <c r="B26" s="76">
        <f>'Skjema total MA'!B37</f>
        <v>2592560.2279099999</v>
      </c>
      <c r="C26" s="76">
        <f>'Skjema total MA'!C37</f>
        <v>2413325.6447329801</v>
      </c>
      <c r="D26" s="181">
        <f t="shared" si="4"/>
        <v>-6.9</v>
      </c>
      <c r="E26" s="137"/>
      <c r="F26" s="148">
        <f>'Skjema total MA'!E37</f>
        <v>0</v>
      </c>
      <c r="G26" s="148">
        <f>'Skjema total MA'!F37</f>
        <v>0</v>
      </c>
      <c r="H26" s="181"/>
      <c r="I26" s="137"/>
      <c r="J26" s="148">
        <f t="shared" si="0"/>
        <v>2592560.2279099999</v>
      </c>
      <c r="K26" s="148">
        <f t="shared" si="0"/>
        <v>2413325.6447329801</v>
      </c>
      <c r="L26" s="179">
        <f t="shared" si="3"/>
        <v>-6.9</v>
      </c>
      <c r="M26" s="48"/>
    </row>
    <row r="27" spans="1:15" s="102" customFormat="1" ht="18.75" x14ac:dyDescent="0.3">
      <c r="A27" s="103" t="s">
        <v>111</v>
      </c>
      <c r="B27" s="79">
        <f>'Tabel 1.1'!G32</f>
        <v>1353764860.9761891</v>
      </c>
      <c r="C27" s="150">
        <f>'Tabel 1.1'!H32</f>
        <v>1442145203.1898632</v>
      </c>
      <c r="D27" s="550">
        <f t="shared" si="4"/>
        <v>6.5</v>
      </c>
      <c r="E27" s="104"/>
      <c r="F27" s="150">
        <f>'Tabel 1.1'!G41</f>
        <v>737817507.72475994</v>
      </c>
      <c r="G27" s="150">
        <f>'Tabel 1.1'!H41</f>
        <v>847551164.62763989</v>
      </c>
      <c r="H27" s="550">
        <f t="shared" si="2"/>
        <v>14.9</v>
      </c>
      <c r="I27" s="104"/>
      <c r="J27" s="150">
        <f t="shared" si="0"/>
        <v>2091582368.7009492</v>
      </c>
      <c r="K27" s="150">
        <f t="shared" si="0"/>
        <v>2289696367.817503</v>
      </c>
      <c r="L27" s="551">
        <f t="shared" si="3"/>
        <v>9.5</v>
      </c>
      <c r="M27" s="49"/>
      <c r="N27" s="101"/>
      <c r="O27" s="101"/>
    </row>
    <row r="28" spans="1:15" ht="18.75" x14ac:dyDescent="0.3">
      <c r="A28" s="103"/>
      <c r="B28" s="76"/>
      <c r="C28" s="148"/>
      <c r="D28" s="181"/>
      <c r="E28" s="137"/>
      <c r="F28" s="148"/>
      <c r="G28" s="148"/>
      <c r="H28" s="181"/>
      <c r="I28" s="137"/>
      <c r="J28" s="148">
        <f t="shared" si="0"/>
        <v>0</v>
      </c>
      <c r="K28" s="148">
        <f t="shared" si="0"/>
        <v>0</v>
      </c>
      <c r="L28" s="179"/>
      <c r="M28" s="48"/>
    </row>
    <row r="29" spans="1:15" ht="22.5" x14ac:dyDescent="0.3">
      <c r="A29" s="145" t="s">
        <v>315</v>
      </c>
      <c r="B29" s="152"/>
      <c r="C29" s="155"/>
      <c r="D29" s="148"/>
      <c r="E29" s="137"/>
      <c r="F29" s="148"/>
      <c r="G29" s="148"/>
      <c r="H29" s="181"/>
      <c r="I29" s="137"/>
      <c r="J29" s="148"/>
      <c r="K29" s="148"/>
      <c r="L29" s="179"/>
      <c r="M29" s="48"/>
    </row>
    <row r="30" spans="1:15" ht="18.75" x14ac:dyDescent="0.3">
      <c r="A30" s="77" t="s">
        <v>102</v>
      </c>
      <c r="B30" s="76">
        <f>'Skjema total MA'!B11</f>
        <v>0</v>
      </c>
      <c r="C30" s="76">
        <f>'Skjema total MA'!C11</f>
        <v>333.04399999999998</v>
      </c>
      <c r="D30" s="181" t="str">
        <f>IF(B30=0, "    ---- ", IF(ABS(ROUND(100/B30*C30-100,1))&lt;999,ROUND(100/B30*C30-100,1),IF(ROUND(100/B30*C30-100,1)&gt;999,999,-999)))</f>
        <v xml:space="preserve">    ---- </v>
      </c>
      <c r="E30" s="137"/>
      <c r="F30" s="148">
        <f>'Skjema total MA'!E11</f>
        <v>203568.15708999999</v>
      </c>
      <c r="G30" s="148">
        <f>'Skjema total MA'!F11</f>
        <v>393741.24981000001</v>
      </c>
      <c r="H30" s="181">
        <f t="shared" si="2"/>
        <v>93.4</v>
      </c>
      <c r="I30" s="137"/>
      <c r="J30" s="148">
        <f t="shared" si="0"/>
        <v>203568.15708999999</v>
      </c>
      <c r="K30" s="148">
        <f t="shared" si="0"/>
        <v>394074.29381</v>
      </c>
      <c r="L30" s="179">
        <f t="shared" si="3"/>
        <v>93.6</v>
      </c>
      <c r="M30" s="48"/>
    </row>
    <row r="31" spans="1:15" ht="18.75" x14ac:dyDescent="0.3">
      <c r="A31" s="77" t="s">
        <v>103</v>
      </c>
      <c r="B31" s="76">
        <f>'Skjema total MA'!B34</f>
        <v>11320.142</v>
      </c>
      <c r="C31" s="76">
        <f>'Skjema total MA'!C34</f>
        <v>17676.09362</v>
      </c>
      <c r="D31" s="181">
        <f t="shared" ref="D31:D38" si="5">IF(B31=0, "    ---- ", IF(ABS(ROUND(100/B31*C31-100,1))&lt;999,ROUND(100/B31*C31-100,1),IF(ROUND(100/B31*C31-100,1)&gt;999,999,-999)))</f>
        <v>56.1</v>
      </c>
      <c r="E31" s="137"/>
      <c r="F31" s="148">
        <f>'Skjema total MA'!E34</f>
        <v>-102207.92419000001</v>
      </c>
      <c r="G31" s="148">
        <f>'Skjema total MA'!F34</f>
        <v>-145523.20257000002</v>
      </c>
      <c r="H31" s="181">
        <f t="shared" si="2"/>
        <v>42.4</v>
      </c>
      <c r="I31" s="137"/>
      <c r="J31" s="148">
        <f t="shared" si="0"/>
        <v>-90887.782189999998</v>
      </c>
      <c r="K31" s="148">
        <f t="shared" si="0"/>
        <v>-127847.10895000002</v>
      </c>
      <c r="L31" s="179">
        <f t="shared" si="3"/>
        <v>40.700000000000003</v>
      </c>
      <c r="M31" s="48"/>
    </row>
    <row r="32" spans="1:15" ht="18.75" x14ac:dyDescent="0.3">
      <c r="A32" s="77" t="s">
        <v>105</v>
      </c>
      <c r="B32" s="76">
        <f>'Skjema total MA'!B111</f>
        <v>337334.94871999999</v>
      </c>
      <c r="C32" s="76">
        <f>'Skjema total MA'!C111</f>
        <v>1321054.7294999999</v>
      </c>
      <c r="D32" s="181">
        <f t="shared" si="5"/>
        <v>291.60000000000002</v>
      </c>
      <c r="E32" s="137"/>
      <c r="F32" s="148">
        <f>'Skjema total MA'!E111</f>
        <v>26359634.33255</v>
      </c>
      <c r="G32" s="148">
        <f>'Skjema total MA'!F111</f>
        <v>35246864.129100002</v>
      </c>
      <c r="H32" s="181">
        <f t="shared" si="2"/>
        <v>33.700000000000003</v>
      </c>
      <c r="I32" s="137"/>
      <c r="J32" s="148">
        <f t="shared" si="0"/>
        <v>26696969.281270001</v>
      </c>
      <c r="K32" s="148">
        <f t="shared" si="0"/>
        <v>36567918.858600006</v>
      </c>
      <c r="L32" s="179">
        <f t="shared" si="3"/>
        <v>37</v>
      </c>
      <c r="M32" s="48"/>
    </row>
    <row r="33" spans="1:15" ht="22.5" x14ac:dyDescent="0.3">
      <c r="A33" s="77" t="s">
        <v>313</v>
      </c>
      <c r="B33" s="76">
        <f>'Skjema total MA'!B136</f>
        <v>2285445.0349999997</v>
      </c>
      <c r="C33" s="76">
        <f>'Skjema total MA'!C136</f>
        <v>3256939.8839999996</v>
      </c>
      <c r="D33" s="181">
        <f t="shared" si="5"/>
        <v>42.5</v>
      </c>
      <c r="E33" s="137"/>
      <c r="F33" s="148">
        <f>'Skjema total MA'!E136</f>
        <v>-182.05500000000001</v>
      </c>
      <c r="G33" s="148">
        <f>'Skjema total MA'!F136</f>
        <v>0</v>
      </c>
      <c r="H33" s="181">
        <f t="shared" si="2"/>
        <v>-100</v>
      </c>
      <c r="I33" s="137"/>
      <c r="J33" s="148">
        <f t="shared" si="0"/>
        <v>2285262.9799999995</v>
      </c>
      <c r="K33" s="148">
        <f t="shared" si="0"/>
        <v>3256939.8839999996</v>
      </c>
      <c r="L33" s="179">
        <f t="shared" si="3"/>
        <v>42.5</v>
      </c>
      <c r="M33" s="48"/>
    </row>
    <row r="34" spans="1:15" ht="18.75" x14ac:dyDescent="0.3">
      <c r="A34" s="77" t="s">
        <v>108</v>
      </c>
      <c r="B34" s="76">
        <f>'Skjema total MA'!B38</f>
        <v>0</v>
      </c>
      <c r="C34" s="76">
        <f>'Skjema total MA'!C38</f>
        <v>0</v>
      </c>
      <c r="D34" s="181"/>
      <c r="E34" s="137"/>
      <c r="F34" s="148">
        <f>'Skjema total MA'!E38</f>
        <v>0</v>
      </c>
      <c r="G34" s="148">
        <f>'Skjema total MA'!F38</f>
        <v>0</v>
      </c>
      <c r="H34" s="181"/>
      <c r="I34" s="137"/>
      <c r="J34" s="148">
        <f t="shared" si="0"/>
        <v>0</v>
      </c>
      <c r="K34" s="148">
        <f t="shared" si="0"/>
        <v>0</v>
      </c>
      <c r="L34" s="179"/>
      <c r="M34" s="48"/>
    </row>
    <row r="35" spans="1:15" s="102" customFormat="1" ht="18.75" x14ac:dyDescent="0.3">
      <c r="A35" s="103" t="s">
        <v>112</v>
      </c>
      <c r="B35" s="79">
        <f>SUM(B30:B34)</f>
        <v>2634100.1257199999</v>
      </c>
      <c r="C35" s="150">
        <f>SUM(C30:C34)</f>
        <v>4596003.7511199992</v>
      </c>
      <c r="D35" s="550">
        <f t="shared" si="5"/>
        <v>74.5</v>
      </c>
      <c r="E35" s="104"/>
      <c r="F35" s="150">
        <f>SUM(F30:F34)</f>
        <v>26460812.510450002</v>
      </c>
      <c r="G35" s="150">
        <f>SUM(G30:G34)</f>
        <v>35495082.176339999</v>
      </c>
      <c r="H35" s="550">
        <f t="shared" si="2"/>
        <v>34.1</v>
      </c>
      <c r="I35" s="104"/>
      <c r="J35" s="150">
        <f t="shared" si="0"/>
        <v>29094912.63617</v>
      </c>
      <c r="K35" s="150">
        <f t="shared" si="0"/>
        <v>40091085.92746</v>
      </c>
      <c r="L35" s="551">
        <f t="shared" si="3"/>
        <v>37.799999999999997</v>
      </c>
      <c r="M35" s="49"/>
    </row>
    <row r="36" spans="1:15" ht="18.75" x14ac:dyDescent="0.3">
      <c r="A36" s="103"/>
      <c r="B36" s="79"/>
      <c r="C36" s="150"/>
      <c r="D36" s="181"/>
      <c r="E36" s="104"/>
      <c r="F36" s="150"/>
      <c r="G36" s="150"/>
      <c r="H36" s="181"/>
      <c r="I36" s="104"/>
      <c r="J36" s="148"/>
      <c r="K36" s="148"/>
      <c r="L36" s="179"/>
      <c r="M36" s="48"/>
    </row>
    <row r="37" spans="1:15" ht="22.5" x14ac:dyDescent="0.3">
      <c r="A37" s="103" t="s">
        <v>316</v>
      </c>
      <c r="B37" s="79"/>
      <c r="C37" s="150"/>
      <c r="D37" s="148"/>
      <c r="E37" s="104"/>
      <c r="F37" s="150"/>
      <c r="G37" s="150"/>
      <c r="H37" s="181"/>
      <c r="I37" s="104"/>
      <c r="J37" s="148"/>
      <c r="K37" s="148"/>
      <c r="L37" s="179"/>
      <c r="M37" s="48"/>
    </row>
    <row r="38" spans="1:15" s="102" customFormat="1" ht="18.75" x14ac:dyDescent="0.3">
      <c r="A38" s="103" t="s">
        <v>104</v>
      </c>
      <c r="B38" s="79">
        <f>'Skjema total MA'!B53</f>
        <v>160218.91967784814</v>
      </c>
      <c r="C38" s="79">
        <f>'Skjema total MA'!C53</f>
        <v>268406.41899999999</v>
      </c>
      <c r="D38" s="550">
        <f t="shared" si="5"/>
        <v>67.5</v>
      </c>
      <c r="E38" s="104"/>
      <c r="F38" s="150"/>
      <c r="G38" s="150"/>
      <c r="H38" s="181"/>
      <c r="I38" s="104"/>
      <c r="J38" s="150">
        <f t="shared" si="0"/>
        <v>160218.91967784814</v>
      </c>
      <c r="K38" s="150">
        <f t="shared" si="0"/>
        <v>268406.41899999999</v>
      </c>
      <c r="L38" s="551">
        <f t="shared" si="3"/>
        <v>67.5</v>
      </c>
      <c r="M38" s="49"/>
    </row>
    <row r="39" spans="1:15" ht="18.75" x14ac:dyDescent="0.3">
      <c r="A39" s="103"/>
      <c r="B39" s="79"/>
      <c r="C39" s="150"/>
      <c r="D39" s="148"/>
      <c r="E39" s="104"/>
      <c r="F39" s="150"/>
      <c r="G39" s="150"/>
      <c r="H39" s="181"/>
      <c r="I39" s="104"/>
      <c r="J39" s="148"/>
      <c r="K39" s="148"/>
      <c r="L39" s="179"/>
      <c r="M39" s="48"/>
    </row>
    <row r="40" spans="1:15" ht="22.5" x14ac:dyDescent="0.3">
      <c r="A40" s="145" t="s">
        <v>317</v>
      </c>
      <c r="B40" s="152"/>
      <c r="C40" s="155"/>
      <c r="D40" s="148"/>
      <c r="E40" s="137"/>
      <c r="F40" s="148"/>
      <c r="G40" s="148"/>
      <c r="H40" s="181"/>
      <c r="I40" s="137"/>
      <c r="J40" s="148"/>
      <c r="K40" s="148"/>
      <c r="L40" s="179"/>
      <c r="M40" s="48"/>
    </row>
    <row r="41" spans="1:15" ht="18.75" x14ac:dyDescent="0.3">
      <c r="A41" s="77" t="s">
        <v>102</v>
      </c>
      <c r="B41" s="76">
        <f>'Skjema total MA'!B12</f>
        <v>0</v>
      </c>
      <c r="C41" s="76">
        <f>'Skjema total MA'!C12</f>
        <v>341.79806000000002</v>
      </c>
      <c r="D41" s="181" t="str">
        <f>IF(B41=0, "    ---- ", IF(ABS(ROUND(100/B41*C41-100,1))&lt;999,ROUND(100/B41*C41-100,1),IF(ROUND(100/B41*C41-100,1)&gt;999,999,-999)))</f>
        <v xml:space="preserve">    ---- </v>
      </c>
      <c r="E41" s="137"/>
      <c r="F41" s="148">
        <f>'Skjema total MA'!E12</f>
        <v>216077.60194000002</v>
      </c>
      <c r="G41" s="148">
        <f>'Skjema total MA'!F12</f>
        <v>390664.80722999998</v>
      </c>
      <c r="H41" s="181">
        <f t="shared" si="2"/>
        <v>80.8</v>
      </c>
      <c r="I41" s="137"/>
      <c r="J41" s="148">
        <f t="shared" si="0"/>
        <v>216077.60194000002</v>
      </c>
      <c r="K41" s="148">
        <f t="shared" si="0"/>
        <v>391006.60528999998</v>
      </c>
      <c r="L41" s="179">
        <f t="shared" si="3"/>
        <v>81</v>
      </c>
      <c r="M41" s="48"/>
    </row>
    <row r="42" spans="1:15" ht="18.75" x14ac:dyDescent="0.3">
      <c r="A42" s="77" t="s">
        <v>103</v>
      </c>
      <c r="B42" s="76">
        <f>'Skjema total MA'!B35</f>
        <v>-192255.51553999999</v>
      </c>
      <c r="C42" s="76">
        <f>'Skjema total MA'!C35</f>
        <v>-254931.80908000001</v>
      </c>
      <c r="D42" s="181">
        <f t="shared" ref="D42:D46" si="6">IF(B42=0, "    ---- ", IF(ABS(ROUND(100/B42*C42-100,1))&lt;999,ROUND(100/B42*C42-100,1),IF(ROUND(100/B42*C42-100,1)&gt;999,999,-999)))</f>
        <v>32.6</v>
      </c>
      <c r="E42" s="137"/>
      <c r="F42" s="148">
        <f>'Skjema total MA'!E35</f>
        <v>109784.40388</v>
      </c>
      <c r="G42" s="148">
        <f>'Skjema total MA'!F35</f>
        <v>129432.66148</v>
      </c>
      <c r="H42" s="181">
        <f t="shared" si="2"/>
        <v>17.899999999999999</v>
      </c>
      <c r="I42" s="137"/>
      <c r="J42" s="148">
        <f t="shared" si="0"/>
        <v>-82471.111659999995</v>
      </c>
      <c r="K42" s="148">
        <f t="shared" si="0"/>
        <v>-125499.14760000001</v>
      </c>
      <c r="L42" s="179">
        <f t="shared" si="3"/>
        <v>52.2</v>
      </c>
      <c r="M42" s="48"/>
    </row>
    <row r="43" spans="1:15" ht="18.75" x14ac:dyDescent="0.3">
      <c r="A43" s="77" t="s">
        <v>105</v>
      </c>
      <c r="B43" s="76">
        <f>'Skjema total MA'!B119</f>
        <v>170992.5613099995</v>
      </c>
      <c r="C43" s="76">
        <f>'Skjema total MA'!C119</f>
        <v>367939.22365000023</v>
      </c>
      <c r="D43" s="181">
        <f t="shared" si="6"/>
        <v>115.2</v>
      </c>
      <c r="E43" s="137"/>
      <c r="F43" s="148">
        <f>'Skjema total MA'!E119</f>
        <v>29091608.48065</v>
      </c>
      <c r="G43" s="148">
        <f>'Skjema total MA'!F119</f>
        <v>36995974.725000001</v>
      </c>
      <c r="H43" s="181">
        <f t="shared" si="2"/>
        <v>27.2</v>
      </c>
      <c r="I43" s="137"/>
      <c r="J43" s="148">
        <f t="shared" si="0"/>
        <v>29262601.041960001</v>
      </c>
      <c r="K43" s="148">
        <f t="shared" si="0"/>
        <v>37363913.948650002</v>
      </c>
      <c r="L43" s="179">
        <f t="shared" si="3"/>
        <v>27.7</v>
      </c>
      <c r="M43" s="48"/>
    </row>
    <row r="44" spans="1:15" ht="22.5" x14ac:dyDescent="0.3">
      <c r="A44" s="77" t="s">
        <v>313</v>
      </c>
      <c r="B44" s="76">
        <f>'Skjema total MA'!B137</f>
        <v>2298166.9709999999</v>
      </c>
      <c r="C44" s="76">
        <f>'Skjema total MA'!C137</f>
        <v>4132299.1660000002</v>
      </c>
      <c r="D44" s="181">
        <f t="shared" si="6"/>
        <v>79.8</v>
      </c>
      <c r="E44" s="137"/>
      <c r="F44" s="148">
        <f>'Skjema total MA'!E137</f>
        <v>0</v>
      </c>
      <c r="G44" s="148">
        <f>'Skjema total MA'!F137</f>
        <v>0</v>
      </c>
      <c r="H44" s="181"/>
      <c r="I44" s="137"/>
      <c r="J44" s="148">
        <f t="shared" si="0"/>
        <v>2298166.9709999999</v>
      </c>
      <c r="K44" s="148">
        <f t="shared" si="0"/>
        <v>4132299.1660000002</v>
      </c>
      <c r="L44" s="179">
        <f t="shared" si="3"/>
        <v>79.8</v>
      </c>
      <c r="M44" s="48"/>
    </row>
    <row r="45" spans="1:15" ht="18.75" x14ac:dyDescent="0.3">
      <c r="A45" s="77" t="s">
        <v>108</v>
      </c>
      <c r="B45" s="76">
        <f>'Skjema total MA'!B39</f>
        <v>1</v>
      </c>
      <c r="C45" s="76">
        <f>'Skjema total MA'!C39</f>
        <v>1.3109999999999999</v>
      </c>
      <c r="D45" s="181">
        <f t="shared" si="6"/>
        <v>31.1</v>
      </c>
      <c r="E45" s="137"/>
      <c r="F45" s="148"/>
      <c r="G45" s="148"/>
      <c r="H45" s="181"/>
      <c r="I45" s="137"/>
      <c r="J45" s="148">
        <f t="shared" si="0"/>
        <v>1</v>
      </c>
      <c r="K45" s="148">
        <f t="shared" si="0"/>
        <v>1.3109999999999999</v>
      </c>
      <c r="L45" s="179">
        <f t="shared" si="3"/>
        <v>31.1</v>
      </c>
      <c r="M45" s="48"/>
    </row>
    <row r="46" spans="1:15" s="102" customFormat="1" ht="18.75" x14ac:dyDescent="0.3">
      <c r="A46" s="103" t="s">
        <v>113</v>
      </c>
      <c r="B46" s="79">
        <f>SUM(B41:B45)</f>
        <v>2276905.0167699996</v>
      </c>
      <c r="C46" s="150">
        <f>SUM(C41:C45)</f>
        <v>4245649.6896299999</v>
      </c>
      <c r="D46" s="550">
        <f t="shared" si="6"/>
        <v>86.5</v>
      </c>
      <c r="E46" s="104"/>
      <c r="F46" s="150">
        <f>SUM(F41:F45)</f>
        <v>29417470.486469999</v>
      </c>
      <c r="G46" s="150">
        <f>SUM(G41:G45)</f>
        <v>37516072.193709999</v>
      </c>
      <c r="H46" s="550">
        <f t="shared" si="2"/>
        <v>27.5</v>
      </c>
      <c r="I46" s="104"/>
      <c r="J46" s="150">
        <f t="shared" si="0"/>
        <v>31694375.503239997</v>
      </c>
      <c r="K46" s="150">
        <f t="shared" si="0"/>
        <v>41761721.883340001</v>
      </c>
      <c r="L46" s="551">
        <f t="shared" si="3"/>
        <v>31.8</v>
      </c>
      <c r="M46" s="49"/>
      <c r="N46" s="101"/>
      <c r="O46" s="101"/>
    </row>
    <row r="47" spans="1:15" ht="18.75" x14ac:dyDescent="0.3">
      <c r="A47" s="103"/>
      <c r="B47" s="79"/>
      <c r="C47" s="150"/>
      <c r="D47" s="148"/>
      <c r="E47" s="104"/>
      <c r="F47" s="150"/>
      <c r="G47" s="150"/>
      <c r="H47" s="181"/>
      <c r="I47" s="104"/>
      <c r="J47" s="148"/>
      <c r="K47" s="148"/>
      <c r="L47" s="179"/>
      <c r="M47" s="48"/>
    </row>
    <row r="48" spans="1:15" ht="22.5" x14ac:dyDescent="0.3">
      <c r="A48" s="103" t="s">
        <v>318</v>
      </c>
      <c r="B48" s="79"/>
      <c r="C48" s="150"/>
      <c r="D48" s="148"/>
      <c r="E48" s="104"/>
      <c r="F48" s="150"/>
      <c r="G48" s="150"/>
      <c r="H48" s="181"/>
      <c r="I48" s="104"/>
      <c r="J48" s="148"/>
      <c r="K48" s="148"/>
      <c r="L48" s="179"/>
      <c r="M48" s="48"/>
    </row>
    <row r="49" spans="1:15" s="102" customFormat="1" ht="18.75" x14ac:dyDescent="0.3">
      <c r="A49" s="103" t="s">
        <v>104</v>
      </c>
      <c r="B49" s="79">
        <f>'Skjema total MA'!B56</f>
        <v>146264.49600000001</v>
      </c>
      <c r="C49" s="79">
        <f>'Skjema total MA'!C56</f>
        <v>64895.633999999998</v>
      </c>
      <c r="D49" s="550">
        <f t="shared" ref="D49" si="7">IF(B49=0, "    ---- ", IF(ABS(ROUND(100/B49*C49-100,1))&lt;999,ROUND(100/B49*C49-100,1),IF(ROUND(100/B49*C49-100,1)&gt;999,999,-999)))</f>
        <v>-55.6</v>
      </c>
      <c r="E49" s="104"/>
      <c r="F49" s="150"/>
      <c r="G49" s="150"/>
      <c r="H49" s="181"/>
      <c r="I49" s="104"/>
      <c r="J49" s="150">
        <f>SUM(B49+F49)</f>
        <v>146264.49600000001</v>
      </c>
      <c r="K49" s="150">
        <f>SUM(C49+G49)</f>
        <v>64895.633999999998</v>
      </c>
      <c r="L49" s="551">
        <f t="shared" si="3"/>
        <v>-55.6</v>
      </c>
      <c r="M49" s="49"/>
    </row>
    <row r="50" spans="1:15" ht="18.75" x14ac:dyDescent="0.3">
      <c r="A50" s="103"/>
      <c r="B50" s="76"/>
      <c r="C50" s="148"/>
      <c r="D50" s="148"/>
      <c r="E50" s="137"/>
      <c r="F50" s="148"/>
      <c r="G50" s="148"/>
      <c r="H50" s="181"/>
      <c r="I50" s="137"/>
      <c r="J50" s="148"/>
      <c r="K50" s="148"/>
      <c r="L50" s="179"/>
      <c r="M50" s="48"/>
    </row>
    <row r="51" spans="1:15" ht="21.75" x14ac:dyDescent="0.3">
      <c r="A51" s="145" t="s">
        <v>319</v>
      </c>
      <c r="B51" s="76"/>
      <c r="C51" s="148"/>
      <c r="D51" s="148"/>
      <c r="E51" s="137"/>
      <c r="F51" s="148"/>
      <c r="G51" s="148"/>
      <c r="H51" s="181"/>
      <c r="I51" s="137"/>
      <c r="J51" s="148"/>
      <c r="K51" s="148"/>
      <c r="L51" s="179"/>
      <c r="M51" s="48"/>
    </row>
    <row r="52" spans="1:15" ht="18.75" x14ac:dyDescent="0.3">
      <c r="A52" s="77" t="s">
        <v>102</v>
      </c>
      <c r="B52" s="76">
        <f>B30-B41</f>
        <v>0</v>
      </c>
      <c r="C52" s="148">
        <f>C30-C41</f>
        <v>-8.7540600000000381</v>
      </c>
      <c r="D52" s="181" t="str">
        <f>IF(B52=0, "    ---- ", IF(ABS(ROUND(100/B52*C52-100,1))&lt;999,ROUND(100/B52*C52-100,1),IF(ROUND(100/B52*C52-100,1)&gt;999,999,-999)))</f>
        <v xml:space="preserve">    ---- </v>
      </c>
      <c r="E52" s="137"/>
      <c r="F52" s="148">
        <f>F30-F41</f>
        <v>-12509.444850000029</v>
      </c>
      <c r="G52" s="148">
        <f>G30-G41</f>
        <v>3076.4425800000317</v>
      </c>
      <c r="H52" s="181">
        <f t="shared" si="2"/>
        <v>-124.6</v>
      </c>
      <c r="I52" s="137"/>
      <c r="J52" s="148">
        <f t="shared" si="0"/>
        <v>-12509.444850000029</v>
      </c>
      <c r="K52" s="148">
        <f t="shared" si="0"/>
        <v>3067.6885200000315</v>
      </c>
      <c r="L52" s="179">
        <f t="shared" si="3"/>
        <v>-124.5</v>
      </c>
      <c r="M52" s="48"/>
    </row>
    <row r="53" spans="1:15" ht="18.75" x14ac:dyDescent="0.3">
      <c r="A53" s="77" t="s">
        <v>103</v>
      </c>
      <c r="B53" s="76">
        <f t="shared" ref="B53:C56" si="8">B31-B42</f>
        <v>203575.65753999999</v>
      </c>
      <c r="C53" s="148">
        <f t="shared" si="8"/>
        <v>272607.90269999998</v>
      </c>
      <c r="D53" s="181">
        <f t="shared" ref="D53:D60" si="9">IF(B53=0, "    ---- ", IF(ABS(ROUND(100/B53*C53-100,1))&lt;999,ROUND(100/B53*C53-100,1),IF(ROUND(100/B53*C53-100,1)&gt;999,999,-999)))</f>
        <v>33.9</v>
      </c>
      <c r="E53" s="137"/>
      <c r="F53" s="148">
        <f t="shared" ref="F53:G56" si="10">F31-F42</f>
        <v>-211992.32806999999</v>
      </c>
      <c r="G53" s="148">
        <f t="shared" si="10"/>
        <v>-274955.86405000003</v>
      </c>
      <c r="H53" s="181">
        <f t="shared" si="2"/>
        <v>29.7</v>
      </c>
      <c r="I53" s="137"/>
      <c r="J53" s="148">
        <f t="shared" si="0"/>
        <v>-8416.6705300000031</v>
      </c>
      <c r="K53" s="148">
        <f t="shared" si="0"/>
        <v>-2347.961350000056</v>
      </c>
      <c r="L53" s="179">
        <f t="shared" si="3"/>
        <v>-72.099999999999994</v>
      </c>
      <c r="M53" s="48"/>
    </row>
    <row r="54" spans="1:15" ht="18.75" x14ac:dyDescent="0.3">
      <c r="A54" s="77" t="s">
        <v>105</v>
      </c>
      <c r="B54" s="76">
        <f t="shared" si="8"/>
        <v>166342.38741000049</v>
      </c>
      <c r="C54" s="148">
        <f t="shared" si="8"/>
        <v>953115.50584999961</v>
      </c>
      <c r="D54" s="181">
        <f t="shared" si="9"/>
        <v>473</v>
      </c>
      <c r="E54" s="137"/>
      <c r="F54" s="148">
        <f t="shared" si="10"/>
        <v>-2731974.1480999999</v>
      </c>
      <c r="G54" s="148">
        <f t="shared" si="10"/>
        <v>-1749110.5958999991</v>
      </c>
      <c r="H54" s="181">
        <f t="shared" si="2"/>
        <v>-36</v>
      </c>
      <c r="I54" s="137"/>
      <c r="J54" s="148">
        <f t="shared" si="0"/>
        <v>-2565631.7606899994</v>
      </c>
      <c r="K54" s="148">
        <f t="shared" si="0"/>
        <v>-795995.09004999953</v>
      </c>
      <c r="L54" s="179">
        <f t="shared" si="3"/>
        <v>-69</v>
      </c>
      <c r="M54" s="48"/>
    </row>
    <row r="55" spans="1:15" ht="22.5" x14ac:dyDescent="0.3">
      <c r="A55" s="77" t="s">
        <v>313</v>
      </c>
      <c r="B55" s="76">
        <f t="shared" si="8"/>
        <v>-12721.93600000022</v>
      </c>
      <c r="C55" s="148">
        <f t="shared" si="8"/>
        <v>-875359.28200000059</v>
      </c>
      <c r="D55" s="181">
        <f t="shared" si="9"/>
        <v>999</v>
      </c>
      <c r="E55" s="137"/>
      <c r="F55" s="148">
        <f t="shared" si="10"/>
        <v>-182.05500000000001</v>
      </c>
      <c r="G55" s="148">
        <f t="shared" si="10"/>
        <v>0</v>
      </c>
      <c r="H55" s="181">
        <f t="shared" si="2"/>
        <v>-100</v>
      </c>
      <c r="I55" s="137"/>
      <c r="J55" s="148">
        <f t="shared" si="0"/>
        <v>-12903.99100000022</v>
      </c>
      <c r="K55" s="148">
        <f t="shared" si="0"/>
        <v>-875359.28200000059</v>
      </c>
      <c r="L55" s="179">
        <f t="shared" si="3"/>
        <v>999</v>
      </c>
      <c r="M55" s="48"/>
    </row>
    <row r="56" spans="1:15" ht="18.75" x14ac:dyDescent="0.3">
      <c r="A56" s="77" t="s">
        <v>108</v>
      </c>
      <c r="B56" s="76">
        <f t="shared" si="8"/>
        <v>-1</v>
      </c>
      <c r="C56" s="148">
        <f t="shared" si="8"/>
        <v>-1.3109999999999999</v>
      </c>
      <c r="D56" s="181">
        <f t="shared" si="9"/>
        <v>31.1</v>
      </c>
      <c r="E56" s="137"/>
      <c r="F56" s="148">
        <f t="shared" si="10"/>
        <v>0</v>
      </c>
      <c r="G56" s="148">
        <f t="shared" si="10"/>
        <v>0</v>
      </c>
      <c r="H56" s="181"/>
      <c r="I56" s="137"/>
      <c r="J56" s="148">
        <f t="shared" si="0"/>
        <v>-1</v>
      </c>
      <c r="K56" s="148">
        <f t="shared" si="0"/>
        <v>-1.3109999999999999</v>
      </c>
      <c r="L56" s="179">
        <f t="shared" si="3"/>
        <v>31.1</v>
      </c>
      <c r="M56" s="48"/>
    </row>
    <row r="57" spans="1:15" s="102" customFormat="1" ht="18.75" x14ac:dyDescent="0.3">
      <c r="A57" s="103" t="s">
        <v>114</v>
      </c>
      <c r="B57" s="79">
        <f>SUM(B52:B56)</f>
        <v>357195.10895000026</v>
      </c>
      <c r="C57" s="150">
        <f>SUM(C52:C56)</f>
        <v>350354.06148999906</v>
      </c>
      <c r="D57" s="550">
        <f>IF(B57=0, "    ---- ", IF(ABS(ROUND(100/B57*C57-100,1))&lt;999,ROUND(100/B57*C57-100,1),IF(ROUND(100/B57*C57-100,1)&gt;999,999,-999)))</f>
        <v>-1.9</v>
      </c>
      <c r="E57" s="104"/>
      <c r="F57" s="150">
        <f>SUM(F52:F56)</f>
        <v>-2956657.9760199999</v>
      </c>
      <c r="G57" s="150">
        <f>SUM(G52:G56)</f>
        <v>-2020990.0173699991</v>
      </c>
      <c r="H57" s="550">
        <f t="shared" si="2"/>
        <v>-31.6</v>
      </c>
      <c r="I57" s="104"/>
      <c r="J57" s="150">
        <f t="shared" si="0"/>
        <v>-2599462.8670699997</v>
      </c>
      <c r="K57" s="148">
        <f t="shared" si="0"/>
        <v>-1670635.95588</v>
      </c>
      <c r="L57" s="551">
        <f t="shared" si="3"/>
        <v>-35.700000000000003</v>
      </c>
      <c r="M57" s="49"/>
      <c r="N57" s="101"/>
      <c r="O57" s="101"/>
    </row>
    <row r="58" spans="1:15" ht="18.75" x14ac:dyDescent="0.3">
      <c r="A58" s="103"/>
      <c r="B58" s="79"/>
      <c r="C58" s="150"/>
      <c r="D58" s="181"/>
      <c r="E58" s="104"/>
      <c r="F58" s="150"/>
      <c r="G58" s="150"/>
      <c r="H58" s="181"/>
      <c r="I58" s="104"/>
      <c r="J58" s="150"/>
      <c r="K58" s="148"/>
      <c r="L58" s="179"/>
      <c r="M58" s="48"/>
    </row>
    <row r="59" spans="1:15" ht="22.5" x14ac:dyDescent="0.3">
      <c r="A59" s="103" t="s">
        <v>320</v>
      </c>
      <c r="B59" s="79"/>
      <c r="C59" s="150"/>
      <c r="D59" s="181"/>
      <c r="E59" s="104"/>
      <c r="F59" s="150"/>
      <c r="G59" s="150"/>
      <c r="H59" s="181"/>
      <c r="I59" s="104"/>
      <c r="J59" s="150"/>
      <c r="K59" s="148"/>
      <c r="L59" s="179"/>
      <c r="M59" s="48"/>
    </row>
    <row r="60" spans="1:15" s="102" customFormat="1" ht="18.75" x14ac:dyDescent="0.3">
      <c r="A60" s="103" t="s">
        <v>104</v>
      </c>
      <c r="B60" s="79">
        <f>B38-B49</f>
        <v>13954.423677848128</v>
      </c>
      <c r="C60" s="150">
        <f>C38-C49</f>
        <v>203510.785</v>
      </c>
      <c r="D60" s="550">
        <f t="shared" si="9"/>
        <v>999</v>
      </c>
      <c r="E60" s="104"/>
      <c r="F60" s="150">
        <f>F38-F49</f>
        <v>0</v>
      </c>
      <c r="G60" s="150">
        <f>G38-G49</f>
        <v>0</v>
      </c>
      <c r="H60" s="181"/>
      <c r="I60" s="104"/>
      <c r="J60" s="150">
        <f t="shared" si="0"/>
        <v>13954.423677848128</v>
      </c>
      <c r="K60" s="150">
        <f t="shared" si="0"/>
        <v>203510.785</v>
      </c>
      <c r="L60" s="551">
        <f t="shared" si="3"/>
        <v>999</v>
      </c>
      <c r="M60" s="49"/>
    </row>
    <row r="61" spans="1:15" s="102" customFormat="1" ht="18.75" x14ac:dyDescent="0.3">
      <c r="A61" s="147"/>
      <c r="B61" s="83"/>
      <c r="C61" s="151"/>
      <c r="D61" s="156"/>
      <c r="E61" s="104"/>
      <c r="F61" s="151"/>
      <c r="G61" s="151"/>
      <c r="H61" s="156"/>
      <c r="I61" s="104"/>
      <c r="J61" s="156"/>
      <c r="K61" s="156"/>
      <c r="L61" s="156"/>
      <c r="M61" s="49"/>
    </row>
    <row r="62" spans="1:15" ht="18.75" x14ac:dyDescent="0.3">
      <c r="A62" s="48" t="s">
        <v>115</v>
      </c>
      <c r="C62" s="51"/>
      <c r="D62" s="51"/>
      <c r="E62" s="51"/>
      <c r="F62" s="51"/>
      <c r="G62" s="48"/>
      <c r="H62" s="48"/>
      <c r="I62" s="48"/>
      <c r="J62" s="48"/>
      <c r="K62" s="48"/>
      <c r="L62" s="48"/>
      <c r="M62" s="48"/>
    </row>
    <row r="63" spans="1:15" ht="18.75" x14ac:dyDescent="0.3">
      <c r="A63" s="48" t="s">
        <v>116</v>
      </c>
      <c r="C63" s="51"/>
      <c r="D63" s="51"/>
      <c r="E63" s="51"/>
      <c r="F63" s="51"/>
      <c r="G63" s="48"/>
      <c r="H63" s="48"/>
      <c r="I63" s="48"/>
      <c r="J63" s="48"/>
      <c r="K63" s="48"/>
      <c r="L63" s="48"/>
      <c r="M63" s="48"/>
    </row>
    <row r="64" spans="1:15" ht="18.75" x14ac:dyDescent="0.3">
      <c r="A64" s="48" t="s">
        <v>95</v>
      </c>
      <c r="B64" s="48"/>
      <c r="C64" s="48"/>
      <c r="D64" s="48"/>
      <c r="E64" s="48"/>
      <c r="F64" s="48"/>
      <c r="G64" s="48"/>
      <c r="H64" s="48"/>
      <c r="I64" s="48"/>
      <c r="J64" s="48"/>
      <c r="K64" s="48"/>
      <c r="L64" s="48"/>
      <c r="M64" s="48"/>
    </row>
    <row r="65" spans="1:13" ht="18.75" x14ac:dyDescent="0.3">
      <c r="A65" s="48"/>
      <c r="C65" s="48"/>
      <c r="D65" s="48"/>
      <c r="E65" s="48"/>
      <c r="F65" s="48"/>
      <c r="G65" s="48"/>
      <c r="H65" s="48"/>
      <c r="I65" s="48"/>
      <c r="J65" s="48"/>
      <c r="K65" s="48"/>
      <c r="L65" s="48"/>
      <c r="M65" s="48"/>
    </row>
    <row r="66" spans="1:13" ht="18.75" x14ac:dyDescent="0.3">
      <c r="A66" s="48"/>
      <c r="B66" s="48"/>
      <c r="C66" s="48"/>
      <c r="D66" s="48"/>
      <c r="E66" s="48"/>
      <c r="F66" s="48"/>
      <c r="G66" s="48"/>
      <c r="H66" s="48"/>
      <c r="I66" s="48"/>
      <c r="J66" s="48"/>
      <c r="K66" s="48"/>
      <c r="L66" s="48"/>
      <c r="M66" s="48"/>
    </row>
    <row r="67" spans="1:13" ht="18.75" x14ac:dyDescent="0.3">
      <c r="A67" s="48"/>
      <c r="B67" s="48"/>
      <c r="C67" s="48"/>
      <c r="D67" s="48"/>
      <c r="E67" s="48"/>
      <c r="F67" s="48"/>
      <c r="G67" s="48"/>
      <c r="H67" s="48"/>
      <c r="I67" s="48"/>
      <c r="J67" s="48"/>
      <c r="K67" s="48"/>
      <c r="L67" s="48"/>
      <c r="M67" s="48"/>
    </row>
    <row r="68" spans="1:13" ht="18.75" x14ac:dyDescent="0.3">
      <c r="A68" s="48"/>
      <c r="B68" s="48"/>
      <c r="C68" s="48"/>
      <c r="D68" s="48"/>
      <c r="E68" s="48"/>
      <c r="F68" s="48"/>
      <c r="G68" s="48"/>
      <c r="H68" s="48"/>
      <c r="I68" s="48"/>
      <c r="J68" s="48"/>
      <c r="K68" s="48"/>
      <c r="L68" s="48"/>
      <c r="M68" s="48"/>
    </row>
    <row r="69" spans="1:13" ht="18.75" x14ac:dyDescent="0.3">
      <c r="A69" s="48"/>
      <c r="B69" s="48"/>
      <c r="C69" s="48"/>
      <c r="D69" s="48"/>
      <c r="E69" s="48"/>
      <c r="F69" s="48"/>
      <c r="G69" s="48"/>
      <c r="H69" s="48"/>
      <c r="I69" s="48"/>
      <c r="J69" s="48"/>
      <c r="K69" s="48"/>
      <c r="L69" s="48"/>
      <c r="M69" s="48"/>
    </row>
    <row r="70" spans="1:13" ht="18.75" x14ac:dyDescent="0.3">
      <c r="A70" s="48"/>
      <c r="B70" s="48"/>
      <c r="C70" s="48"/>
      <c r="D70" s="48"/>
      <c r="E70" s="48"/>
      <c r="F70" s="48"/>
      <c r="G70" s="48"/>
      <c r="H70" s="48"/>
      <c r="I70" s="48"/>
      <c r="J70" s="48"/>
      <c r="K70" s="48"/>
      <c r="L70" s="48"/>
      <c r="M70" s="48"/>
    </row>
    <row r="71" spans="1:13" ht="18.75" x14ac:dyDescent="0.3">
      <c r="A71" s="48"/>
      <c r="B71" s="48"/>
      <c r="C71" s="48"/>
      <c r="D71" s="48"/>
      <c r="E71" s="48"/>
      <c r="F71" s="48"/>
      <c r="G71" s="48"/>
      <c r="H71" s="48"/>
      <c r="I71" s="48"/>
      <c r="J71" s="48"/>
      <c r="K71" s="48"/>
      <c r="L71" s="48"/>
      <c r="M71" s="48"/>
    </row>
    <row r="72" spans="1:13" ht="18.75" x14ac:dyDescent="0.3">
      <c r="A72" s="48"/>
      <c r="B72" s="48"/>
      <c r="C72" s="48"/>
      <c r="D72" s="48"/>
      <c r="E72" s="48"/>
      <c r="F72" s="48"/>
      <c r="G72" s="48"/>
      <c r="H72" s="48"/>
      <c r="I72" s="48"/>
      <c r="J72" s="48"/>
      <c r="K72" s="48"/>
      <c r="L72" s="48"/>
      <c r="M72" s="48"/>
    </row>
    <row r="73" spans="1:13" ht="18.75" x14ac:dyDescent="0.3">
      <c r="A73" s="48"/>
      <c r="B73" s="48"/>
      <c r="C73" s="48"/>
      <c r="D73" s="48"/>
      <c r="E73" s="48"/>
      <c r="F73" s="48"/>
      <c r="G73" s="48"/>
      <c r="H73" s="48"/>
      <c r="I73" s="48"/>
      <c r="J73" s="48"/>
      <c r="K73" s="48"/>
      <c r="L73" s="48"/>
      <c r="M73" s="48"/>
    </row>
    <row r="74" spans="1:13" ht="18.75" x14ac:dyDescent="0.3">
      <c r="A74" s="48"/>
      <c r="B74" s="48"/>
      <c r="C74" s="48"/>
      <c r="D74" s="48"/>
      <c r="E74" s="48"/>
      <c r="F74" s="48"/>
      <c r="G74" s="48"/>
      <c r="H74" s="48"/>
      <c r="I74" s="48"/>
      <c r="J74" s="48"/>
      <c r="K74" s="48"/>
      <c r="L74" s="48"/>
      <c r="M74" s="48"/>
    </row>
    <row r="75" spans="1:13" ht="18.75" x14ac:dyDescent="0.3">
      <c r="A75" s="48"/>
      <c r="B75" s="48"/>
      <c r="C75" s="48"/>
      <c r="D75" s="48"/>
      <c r="E75" s="48"/>
      <c r="F75" s="48"/>
      <c r="G75" s="48"/>
      <c r="H75" s="48"/>
      <c r="I75" s="48"/>
      <c r="J75" s="48"/>
      <c r="K75" s="48"/>
      <c r="L75" s="48"/>
      <c r="M75" s="48"/>
    </row>
    <row r="76" spans="1:13" ht="18.75" x14ac:dyDescent="0.3">
      <c r="A76" s="48"/>
      <c r="B76" s="48"/>
      <c r="C76" s="48"/>
      <c r="D76" s="48"/>
      <c r="E76" s="48"/>
      <c r="F76" s="48"/>
      <c r="G76" s="48"/>
      <c r="H76" s="48"/>
      <c r="I76" s="48"/>
      <c r="J76" s="48"/>
      <c r="K76" s="48"/>
      <c r="L76" s="48"/>
      <c r="M76" s="48"/>
    </row>
    <row r="77" spans="1:13" ht="18.75" x14ac:dyDescent="0.3">
      <c r="A77" s="48"/>
      <c r="B77" s="48"/>
      <c r="C77" s="48"/>
      <c r="D77" s="48"/>
      <c r="E77" s="48"/>
      <c r="F77" s="48"/>
      <c r="G77" s="48"/>
      <c r="H77" s="48"/>
      <c r="I77" s="48"/>
      <c r="J77" s="48"/>
      <c r="K77" s="48"/>
      <c r="L77" s="48"/>
      <c r="M77" s="48"/>
    </row>
    <row r="78" spans="1:13" ht="18.75" x14ac:dyDescent="0.3">
      <c r="A78" s="48"/>
      <c r="B78" s="48"/>
      <c r="C78" s="48"/>
      <c r="D78" s="48"/>
      <c r="E78" s="48"/>
      <c r="F78" s="48"/>
      <c r="G78" s="48"/>
      <c r="H78" s="48"/>
      <c r="I78" s="48"/>
      <c r="J78" s="48"/>
      <c r="K78" s="48"/>
      <c r="L78" s="48"/>
      <c r="M78" s="48"/>
    </row>
    <row r="79" spans="1:13" ht="18.75" x14ac:dyDescent="0.3">
      <c r="A79" s="48"/>
      <c r="B79" s="48"/>
      <c r="C79" s="48"/>
      <c r="D79" s="48"/>
      <c r="E79" s="48"/>
      <c r="F79" s="48"/>
      <c r="G79" s="48"/>
      <c r="H79" s="48"/>
      <c r="I79" s="48"/>
      <c r="J79" s="48"/>
      <c r="K79" s="48"/>
      <c r="L79" s="48"/>
      <c r="M79" s="48"/>
    </row>
    <row r="80" spans="1:13" ht="18.75" x14ac:dyDescent="0.3">
      <c r="A80" s="48"/>
      <c r="B80" s="48"/>
      <c r="C80" s="48"/>
      <c r="D80" s="48"/>
      <c r="E80" s="48"/>
      <c r="F80" s="48"/>
      <c r="G80" s="48"/>
      <c r="H80" s="48"/>
      <c r="I80" s="48"/>
      <c r="J80" s="48"/>
      <c r="K80" s="48"/>
      <c r="L80" s="48"/>
      <c r="M80" s="48"/>
    </row>
    <row r="81" spans="1:13" ht="18.75" x14ac:dyDescent="0.3">
      <c r="A81" s="48"/>
      <c r="B81" s="48"/>
      <c r="C81" s="48"/>
      <c r="D81" s="48"/>
      <c r="E81" s="48"/>
      <c r="F81" s="48"/>
      <c r="G81" s="48"/>
      <c r="H81" s="48"/>
      <c r="I81" s="48"/>
      <c r="J81" s="48"/>
      <c r="K81" s="48"/>
      <c r="L81" s="48"/>
      <c r="M81" s="48"/>
    </row>
    <row r="82" spans="1:13" ht="18.75" x14ac:dyDescent="0.3">
      <c r="A82" s="48"/>
      <c r="B82" s="48"/>
      <c r="C82" s="48"/>
      <c r="D82" s="48"/>
      <c r="E82" s="48"/>
      <c r="F82" s="48"/>
      <c r="G82" s="48"/>
      <c r="H82" s="48"/>
      <c r="I82" s="48"/>
      <c r="J82" s="48"/>
      <c r="K82" s="48"/>
      <c r="L82" s="48"/>
      <c r="M82" s="48"/>
    </row>
    <row r="83" spans="1:13" ht="18.75" x14ac:dyDescent="0.3">
      <c r="A83" s="48"/>
      <c r="B83" s="48"/>
      <c r="C83" s="48"/>
      <c r="D83" s="48"/>
      <c r="E83" s="48"/>
      <c r="F83" s="48"/>
      <c r="G83" s="48"/>
      <c r="H83" s="48"/>
      <c r="I83" s="48"/>
      <c r="J83" s="48"/>
      <c r="K83" s="48"/>
      <c r="L83" s="48"/>
      <c r="M83" s="48"/>
    </row>
    <row r="84" spans="1:13" ht="18.75" x14ac:dyDescent="0.3">
      <c r="A84" s="48"/>
      <c r="B84" s="48"/>
      <c r="C84" s="48"/>
      <c r="D84" s="48"/>
      <c r="E84" s="48"/>
      <c r="F84" s="48"/>
      <c r="G84" s="48"/>
      <c r="H84" s="48"/>
      <c r="I84" s="48"/>
      <c r="J84" s="48"/>
      <c r="K84" s="48"/>
      <c r="L84" s="48"/>
      <c r="M84" s="48"/>
    </row>
    <row r="85" spans="1:13" ht="18.75" x14ac:dyDescent="0.3">
      <c r="A85" s="48"/>
      <c r="B85" s="48"/>
      <c r="C85" s="48"/>
      <c r="D85" s="48"/>
      <c r="E85" s="48"/>
      <c r="F85" s="48"/>
      <c r="G85" s="48"/>
      <c r="H85" s="48"/>
      <c r="I85" s="48"/>
      <c r="J85" s="48"/>
      <c r="K85" s="48"/>
      <c r="L85" s="48"/>
      <c r="M85" s="48"/>
    </row>
    <row r="86" spans="1:13" ht="18.75" x14ac:dyDescent="0.3">
      <c r="A86" s="48"/>
      <c r="B86" s="48"/>
      <c r="C86" s="48"/>
      <c r="D86" s="48"/>
      <c r="E86" s="48"/>
      <c r="F86" s="48"/>
      <c r="G86" s="48"/>
      <c r="H86" s="48"/>
      <c r="I86" s="48"/>
      <c r="J86" s="48"/>
      <c r="K86" s="48"/>
      <c r="L86" s="48"/>
      <c r="M86" s="48"/>
    </row>
    <row r="87" spans="1:13" ht="18.75" x14ac:dyDescent="0.3">
      <c r="A87" s="48"/>
      <c r="B87" s="48"/>
      <c r="C87" s="48"/>
      <c r="D87" s="48"/>
      <c r="E87" s="48"/>
      <c r="F87" s="48"/>
      <c r="G87" s="48"/>
      <c r="H87" s="48"/>
      <c r="I87" s="48"/>
      <c r="J87" s="48"/>
      <c r="K87" s="48"/>
      <c r="L87" s="48"/>
      <c r="M87" s="48"/>
    </row>
    <row r="88" spans="1:13" ht="18.75" x14ac:dyDescent="0.3">
      <c r="A88" s="48"/>
      <c r="B88" s="48"/>
      <c r="C88" s="48"/>
      <c r="D88" s="48"/>
      <c r="E88" s="48"/>
      <c r="F88" s="48"/>
      <c r="G88" s="48"/>
      <c r="H88" s="48"/>
      <c r="I88" s="48"/>
      <c r="J88" s="48"/>
      <c r="K88" s="48"/>
      <c r="L88" s="48"/>
      <c r="M88" s="48"/>
    </row>
    <row r="89" spans="1:13" ht="18.75" x14ac:dyDescent="0.3">
      <c r="A89" s="48"/>
      <c r="B89" s="48"/>
      <c r="C89" s="48"/>
      <c r="D89" s="48"/>
      <c r="E89" s="48"/>
      <c r="F89" s="48"/>
      <c r="G89" s="48"/>
      <c r="H89" s="48"/>
      <c r="I89" s="48"/>
      <c r="J89" s="48"/>
      <c r="K89" s="48"/>
      <c r="L89" s="48"/>
      <c r="M89" s="48"/>
    </row>
    <row r="90" spans="1:13" ht="18.75" x14ac:dyDescent="0.3">
      <c r="A90" s="48"/>
      <c r="B90" s="48"/>
      <c r="C90" s="48"/>
      <c r="D90" s="48"/>
      <c r="E90" s="48"/>
      <c r="F90" s="48"/>
      <c r="G90" s="48"/>
      <c r="H90" s="48"/>
      <c r="I90" s="48"/>
      <c r="J90" s="48"/>
      <c r="K90" s="48"/>
      <c r="L90" s="48"/>
      <c r="M90" s="48"/>
    </row>
    <row r="91" spans="1:13" ht="18.75" x14ac:dyDescent="0.3">
      <c r="A91" s="48"/>
      <c r="B91" s="48"/>
      <c r="C91" s="48"/>
      <c r="D91" s="48"/>
      <c r="E91" s="48"/>
      <c r="F91" s="48"/>
      <c r="G91" s="48"/>
      <c r="H91" s="48"/>
      <c r="I91" s="48"/>
      <c r="J91" s="48"/>
      <c r="K91" s="48"/>
      <c r="L91" s="48"/>
      <c r="M91" s="48"/>
    </row>
    <row r="92" spans="1:13" ht="18.75" x14ac:dyDescent="0.3">
      <c r="A92" s="48"/>
      <c r="B92" s="48"/>
      <c r="C92" s="48"/>
      <c r="D92" s="48"/>
      <c r="E92" s="48"/>
      <c r="F92" s="48"/>
      <c r="G92" s="48"/>
      <c r="H92" s="48"/>
      <c r="I92" s="48"/>
      <c r="J92" s="48"/>
      <c r="K92" s="48"/>
      <c r="L92" s="48"/>
      <c r="M92" s="48"/>
    </row>
    <row r="93" spans="1:13" ht="18.75" x14ac:dyDescent="0.3">
      <c r="A93" s="48"/>
      <c r="B93" s="48"/>
      <c r="C93" s="48"/>
      <c r="D93" s="48"/>
      <c r="E93" s="48"/>
      <c r="F93" s="48"/>
      <c r="G93" s="48"/>
      <c r="H93" s="48"/>
      <c r="I93" s="48"/>
      <c r="J93" s="48"/>
      <c r="K93" s="48"/>
      <c r="L93" s="48"/>
      <c r="M93" s="48"/>
    </row>
    <row r="94" spans="1:13" ht="18.75" x14ac:dyDescent="0.3">
      <c r="A94" s="48"/>
      <c r="B94" s="48"/>
      <c r="C94" s="48"/>
      <c r="D94" s="48"/>
      <c r="E94" s="48"/>
      <c r="F94" s="48"/>
      <c r="G94" s="48"/>
      <c r="H94" s="48"/>
      <c r="I94" s="48"/>
      <c r="J94" s="48"/>
      <c r="K94" s="48"/>
      <c r="L94" s="48"/>
      <c r="M94" s="48"/>
    </row>
    <row r="95" spans="1:13" ht="18.75" x14ac:dyDescent="0.3">
      <c r="A95" s="48"/>
      <c r="B95" s="48"/>
      <c r="C95" s="48"/>
      <c r="D95" s="48"/>
      <c r="E95" s="48"/>
      <c r="F95" s="48"/>
      <c r="G95" s="48"/>
      <c r="H95" s="48"/>
      <c r="I95" s="48"/>
      <c r="J95" s="48"/>
      <c r="K95" s="48"/>
      <c r="L95" s="48"/>
      <c r="M95" s="48"/>
    </row>
    <row r="96" spans="1:13" ht="18.75" x14ac:dyDescent="0.3">
      <c r="A96" s="48"/>
      <c r="B96" s="48"/>
      <c r="C96" s="48"/>
      <c r="D96" s="48"/>
      <c r="E96" s="48"/>
      <c r="F96" s="48"/>
      <c r="G96" s="48"/>
      <c r="H96" s="48"/>
      <c r="I96" s="48"/>
      <c r="J96" s="48"/>
      <c r="K96" s="48"/>
      <c r="L96" s="48"/>
      <c r="M96" s="48"/>
    </row>
    <row r="97" spans="1:13" ht="18.75" x14ac:dyDescent="0.3">
      <c r="A97" s="48"/>
      <c r="B97" s="48"/>
      <c r="C97" s="48"/>
      <c r="D97" s="48"/>
      <c r="E97" s="48"/>
      <c r="F97" s="48"/>
      <c r="G97" s="48"/>
      <c r="H97" s="48"/>
      <c r="I97" s="48"/>
      <c r="J97" s="48"/>
      <c r="K97" s="48"/>
      <c r="L97" s="48"/>
      <c r="M97" s="48"/>
    </row>
    <row r="98" spans="1:13" ht="18.75" x14ac:dyDescent="0.3">
      <c r="A98" s="48"/>
      <c r="B98" s="48"/>
      <c r="C98" s="48"/>
      <c r="D98" s="48"/>
      <c r="E98" s="48"/>
      <c r="F98" s="48"/>
      <c r="G98" s="48"/>
      <c r="H98" s="48"/>
      <c r="I98" s="48"/>
      <c r="J98" s="48"/>
      <c r="K98" s="48"/>
      <c r="L98" s="48"/>
      <c r="M98" s="48"/>
    </row>
    <row r="99" spans="1:13" ht="18.75" x14ac:dyDescent="0.3">
      <c r="A99" s="48"/>
      <c r="B99" s="48"/>
      <c r="C99" s="48"/>
      <c r="D99" s="48"/>
      <c r="E99" s="48"/>
      <c r="F99" s="48"/>
      <c r="G99" s="48"/>
      <c r="H99" s="48"/>
      <c r="I99" s="48"/>
      <c r="J99" s="48"/>
      <c r="K99" s="48"/>
      <c r="L99" s="48"/>
      <c r="M99" s="48"/>
    </row>
    <row r="100" spans="1:13" ht="18.75" x14ac:dyDescent="0.3">
      <c r="A100" s="48"/>
      <c r="B100" s="48"/>
      <c r="C100" s="48"/>
      <c r="D100" s="48"/>
      <c r="E100" s="48"/>
      <c r="F100" s="48"/>
      <c r="G100" s="48"/>
      <c r="H100" s="48"/>
      <c r="I100" s="48"/>
      <c r="J100" s="48"/>
      <c r="K100" s="48"/>
      <c r="L100" s="48"/>
      <c r="M100" s="48"/>
    </row>
    <row r="101" spans="1:13" ht="18.75" x14ac:dyDescent="0.3">
      <c r="A101" s="48"/>
      <c r="B101" s="48"/>
      <c r="C101" s="48"/>
      <c r="D101" s="48"/>
      <c r="E101" s="48"/>
      <c r="F101" s="48"/>
      <c r="G101" s="48"/>
      <c r="H101" s="48"/>
      <c r="I101" s="48"/>
      <c r="J101" s="48"/>
      <c r="K101" s="48"/>
      <c r="L101" s="48"/>
      <c r="M101" s="48"/>
    </row>
    <row r="102" spans="1:13" ht="18.75" x14ac:dyDescent="0.3">
      <c r="A102" s="48"/>
      <c r="B102" s="48"/>
      <c r="C102" s="48"/>
      <c r="D102" s="48"/>
      <c r="E102" s="48"/>
      <c r="F102" s="48"/>
      <c r="G102" s="48"/>
      <c r="H102" s="48"/>
      <c r="I102" s="48"/>
      <c r="J102" s="48"/>
      <c r="K102" s="48"/>
      <c r="L102" s="48"/>
      <c r="M102" s="48"/>
    </row>
    <row r="103" spans="1:13" ht="18.75" x14ac:dyDescent="0.3">
      <c r="A103" s="48"/>
      <c r="B103" s="48"/>
      <c r="C103" s="48"/>
      <c r="D103" s="48"/>
      <c r="E103" s="48"/>
      <c r="F103" s="48"/>
      <c r="G103" s="48"/>
      <c r="H103" s="48"/>
      <c r="I103" s="48"/>
      <c r="J103" s="48"/>
      <c r="K103" s="48"/>
      <c r="L103" s="48"/>
      <c r="M103" s="48"/>
    </row>
    <row r="104" spans="1:13" ht="18.75" x14ac:dyDescent="0.3">
      <c r="A104" s="48"/>
      <c r="B104" s="48"/>
      <c r="C104" s="48"/>
      <c r="D104" s="48"/>
      <c r="E104" s="48"/>
      <c r="F104" s="48"/>
      <c r="G104" s="48"/>
      <c r="H104" s="48"/>
      <c r="I104" s="48"/>
      <c r="J104" s="48"/>
      <c r="K104" s="48"/>
      <c r="L104" s="48"/>
      <c r="M104" s="48"/>
    </row>
    <row r="105" spans="1:13" ht="18.75" x14ac:dyDescent="0.3">
      <c r="A105" s="48"/>
      <c r="B105" s="48"/>
      <c r="C105" s="48"/>
      <c r="D105" s="48"/>
      <c r="E105" s="48"/>
      <c r="F105" s="48"/>
      <c r="G105" s="48"/>
      <c r="H105" s="48"/>
      <c r="I105" s="48"/>
      <c r="J105" s="48"/>
      <c r="K105" s="48"/>
      <c r="L105" s="48"/>
      <c r="M105" s="48"/>
    </row>
    <row r="106" spans="1:13" ht="18.75" x14ac:dyDescent="0.3">
      <c r="A106" s="48"/>
      <c r="B106" s="48"/>
      <c r="C106" s="48"/>
      <c r="D106" s="48"/>
      <c r="E106" s="48"/>
      <c r="F106" s="48"/>
      <c r="G106" s="48"/>
      <c r="H106" s="48"/>
      <c r="I106" s="48"/>
      <c r="J106" s="48"/>
      <c r="K106" s="48"/>
      <c r="L106" s="48"/>
      <c r="M106" s="48"/>
    </row>
    <row r="107" spans="1:13" ht="18.75" x14ac:dyDescent="0.3">
      <c r="A107" s="48"/>
      <c r="B107" s="48"/>
      <c r="C107" s="48"/>
      <c r="D107" s="48"/>
      <c r="E107" s="48"/>
      <c r="F107" s="48"/>
      <c r="G107" s="48"/>
      <c r="H107" s="48"/>
      <c r="I107" s="48"/>
      <c r="J107" s="48"/>
      <c r="K107" s="48"/>
      <c r="L107" s="48"/>
      <c r="M107" s="48"/>
    </row>
    <row r="108" spans="1:13" ht="18.75" x14ac:dyDescent="0.3">
      <c r="A108" s="48"/>
      <c r="B108" s="48"/>
      <c r="C108" s="48"/>
      <c r="D108" s="48"/>
      <c r="E108" s="48"/>
      <c r="F108" s="48"/>
      <c r="G108" s="48"/>
      <c r="H108" s="48"/>
      <c r="I108" s="48"/>
      <c r="J108" s="48"/>
      <c r="K108" s="48"/>
      <c r="L108" s="48"/>
      <c r="M108" s="48"/>
    </row>
    <row r="109" spans="1:13" ht="18.75" x14ac:dyDescent="0.3">
      <c r="A109" s="48"/>
      <c r="B109" s="48"/>
      <c r="C109" s="48"/>
      <c r="D109" s="48"/>
      <c r="E109" s="48"/>
      <c r="F109" s="48"/>
      <c r="G109" s="48"/>
      <c r="H109" s="48"/>
      <c r="I109" s="48"/>
      <c r="J109" s="48"/>
      <c r="K109" s="48"/>
      <c r="L109" s="48"/>
      <c r="M109" s="48"/>
    </row>
    <row r="110" spans="1:13" ht="18.75" x14ac:dyDescent="0.3">
      <c r="A110" s="48"/>
      <c r="B110" s="48"/>
      <c r="C110" s="48"/>
      <c r="D110" s="48"/>
      <c r="E110" s="48"/>
      <c r="F110" s="48"/>
      <c r="G110" s="48"/>
      <c r="H110" s="48"/>
      <c r="I110" s="48"/>
      <c r="J110" s="48"/>
      <c r="K110" s="48"/>
      <c r="L110" s="48"/>
      <c r="M110" s="48"/>
    </row>
    <row r="111" spans="1:13" ht="18.75" x14ac:dyDescent="0.3">
      <c r="A111" s="48"/>
      <c r="B111" s="48"/>
      <c r="C111" s="48"/>
      <c r="D111" s="48"/>
      <c r="E111" s="48"/>
      <c r="F111" s="48"/>
      <c r="G111" s="48"/>
      <c r="H111" s="48"/>
      <c r="I111" s="48"/>
      <c r="J111" s="48"/>
      <c r="K111" s="48"/>
      <c r="L111" s="48"/>
      <c r="M111" s="48"/>
    </row>
    <row r="112" spans="1:13" ht="18.75" x14ac:dyDescent="0.3">
      <c r="A112" s="48"/>
      <c r="B112" s="48"/>
      <c r="C112" s="48"/>
      <c r="D112" s="48"/>
      <c r="E112" s="48"/>
      <c r="F112" s="48"/>
      <c r="G112" s="48"/>
      <c r="H112" s="48"/>
      <c r="I112" s="48"/>
      <c r="J112" s="48"/>
      <c r="K112" s="48"/>
      <c r="L112" s="48"/>
      <c r="M112" s="48"/>
    </row>
    <row r="113" spans="1:13" ht="18.75" x14ac:dyDescent="0.3">
      <c r="A113" s="48"/>
      <c r="B113" s="48"/>
      <c r="C113" s="48"/>
      <c r="D113" s="48"/>
      <c r="E113" s="48"/>
      <c r="F113" s="48"/>
      <c r="G113" s="48"/>
      <c r="H113" s="48"/>
      <c r="I113" s="48"/>
      <c r="J113" s="48"/>
      <c r="K113" s="48"/>
      <c r="L113" s="48"/>
      <c r="M113" s="48"/>
    </row>
    <row r="114" spans="1:13" ht="18.75" x14ac:dyDescent="0.3">
      <c r="A114" s="48"/>
      <c r="B114" s="48"/>
      <c r="C114" s="48"/>
      <c r="D114" s="48"/>
      <c r="E114" s="48"/>
      <c r="F114" s="48"/>
      <c r="G114" s="48"/>
      <c r="H114" s="48"/>
      <c r="I114" s="48"/>
      <c r="J114" s="48"/>
      <c r="K114" s="48"/>
      <c r="L114" s="48"/>
      <c r="M114" s="48"/>
    </row>
    <row r="115" spans="1:13" ht="18.75" x14ac:dyDescent="0.3">
      <c r="A115" s="48"/>
      <c r="B115" s="48"/>
      <c r="C115" s="48"/>
      <c r="D115" s="48"/>
      <c r="E115" s="48"/>
      <c r="F115" s="48"/>
      <c r="G115" s="48"/>
      <c r="H115" s="48"/>
      <c r="I115" s="48"/>
      <c r="J115" s="48"/>
      <c r="K115" s="48"/>
      <c r="L115" s="48"/>
      <c r="M115" s="48"/>
    </row>
  </sheetData>
  <mergeCells count="3">
    <mergeCell ref="B5:D5"/>
    <mergeCell ref="F5:H5"/>
    <mergeCell ref="J5:L5"/>
  </mergeCells>
  <hyperlinks>
    <hyperlink ref="B1" location="Innhold!A1" display="Tilbake" xr:uid="{00000000-0004-0000-0400-000000000000}"/>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0"/>
  <dimension ref="A1:M92"/>
  <sheetViews>
    <sheetView showGridLines="0" zoomScale="70" zoomScaleNormal="70" workbookViewId="0">
      <pane xSplit="1" ySplit="7" topLeftCell="B8" activePane="bottomRight" state="frozen"/>
      <selection activeCell="H73" sqref="H73"/>
      <selection pane="topRight" activeCell="H73" sqref="H73"/>
      <selection pane="bottomLeft" activeCell="H73" sqref="H73"/>
      <selection pane="bottomRight" activeCell="A5" sqref="A5"/>
    </sheetView>
  </sheetViews>
  <sheetFormatPr baseColWidth="10" defaultColWidth="11.42578125" defaultRowHeight="18" x14ac:dyDescent="0.25"/>
  <cols>
    <col min="1" max="1" width="35.7109375" style="53" customWidth="1"/>
    <col min="2" max="2" width="18.28515625" style="53" customWidth="1"/>
    <col min="3" max="3" width="17.7109375" style="53" customWidth="1"/>
    <col min="4" max="4" width="11.7109375" style="53" customWidth="1"/>
    <col min="5" max="5" width="4.7109375" style="53" customWidth="1"/>
    <col min="6" max="7" width="13" style="53" customWidth="1"/>
    <col min="8" max="8" width="11.7109375" style="53" customWidth="1"/>
    <col min="9" max="9" width="12.42578125" style="53" customWidth="1"/>
    <col min="10" max="10" width="11.42578125" style="53"/>
    <col min="11" max="12" width="17.28515625" style="53" bestFit="1" customWidth="1"/>
    <col min="13" max="16384" width="11.42578125" style="53"/>
  </cols>
  <sheetData>
    <row r="1" spans="1:13" ht="18.75" customHeight="1" x14ac:dyDescent="0.3">
      <c r="A1" s="52" t="s">
        <v>72</v>
      </c>
      <c r="B1" s="47" t="s">
        <v>52</v>
      </c>
      <c r="C1" s="52"/>
      <c r="D1" s="52"/>
      <c r="E1" s="52"/>
      <c r="F1" s="48"/>
      <c r="G1" s="48"/>
      <c r="H1" s="48"/>
      <c r="I1" s="48"/>
      <c r="J1" s="48"/>
    </row>
    <row r="2" spans="1:13" ht="20.100000000000001" customHeight="1" x14ac:dyDescent="0.3">
      <c r="A2" s="52" t="s">
        <v>141</v>
      </c>
      <c r="B2" s="52"/>
      <c r="C2" s="509"/>
      <c r="D2" s="52"/>
      <c r="E2" s="52"/>
      <c r="F2" s="48"/>
      <c r="G2" s="48"/>
      <c r="H2" s="48"/>
      <c r="I2" s="48"/>
      <c r="J2" s="48"/>
    </row>
    <row r="3" spans="1:13" ht="20.100000000000001" customHeight="1" x14ac:dyDescent="0.3">
      <c r="A3" s="49"/>
      <c r="B3" s="49"/>
      <c r="C3" s="49"/>
      <c r="D3" s="49"/>
      <c r="E3" s="49"/>
      <c r="F3" s="48"/>
      <c r="G3" s="48"/>
      <c r="H3" s="48"/>
      <c r="I3" s="48"/>
      <c r="J3" s="48"/>
      <c r="K3" s="542"/>
      <c r="M3" s="543"/>
    </row>
    <row r="4" spans="1:13" ht="20.100000000000001" customHeight="1" x14ac:dyDescent="0.3">
      <c r="A4" s="209"/>
      <c r="B4" s="567" t="s">
        <v>142</v>
      </c>
      <c r="C4" s="567"/>
      <c r="D4" s="568"/>
      <c r="E4" s="61"/>
      <c r="F4" s="569" t="s">
        <v>142</v>
      </c>
      <c r="G4" s="567"/>
      <c r="H4" s="568"/>
      <c r="I4" s="48"/>
      <c r="J4" s="48"/>
    </row>
    <row r="5" spans="1:13" ht="18.75" customHeight="1" x14ac:dyDescent="0.3">
      <c r="A5" s="510" t="s">
        <v>364</v>
      </c>
      <c r="B5" s="570" t="s">
        <v>143</v>
      </c>
      <c r="C5" s="571"/>
      <c r="D5" s="572"/>
      <c r="E5" s="511"/>
      <c r="F5" s="573" t="s">
        <v>144</v>
      </c>
      <c r="G5" s="574"/>
      <c r="H5" s="575"/>
      <c r="I5" s="48"/>
      <c r="J5" s="48"/>
    </row>
    <row r="6" spans="1:13" ht="18.75" customHeight="1" x14ac:dyDescent="0.3">
      <c r="A6" s="90"/>
      <c r="B6" s="88"/>
      <c r="C6" s="145"/>
      <c r="D6" s="210" t="s">
        <v>76</v>
      </c>
      <c r="E6" s="210"/>
      <c r="F6" s="91"/>
      <c r="G6" s="92"/>
      <c r="H6" s="66" t="s">
        <v>76</v>
      </c>
      <c r="I6" s="72"/>
      <c r="J6" s="48"/>
    </row>
    <row r="7" spans="1:13" ht="18.75" customHeight="1" x14ac:dyDescent="0.3">
      <c r="A7" s="94"/>
      <c r="B7" s="69">
        <v>2024</v>
      </c>
      <c r="C7" s="69">
        <v>2025</v>
      </c>
      <c r="D7" s="211" t="s">
        <v>78</v>
      </c>
      <c r="E7" s="210"/>
      <c r="F7" s="69">
        <v>2024</v>
      </c>
      <c r="G7" s="95">
        <v>2025</v>
      </c>
      <c r="H7" s="212" t="s">
        <v>78</v>
      </c>
      <c r="I7" s="72"/>
      <c r="J7" s="48"/>
    </row>
    <row r="8" spans="1:13" ht="18.75" customHeight="1" x14ac:dyDescent="0.3">
      <c r="A8" s="73" t="s">
        <v>145</v>
      </c>
      <c r="B8" s="78">
        <f>SUM(B9:B14)</f>
        <v>217482.6247773215</v>
      </c>
      <c r="C8" s="78">
        <f>SUM(C9:C14)</f>
        <v>215657.78475365997</v>
      </c>
      <c r="D8" s="213">
        <f t="shared" ref="D8:D38" si="0">IF(B8=0, "    ---- ", IF(ABS(ROUND(100/B8*C8-100,1))&lt;999,ROUND(100/B8*C8-100,1),IF(ROUND(100/B8*C8-100,1)&gt;999,999,-999)))</f>
        <v>-0.8</v>
      </c>
      <c r="E8" s="214"/>
      <c r="F8" s="213">
        <f>SUM(F9:F14)</f>
        <v>99.999913539572361</v>
      </c>
      <c r="G8" s="213">
        <f>SUM(G9:G14)</f>
        <v>100</v>
      </c>
      <c r="H8" s="214">
        <f t="shared" ref="H8:H38" si="1">IF(F8=0, "    ---- ", IF(ABS(ROUND(100/F8*G8-100,1))&lt;999,ROUND(100/F8*G8-100,1),IF(ROUND(100/F8*G8-100,1)&gt;999,999,-999)))</f>
        <v>0</v>
      </c>
      <c r="I8" s="76"/>
      <c r="J8" s="48"/>
    </row>
    <row r="9" spans="1:13" ht="18.75" customHeight="1" x14ac:dyDescent="0.3">
      <c r="A9" s="58" t="s">
        <v>146</v>
      </c>
      <c r="B9" s="76">
        <f>'Tabell 6'!AI21</f>
        <v>3847.0256967700006</v>
      </c>
      <c r="C9" s="76">
        <f>'Tabell 6'!AJ21</f>
        <v>5498.2902761399992</v>
      </c>
      <c r="D9" s="215">
        <f t="shared" si="0"/>
        <v>42.9</v>
      </c>
      <c r="E9" s="215"/>
      <c r="F9" s="215">
        <f>'Tabell 6'!AI21/'Tabell 6'!AI29*100</f>
        <v>1.7688872269929903</v>
      </c>
      <c r="G9" s="215">
        <f>'Tabell 6'!AJ21/'Tabell 6'!AJ29*100</f>
        <v>2.5495440762412298</v>
      </c>
      <c r="H9" s="216">
        <f t="shared" si="1"/>
        <v>44.1</v>
      </c>
      <c r="I9" s="76"/>
      <c r="J9" s="51"/>
    </row>
    <row r="10" spans="1:13" ht="18.75" customHeight="1" x14ac:dyDescent="0.3">
      <c r="A10" s="77" t="s">
        <v>405</v>
      </c>
      <c r="B10" s="75">
        <f>'Tabell 6'!AI17+'Tabell 6'!AI22</f>
        <v>77581.247541290009</v>
      </c>
      <c r="C10" s="75">
        <f>'Tabell 6'!AJ17+'Tabell 6'!AJ22</f>
        <v>70060.007691670005</v>
      </c>
      <c r="D10" s="215">
        <f t="shared" si="0"/>
        <v>-9.6999999999999993</v>
      </c>
      <c r="E10" s="215"/>
      <c r="F10" s="215">
        <f>('Tabell 6'!AI17+'Tabell 6'!AI22)/'Tabell 6'!AI29*100</f>
        <v>35.672357984297044</v>
      </c>
      <c r="G10" s="215">
        <f>('Tabell 6'!AJ17+'Tabell 6'!AJ22)/'Tabell 6'!AJ29*100</f>
        <v>32.486658328470568</v>
      </c>
      <c r="H10" s="216">
        <f t="shared" si="1"/>
        <v>-8.9</v>
      </c>
      <c r="I10" s="76"/>
      <c r="J10" s="48"/>
    </row>
    <row r="11" spans="1:13" ht="18.75" customHeight="1" x14ac:dyDescent="0.3">
      <c r="A11" s="58" t="s">
        <v>147</v>
      </c>
      <c r="B11" s="75">
        <f>'Tabell 6'!AI14</f>
        <v>1348.99222975</v>
      </c>
      <c r="C11" s="75">
        <f>'Tabell 6'!AJ14</f>
        <v>1346.1865066300002</v>
      </c>
      <c r="D11" s="215">
        <f t="shared" si="0"/>
        <v>-0.2</v>
      </c>
      <c r="E11" s="215"/>
      <c r="F11" s="215">
        <f>'Tabell 6'!AI14/'Tabell 6'!AI29*100</f>
        <v>0.62027532764365401</v>
      </c>
      <c r="G11" s="215">
        <f>'Tabell 6'!AJ14/'Tabell 6'!AJ29*100</f>
        <v>0.62422346968263287</v>
      </c>
      <c r="H11" s="216">
        <f t="shared" si="1"/>
        <v>0.6</v>
      </c>
      <c r="I11" s="76"/>
      <c r="J11" s="48"/>
    </row>
    <row r="12" spans="1:13" ht="18.75" customHeight="1" x14ac:dyDescent="0.3">
      <c r="A12" s="77" t="s">
        <v>148</v>
      </c>
      <c r="B12" s="75">
        <f>'Tabell 6'!AI15</f>
        <v>26383.299345700001</v>
      </c>
      <c r="C12" s="75">
        <f>'Tabell 6'!AJ15</f>
        <v>27817.124659680001</v>
      </c>
      <c r="D12" s="215">
        <f t="shared" si="0"/>
        <v>5.4</v>
      </c>
      <c r="E12" s="215"/>
      <c r="F12" s="215">
        <f>'Tabell 6'!AI15/'Tabell 6'!AI29*100</f>
        <v>12.131211199791322</v>
      </c>
      <c r="G12" s="215">
        <f>'Tabell 6'!AJ15/'Tabell 6'!AJ29*100</f>
        <v>12.898734303264197</v>
      </c>
      <c r="H12" s="216">
        <f t="shared" si="1"/>
        <v>6.3</v>
      </c>
      <c r="I12" s="76"/>
      <c r="J12" s="48"/>
      <c r="K12" s="102"/>
    </row>
    <row r="13" spans="1:13" ht="18.75" customHeight="1" x14ac:dyDescent="0.3">
      <c r="A13" s="58" t="s">
        <v>149</v>
      </c>
      <c r="B13" s="75">
        <f>'Tabell 6'!AI19+'Tabell 6'!AI23</f>
        <v>32966.327994719999</v>
      </c>
      <c r="C13" s="75">
        <f>'Tabell 6'!AJ19+'Tabell 6'!AJ23</f>
        <v>35972.860458349998</v>
      </c>
      <c r="D13" s="215">
        <f t="shared" si="0"/>
        <v>9.1</v>
      </c>
      <c r="E13" s="215"/>
      <c r="F13" s="215">
        <f>('Tabell 6'!AI19+'Tabell 6'!AI23)/'Tabell 6'!AI29*100</f>
        <v>15.158130230240571</v>
      </c>
      <c r="G13" s="215">
        <f>('Tabell 6'!AJ19+'Tabell 6'!AJ23)/'Tabell 6'!AJ29*100</f>
        <v>16.680529524793563</v>
      </c>
      <c r="H13" s="216">
        <f t="shared" si="1"/>
        <v>10</v>
      </c>
      <c r="I13" s="76"/>
      <c r="J13" s="48"/>
    </row>
    <row r="14" spans="1:13" ht="18.75" customHeight="1" x14ac:dyDescent="0.3">
      <c r="A14" s="58" t="s">
        <v>150</v>
      </c>
      <c r="B14" s="134">
        <f>'Tabell 6'!AI24+'Tabell 6'!AI25+'Tabell 6'!AI26+'Tabell 6'!AI28</f>
        <v>75355.731969091488</v>
      </c>
      <c r="C14" s="134">
        <f>'Tabell 6'!AJ24+'Tabell 6'!AJ25+'Tabell 6'!AJ26+'Tabell 6'!AJ28</f>
        <v>74963.315161189952</v>
      </c>
      <c r="D14" s="215">
        <f t="shared" si="0"/>
        <v>-0.5</v>
      </c>
      <c r="E14" s="215"/>
      <c r="F14" s="215">
        <f>('Tabell 6'!AI24+'Tabell 6'!AI25+'Tabell 6'!AI26+'Tabell 6'!AI28)/'Tabell 6'!AI29*100</f>
        <v>34.649051570606787</v>
      </c>
      <c r="G14" s="215">
        <f>('Tabell 6'!AJ24+'Tabell 6'!AJ25+'Tabell 6'!AJ26+'Tabell 6'!AJ28)/'Tabell 6'!AJ29*100</f>
        <v>34.760310297547811</v>
      </c>
      <c r="H14" s="216">
        <f t="shared" si="1"/>
        <v>0.3</v>
      </c>
      <c r="I14" s="76"/>
      <c r="J14" s="48"/>
    </row>
    <row r="15" spans="1:13" ht="18.75" customHeight="1" x14ac:dyDescent="0.3">
      <c r="A15" s="77"/>
      <c r="B15" s="75"/>
      <c r="C15" s="134"/>
      <c r="D15" s="216"/>
      <c r="E15" s="216"/>
      <c r="F15" s="216"/>
      <c r="G15" s="215"/>
      <c r="H15" s="216"/>
      <c r="I15" s="76"/>
      <c r="J15" s="48"/>
    </row>
    <row r="16" spans="1:13" s="102" customFormat="1" ht="18.75" customHeight="1" x14ac:dyDescent="0.3">
      <c r="A16" s="73" t="s">
        <v>151</v>
      </c>
      <c r="B16" s="78">
        <f>SUM(B17:B22)</f>
        <v>1398539.35339633</v>
      </c>
      <c r="C16" s="78">
        <f>SUM(C17:C22)</f>
        <v>1486597.8328943402</v>
      </c>
      <c r="D16" s="213">
        <f t="shared" si="0"/>
        <v>6.3</v>
      </c>
      <c r="E16" s="213"/>
      <c r="F16" s="213">
        <f>SUM(F17:F22)</f>
        <v>99.999999999999986</v>
      </c>
      <c r="G16" s="213">
        <f>SUM(G17:G22)</f>
        <v>100.00000000000001</v>
      </c>
      <c r="H16" s="214">
        <f t="shared" si="1"/>
        <v>0</v>
      </c>
      <c r="I16" s="79"/>
      <c r="J16" s="49"/>
    </row>
    <row r="17" spans="1:10" ht="18.75" customHeight="1" x14ac:dyDescent="0.3">
      <c r="A17" s="58" t="s">
        <v>146</v>
      </c>
      <c r="B17" s="75">
        <f>'Tabell 6'!AI40</f>
        <v>343591.01133408002</v>
      </c>
      <c r="C17" s="75">
        <f>'Tabell 6'!AJ40</f>
        <v>391976.08812606003</v>
      </c>
      <c r="D17" s="215">
        <f t="shared" si="0"/>
        <v>14.1</v>
      </c>
      <c r="E17" s="215"/>
      <c r="F17" s="215">
        <f>'Tabell 6'!AI40/('Tabell 6'!AI45+'Tabell 6'!AI46)*100</f>
        <v>24.56784719712569</v>
      </c>
      <c r="G17" s="215">
        <f>'Tabell 6'!AJ40/('Tabell 6'!AJ45+'Tabell 6'!AJ46)*100</f>
        <v>26.367325409246696</v>
      </c>
      <c r="H17" s="216">
        <f t="shared" si="1"/>
        <v>7.3</v>
      </c>
      <c r="I17" s="76"/>
      <c r="J17" s="48"/>
    </row>
    <row r="18" spans="1:10" ht="18.75" customHeight="1" x14ac:dyDescent="0.3">
      <c r="A18" s="77" t="s">
        <v>405</v>
      </c>
      <c r="B18" s="75">
        <f>'Tabell 6'!AI36+'Tabell 6'!AI41</f>
        <v>380619.52835550986</v>
      </c>
      <c r="C18" s="75">
        <f>'Tabell 6'!AJ36+'Tabell 6'!AJ41</f>
        <v>397498.20709318999</v>
      </c>
      <c r="D18" s="215">
        <f t="shared" si="0"/>
        <v>4.4000000000000004</v>
      </c>
      <c r="E18" s="215"/>
      <c r="F18" s="215">
        <f>('Tabell 6'!AI36+'Tabell 6'!AI41)/('Tabell 6'!AI45+'Tabell 6'!AI46)*100</f>
        <v>27.215503620343721</v>
      </c>
      <c r="G18" s="215">
        <f>('Tabell 6'!AJ36+'Tabell 6'!AJ41)/('Tabell 6'!AJ45+'Tabell 6'!AJ46)*100</f>
        <v>26.738785587981024</v>
      </c>
      <c r="H18" s="216">
        <f t="shared" si="1"/>
        <v>-1.8</v>
      </c>
      <c r="I18" s="76"/>
      <c r="J18" s="48"/>
    </row>
    <row r="19" spans="1:10" ht="18.75" customHeight="1" x14ac:dyDescent="0.3">
      <c r="A19" s="58" t="s">
        <v>147</v>
      </c>
      <c r="B19" s="75">
        <f>'Tabell 6'!AI33</f>
        <v>14.22554581</v>
      </c>
      <c r="C19" s="75">
        <f>'Tabell 6'!AJ33</f>
        <v>14.23</v>
      </c>
      <c r="D19" s="215">
        <f t="shared" si="0"/>
        <v>0</v>
      </c>
      <c r="E19" s="215"/>
      <c r="F19" s="215">
        <f>'Tabell 6'!AI33/('Tabell 6'!AI45+'Tabell 6'!AI46)*100</f>
        <v>1.0171716495108625E-3</v>
      </c>
      <c r="G19" s="215">
        <f>'Tabell 6'!AJ33/('Tabell 6'!AJ45+'Tabell 6'!AJ46)*100</f>
        <v>9.5721920785360101E-4</v>
      </c>
      <c r="H19" s="216">
        <f t="shared" si="1"/>
        <v>-5.9</v>
      </c>
      <c r="I19" s="76"/>
      <c r="J19" s="48"/>
    </row>
    <row r="20" spans="1:10" ht="18.75" customHeight="1" x14ac:dyDescent="0.3">
      <c r="A20" s="77" t="s">
        <v>148</v>
      </c>
      <c r="B20" s="75">
        <f>'Tabell 6'!AI34</f>
        <v>164415.54804575007</v>
      </c>
      <c r="C20" s="75">
        <f>'Tabell 6'!AJ34</f>
        <v>175782.07036382001</v>
      </c>
      <c r="D20" s="215">
        <f t="shared" si="0"/>
        <v>6.9</v>
      </c>
      <c r="E20" s="215"/>
      <c r="F20" s="215">
        <f>'Tabell 6'!AI34/('Tabell 6'!AI45+'Tabell 6'!AI46)*100</f>
        <v>11.75623321907028</v>
      </c>
      <c r="G20" s="215">
        <f>'Tabell 6'!AJ34/('Tabell 6'!AJ45+'Tabell 6'!AJ46)*100</f>
        <v>11.824453559277705</v>
      </c>
      <c r="H20" s="216">
        <f t="shared" si="1"/>
        <v>0.6</v>
      </c>
      <c r="I20" s="76"/>
      <c r="J20" s="48"/>
    </row>
    <row r="21" spans="1:10" ht="18.75" customHeight="1" x14ac:dyDescent="0.3">
      <c r="A21" s="58" t="s">
        <v>149</v>
      </c>
      <c r="B21" s="75">
        <f>'Tabell 6'!AI38+'Tabell 6'!AI42</f>
        <v>497636.53779410006</v>
      </c>
      <c r="C21" s="75">
        <f>'Tabell 6'!AJ38+'Tabell 6'!AJ42</f>
        <v>509842.68559012003</v>
      </c>
      <c r="D21" s="215">
        <f t="shared" si="0"/>
        <v>2.5</v>
      </c>
      <c r="E21" s="215"/>
      <c r="F21" s="215">
        <f>('Tabell 6'!AI38+'Tabell 6'!AI42)/('Tabell 6'!AI45+'Tabell 6'!AI46)*100</f>
        <v>35.582590978623365</v>
      </c>
      <c r="G21" s="215">
        <f>('Tabell 6'!AJ38+'Tabell 6'!AJ42)/('Tabell 6'!AJ45+'Tabell 6'!AJ46)*100</f>
        <v>34.295938976143873</v>
      </c>
      <c r="H21" s="216">
        <f t="shared" si="1"/>
        <v>-3.6</v>
      </c>
      <c r="I21" s="76"/>
      <c r="J21" s="48"/>
    </row>
    <row r="22" spans="1:10" ht="18.75" customHeight="1" x14ac:dyDescent="0.3">
      <c r="A22" s="77" t="s">
        <v>150</v>
      </c>
      <c r="B22" s="134">
        <f>'Tabell 6'!AI43+'Tabell 6'!AI44+'Tabell 6'!AI46</f>
        <v>12262.502321080001</v>
      </c>
      <c r="C22" s="134">
        <f>'Tabell 6'!AJ43+'Tabell 6'!AJ44+'Tabell 6'!AJ46</f>
        <v>11484.55172114995</v>
      </c>
      <c r="D22" s="215">
        <f t="shared" si="0"/>
        <v>-6.3</v>
      </c>
      <c r="E22" s="215"/>
      <c r="F22" s="216">
        <f>('Tabell 6'!AI43+'Tabell 6'!AI44+'Tabell 6'!AI46)/('Tabell 6'!AI45+'Tabell 6'!AI46)*100</f>
        <v>0.87680781318743117</v>
      </c>
      <c r="G22" s="216">
        <f>('Tabell 6'!AJ43+'Tabell 6'!AJ44+'Tabell 6'!AJ46)/('Tabell 6'!AJ45+'Tabell 6'!AJ46)*100</f>
        <v>0.77253924814285768</v>
      </c>
      <c r="H22" s="216">
        <f t="shared" si="1"/>
        <v>-11.9</v>
      </c>
      <c r="I22" s="76"/>
      <c r="J22" s="48"/>
    </row>
    <row r="23" spans="1:10" ht="18.75" customHeight="1" x14ac:dyDescent="0.3">
      <c r="A23" s="58"/>
      <c r="B23" s="134"/>
      <c r="C23" s="134"/>
      <c r="D23" s="216"/>
      <c r="E23" s="215"/>
      <c r="F23" s="215"/>
      <c r="G23" s="216"/>
      <c r="H23" s="216"/>
      <c r="I23" s="137"/>
      <c r="J23" s="48"/>
    </row>
    <row r="24" spans="1:10" ht="18.75" customHeight="1" x14ac:dyDescent="0.3">
      <c r="A24" s="103" t="s">
        <v>152</v>
      </c>
      <c r="B24" s="78">
        <f>SUM(B25:B30)</f>
        <v>736344.70169609995</v>
      </c>
      <c r="C24" s="78">
        <f>SUM(C25:C30)</f>
        <v>847436.26132941153</v>
      </c>
      <c r="D24" s="213">
        <f t="shared" si="0"/>
        <v>15.1</v>
      </c>
      <c r="E24" s="213"/>
      <c r="F24" s="214">
        <f>SUM(F25:F30)</f>
        <v>99.999999999999986</v>
      </c>
      <c r="G24" s="214">
        <f>SUM(G25:G30)</f>
        <v>100.00000000000001</v>
      </c>
      <c r="H24" s="216">
        <f t="shared" si="1"/>
        <v>0</v>
      </c>
      <c r="I24" s="137"/>
      <c r="J24" s="48"/>
    </row>
    <row r="25" spans="1:10" ht="18.75" customHeight="1" x14ac:dyDescent="0.3">
      <c r="A25" s="77" t="s">
        <v>146</v>
      </c>
      <c r="B25" s="75">
        <f>'Tabell 6'!AI55</f>
        <v>500615.67117853696</v>
      </c>
      <c r="C25" s="75">
        <f>'Tabell 6'!AJ55</f>
        <v>572554.80405707168</v>
      </c>
      <c r="D25" s="215">
        <f t="shared" si="0"/>
        <v>14.4</v>
      </c>
      <c r="E25" s="215"/>
      <c r="F25" s="215">
        <f>'Tabell 6'!AI55/('Tabell 6'!AI60+'Tabell 6'!AI61)*100</f>
        <v>67.986592424093814</v>
      </c>
      <c r="G25" s="215">
        <f>'Tabell 6'!AJ55/('Tabell 6'!AJ60+'Tabell 6'!AJ61)*100</f>
        <v>67.563170256472048</v>
      </c>
      <c r="H25" s="216">
        <f t="shared" si="1"/>
        <v>-0.6</v>
      </c>
      <c r="I25" s="137"/>
      <c r="J25" s="48"/>
    </row>
    <row r="26" spans="1:10" ht="18.75" customHeight="1" x14ac:dyDescent="0.3">
      <c r="A26" s="77" t="s">
        <v>405</v>
      </c>
      <c r="B26" s="75">
        <f>'Tabell 6'!AI51+'Tabell 6'!AI56</f>
        <v>210175.49362552006</v>
      </c>
      <c r="C26" s="75">
        <f>'Tabell 6'!AJ51+'Tabell 6'!AJ56</f>
        <v>241997.08112335997</v>
      </c>
      <c r="D26" s="215">
        <f t="shared" si="0"/>
        <v>15.1</v>
      </c>
      <c r="E26" s="215"/>
      <c r="F26" s="215">
        <f>('Tabell 6'!AI51+'Tabell 6'!AI56)/('Tabell 6'!AI60+'Tabell 6'!AI61)*100</f>
        <v>28.543084935818886</v>
      </c>
      <c r="G26" s="215">
        <f>('Tabell 6'!AJ51+'Tabell 6'!AJ56)/('Tabell 6'!AJ60+'Tabell 6'!AJ61)*100</f>
        <v>28.556375525367329</v>
      </c>
      <c r="H26" s="216">
        <f t="shared" si="1"/>
        <v>0</v>
      </c>
      <c r="I26" s="137"/>
      <c r="J26" s="48"/>
    </row>
    <row r="27" spans="1:10" ht="18.75" customHeight="1" x14ac:dyDescent="0.3">
      <c r="A27" s="77" t="s">
        <v>147</v>
      </c>
      <c r="B27" s="75">
        <f>'Tabell 6'!AI48</f>
        <v>0</v>
      </c>
      <c r="C27" s="75">
        <f>'Tabell 6'!AJ48</f>
        <v>0</v>
      </c>
      <c r="D27" s="215" t="str">
        <f t="shared" si="0"/>
        <v xml:space="preserve">    ---- </v>
      </c>
      <c r="E27" s="215"/>
      <c r="F27" s="215">
        <f>'Tabell 6'!AI48/('Tabell 6'!AI60+'Tabell 6'!AI61)*100</f>
        <v>0</v>
      </c>
      <c r="G27" s="215">
        <f>'Tabell 6'!AJ48/('Tabell 6'!AJ60+'Tabell 6'!AJ61)*100</f>
        <v>0</v>
      </c>
      <c r="H27" s="216" t="str">
        <f t="shared" si="1"/>
        <v xml:space="preserve">    ---- </v>
      </c>
      <c r="I27" s="137"/>
      <c r="J27" s="48"/>
    </row>
    <row r="28" spans="1:10" ht="18.75" customHeight="1" x14ac:dyDescent="0.3">
      <c r="A28" s="77" t="s">
        <v>148</v>
      </c>
      <c r="B28" s="75">
        <f>'Tabell 6'!AI49</f>
        <v>19656.728154803001</v>
      </c>
      <c r="C28" s="75">
        <f>'Tabell 6'!AJ49</f>
        <v>23375.864360850002</v>
      </c>
      <c r="D28" s="215">
        <f t="shared" si="0"/>
        <v>18.899999999999999</v>
      </c>
      <c r="E28" s="215"/>
      <c r="F28" s="215">
        <f>'Tabell 6'!AI49/('Tabell 6'!AI60+'Tabell 6'!AI61)*100</f>
        <v>2.6695008614206901</v>
      </c>
      <c r="G28" s="215">
        <f>'Tabell 6'!AJ49/('Tabell 6'!AJ60+'Tabell 6'!AJ61)*100</f>
        <v>2.758421538887093</v>
      </c>
      <c r="H28" s="216">
        <f t="shared" si="1"/>
        <v>3.3</v>
      </c>
      <c r="I28" s="137"/>
      <c r="J28" s="48"/>
    </row>
    <row r="29" spans="1:10" ht="18.75" customHeight="1" x14ac:dyDescent="0.3">
      <c r="A29" s="77" t="s">
        <v>149</v>
      </c>
      <c r="B29" s="75">
        <f>'Tabell 6'!AI53+'Tabell 6'!AI57</f>
        <v>3558.9087996799999</v>
      </c>
      <c r="C29" s="75">
        <f>'Tabell 6'!AJ53+'Tabell 6'!AJ57</f>
        <v>4932.518811240001</v>
      </c>
      <c r="D29" s="215">
        <f t="shared" si="0"/>
        <v>38.6</v>
      </c>
      <c r="E29" s="215"/>
      <c r="F29" s="215">
        <f>('Tabell 6'!AI53+'Tabell 6'!AI57)/('Tabell 6'!AI60+'Tabell 6'!AI61)*100</f>
        <v>0.48332103041990959</v>
      </c>
      <c r="G29" s="215">
        <f>('Tabell 6'!AJ53+'Tabell 6'!AJ57)/('Tabell 6'!AJ60+'Tabell 6'!AJ61)*100</f>
        <v>0.582051894204071</v>
      </c>
      <c r="H29" s="216">
        <f t="shared" si="1"/>
        <v>20.399999999999999</v>
      </c>
      <c r="I29" s="137"/>
      <c r="J29" s="48"/>
    </row>
    <row r="30" spans="1:10" ht="18.75" customHeight="1" x14ac:dyDescent="0.3">
      <c r="A30" s="58" t="s">
        <v>150</v>
      </c>
      <c r="B30" s="134">
        <f>'Tabell 6'!AI58+'Tabell 6'!AI59+'Tabell 6'!AI61</f>
        <v>2337.8999375600006</v>
      </c>
      <c r="C30" s="134">
        <f>'Tabell 6'!AJ58+'Tabell 6'!AJ59+'Tabell 6'!AJ61</f>
        <v>4575.9929768899992</v>
      </c>
      <c r="D30" s="216">
        <f t="shared" si="0"/>
        <v>95.7</v>
      </c>
      <c r="E30" s="216"/>
      <c r="F30" s="216">
        <f>('Tabell 6'!AI58+'Tabell 6'!AI59+'Tabell 6'!AI61)/('Tabell 6'!AI60+'Tabell 6'!AI61)*100</f>
        <v>0.31750074824669344</v>
      </c>
      <c r="G30" s="216">
        <f>('Tabell 6'!AJ58+'Tabell 6'!AJ59+'Tabell 6'!AJ61)/('Tabell 6'!AJ60+'Tabell 6'!AJ61)*100</f>
        <v>0.53998078506947911</v>
      </c>
      <c r="H30" s="216">
        <f t="shared" si="1"/>
        <v>70.099999999999994</v>
      </c>
      <c r="I30" s="137"/>
      <c r="J30" s="48"/>
    </row>
    <row r="31" spans="1:10" ht="18.75" customHeight="1" x14ac:dyDescent="0.3">
      <c r="A31" s="77"/>
      <c r="B31" s="134"/>
      <c r="C31" s="134"/>
      <c r="D31" s="215"/>
      <c r="E31" s="215"/>
      <c r="F31" s="215"/>
      <c r="G31" s="216"/>
      <c r="H31" s="216"/>
      <c r="I31" s="137"/>
      <c r="J31" s="48"/>
    </row>
    <row r="32" spans="1:10" ht="18.75" customHeight="1" x14ac:dyDescent="0.3">
      <c r="A32" s="103" t="s">
        <v>2</v>
      </c>
      <c r="B32" s="78">
        <f>SUM(B33:B38)</f>
        <v>2352366.6798697514</v>
      </c>
      <c r="C32" s="78">
        <f>SUM(C33:C38)</f>
        <v>2549691.8789774114</v>
      </c>
      <c r="D32" s="213">
        <f t="shared" si="0"/>
        <v>8.4</v>
      </c>
      <c r="E32" s="213"/>
      <c r="F32" s="213">
        <f>SUM(F33:F38)</f>
        <v>100.00000000000001</v>
      </c>
      <c r="G32" s="213">
        <f>SUM(G33:G38)</f>
        <v>100.00000000000001</v>
      </c>
      <c r="H32" s="214">
        <f t="shared" si="1"/>
        <v>0</v>
      </c>
      <c r="I32" s="137"/>
      <c r="J32" s="48"/>
    </row>
    <row r="33" spans="1:10" ht="18.75" customHeight="1" x14ac:dyDescent="0.3">
      <c r="A33" s="77" t="s">
        <v>146</v>
      </c>
      <c r="B33" s="75">
        <f t="shared" ref="B33:C38" si="2">B9+B17+B25</f>
        <v>848053.70820938703</v>
      </c>
      <c r="C33" s="75">
        <f t="shared" si="2"/>
        <v>970029.18245927175</v>
      </c>
      <c r="D33" s="215">
        <f t="shared" si="0"/>
        <v>14.4</v>
      </c>
      <c r="E33" s="215"/>
      <c r="F33" s="215">
        <f>B33/B32*100</f>
        <v>36.051084869827484</v>
      </c>
      <c r="G33" s="215">
        <f>C33/C32*100</f>
        <v>38.044957136087952</v>
      </c>
      <c r="H33" s="216">
        <f t="shared" si="1"/>
        <v>5.5</v>
      </c>
      <c r="I33" s="137"/>
      <c r="J33" s="48"/>
    </row>
    <row r="34" spans="1:10" ht="18.75" customHeight="1" x14ac:dyDescent="0.3">
      <c r="A34" s="77" t="s">
        <v>405</v>
      </c>
      <c r="B34" s="75">
        <f t="shared" si="2"/>
        <v>668376.2695223199</v>
      </c>
      <c r="C34" s="75">
        <f t="shared" si="2"/>
        <v>709555.29590822</v>
      </c>
      <c r="D34" s="215">
        <f t="shared" si="0"/>
        <v>6.2</v>
      </c>
      <c r="E34" s="215"/>
      <c r="F34" s="215">
        <f>B34/B32*100</f>
        <v>28.412928785376579</v>
      </c>
      <c r="G34" s="215">
        <f>C34/C32*100</f>
        <v>27.829060513492195</v>
      </c>
      <c r="H34" s="216">
        <f t="shared" si="1"/>
        <v>-2.1</v>
      </c>
      <c r="I34" s="137"/>
      <c r="J34" s="48"/>
    </row>
    <row r="35" spans="1:10" ht="18.75" customHeight="1" x14ac:dyDescent="0.3">
      <c r="A35" s="77" t="s">
        <v>147</v>
      </c>
      <c r="B35" s="75">
        <f t="shared" si="2"/>
        <v>1363.2177755600001</v>
      </c>
      <c r="C35" s="75">
        <f t="shared" si="2"/>
        <v>1360.4165066300002</v>
      </c>
      <c r="D35" s="215">
        <f t="shared" si="0"/>
        <v>-0.2</v>
      </c>
      <c r="E35" s="215"/>
      <c r="F35" s="215">
        <f>B35/B32*100</f>
        <v>5.795090481537854E-2</v>
      </c>
      <c r="G35" s="215">
        <f>C35/C32*100</f>
        <v>5.3356114040556686E-2</v>
      </c>
      <c r="H35" s="216">
        <f t="shared" si="1"/>
        <v>-7.9</v>
      </c>
      <c r="I35" s="137"/>
      <c r="J35" s="48"/>
    </row>
    <row r="36" spans="1:10" ht="18.75" customHeight="1" x14ac:dyDescent="0.3">
      <c r="A36" s="77" t="s">
        <v>148</v>
      </c>
      <c r="B36" s="75">
        <f t="shared" si="2"/>
        <v>210455.57554625307</v>
      </c>
      <c r="C36" s="75">
        <f t="shared" si="2"/>
        <v>226975.05938435002</v>
      </c>
      <c r="D36" s="215">
        <f t="shared" si="0"/>
        <v>7.8</v>
      </c>
      <c r="E36" s="215"/>
      <c r="F36" s="215">
        <f>B36/B32*100</f>
        <v>8.946546358916537</v>
      </c>
      <c r="G36" s="215">
        <f>C36/C32*100</f>
        <v>8.902058372456418</v>
      </c>
      <c r="H36" s="216">
        <f t="shared" si="1"/>
        <v>-0.5</v>
      </c>
      <c r="I36" s="137"/>
      <c r="J36" s="48"/>
    </row>
    <row r="37" spans="1:10" ht="18.75" customHeight="1" x14ac:dyDescent="0.3">
      <c r="A37" s="77" t="s">
        <v>149</v>
      </c>
      <c r="B37" s="75">
        <f t="shared" si="2"/>
        <v>534161.77458850003</v>
      </c>
      <c r="C37" s="75">
        <f t="shared" si="2"/>
        <v>550748.06485971005</v>
      </c>
      <c r="D37" s="215">
        <f t="shared" si="0"/>
        <v>3.1</v>
      </c>
      <c r="E37" s="215"/>
      <c r="F37" s="215">
        <f>B37/B32*100</f>
        <v>22.707419687566571</v>
      </c>
      <c r="G37" s="215">
        <f>C37/C32*100</f>
        <v>21.600573363421272</v>
      </c>
      <c r="H37" s="216">
        <f t="shared" si="1"/>
        <v>-4.9000000000000004</v>
      </c>
      <c r="I37" s="137"/>
      <c r="J37" s="48"/>
    </row>
    <row r="38" spans="1:10" ht="18.75" customHeight="1" x14ac:dyDescent="0.3">
      <c r="A38" s="217" t="s">
        <v>150</v>
      </c>
      <c r="B38" s="218">
        <f t="shared" si="2"/>
        <v>89956.134227731483</v>
      </c>
      <c r="C38" s="218">
        <f t="shared" si="2"/>
        <v>91023.859859229909</v>
      </c>
      <c r="D38" s="219">
        <f t="shared" si="0"/>
        <v>1.2</v>
      </c>
      <c r="E38" s="215"/>
      <c r="F38" s="219">
        <f>B38/B32*100</f>
        <v>3.8240693934974574</v>
      </c>
      <c r="G38" s="219">
        <f>C38/C32*100</f>
        <v>3.5699945005016156</v>
      </c>
      <c r="H38" s="220">
        <f t="shared" si="1"/>
        <v>-6.6</v>
      </c>
      <c r="I38" s="137"/>
      <c r="J38" s="48"/>
    </row>
    <row r="39" spans="1:10" ht="18.75" customHeight="1" x14ac:dyDescent="0.3">
      <c r="A39" s="48"/>
      <c r="B39" s="48"/>
      <c r="C39" s="48"/>
      <c r="D39" s="48"/>
      <c r="E39" s="48"/>
      <c r="F39" s="137"/>
      <c r="G39" s="137"/>
      <c r="H39" s="137"/>
      <c r="I39" s="137"/>
      <c r="J39" s="48"/>
    </row>
    <row r="40" spans="1:10" ht="18.75" customHeight="1" x14ac:dyDescent="0.3">
      <c r="A40" s="48" t="s">
        <v>153</v>
      </c>
      <c r="B40" s="48"/>
      <c r="C40" s="48"/>
      <c r="D40" s="48"/>
      <c r="E40" s="48"/>
      <c r="F40" s="137"/>
      <c r="G40" s="137"/>
      <c r="H40" s="137"/>
      <c r="I40" s="137"/>
      <c r="J40" s="48"/>
    </row>
    <row r="41" spans="1:10" ht="18.75" x14ac:dyDescent="0.3">
      <c r="A41" s="48" t="s">
        <v>95</v>
      </c>
      <c r="B41" s="48"/>
      <c r="C41" s="48"/>
      <c r="D41" s="48"/>
      <c r="E41" s="48"/>
      <c r="F41" s="48"/>
      <c r="G41" s="48"/>
      <c r="H41" s="48"/>
      <c r="I41" s="48"/>
      <c r="J41" s="48"/>
    </row>
    <row r="42" spans="1:10" ht="18.75" x14ac:dyDescent="0.3">
      <c r="A42" s="48"/>
      <c r="B42" s="48"/>
      <c r="C42" s="48"/>
      <c r="D42" s="48"/>
      <c r="E42" s="48"/>
      <c r="G42" s="48"/>
      <c r="H42" s="48"/>
      <c r="I42" s="48"/>
      <c r="J42" s="48"/>
    </row>
    <row r="43" spans="1:10" ht="18.75" x14ac:dyDescent="0.3">
      <c r="A43" s="48"/>
      <c r="B43" s="48"/>
      <c r="C43" s="48"/>
      <c r="D43" s="48"/>
      <c r="E43" s="48"/>
      <c r="F43" s="48"/>
      <c r="G43" s="48"/>
      <c r="H43" s="48"/>
      <c r="I43" s="48"/>
      <c r="J43" s="48"/>
    </row>
    <row r="44" spans="1:10" ht="18.75" x14ac:dyDescent="0.3">
      <c r="A44" s="48"/>
      <c r="B44" s="48"/>
      <c r="C44" s="48"/>
      <c r="D44" s="48"/>
      <c r="E44" s="48"/>
      <c r="F44" s="48"/>
      <c r="G44" s="48"/>
      <c r="H44" s="48"/>
      <c r="I44" s="48"/>
      <c r="J44" s="48"/>
    </row>
    <row r="45" spans="1:10" ht="18.75" x14ac:dyDescent="0.3">
      <c r="A45" s="48"/>
      <c r="B45" s="48"/>
      <c r="C45" s="48"/>
      <c r="D45" s="48"/>
      <c r="E45" s="48"/>
      <c r="F45" s="48"/>
      <c r="G45" s="48"/>
      <c r="H45" s="48"/>
      <c r="I45" s="48"/>
      <c r="J45" s="48"/>
    </row>
    <row r="46" spans="1:10" ht="18.75" x14ac:dyDescent="0.3">
      <c r="A46" s="48"/>
      <c r="B46" s="48"/>
      <c r="C46" s="48"/>
      <c r="D46" s="48"/>
      <c r="E46" s="48"/>
      <c r="F46" s="48"/>
      <c r="G46" s="48"/>
      <c r="H46" s="48"/>
      <c r="I46" s="48"/>
      <c r="J46" s="48"/>
    </row>
    <row r="47" spans="1:10" ht="18.75" x14ac:dyDescent="0.3">
      <c r="A47" s="48"/>
      <c r="B47" s="48"/>
      <c r="C47" s="48"/>
      <c r="D47" s="48"/>
      <c r="E47" s="48"/>
      <c r="F47" s="48"/>
      <c r="G47" s="48"/>
      <c r="H47" s="48"/>
      <c r="I47" s="48"/>
      <c r="J47" s="48"/>
    </row>
    <row r="48" spans="1:10" ht="18.75" x14ac:dyDescent="0.3">
      <c r="A48" s="48"/>
      <c r="B48" s="48"/>
      <c r="C48" s="48"/>
      <c r="D48" s="48"/>
      <c r="E48" s="48"/>
      <c r="F48" s="48"/>
      <c r="G48" s="48"/>
      <c r="H48" s="48"/>
      <c r="I48" s="48"/>
      <c r="J48" s="48"/>
    </row>
    <row r="49" spans="1:10" ht="18.75" x14ac:dyDescent="0.3">
      <c r="A49" s="48"/>
      <c r="B49" s="48"/>
      <c r="C49" s="48"/>
      <c r="D49" s="48"/>
      <c r="E49" s="48"/>
      <c r="F49" s="48"/>
      <c r="G49" s="48"/>
      <c r="H49" s="48"/>
      <c r="I49" s="48"/>
      <c r="J49" s="48"/>
    </row>
    <row r="50" spans="1:10" ht="18.75" x14ac:dyDescent="0.3">
      <c r="A50" s="48"/>
      <c r="B50" s="48"/>
      <c r="C50" s="48"/>
      <c r="D50" s="48"/>
      <c r="E50" s="48"/>
      <c r="F50" s="48"/>
      <c r="G50" s="48"/>
      <c r="H50" s="48"/>
      <c r="I50" s="48"/>
      <c r="J50" s="48"/>
    </row>
    <row r="51" spans="1:10" ht="18.75" x14ac:dyDescent="0.3">
      <c r="A51" s="48"/>
      <c r="B51" s="48"/>
      <c r="C51" s="48"/>
      <c r="D51" s="48"/>
      <c r="E51" s="48"/>
      <c r="F51" s="48"/>
      <c r="G51" s="48"/>
      <c r="H51" s="48"/>
      <c r="I51" s="48"/>
      <c r="J51" s="48"/>
    </row>
    <row r="52" spans="1:10" ht="18.75" x14ac:dyDescent="0.3">
      <c r="A52" s="48"/>
      <c r="B52" s="48"/>
      <c r="C52" s="48"/>
      <c r="D52" s="48"/>
      <c r="E52" s="48"/>
      <c r="F52" s="48"/>
      <c r="G52" s="48"/>
      <c r="H52" s="48"/>
      <c r="I52" s="48"/>
      <c r="J52" s="48"/>
    </row>
    <row r="53" spans="1:10" ht="18.75" x14ac:dyDescent="0.3">
      <c r="A53" s="48"/>
      <c r="B53" s="48"/>
      <c r="C53" s="48"/>
      <c r="D53" s="48"/>
      <c r="E53" s="48"/>
      <c r="F53" s="48"/>
      <c r="G53" s="48"/>
      <c r="H53" s="48"/>
      <c r="I53" s="48"/>
      <c r="J53" s="48"/>
    </row>
    <row r="54" spans="1:10" ht="18.75" x14ac:dyDescent="0.3">
      <c r="A54" s="48"/>
      <c r="B54" s="48"/>
      <c r="C54" s="48"/>
      <c r="D54" s="48"/>
      <c r="E54" s="48"/>
      <c r="F54" s="48"/>
      <c r="G54" s="48"/>
      <c r="H54" s="48"/>
      <c r="I54" s="48"/>
      <c r="J54" s="48"/>
    </row>
    <row r="55" spans="1:10" ht="18.75" x14ac:dyDescent="0.3">
      <c r="A55" s="48"/>
      <c r="B55" s="48"/>
      <c r="C55" s="48"/>
      <c r="D55" s="48"/>
      <c r="E55" s="48"/>
      <c r="F55" s="48"/>
      <c r="G55" s="48"/>
      <c r="H55" s="48"/>
      <c r="I55" s="48"/>
      <c r="J55" s="48"/>
    </row>
    <row r="56" spans="1:10" ht="18.75" x14ac:dyDescent="0.3">
      <c r="A56" s="48"/>
      <c r="B56" s="48"/>
      <c r="C56" s="48"/>
      <c r="D56" s="48"/>
      <c r="E56" s="48"/>
      <c r="F56" s="48"/>
      <c r="G56" s="48"/>
      <c r="H56" s="48"/>
      <c r="I56" s="48"/>
      <c r="J56" s="48"/>
    </row>
    <row r="57" spans="1:10" ht="18.75" x14ac:dyDescent="0.3">
      <c r="A57" s="48"/>
      <c r="B57" s="48"/>
      <c r="C57" s="48"/>
      <c r="D57" s="48"/>
      <c r="E57" s="48"/>
      <c r="F57" s="48"/>
      <c r="G57" s="48"/>
      <c r="H57" s="48"/>
      <c r="I57" s="48"/>
      <c r="J57" s="48"/>
    </row>
    <row r="58" spans="1:10" ht="18.75" x14ac:dyDescent="0.3">
      <c r="A58" s="48"/>
      <c r="B58" s="48"/>
      <c r="C58" s="48"/>
      <c r="D58" s="48"/>
      <c r="E58" s="48"/>
      <c r="F58" s="48"/>
      <c r="G58" s="48"/>
      <c r="H58" s="48"/>
      <c r="I58" s="48"/>
      <c r="J58" s="48"/>
    </row>
    <row r="59" spans="1:10" ht="18.75" x14ac:dyDescent="0.3">
      <c r="A59" s="48"/>
      <c r="B59" s="48"/>
      <c r="C59" s="48"/>
      <c r="D59" s="48"/>
      <c r="E59" s="48"/>
      <c r="F59" s="48"/>
      <c r="G59" s="48"/>
      <c r="H59" s="48"/>
      <c r="I59" s="48"/>
      <c r="J59" s="48"/>
    </row>
    <row r="60" spans="1:10" ht="18.75" x14ac:dyDescent="0.3">
      <c r="A60" s="48"/>
      <c r="B60" s="48"/>
      <c r="C60" s="48"/>
      <c r="D60" s="48"/>
      <c r="E60" s="48"/>
      <c r="F60" s="48"/>
      <c r="G60" s="48"/>
      <c r="H60" s="48"/>
      <c r="I60" s="48"/>
      <c r="J60" s="48"/>
    </row>
    <row r="61" spans="1:10" ht="18.75" x14ac:dyDescent="0.3">
      <c r="A61" s="48"/>
      <c r="B61" s="48"/>
      <c r="C61" s="48"/>
      <c r="D61" s="48"/>
      <c r="E61" s="48"/>
      <c r="F61" s="48"/>
      <c r="G61" s="48"/>
      <c r="H61" s="48"/>
      <c r="I61" s="48"/>
      <c r="J61" s="48"/>
    </row>
    <row r="62" spans="1:10" ht="18.75" x14ac:dyDescent="0.3">
      <c r="A62" s="48"/>
      <c r="B62" s="48"/>
      <c r="C62" s="48"/>
      <c r="D62" s="48"/>
      <c r="E62" s="48"/>
      <c r="F62" s="48"/>
      <c r="G62" s="48"/>
      <c r="H62" s="48"/>
      <c r="I62" s="48"/>
      <c r="J62" s="48"/>
    </row>
    <row r="63" spans="1:10" ht="18.75" x14ac:dyDescent="0.3">
      <c r="A63" s="48"/>
      <c r="B63" s="48"/>
      <c r="C63" s="48"/>
      <c r="D63" s="48"/>
      <c r="E63" s="48"/>
      <c r="F63" s="48"/>
      <c r="G63" s="48"/>
      <c r="H63" s="48"/>
      <c r="I63" s="48"/>
      <c r="J63" s="48"/>
    </row>
    <row r="64" spans="1:10" ht="18.75" x14ac:dyDescent="0.3">
      <c r="A64" s="48"/>
      <c r="B64" s="48"/>
      <c r="C64" s="48"/>
      <c r="D64" s="48"/>
      <c r="E64" s="48"/>
      <c r="F64" s="48"/>
      <c r="G64" s="48"/>
      <c r="H64" s="48"/>
      <c r="I64" s="48"/>
      <c r="J64" s="48"/>
    </row>
    <row r="65" spans="1:10" ht="18.75" x14ac:dyDescent="0.3">
      <c r="A65" s="48"/>
      <c r="B65" s="48"/>
      <c r="C65" s="48"/>
      <c r="D65" s="48"/>
      <c r="E65" s="48"/>
      <c r="F65" s="48"/>
      <c r="G65" s="48"/>
      <c r="H65" s="48"/>
      <c r="I65" s="48"/>
      <c r="J65" s="48"/>
    </row>
    <row r="66" spans="1:10" ht="18.75" x14ac:dyDescent="0.3">
      <c r="A66" s="48"/>
      <c r="B66" s="48"/>
      <c r="C66" s="48"/>
      <c r="D66" s="48"/>
      <c r="E66" s="48"/>
      <c r="F66" s="48"/>
      <c r="G66" s="48"/>
      <c r="H66" s="48"/>
      <c r="I66" s="48"/>
      <c r="J66" s="48"/>
    </row>
    <row r="67" spans="1:10" ht="18.75" x14ac:dyDescent="0.3">
      <c r="A67" s="48"/>
      <c r="B67" s="48"/>
      <c r="C67" s="48"/>
      <c r="D67" s="48"/>
      <c r="E67" s="48"/>
      <c r="F67" s="48"/>
      <c r="G67" s="48"/>
      <c r="H67" s="48"/>
      <c r="I67" s="48"/>
      <c r="J67" s="48"/>
    </row>
    <row r="68" spans="1:10" ht="18.75" x14ac:dyDescent="0.3">
      <c r="A68" s="48"/>
      <c r="B68" s="48"/>
      <c r="C68" s="48"/>
      <c r="D68" s="48"/>
      <c r="E68" s="48"/>
      <c r="F68" s="48"/>
      <c r="G68" s="48"/>
      <c r="H68" s="48"/>
      <c r="I68" s="48"/>
      <c r="J68" s="48"/>
    </row>
    <row r="69" spans="1:10" ht="18.75" x14ac:dyDescent="0.3">
      <c r="A69" s="48"/>
      <c r="B69" s="48"/>
      <c r="C69" s="48"/>
      <c r="D69" s="48"/>
      <c r="E69" s="48"/>
      <c r="F69" s="48"/>
      <c r="G69" s="48"/>
      <c r="H69" s="48"/>
      <c r="I69" s="48"/>
      <c r="J69" s="48"/>
    </row>
    <row r="70" spans="1:10" ht="18.75" x14ac:dyDescent="0.3">
      <c r="A70" s="48"/>
      <c r="B70" s="48"/>
      <c r="C70" s="48"/>
      <c r="D70" s="48"/>
      <c r="E70" s="48"/>
      <c r="F70" s="48"/>
      <c r="G70" s="48"/>
      <c r="H70" s="48"/>
      <c r="I70" s="48"/>
      <c r="J70" s="48"/>
    </row>
    <row r="71" spans="1:10" ht="18.75" x14ac:dyDescent="0.3">
      <c r="A71" s="48"/>
      <c r="B71" s="48"/>
      <c r="C71" s="48"/>
      <c r="D71" s="48"/>
      <c r="E71" s="48"/>
      <c r="F71" s="48"/>
      <c r="G71" s="48"/>
      <c r="H71" s="48"/>
      <c r="I71" s="48"/>
      <c r="J71" s="48"/>
    </row>
    <row r="72" spans="1:10" ht="18.75" x14ac:dyDescent="0.3">
      <c r="A72" s="48"/>
      <c r="B72" s="48"/>
      <c r="C72" s="48"/>
      <c r="D72" s="48"/>
      <c r="E72" s="48"/>
      <c r="F72" s="48"/>
      <c r="G72" s="48"/>
      <c r="H72" s="48"/>
      <c r="I72" s="48"/>
      <c r="J72" s="48"/>
    </row>
    <row r="73" spans="1:10" ht="18.75" x14ac:dyDescent="0.3">
      <c r="A73" s="48"/>
      <c r="B73" s="48"/>
      <c r="C73" s="48"/>
      <c r="D73" s="48"/>
      <c r="E73" s="48"/>
      <c r="F73" s="48"/>
      <c r="G73" s="48"/>
      <c r="H73" s="48"/>
      <c r="I73" s="48"/>
      <c r="J73" s="48"/>
    </row>
    <row r="74" spans="1:10" ht="18.75" x14ac:dyDescent="0.3">
      <c r="A74" s="48"/>
      <c r="B74" s="48"/>
      <c r="C74" s="48"/>
      <c r="D74" s="48"/>
      <c r="E74" s="48"/>
      <c r="F74" s="48"/>
      <c r="G74" s="48"/>
      <c r="H74" s="48"/>
      <c r="I74" s="48"/>
      <c r="J74" s="48"/>
    </row>
    <row r="75" spans="1:10" ht="18.75" x14ac:dyDescent="0.3">
      <c r="A75" s="48"/>
      <c r="B75" s="48"/>
      <c r="C75" s="48"/>
      <c r="D75" s="48"/>
      <c r="E75" s="48"/>
      <c r="F75" s="48"/>
      <c r="G75" s="48"/>
      <c r="H75" s="48"/>
      <c r="I75" s="48"/>
      <c r="J75" s="48"/>
    </row>
    <row r="76" spans="1:10" ht="18.75" x14ac:dyDescent="0.3">
      <c r="A76" s="48"/>
      <c r="B76" s="48"/>
      <c r="C76" s="48"/>
      <c r="D76" s="48"/>
      <c r="E76" s="48"/>
      <c r="F76" s="48"/>
      <c r="G76" s="48"/>
      <c r="H76" s="48"/>
      <c r="I76" s="48"/>
      <c r="J76" s="48"/>
    </row>
    <row r="77" spans="1:10" ht="18.75" x14ac:dyDescent="0.3">
      <c r="A77" s="48"/>
      <c r="B77" s="48"/>
      <c r="C77" s="48"/>
      <c r="D77" s="48"/>
      <c r="E77" s="48"/>
      <c r="F77" s="48"/>
      <c r="G77" s="48"/>
      <c r="H77" s="48"/>
      <c r="I77" s="48"/>
      <c r="J77" s="48"/>
    </row>
    <row r="78" spans="1:10" ht="18.75" x14ac:dyDescent="0.3">
      <c r="A78" s="48"/>
      <c r="B78" s="48"/>
      <c r="C78" s="48"/>
      <c r="D78" s="48"/>
      <c r="E78" s="48"/>
      <c r="F78" s="48"/>
      <c r="G78" s="48"/>
      <c r="H78" s="48"/>
      <c r="I78" s="48"/>
      <c r="J78" s="48"/>
    </row>
    <row r="79" spans="1:10" ht="18.75" x14ac:dyDescent="0.3">
      <c r="A79" s="48"/>
      <c r="B79" s="48"/>
      <c r="C79" s="48"/>
      <c r="D79" s="48"/>
      <c r="E79" s="48"/>
      <c r="F79" s="48"/>
      <c r="G79" s="48"/>
      <c r="H79" s="48"/>
      <c r="I79" s="48"/>
      <c r="J79" s="48"/>
    </row>
    <row r="80" spans="1:10" ht="18.75" x14ac:dyDescent="0.3">
      <c r="A80" s="48"/>
      <c r="B80" s="48"/>
      <c r="C80" s="48"/>
      <c r="D80" s="48"/>
      <c r="E80" s="48"/>
      <c r="F80" s="48"/>
      <c r="G80" s="48"/>
      <c r="H80" s="48"/>
      <c r="I80" s="48"/>
      <c r="J80" s="48"/>
    </row>
    <row r="81" spans="1:10" ht="18.75" x14ac:dyDescent="0.3">
      <c r="A81" s="48"/>
      <c r="B81" s="48"/>
      <c r="C81" s="48"/>
      <c r="D81" s="48"/>
      <c r="E81" s="48"/>
      <c r="F81" s="48"/>
      <c r="G81" s="48"/>
      <c r="H81" s="48"/>
      <c r="I81" s="48"/>
      <c r="J81" s="48"/>
    </row>
    <row r="82" spans="1:10" ht="18.75" x14ac:dyDescent="0.3">
      <c r="A82" s="48"/>
      <c r="B82" s="48"/>
      <c r="C82" s="48"/>
      <c r="D82" s="48"/>
      <c r="E82" s="48"/>
      <c r="F82" s="48"/>
      <c r="G82" s="48"/>
      <c r="H82" s="48"/>
      <c r="I82" s="48"/>
      <c r="J82" s="48"/>
    </row>
    <row r="83" spans="1:10" ht="18.75" x14ac:dyDescent="0.3">
      <c r="A83" s="48"/>
      <c r="B83" s="48"/>
      <c r="C83" s="48"/>
      <c r="D83" s="48"/>
      <c r="E83" s="48"/>
      <c r="F83" s="48"/>
      <c r="G83" s="48"/>
      <c r="H83" s="48"/>
      <c r="I83" s="48"/>
      <c r="J83" s="48"/>
    </row>
    <row r="84" spans="1:10" ht="18.75" x14ac:dyDescent="0.3">
      <c r="A84" s="48"/>
      <c r="B84" s="48"/>
      <c r="C84" s="48"/>
      <c r="D84" s="48"/>
      <c r="E84" s="48"/>
      <c r="F84" s="48"/>
      <c r="G84" s="48"/>
      <c r="H84" s="48"/>
      <c r="I84" s="48"/>
      <c r="J84" s="48"/>
    </row>
    <row r="85" spans="1:10" ht="18.75" x14ac:dyDescent="0.3">
      <c r="A85" s="48"/>
      <c r="B85" s="48"/>
      <c r="C85" s="48"/>
      <c r="D85" s="48"/>
      <c r="E85" s="48"/>
      <c r="F85" s="48"/>
      <c r="G85" s="48"/>
      <c r="H85" s="48"/>
      <c r="I85" s="48"/>
      <c r="J85" s="48"/>
    </row>
    <row r="86" spans="1:10" ht="18.75" x14ac:dyDescent="0.3">
      <c r="A86" s="48"/>
      <c r="B86" s="48"/>
      <c r="C86" s="48"/>
      <c r="D86" s="48"/>
      <c r="E86" s="48"/>
      <c r="F86" s="48"/>
      <c r="G86" s="48"/>
      <c r="H86" s="48"/>
      <c r="I86" s="48"/>
      <c r="J86" s="48"/>
    </row>
    <row r="87" spans="1:10" ht="18.75" x14ac:dyDescent="0.3">
      <c r="A87" s="48"/>
      <c r="B87" s="48"/>
      <c r="C87" s="48"/>
      <c r="D87" s="48"/>
      <c r="E87" s="48"/>
      <c r="F87" s="48"/>
      <c r="G87" s="48"/>
      <c r="H87" s="48"/>
      <c r="I87" s="48"/>
      <c r="J87" s="48"/>
    </row>
    <row r="88" spans="1:10" ht="18.75" x14ac:dyDescent="0.3">
      <c r="A88" s="48"/>
      <c r="B88" s="48"/>
      <c r="C88" s="48"/>
      <c r="D88" s="48"/>
      <c r="E88" s="48"/>
      <c r="F88" s="48"/>
      <c r="G88" s="48"/>
      <c r="H88" s="48"/>
      <c r="I88" s="48"/>
      <c r="J88" s="48"/>
    </row>
    <row r="89" spans="1:10" ht="18.75" x14ac:dyDescent="0.3">
      <c r="A89" s="48"/>
      <c r="B89" s="48"/>
      <c r="C89" s="48"/>
      <c r="D89" s="48"/>
      <c r="E89" s="48"/>
      <c r="F89" s="48"/>
      <c r="G89" s="48"/>
      <c r="H89" s="48"/>
      <c r="I89" s="48"/>
      <c r="J89" s="48"/>
    </row>
    <row r="90" spans="1:10" ht="18.75" x14ac:dyDescent="0.3">
      <c r="A90" s="48"/>
      <c r="B90" s="48"/>
      <c r="C90" s="48"/>
      <c r="D90" s="48"/>
      <c r="E90" s="48"/>
      <c r="F90" s="48"/>
      <c r="G90" s="48"/>
      <c r="H90" s="48"/>
      <c r="I90" s="48"/>
      <c r="J90" s="48"/>
    </row>
    <row r="91" spans="1:10" ht="18.75" x14ac:dyDescent="0.3">
      <c r="A91" s="48"/>
      <c r="B91" s="48"/>
      <c r="C91" s="48"/>
      <c r="D91" s="48"/>
      <c r="E91" s="48"/>
      <c r="F91" s="48"/>
      <c r="G91" s="48"/>
      <c r="H91" s="48"/>
      <c r="I91" s="48"/>
      <c r="J91" s="48"/>
    </row>
    <row r="92" spans="1:10" ht="18.75" x14ac:dyDescent="0.3">
      <c r="A92" s="48"/>
      <c r="B92" s="48"/>
      <c r="C92" s="48"/>
      <c r="D92" s="48"/>
      <c r="E92" s="48"/>
      <c r="F92" s="48"/>
      <c r="G92" s="48"/>
      <c r="H92" s="48"/>
      <c r="I92" s="48"/>
      <c r="J92" s="48"/>
    </row>
  </sheetData>
  <mergeCells count="4">
    <mergeCell ref="B4:D4"/>
    <mergeCell ref="F4:H4"/>
    <mergeCell ref="B5:D5"/>
    <mergeCell ref="F5:H5"/>
  </mergeCells>
  <hyperlinks>
    <hyperlink ref="B1" location="Innhold!A1" display="Tilbake" xr:uid="{F3E75261-2AE4-411B-B0FA-C74A0CB898BF}"/>
  </hyperlinks>
  <pageMargins left="0.70866141732283472" right="0.70866141732283472" top="0.74803149606299213" bottom="0.74803149606299213" header="0.31496062992125984" footer="0.31496062992125984"/>
  <pageSetup paperSize="9" scale="64"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M303"/>
  <sheetViews>
    <sheetView showGridLines="0" showZeros="0" zoomScaleNormal="100" zoomScaleSheetLayoutView="80" workbookViewId="0">
      <pane xSplit="1" ySplit="1" topLeftCell="B2" activePane="bottomRight" state="frozen"/>
      <selection activeCell="J44" sqref="J44"/>
      <selection pane="topRight" activeCell="J44" sqref="J44"/>
      <selection pane="bottomLeft" activeCell="J44" sqref="J44"/>
      <selection pane="bottomRight"/>
    </sheetView>
  </sheetViews>
  <sheetFormatPr baseColWidth="10" defaultColWidth="11.42578125" defaultRowHeight="12.75" x14ac:dyDescent="0.2"/>
  <cols>
    <col min="1" max="1" width="57.28515625" style="1" customWidth="1"/>
    <col min="2" max="3" width="10.7109375" style="1" customWidth="1"/>
    <col min="4" max="4" width="8.7109375" style="1" customWidth="1"/>
    <col min="5" max="6" width="10.7109375" style="1" customWidth="1"/>
    <col min="7" max="7" width="8.7109375" style="1" customWidth="1"/>
    <col min="8" max="9" width="12.28515625" style="1" bestFit="1" customWidth="1"/>
    <col min="10" max="10" width="8.7109375" style="1" customWidth="1"/>
    <col min="11" max="16384" width="11.42578125" style="1"/>
  </cols>
  <sheetData>
    <row r="1" spans="1:13" ht="15.75" customHeight="1" x14ac:dyDescent="0.2">
      <c r="A1" s="287">
        <v>4</v>
      </c>
    </row>
    <row r="2" spans="1:13" ht="15.75" customHeight="1" x14ac:dyDescent="0.25">
      <c r="A2" s="110" t="s">
        <v>28</v>
      </c>
      <c r="B2" s="576"/>
      <c r="C2" s="576"/>
      <c r="D2" s="576"/>
      <c r="E2" s="576"/>
      <c r="F2" s="576"/>
      <c r="G2" s="576"/>
      <c r="H2" s="576"/>
      <c r="I2" s="576"/>
      <c r="J2" s="576"/>
    </row>
    <row r="3" spans="1:13" ht="15.75" customHeight="1" x14ac:dyDescent="0.25">
      <c r="A3" s="122"/>
      <c r="B3" s="242"/>
      <c r="C3" s="242"/>
      <c r="D3" s="242"/>
      <c r="E3" s="242"/>
      <c r="F3" s="242"/>
      <c r="G3" s="242"/>
      <c r="H3" s="242"/>
      <c r="I3" s="242"/>
      <c r="J3" s="242"/>
    </row>
    <row r="4" spans="1:13" ht="15.75" customHeight="1" x14ac:dyDescent="0.2">
      <c r="A4" s="108"/>
      <c r="B4" s="577" t="s">
        <v>0</v>
      </c>
      <c r="C4" s="578"/>
      <c r="D4" s="578"/>
      <c r="E4" s="577" t="s">
        <v>1</v>
      </c>
      <c r="F4" s="578"/>
      <c r="G4" s="578"/>
      <c r="H4" s="577" t="s">
        <v>2</v>
      </c>
      <c r="I4" s="578"/>
      <c r="J4" s="579"/>
    </row>
    <row r="5" spans="1:13" ht="15.75" customHeight="1" x14ac:dyDescent="0.2">
      <c r="A5" s="117"/>
      <c r="B5" s="17" t="s">
        <v>417</v>
      </c>
      <c r="C5" s="17" t="s">
        <v>418</v>
      </c>
      <c r="D5" s="199" t="s">
        <v>3</v>
      </c>
      <c r="E5" s="17" t="s">
        <v>417</v>
      </c>
      <c r="F5" s="17" t="s">
        <v>418</v>
      </c>
      <c r="G5" s="199" t="s">
        <v>3</v>
      </c>
      <c r="H5" s="17" t="s">
        <v>417</v>
      </c>
      <c r="I5" s="17" t="s">
        <v>418</v>
      </c>
      <c r="J5" s="199" t="s">
        <v>3</v>
      </c>
    </row>
    <row r="6" spans="1:13" ht="15.75" customHeight="1" x14ac:dyDescent="0.2">
      <c r="A6" s="545"/>
      <c r="B6" s="12"/>
      <c r="C6" s="12"/>
      <c r="D6" s="14" t="s">
        <v>4</v>
      </c>
      <c r="E6" s="13"/>
      <c r="F6" s="13"/>
      <c r="G6" s="12" t="s">
        <v>4</v>
      </c>
      <c r="H6" s="13"/>
      <c r="I6" s="13"/>
      <c r="J6" s="12" t="s">
        <v>4</v>
      </c>
      <c r="M6" s="272"/>
    </row>
    <row r="7" spans="1:13" s="35" customFormat="1" ht="15.75" customHeight="1" x14ac:dyDescent="0.2">
      <c r="A7" s="11" t="s">
        <v>23</v>
      </c>
      <c r="B7" s="184">
        <f>'Fremtind Livsforsikring'!B7+'DNB Livsforsikring'!B7+'Eika Forsikring AS'!B7+'Frende Livsforsikring'!B7+'Frende Skadeforsikring'!B7+'Gjensidige Forsikring'!B7+'Gjensidige Pensjon'!B7+'If Skadeforsikring NUF'!B7+KLP!B7+'KLP Skadeforsikring AS'!B7+'Landkreditt Forsikring'!B7+'Nordea Liv '!B7+'Oslo Pensjonsforsikring'!B7+'Protector Forsikring'!B7+'Sparebank 1 Fors.'!B7+'Storebrand Livsforsikring'!B7+'Telenor Forsikring'!B7+'Tryg Forsikring'!B7+'WaterCircles F'!B7+'Euro Accident'!B7+'Ly Forsikring'!B7+'Youplus Livsforsikring'!B7+'Oslo Forsikring'!B7</f>
        <v>3149499.8382932115</v>
      </c>
      <c r="C7" s="184">
        <f>'Fremtind Livsforsikring'!C7+'DNB Livsforsikring'!C7+'Eika Forsikring AS'!C7+'Frende Livsforsikring'!C7+'Frende Skadeforsikring'!C7+'Gjensidige Forsikring'!C7+'Gjensidige Pensjon'!C7+'If Skadeforsikring NUF'!C7+KLP!C7+'KLP Skadeforsikring AS'!C7+'Landkreditt Forsikring'!C7+'Nordea Liv '!C7+'Oslo Pensjonsforsikring'!C7+'Protector Forsikring'!C7+'Sparebank 1 Fors.'!C7+'Storebrand Livsforsikring'!C7+'Telenor Forsikring'!C7+'Tryg Forsikring'!C7+'WaterCircles F'!C7+'Euro Accident'!C7+'Ly Forsikring'!C7+'Youplus Livsforsikring'!C7+'Oslo Forsikring'!C7</f>
        <v>3317920.7564190603</v>
      </c>
      <c r="D7" s="119">
        <f t="shared" ref="D7:D12" si="0">IF(B7=0, "    ---- ", IF(ABS(ROUND(100/B7*C7-100,1))&lt;999,ROUND(100/B7*C7-100,1),IF(ROUND(100/B7*C7-100,1)&gt;999,999,-999)))</f>
        <v>5.3</v>
      </c>
      <c r="E7" s="184">
        <f>'Fremtind Livsforsikring'!F7+'DNB Livsforsikring'!F7+'Eika Forsikring AS'!F7+'Frende Livsforsikring'!F7+'Frende Skadeforsikring'!F7+'Gjensidige Forsikring'!F7+'Gjensidige Pensjon'!F7+'If Skadeforsikring NUF'!F7+KLP!F7+'KLP Skadeforsikring AS'!F7+'Landkreditt Forsikring'!F7+'Nordea Liv '!F7+'Oslo Pensjonsforsikring'!F7+'Protector Forsikring'!F7+'Sparebank 1 Fors.'!F7+'Storebrand Livsforsikring'!F7+'Telenor Forsikring'!F7+'Tryg Forsikring'!F7+'WaterCircles F'!F7+'Euro Accident'!F7+'Ly Forsikring'!F7+'Youplus Livsforsikring'!F7+'Oslo Forsikring'!F7</f>
        <v>7780547.8374900008</v>
      </c>
      <c r="F7" s="184">
        <f>'Fremtind Livsforsikring'!G7+'DNB Livsforsikring'!G7+'Eika Forsikring AS'!G7+'Frende Livsforsikring'!G7+'Frende Skadeforsikring'!G7+'Gjensidige Forsikring'!G7+'Gjensidige Pensjon'!G7+'If Skadeforsikring NUF'!G7+KLP!G7+'KLP Skadeforsikring AS'!G7+'Landkreditt Forsikring'!G7+'Nordea Liv '!G7+'Oslo Pensjonsforsikring'!G7+'Protector Forsikring'!G7+'Sparebank 1 Fors.'!G7+'Storebrand Livsforsikring'!G7+'Telenor Forsikring'!G7+'Tryg Forsikring'!G7+'WaterCircles F'!G7+'Euro Accident'!G7+'Ly Forsikring'!G7+'Youplus Livsforsikring'!G7+'Oslo Forsikring'!G7</f>
        <v>5552917.968580001</v>
      </c>
      <c r="G7" s="119">
        <f t="shared" ref="G7:G12" si="1">IF(E7=0, "    ---- ", IF(ABS(ROUND(100/E7*F7-100,1))&lt;999,ROUND(100/E7*F7-100,1),IF(ROUND(100/E7*F7-100,1)&gt;999,999,-999)))</f>
        <v>-28.6</v>
      </c>
      <c r="H7" s="225">
        <f t="shared" ref="H7:H12" si="2">B7+E7</f>
        <v>10930047.675783213</v>
      </c>
      <c r="I7" s="226">
        <f t="shared" ref="I7:I12" si="3">C7+F7</f>
        <v>8870838.7249990609</v>
      </c>
      <c r="J7" s="127">
        <f t="shared" ref="J7:J12" si="4">IF(H7=0, "    ---- ", IF(ABS(ROUND(100/H7*I7-100,1))&lt;999,ROUND(100/H7*I7-100,1),IF(ROUND(100/H7*I7-100,1)&gt;999,999,-999)))</f>
        <v>-18.8</v>
      </c>
    </row>
    <row r="8" spans="1:13" ht="15.75" customHeight="1" x14ac:dyDescent="0.2">
      <c r="A8" s="18" t="s">
        <v>25</v>
      </c>
      <c r="B8" s="36">
        <f>'Fremtind Livsforsikring'!B8+'DNB Livsforsikring'!B8+'Eika Forsikring AS'!B8+'Frende Livsforsikring'!B8+'Frende Skadeforsikring'!B8+'Gjensidige Forsikring'!B8+'Gjensidige Pensjon'!B8+'If Skadeforsikring NUF'!B8+KLP!B8+'KLP Skadeforsikring AS'!B8+'Landkreditt Forsikring'!B8+'Nordea Liv '!B8+'Oslo Pensjonsforsikring'!B8+'Protector Forsikring'!B8+'Sparebank 1 Fors.'!B8+'Storebrand Livsforsikring'!B8+'Telenor Forsikring'!B8+'Tryg Forsikring'!B8+'WaterCircles F'!B8+'Euro Accident'!B8+'Ly Forsikring'!B8+'Youplus Livsforsikring'!B8+'Oslo Forsikring'!B8</f>
        <v>2105809.9824464023</v>
      </c>
      <c r="C8" s="36">
        <f>'Fremtind Livsforsikring'!C8+'DNB Livsforsikring'!C8+'Eika Forsikring AS'!C8+'Frende Livsforsikring'!C8+'Frende Skadeforsikring'!C8+'Gjensidige Forsikring'!C8+'Gjensidige Pensjon'!C8+'If Skadeforsikring NUF'!C8+KLP!C8+'KLP Skadeforsikring AS'!C8+'Landkreditt Forsikring'!C8+'Nordea Liv '!C8+'Oslo Pensjonsforsikring'!C8+'Protector Forsikring'!C8+'Sparebank 1 Fors.'!C8+'Storebrand Livsforsikring'!C8+'Telenor Forsikring'!C8+'Tryg Forsikring'!C8+'WaterCircles F'!C8+'Euro Accident'!C8+'Ly Forsikring'!C8+'Youplus Livsforsikring'!C8+'Oslo Forsikring'!C8</f>
        <v>2223459.5824270276</v>
      </c>
      <c r="D8" s="123">
        <f t="shared" si="0"/>
        <v>5.6</v>
      </c>
      <c r="E8" s="141"/>
      <c r="F8" s="141"/>
      <c r="G8" s="133"/>
      <c r="H8" s="142">
        <f t="shared" si="2"/>
        <v>2105809.9824464023</v>
      </c>
      <c r="I8" s="143">
        <f t="shared" si="3"/>
        <v>2223459.5824270276</v>
      </c>
      <c r="J8" s="123">
        <f t="shared" si="4"/>
        <v>5.6</v>
      </c>
    </row>
    <row r="9" spans="1:13" ht="15.75" customHeight="1" x14ac:dyDescent="0.2">
      <c r="A9" s="18" t="s">
        <v>24</v>
      </c>
      <c r="B9" s="36">
        <f>'Fremtind Livsforsikring'!B9+'DNB Livsforsikring'!B9+'Eika Forsikring AS'!B9+'Frende Livsforsikring'!B9+'Frende Skadeforsikring'!B9+'Gjensidige Forsikring'!B9+'Gjensidige Pensjon'!B9+'If Skadeforsikring NUF'!B9+KLP!B9+'KLP Skadeforsikring AS'!B9+'Landkreditt Forsikring'!B9+'Nordea Liv '!B9+'Oslo Pensjonsforsikring'!B9+'Protector Forsikring'!B9+'Sparebank 1 Fors.'!B9+'Storebrand Livsforsikring'!B9+'Telenor Forsikring'!B9+'Tryg Forsikring'!B9+'WaterCircles F'!B9+'Euro Accident'!B9+'Ly Forsikring'!B9+'Youplus Livsforsikring'!B9+'Oslo Forsikring'!B9</f>
        <v>669298.43312226341</v>
      </c>
      <c r="C9" s="36">
        <f>'Fremtind Livsforsikring'!C9+'DNB Livsforsikring'!C9+'Eika Forsikring AS'!C9+'Frende Livsforsikring'!C9+'Frende Skadeforsikring'!C9+'Gjensidige Forsikring'!C9+'Gjensidige Pensjon'!C9+'If Skadeforsikring NUF'!C9+KLP!C9+'KLP Skadeforsikring AS'!C9+'Landkreditt Forsikring'!C9+'Nordea Liv '!C9+'Oslo Pensjonsforsikring'!C9+'Protector Forsikring'!C9+'Sparebank 1 Fors.'!C9+'Storebrand Livsforsikring'!C9+'Telenor Forsikring'!C9+'Tryg Forsikring'!C9+'WaterCircles F'!C9+'Euro Accident'!C9+'Ly Forsikring'!C9+'Youplus Livsforsikring'!C9+'Oslo Forsikring'!C9</f>
        <v>664757.41793203971</v>
      </c>
      <c r="D9" s="133">
        <f t="shared" si="0"/>
        <v>-0.7</v>
      </c>
      <c r="E9" s="141"/>
      <c r="F9" s="141"/>
      <c r="G9" s="133"/>
      <c r="H9" s="142">
        <f t="shared" si="2"/>
        <v>669298.43312226341</v>
      </c>
      <c r="I9" s="143">
        <f t="shared" si="3"/>
        <v>664757.41793203971</v>
      </c>
      <c r="J9" s="123">
        <f t="shared" si="4"/>
        <v>-0.7</v>
      </c>
    </row>
    <row r="10" spans="1:13" s="35" customFormat="1" ht="15.75" customHeight="1" x14ac:dyDescent="0.2">
      <c r="A10" s="10" t="s">
        <v>323</v>
      </c>
      <c r="B10" s="184">
        <f>'Fremtind Livsforsikring'!B10+'DNB Livsforsikring'!B10+'Eika Forsikring AS'!B10+'Frende Livsforsikring'!B10+'Frende Skadeforsikring'!B10+'Gjensidige Forsikring'!B10+'Gjensidige Pensjon'!B10+'If Skadeforsikring NUF'!B10+KLP!B10+'KLP Skadeforsikring AS'!B10+'Landkreditt Forsikring'!B10+'Nordea Liv '!B10+'Oslo Pensjonsforsikring'!B10+'Protector Forsikring'!B10+'Sparebank 1 Fors.'!B10+'Storebrand Livsforsikring'!B10+'Telenor Forsikring'!B10+'Tryg Forsikring'!B10+'WaterCircles F'!B10+'Euro Accident'!B10+'Ly Forsikring'!B10+'Youplus Livsforsikring'!B10+'Oslo Forsikring'!B10</f>
        <v>13239316.319243755</v>
      </c>
      <c r="C10" s="184">
        <f>'Fremtind Livsforsikring'!C10+'DNB Livsforsikring'!C10+'Eika Forsikring AS'!C10+'Frende Livsforsikring'!C10+'Frende Skadeforsikring'!C10+'Gjensidige Forsikring'!C10+'Gjensidige Pensjon'!C10+'If Skadeforsikring NUF'!C10+KLP!C10+'KLP Skadeforsikring AS'!C10+'Landkreditt Forsikring'!C10+'Nordea Liv '!C10+'Oslo Pensjonsforsikring'!C10+'Protector Forsikring'!C10+'Sparebank 1 Fors.'!C10+'Storebrand Livsforsikring'!C10+'Telenor Forsikring'!C10+'Tryg Forsikring'!C10+'WaterCircles F'!C10+'Euro Accident'!C10+'Ly Forsikring'!C10+'Youplus Livsforsikring'!C10+'Oslo Forsikring'!C10</f>
        <v>12648624.920110075</v>
      </c>
      <c r="D10" s="119">
        <f t="shared" si="0"/>
        <v>-4.5</v>
      </c>
      <c r="E10" s="184">
        <f>'Fremtind Livsforsikring'!F10+'DNB Livsforsikring'!F10+'Eika Forsikring AS'!F10+'Frende Livsforsikring'!F10+'Frende Skadeforsikring'!F10+'Gjensidige Forsikring'!F10+'Gjensidige Pensjon'!F10+'If Skadeforsikring NUF'!F10+KLP!F10+'KLP Skadeforsikring AS'!F10+'Landkreditt Forsikring'!F10+'Nordea Liv '!F10+'Oslo Pensjonsforsikring'!F10+'Protector Forsikring'!F10+'Sparebank 1 Fors.'!F10+'Storebrand Livsforsikring'!F10+'Telenor Forsikring'!F10+'Tryg Forsikring'!F10+'WaterCircles F'!F10+'Euro Accident'!F10+'Ly Forsikring'!F10+'Youplus Livsforsikring'!F10+'Oslo Forsikring'!F10</f>
        <v>93774474.278255001</v>
      </c>
      <c r="F10" s="184">
        <f>'Fremtind Livsforsikring'!G10+'DNB Livsforsikring'!G10+'Eika Forsikring AS'!G10+'Frende Livsforsikring'!G10+'Frende Skadeforsikring'!G10+'Gjensidige Forsikring'!G10+'Gjensidige Pensjon'!G10+'If Skadeforsikring NUF'!G10+KLP!G10+'KLP Skadeforsikring AS'!G10+'Landkreditt Forsikring'!G10+'Nordea Liv '!G10+'Oslo Pensjonsforsikring'!G10+'Protector Forsikring'!G10+'Sparebank 1 Fors.'!G10+'Storebrand Livsforsikring'!G10+'Telenor Forsikring'!G10+'Tryg Forsikring'!G10+'WaterCircles F'!G10+'Euro Accident'!G10+'Ly Forsikring'!G10+'Youplus Livsforsikring'!G10+'Oslo Forsikring'!G10</f>
        <v>99593259.466991916</v>
      </c>
      <c r="G10" s="119">
        <f t="shared" si="1"/>
        <v>6.2</v>
      </c>
      <c r="H10" s="225">
        <f t="shared" si="2"/>
        <v>107013790.59749876</v>
      </c>
      <c r="I10" s="226">
        <f t="shared" si="3"/>
        <v>112241884.38710199</v>
      </c>
      <c r="J10" s="127">
        <f t="shared" si="4"/>
        <v>4.9000000000000004</v>
      </c>
    </row>
    <row r="11" spans="1:13" s="35" customFormat="1" ht="15.75" customHeight="1" x14ac:dyDescent="0.2">
      <c r="A11" s="10" t="s">
        <v>324</v>
      </c>
      <c r="B11" s="184">
        <f>'Fremtind Livsforsikring'!B11+'DNB Livsforsikring'!B11+'Eika Forsikring AS'!B11+'Frende Livsforsikring'!B11+'Frende Skadeforsikring'!B11+'Gjensidige Forsikring'!B11+'Gjensidige Pensjon'!B11+'If Skadeforsikring NUF'!B11+KLP!B11+'KLP Skadeforsikring AS'!B11+'Landkreditt Forsikring'!B11+'Nordea Liv '!B11+'Oslo Pensjonsforsikring'!B11+'Protector Forsikring'!B11+'Sparebank 1 Fors.'!B11+'Storebrand Livsforsikring'!B11+'Telenor Forsikring'!B11+'Tryg Forsikring'!B11+'WaterCircles F'!B11+'Euro Accident'!B11+'Ly Forsikring'!B11+'Youplus Livsforsikring'!B11+'Oslo Forsikring'!B11</f>
        <v>0</v>
      </c>
      <c r="C11" s="184">
        <f>'Fremtind Livsforsikring'!C11+'DNB Livsforsikring'!C11+'Eika Forsikring AS'!C11+'Frende Livsforsikring'!C11+'Frende Skadeforsikring'!C11+'Gjensidige Forsikring'!C11+'Gjensidige Pensjon'!C11+'If Skadeforsikring NUF'!C11+KLP!C11+'KLP Skadeforsikring AS'!C11+'Landkreditt Forsikring'!C11+'Nordea Liv '!C11+'Oslo Pensjonsforsikring'!C11+'Protector Forsikring'!C11+'Sparebank 1 Fors.'!C11+'Storebrand Livsforsikring'!C11+'Telenor Forsikring'!C11+'Tryg Forsikring'!C11+'WaterCircles F'!C11+'Euro Accident'!C11+'Ly Forsikring'!C11+'Youplus Livsforsikring'!C11+'Oslo Forsikring'!C11</f>
        <v>333.04399999999998</v>
      </c>
      <c r="D11" s="127" t="str">
        <f t="shared" si="0"/>
        <v xml:space="preserve">    ---- </v>
      </c>
      <c r="E11" s="184">
        <f>'Fremtind Livsforsikring'!F11+'DNB Livsforsikring'!F11+'Eika Forsikring AS'!F11+'Frende Livsforsikring'!F11+'Frende Skadeforsikring'!F11+'Gjensidige Forsikring'!F11+'Gjensidige Pensjon'!F11+'If Skadeforsikring NUF'!F11+KLP!F11+'KLP Skadeforsikring AS'!F11+'Landkreditt Forsikring'!F11+'Nordea Liv '!F11+'Oslo Pensjonsforsikring'!F11+'Protector Forsikring'!F11+'Sparebank 1 Fors.'!F11+'Storebrand Livsforsikring'!F11+'Telenor Forsikring'!F11+'Tryg Forsikring'!F11+'WaterCircles F'!F11+'Euro Accident'!F11+'Ly Forsikring'!F11+'Youplus Livsforsikring'!F11+'Oslo Forsikring'!F11</f>
        <v>203568.15708999999</v>
      </c>
      <c r="F11" s="184">
        <f>'Fremtind Livsforsikring'!G11+'DNB Livsforsikring'!G11+'Eika Forsikring AS'!G11+'Frende Livsforsikring'!G11+'Frende Skadeforsikring'!G11+'Gjensidige Forsikring'!G11+'Gjensidige Pensjon'!G11+'If Skadeforsikring NUF'!G11+KLP!G11+'KLP Skadeforsikring AS'!G11+'Landkreditt Forsikring'!G11+'Nordea Liv '!G11+'Oslo Pensjonsforsikring'!G11+'Protector Forsikring'!G11+'Sparebank 1 Fors.'!G11+'Storebrand Livsforsikring'!G11+'Telenor Forsikring'!G11+'Tryg Forsikring'!G11+'WaterCircles F'!G11+'Euro Accident'!G11+'Ly Forsikring'!G11+'Youplus Livsforsikring'!G11+'Oslo Forsikring'!G11</f>
        <v>393741.24981000001</v>
      </c>
      <c r="G11" s="127">
        <f t="shared" si="1"/>
        <v>93.4</v>
      </c>
      <c r="H11" s="225">
        <f t="shared" si="2"/>
        <v>203568.15708999999</v>
      </c>
      <c r="I11" s="226">
        <f t="shared" si="3"/>
        <v>394074.29381</v>
      </c>
      <c r="J11" s="127">
        <f t="shared" si="4"/>
        <v>93.6</v>
      </c>
    </row>
    <row r="12" spans="1:13" s="35" customFormat="1" ht="15.75" customHeight="1" x14ac:dyDescent="0.2">
      <c r="A12" s="33" t="s">
        <v>325</v>
      </c>
      <c r="B12" s="224">
        <f>'Fremtind Livsforsikring'!B12+'DNB Livsforsikring'!B12+'Eika Forsikring AS'!B12+'Frende Livsforsikring'!B12+'Frende Skadeforsikring'!B12+'Gjensidige Forsikring'!B12+'Gjensidige Pensjon'!B12+'If Skadeforsikring NUF'!B12+KLP!B12+'KLP Skadeforsikring AS'!B12+'Landkreditt Forsikring'!B12+'Nordea Liv '!B12+'Oslo Pensjonsforsikring'!B12+'Protector Forsikring'!B12+'Sparebank 1 Fors.'!B12+'Storebrand Livsforsikring'!B12+'Telenor Forsikring'!B12+'Tryg Forsikring'!B12+'WaterCircles F'!B12+'Euro Accident'!B12+'Ly Forsikring'!B12+'Youplus Livsforsikring'!B12+'Oslo Forsikring'!B12</f>
        <v>0</v>
      </c>
      <c r="C12" s="224">
        <f>'Fremtind Livsforsikring'!C12+'DNB Livsforsikring'!C12+'Eika Forsikring AS'!C12+'Frende Livsforsikring'!C12+'Frende Skadeforsikring'!C12+'Gjensidige Forsikring'!C12+'Gjensidige Pensjon'!C12+'If Skadeforsikring NUF'!C12+KLP!C12+'KLP Skadeforsikring AS'!C12+'Landkreditt Forsikring'!C12+'Nordea Liv '!C12+'Oslo Pensjonsforsikring'!C12+'Protector Forsikring'!C12+'Sparebank 1 Fors.'!C12+'Storebrand Livsforsikring'!C12+'Telenor Forsikring'!C12+'Tryg Forsikring'!C12+'WaterCircles F'!C12+'Euro Accident'!C12+'Ly Forsikring'!C12+'Youplus Livsforsikring'!C12+'Oslo Forsikring'!C12</f>
        <v>341.79806000000002</v>
      </c>
      <c r="D12" s="126" t="str">
        <f t="shared" si="0"/>
        <v xml:space="preserve">    ---- </v>
      </c>
      <c r="E12" s="224">
        <f>'Fremtind Livsforsikring'!F12+'DNB Livsforsikring'!F12+'Eika Forsikring AS'!F12+'Frende Livsforsikring'!F12+'Frende Skadeforsikring'!F12+'Gjensidige Forsikring'!F12+'Gjensidige Pensjon'!F12+'If Skadeforsikring NUF'!F12+KLP!F12+'KLP Skadeforsikring AS'!F12+'Landkreditt Forsikring'!F12+'Nordea Liv '!F12+'Oslo Pensjonsforsikring'!F12+'Protector Forsikring'!F12+'Sparebank 1 Fors.'!F12+'Storebrand Livsforsikring'!F12+'Telenor Forsikring'!F12+'Tryg Forsikring'!F12+'WaterCircles F'!F12+'Euro Accident'!F12+'Ly Forsikring'!F12+'Youplus Livsforsikring'!F12+'Oslo Forsikring'!F12</f>
        <v>216077.60194000002</v>
      </c>
      <c r="F12" s="224">
        <f>'Fremtind Livsforsikring'!G12+'DNB Livsforsikring'!G12+'Eika Forsikring AS'!G12+'Frende Livsforsikring'!G12+'Frende Skadeforsikring'!G12+'Gjensidige Forsikring'!G12+'Gjensidige Pensjon'!G12+'If Skadeforsikring NUF'!G12+KLP!G12+'KLP Skadeforsikring AS'!G12+'Landkreditt Forsikring'!G12+'Nordea Liv '!G12+'Oslo Pensjonsforsikring'!G12+'Protector Forsikring'!G12+'Sparebank 1 Fors.'!G12+'Storebrand Livsforsikring'!G12+'Telenor Forsikring'!G12+'Tryg Forsikring'!G12+'WaterCircles F'!G12+'Euro Accident'!G12+'Ly Forsikring'!G12+'Youplus Livsforsikring'!G12+'Oslo Forsikring'!G12</f>
        <v>390664.80722999998</v>
      </c>
      <c r="G12" s="125">
        <f t="shared" si="1"/>
        <v>80.8</v>
      </c>
      <c r="H12" s="227">
        <f t="shared" si="2"/>
        <v>216077.60194000002</v>
      </c>
      <c r="I12" s="228">
        <f t="shared" si="3"/>
        <v>391006.60528999998</v>
      </c>
      <c r="J12" s="125">
        <f t="shared" si="4"/>
        <v>81</v>
      </c>
    </row>
    <row r="13" spans="1:13" s="35" customFormat="1" ht="15.75" customHeight="1" x14ac:dyDescent="0.2">
      <c r="A13" s="107"/>
      <c r="B13" s="29"/>
      <c r="C13" s="3"/>
      <c r="D13" s="26"/>
      <c r="E13" s="29"/>
      <c r="F13" s="3"/>
      <c r="G13" s="26"/>
      <c r="H13" s="38"/>
      <c r="I13" s="38"/>
      <c r="J13" s="26"/>
    </row>
    <row r="14" spans="1:13" ht="15.75" customHeight="1" x14ac:dyDescent="0.2">
      <c r="A14" s="114" t="s">
        <v>247</v>
      </c>
    </row>
    <row r="15" spans="1:13" ht="15.75" customHeight="1" x14ac:dyDescent="0.2">
      <c r="A15" s="22"/>
    </row>
    <row r="16" spans="1:13" ht="15.75" customHeight="1" x14ac:dyDescent="0.25">
      <c r="A16" s="115"/>
      <c r="C16" s="24"/>
      <c r="D16" s="24"/>
      <c r="E16" s="24"/>
      <c r="F16" s="24"/>
      <c r="G16" s="24"/>
      <c r="H16" s="24"/>
      <c r="I16" s="24"/>
      <c r="J16" s="24"/>
    </row>
    <row r="17" spans="1:10" ht="15.75" customHeight="1" x14ac:dyDescent="0.25">
      <c r="A17" s="110" t="s">
        <v>244</v>
      </c>
      <c r="B17" s="24"/>
      <c r="C17" s="24"/>
      <c r="D17" s="25"/>
      <c r="E17" s="24"/>
      <c r="F17" s="24"/>
      <c r="G17" s="24"/>
      <c r="H17" s="24"/>
      <c r="I17" s="24"/>
      <c r="J17" s="24"/>
    </row>
    <row r="18" spans="1:10" ht="15.75" customHeight="1" x14ac:dyDescent="0.25">
      <c r="A18" s="22"/>
      <c r="B18" s="576"/>
      <c r="C18" s="576"/>
      <c r="D18" s="576"/>
      <c r="E18" s="576"/>
      <c r="F18" s="576"/>
      <c r="G18" s="576"/>
      <c r="H18" s="576"/>
      <c r="I18" s="576"/>
      <c r="J18" s="576"/>
    </row>
    <row r="19" spans="1:10" ht="15.75" customHeight="1" x14ac:dyDescent="0.2">
      <c r="A19" s="108"/>
      <c r="B19" s="577" t="s">
        <v>0</v>
      </c>
      <c r="C19" s="578"/>
      <c r="D19" s="578"/>
      <c r="E19" s="577" t="s">
        <v>1</v>
      </c>
      <c r="F19" s="578"/>
      <c r="G19" s="579"/>
      <c r="H19" s="578" t="s">
        <v>2</v>
      </c>
      <c r="I19" s="578"/>
      <c r="J19" s="579"/>
    </row>
    <row r="20" spans="1:10" ht="15.75" customHeight="1" x14ac:dyDescent="0.2">
      <c r="A20" s="105" t="s">
        <v>5</v>
      </c>
      <c r="B20" s="17" t="s">
        <v>417</v>
      </c>
      <c r="C20" s="17" t="s">
        <v>418</v>
      </c>
      <c r="D20" s="199" t="s">
        <v>3</v>
      </c>
      <c r="E20" s="17" t="s">
        <v>417</v>
      </c>
      <c r="F20" s="17" t="s">
        <v>418</v>
      </c>
      <c r="G20" s="199" t="s">
        <v>3</v>
      </c>
      <c r="H20" s="17" t="s">
        <v>417</v>
      </c>
      <c r="I20" s="17" t="s">
        <v>418</v>
      </c>
      <c r="J20" s="199" t="s">
        <v>3</v>
      </c>
    </row>
    <row r="21" spans="1:10" ht="15.75" customHeight="1" x14ac:dyDescent="0.2">
      <c r="A21" s="546"/>
      <c r="B21" s="12"/>
      <c r="C21" s="12"/>
      <c r="D21" s="14" t="s">
        <v>4</v>
      </c>
      <c r="E21" s="13"/>
      <c r="F21" s="13"/>
      <c r="G21" s="12" t="s">
        <v>4</v>
      </c>
      <c r="H21" s="13"/>
      <c r="I21" s="13"/>
      <c r="J21" s="12" t="s">
        <v>4</v>
      </c>
    </row>
    <row r="22" spans="1:10" s="35" customFormat="1" ht="15.75" customHeight="1" x14ac:dyDescent="0.2">
      <c r="A22" s="11" t="s">
        <v>23</v>
      </c>
      <c r="B22" s="184">
        <f>'Fremtind Livsforsikring'!B22+'DNB Livsforsikring'!B22+'Eika Forsikring AS'!B22+'Frende Livsforsikring'!B22+'Frende Skadeforsikring'!B22+'Gjensidige Forsikring'!B22+'Gjensidige Pensjon'!B22+'If Skadeforsikring NUF'!B22+KLP!B22+'KLP Skadeforsikring AS'!B22+'Landkreditt Forsikring'!B22+'Nordea Liv '!B22+'Oslo Pensjonsforsikring'!B22+'Protector Forsikring'!B22+'Sparebank 1 Fors.'!B22+'Storebrand Livsforsikring'!B22+'Telenor Forsikring'!B22+'Tryg Forsikring'!B22+'WaterCircles F'!B22+'Euro Accident'!B22+'Ly Forsikring'!B22+'Youplus Livsforsikring'!B22+'Oslo Forsikring'!B22</f>
        <v>1398456.327878813</v>
      </c>
      <c r="C22" s="184">
        <f>'Fremtind Livsforsikring'!C22+'DNB Livsforsikring'!C22+'Eika Forsikring AS'!C22+'Frende Livsforsikring'!C22+'Frende Skadeforsikring'!C22+'Gjensidige Forsikring'!C22+'Gjensidige Pensjon'!C22+'If Skadeforsikring NUF'!C22+KLP!C22+'KLP Skadeforsikring AS'!C22+'Landkreditt Forsikring'!C22+'Nordea Liv '!C22+'Oslo Pensjonsforsikring'!C22+'Protector Forsikring'!C22+'Sparebank 1 Fors.'!C22+'Storebrand Livsforsikring'!C22+'Telenor Forsikring'!C22+'Tryg Forsikring'!C22+'WaterCircles F'!C22+'Euro Accident'!C22+'Ly Forsikring'!C22+'Youplus Livsforsikring'!C22+'Oslo Forsikring'!C22</f>
        <v>1561224.3198987776</v>
      </c>
      <c r="D22" s="8">
        <f t="shared" ref="D22:D39" si="5">IF(B22=0, "    ---- ", IF(ABS(ROUND(100/B22*C22-100,1))&lt;999,ROUND(100/B22*C22-100,1),IF(ROUND(100/B22*C22-100,1)&gt;999,999,-999)))</f>
        <v>11.6</v>
      </c>
      <c r="E22" s="184">
        <f>'Fremtind Livsforsikring'!F22+'DNB Livsforsikring'!F22+'Eika Forsikring AS'!F22+'Frende Livsforsikring'!F22+'Frende Skadeforsikring'!F22+'Gjensidige Forsikring'!F22+'Gjensidige Pensjon'!F22+'If Skadeforsikring NUF'!F22+KLP!F22+'KLP Skadeforsikring AS'!F22+'Landkreditt Forsikring'!F22+'Nordea Liv '!F22+'Oslo Pensjonsforsikring'!F22+'Protector Forsikring'!F22+'Sparebank 1 Fors.'!F22+'Storebrand Livsforsikring'!F22+'Telenor Forsikring'!F22+'Tryg Forsikring'!F22+'WaterCircles F'!F22+'Euro Accident'!F22+'Ly Forsikring'!F22+'Youplus Livsforsikring'!F22+'Oslo Forsikring'!F22</f>
        <v>477697.59114000003</v>
      </c>
      <c r="F22" s="184">
        <f>'Fremtind Livsforsikring'!G22+'DNB Livsforsikring'!G22+'Eika Forsikring AS'!G22+'Frende Livsforsikring'!G22+'Frende Skadeforsikring'!G22+'Gjensidige Forsikring'!G22+'Gjensidige Pensjon'!G22+'If Skadeforsikring NUF'!G22+KLP!G22+'KLP Skadeforsikring AS'!G22+'Landkreditt Forsikring'!G22+'Nordea Liv '!G22+'Oslo Pensjonsforsikring'!G22+'Protector Forsikring'!G22+'Sparebank 1 Fors.'!G22+'Storebrand Livsforsikring'!G22+'Telenor Forsikring'!G22+'Tryg Forsikring'!G22+'WaterCircles F'!G22+'Euro Accident'!G22+'Ly Forsikring'!G22+'Youplus Livsforsikring'!G22+'Oslo Forsikring'!G22</f>
        <v>543828.42116000003</v>
      </c>
      <c r="G22" s="286">
        <f t="shared" ref="G22:G35" si="6">IF(E22=0, "    ---- ", IF(ABS(ROUND(100/E22*F22-100,1))&lt;999,ROUND(100/E22*F22-100,1),IF(ROUND(100/E22*F22-100,1)&gt;999,999,-999)))</f>
        <v>13.8</v>
      </c>
      <c r="H22" s="251">
        <f>SUM(B22,E22)</f>
        <v>1876153.9190188129</v>
      </c>
      <c r="I22" s="184">
        <f t="shared" ref="I22:I39" si="7">SUM(C22,F22)</f>
        <v>2105052.7410587776</v>
      </c>
      <c r="J22" s="21">
        <f t="shared" ref="J22:J39" si="8">IF(H22=0, "    ---- ", IF(ABS(ROUND(100/H22*I22-100,1))&lt;999,ROUND(100/H22*I22-100,1),IF(ROUND(100/H22*I22-100,1)&gt;999,999,-999)))</f>
        <v>12.2</v>
      </c>
    </row>
    <row r="23" spans="1:10" ht="15.75" customHeight="1" x14ac:dyDescent="0.2">
      <c r="A23" s="386" t="s">
        <v>326</v>
      </c>
      <c r="B23" s="36">
        <f>'Fremtind Livsforsikring'!B23+'DNB Livsforsikring'!B23+'Eika Forsikring AS'!B23+'Frende Livsforsikring'!B23+'Frende Skadeforsikring'!B23+'Gjensidige Forsikring'!B23+'Gjensidige Pensjon'!B23+'If Skadeforsikring NUF'!B23+KLP!B23+'KLP Skadeforsikring AS'!B23+'Landkreditt Forsikring'!B23+'Nordea Liv '!B23+'Oslo Pensjonsforsikring'!B23+'Protector Forsikring'!B23+'Sparebank 1 Fors.'!B23+'Storebrand Livsforsikring'!B23+'Telenor Forsikring'!B23+'Tryg Forsikring'!B23+'WaterCircles F'!B23+'Euro Accident'!B23+'Ly Forsikring'!B23+'Youplus Livsforsikring'!B23+'Oslo Forsikring'!B23</f>
        <v>897738.90692307078</v>
      </c>
      <c r="C23" s="36">
        <f>'Fremtind Livsforsikring'!C23+'DNB Livsforsikring'!C23+'Eika Forsikring AS'!C23+'Frende Livsforsikring'!C23+'Frende Skadeforsikring'!C23+'Gjensidige Forsikring'!C23+'Gjensidige Pensjon'!C23+'If Skadeforsikring NUF'!C23+KLP!C23+'KLP Skadeforsikring AS'!C23+'Landkreditt Forsikring'!C23+'Nordea Liv '!C23+'Oslo Pensjonsforsikring'!C23+'Protector Forsikring'!C23+'Sparebank 1 Fors.'!C23+'Storebrand Livsforsikring'!C23+'Telenor Forsikring'!C23+'Tryg Forsikring'!C23+'WaterCircles F'!C23+'Euro Accident'!C23+'Ly Forsikring'!C23+'Youplus Livsforsikring'!C23+'Oslo Forsikring'!C23</f>
        <v>1033138.2651434278</v>
      </c>
      <c r="D23" s="23">
        <f>IF($A$1=4,IF(B23=0, "    ---- ", IF(ABS(ROUND(100/B23*C23-100,1))&lt;999,ROUND(100/B23*C23-100,1),IF(ROUND(100/B23*C23-100,1)&gt;999,999,-999))),"")</f>
        <v>15.1</v>
      </c>
      <c r="E23" s="36">
        <f>'Fremtind Livsforsikring'!F23+'DNB Livsforsikring'!F23+'Eika Forsikring AS'!F23+'Frende Livsforsikring'!F23+'Frende Skadeforsikring'!F23+'Gjensidige Forsikring'!F23+'Gjensidige Pensjon'!F23+'If Skadeforsikring NUF'!F23+KLP!F23+'KLP Skadeforsikring AS'!F23+'Landkreditt Forsikring'!F23+'Nordea Liv '!F23+'Oslo Pensjonsforsikring'!F23+'Protector Forsikring'!F23+'Sparebank 1 Fors.'!F23+'Storebrand Livsforsikring'!F23+'Telenor Forsikring'!F23+'Tryg Forsikring'!F23+'WaterCircles F'!F23+'Euro Accident'!F23+'Ly Forsikring'!F23+'Youplus Livsforsikring'!F23+'Oslo Forsikring'!F23</f>
        <v>24022.42815</v>
      </c>
      <c r="F23" s="36">
        <f>'Fremtind Livsforsikring'!G23+'DNB Livsforsikring'!G23+'Eika Forsikring AS'!G23+'Frende Livsforsikring'!G23+'Frende Skadeforsikring'!G23+'Gjensidige Forsikring'!G23+'Gjensidige Pensjon'!G23+'If Skadeforsikring NUF'!G23+KLP!G23+'KLP Skadeforsikring AS'!G23+'Landkreditt Forsikring'!G23+'Nordea Liv '!G23+'Oslo Pensjonsforsikring'!G23+'Protector Forsikring'!G23+'Sparebank 1 Fors.'!G23+'Storebrand Livsforsikring'!G23+'Telenor Forsikring'!G23+'Tryg Forsikring'!G23+'WaterCircles F'!G23+'Euro Accident'!G23+'Ly Forsikring'!G23+'Youplus Livsforsikring'!G23+'Oslo Forsikring'!G23</f>
        <v>26103.947659999998</v>
      </c>
      <c r="G23" s="123">
        <f>IF($A$1=4,IF(E23=0, "    ---- ", IF(ABS(ROUND(100/E23*F23-100,1))&lt;999,ROUND(100/E23*F23-100,1),IF(ROUND(100/E23*F23-100,1)&gt;999,999,-999))),"")</f>
        <v>8.6999999999999993</v>
      </c>
      <c r="H23" s="182">
        <f t="shared" ref="H23:H39" si="9">SUM(B23,E23)</f>
        <v>921761.33507307083</v>
      </c>
      <c r="I23" s="36">
        <f t="shared" si="7"/>
        <v>1059242.2128034278</v>
      </c>
      <c r="J23" s="20">
        <f t="shared" si="8"/>
        <v>14.9</v>
      </c>
    </row>
    <row r="24" spans="1:10" ht="15.75" customHeight="1" x14ac:dyDescent="0.2">
      <c r="A24" s="386" t="s">
        <v>327</v>
      </c>
      <c r="B24" s="36">
        <f>'Fremtind Livsforsikring'!B24+'DNB Livsforsikring'!B24+'Eika Forsikring AS'!B24+'Frende Livsforsikring'!B24+'Frende Skadeforsikring'!B24+'Gjensidige Forsikring'!B24+'Gjensidige Pensjon'!B24+'If Skadeforsikring NUF'!B24+KLP!B24+'KLP Skadeforsikring AS'!B24+'Landkreditt Forsikring'!B24+'Nordea Liv '!B24+'Oslo Pensjonsforsikring'!B24+'Protector Forsikring'!B24+'Sparebank 1 Fors.'!B24+'Storebrand Livsforsikring'!B24+'Telenor Forsikring'!B24+'Tryg Forsikring'!B24+'WaterCircles F'!B24+'Euro Accident'!B24+'Ly Forsikring'!B24+'Youplus Livsforsikring'!B24+'Oslo Forsikring'!B24</f>
        <v>6977.8018640864102</v>
      </c>
      <c r="C24" s="36">
        <f>'Fremtind Livsforsikring'!C24+'DNB Livsforsikring'!C24+'Eika Forsikring AS'!C24+'Frende Livsforsikring'!C24+'Frende Skadeforsikring'!C24+'Gjensidige Forsikring'!C24+'Gjensidige Pensjon'!C24+'If Skadeforsikring NUF'!C24+KLP!C24+'KLP Skadeforsikring AS'!C24+'Landkreditt Forsikring'!C24+'Nordea Liv '!C24+'Oslo Pensjonsforsikring'!C24+'Protector Forsikring'!C24+'Sparebank 1 Fors.'!C24+'Storebrand Livsforsikring'!C24+'Telenor Forsikring'!C24+'Tryg Forsikring'!C24+'WaterCircles F'!C24+'Euro Accident'!C24+'Ly Forsikring'!C24+'Youplus Livsforsikring'!C24+'Oslo Forsikring'!C24</f>
        <v>9221.7780169339294</v>
      </c>
      <c r="D24" s="23">
        <f t="shared" ref="D24:D25" si="10">IF($A$1=4,IF(B24=0, "    ---- ", IF(ABS(ROUND(100/B24*C24-100,1))&lt;999,ROUND(100/B24*C24-100,1),IF(ROUND(100/B24*C24-100,1)&gt;999,999,-999))),"")</f>
        <v>32.200000000000003</v>
      </c>
      <c r="E24" s="36">
        <f>'Fremtind Livsforsikring'!F24+'DNB Livsforsikring'!F24+'Eika Forsikring AS'!F24+'Frende Livsforsikring'!F24+'Frende Skadeforsikring'!F24+'Gjensidige Forsikring'!F24+'Gjensidige Pensjon'!F24+'If Skadeforsikring NUF'!F24+KLP!F24+'KLP Skadeforsikring AS'!F24+'Landkreditt Forsikring'!F24+'Nordea Liv '!F24+'Oslo Pensjonsforsikring'!F24+'Protector Forsikring'!F24+'Sparebank 1 Fors.'!F24+'Storebrand Livsforsikring'!F24+'Telenor Forsikring'!F24+'Tryg Forsikring'!F24+'WaterCircles F'!F24+'Euro Accident'!F24+'Ly Forsikring'!F24+'Youplus Livsforsikring'!F24+'Oslo Forsikring'!F24</f>
        <v>848.78484000000003</v>
      </c>
      <c r="F24" s="36">
        <f>'Fremtind Livsforsikring'!G24+'DNB Livsforsikring'!G24+'Eika Forsikring AS'!G24+'Frende Livsforsikring'!G24+'Frende Skadeforsikring'!G24+'Gjensidige Forsikring'!G24+'Gjensidige Pensjon'!G24+'If Skadeforsikring NUF'!G24+KLP!G24+'KLP Skadeforsikring AS'!G24+'Landkreditt Forsikring'!G24+'Nordea Liv '!G24+'Oslo Pensjonsforsikring'!G24+'Protector Forsikring'!G24+'Sparebank 1 Fors.'!G24+'Storebrand Livsforsikring'!G24+'Telenor Forsikring'!G24+'Tryg Forsikring'!G24+'WaterCircles F'!G24+'Euro Accident'!G24+'Ly Forsikring'!G24+'Youplus Livsforsikring'!G24+'Oslo Forsikring'!G24</f>
        <v>-94.754999999999995</v>
      </c>
      <c r="G24" s="123">
        <f t="shared" ref="G24:G25" si="11">IF($A$1=4,IF(E24=0, "    ---- ", IF(ABS(ROUND(100/E24*F24-100,1))&lt;999,ROUND(100/E24*F24-100,1),IF(ROUND(100/E24*F24-100,1)&gt;999,999,-999))),"")</f>
        <v>-111.2</v>
      </c>
      <c r="H24" s="182">
        <f t="shared" si="9"/>
        <v>7826.5867040864105</v>
      </c>
      <c r="I24" s="36">
        <f t="shared" si="7"/>
        <v>9127.0230169339302</v>
      </c>
      <c r="J24" s="23">
        <f t="shared" si="8"/>
        <v>16.600000000000001</v>
      </c>
    </row>
    <row r="25" spans="1:10" ht="15.75" customHeight="1" x14ac:dyDescent="0.2">
      <c r="A25" s="386" t="s">
        <v>328</v>
      </c>
      <c r="B25" s="36">
        <f>'Fremtind Livsforsikring'!B25+'DNB Livsforsikring'!B25+'Eika Forsikring AS'!B25+'Frende Livsforsikring'!B25+'Frende Skadeforsikring'!B25+'Gjensidige Forsikring'!B25+'Gjensidige Pensjon'!B25+'If Skadeforsikring NUF'!B25+KLP!B25+'KLP Skadeforsikring AS'!B25+'Landkreditt Forsikring'!B25+'Nordea Liv '!B25+'Oslo Pensjonsforsikring'!B25+'Protector Forsikring'!B25+'Sparebank 1 Fors.'!B25+'Storebrand Livsforsikring'!B25+'Telenor Forsikring'!B25+'Tryg Forsikring'!B25+'WaterCircles F'!B25+'Euro Accident'!B25+'Ly Forsikring'!B25+'Youplus Livsforsikring'!B25+'Oslo Forsikring'!B25</f>
        <v>10289.802151656</v>
      </c>
      <c r="C25" s="36">
        <f>'Fremtind Livsforsikring'!C25+'DNB Livsforsikring'!C25+'Eika Forsikring AS'!C25+'Frende Livsforsikring'!C25+'Frende Skadeforsikring'!C25+'Gjensidige Forsikring'!C25+'Gjensidige Pensjon'!C25+'If Skadeforsikring NUF'!C25+KLP!C25+'KLP Skadeforsikring AS'!C25+'Landkreditt Forsikring'!C25+'Nordea Liv '!C25+'Oslo Pensjonsforsikring'!C25+'Protector Forsikring'!C25+'Sparebank 1 Fors.'!C25+'Storebrand Livsforsikring'!C25+'Telenor Forsikring'!C25+'Tryg Forsikring'!C25+'WaterCircles F'!C25+'Euro Accident'!C25+'Ly Forsikring'!C25+'Youplus Livsforsikring'!C25+'Oslo Forsikring'!C25</f>
        <v>10794.6383284165</v>
      </c>
      <c r="D25" s="23">
        <f t="shared" si="10"/>
        <v>4.9000000000000004</v>
      </c>
      <c r="E25" s="36">
        <f>'Fremtind Livsforsikring'!F25+'DNB Livsforsikring'!F25+'Eika Forsikring AS'!F25+'Frende Livsforsikring'!F25+'Frende Skadeforsikring'!F25+'Gjensidige Forsikring'!F25+'Gjensidige Pensjon'!F25+'If Skadeforsikring NUF'!F25+KLP!F25+'KLP Skadeforsikring AS'!F25+'Landkreditt Forsikring'!F25+'Nordea Liv '!F25+'Oslo Pensjonsforsikring'!F25+'Protector Forsikring'!F25+'Sparebank 1 Fors.'!F25+'Storebrand Livsforsikring'!F25+'Telenor Forsikring'!F25+'Tryg Forsikring'!F25+'WaterCircles F'!F25+'Euro Accident'!F25+'Ly Forsikring'!F25+'Youplus Livsforsikring'!F25+'Oslo Forsikring'!F25</f>
        <v>7067.3754900000004</v>
      </c>
      <c r="F25" s="36">
        <f>'Fremtind Livsforsikring'!G25+'DNB Livsforsikring'!G25+'Eika Forsikring AS'!G25+'Frende Livsforsikring'!G25+'Frende Skadeforsikring'!G25+'Gjensidige Forsikring'!G25+'Gjensidige Pensjon'!G25+'If Skadeforsikring NUF'!G25+KLP!G25+'KLP Skadeforsikring AS'!G25+'Landkreditt Forsikring'!G25+'Nordea Liv '!G25+'Oslo Pensjonsforsikring'!G25+'Protector Forsikring'!G25+'Sparebank 1 Fors.'!G25+'Storebrand Livsforsikring'!G25+'Telenor Forsikring'!G25+'Tryg Forsikring'!G25+'WaterCircles F'!G25+'Euro Accident'!G25+'Ly Forsikring'!G25+'Youplus Livsforsikring'!G25+'Oslo Forsikring'!G25</f>
        <v>7208.1679999999997</v>
      </c>
      <c r="G25" s="123">
        <f t="shared" si="11"/>
        <v>2</v>
      </c>
      <c r="H25" s="182">
        <f t="shared" si="9"/>
        <v>17357.177641656002</v>
      </c>
      <c r="I25" s="36">
        <f t="shared" si="7"/>
        <v>18002.8063284165</v>
      </c>
      <c r="J25" s="23">
        <f t="shared" si="8"/>
        <v>3.7</v>
      </c>
    </row>
    <row r="26" spans="1:10" ht="15.75" customHeight="1" x14ac:dyDescent="0.2">
      <c r="A26" s="386" t="s">
        <v>329</v>
      </c>
      <c r="B26" s="36">
        <f>'Fremtind Livsforsikring'!B26+'DNB Livsforsikring'!B26+'Eika Forsikring AS'!B26+'Frende Livsforsikring'!B26+'Frende Skadeforsikring'!B26+'Gjensidige Forsikring'!B26+'Gjensidige Pensjon'!B26+'If Skadeforsikring NUF'!B26+KLP!B26+'KLP Skadeforsikring AS'!B26+'Landkreditt Forsikring'!B26+'Nordea Liv '!B26+'Oslo Pensjonsforsikring'!B26+'Protector Forsikring'!B26+'Sparebank 1 Fors.'!B26+'Storebrand Livsforsikring'!B26+'Telenor Forsikring'!B26+'Tryg Forsikring'!B26+'WaterCircles F'!B26+'Euro Accident'!B26+'Ly Forsikring'!B26+'Youplus Livsforsikring'!B26+'Oslo Forsikring'!B26</f>
        <v>0</v>
      </c>
      <c r="C26" s="36">
        <f>'Fremtind Livsforsikring'!C26+'DNB Livsforsikring'!C26+'Eika Forsikring AS'!C26+'Frende Livsforsikring'!C26+'Frende Skadeforsikring'!C26+'Gjensidige Forsikring'!C26+'Gjensidige Pensjon'!C26+'If Skadeforsikring NUF'!C26+KLP!C26+'KLP Skadeforsikring AS'!C26+'Landkreditt Forsikring'!C26+'Nordea Liv '!C26+'Oslo Pensjonsforsikring'!C26+'Protector Forsikring'!C26+'Sparebank 1 Fors.'!C26+'Storebrand Livsforsikring'!C26+'Telenor Forsikring'!C26+'Tryg Forsikring'!C26+'WaterCircles F'!C26+'Euro Accident'!C26+'Ly Forsikring'!C26+'Youplus Livsforsikring'!C26+'Oslo Forsikring'!C26</f>
        <v>0</v>
      </c>
      <c r="D26" s="23"/>
      <c r="E26" s="36">
        <f>'Fremtind Livsforsikring'!F26+'DNB Livsforsikring'!F26+'Eika Forsikring AS'!F26+'Frende Livsforsikring'!F26+'Frende Skadeforsikring'!F26+'Gjensidige Forsikring'!F26+'Gjensidige Pensjon'!F26+'If Skadeforsikring NUF'!F26+KLP!F26+'KLP Skadeforsikring AS'!F26+'Landkreditt Forsikring'!F26+'Nordea Liv '!F26+'Oslo Pensjonsforsikring'!F26+'Protector Forsikring'!F26+'Sparebank 1 Fors.'!F26+'Storebrand Livsforsikring'!F26+'Telenor Forsikring'!F26+'Tryg Forsikring'!F26+'WaterCircles F'!F26+'Euro Accident'!F26+'Ly Forsikring'!F26+'Youplus Livsforsikring'!F26+'Oslo Forsikring'!F26</f>
        <v>445759.00266</v>
      </c>
      <c r="F26" s="36">
        <f>'Fremtind Livsforsikring'!G26+'DNB Livsforsikring'!G26+'Eika Forsikring AS'!G26+'Frende Livsforsikring'!G26+'Frende Skadeforsikring'!G26+'Gjensidige Forsikring'!G26+'Gjensidige Pensjon'!G26+'If Skadeforsikring NUF'!G26+KLP!G26+'KLP Skadeforsikring AS'!G26+'Landkreditt Forsikring'!G26+'Nordea Liv '!G26+'Oslo Pensjonsforsikring'!G26+'Protector Forsikring'!G26+'Sparebank 1 Fors.'!G26+'Storebrand Livsforsikring'!G26+'Telenor Forsikring'!G26+'Tryg Forsikring'!G26+'WaterCircles F'!G26+'Euro Accident'!G26+'Ly Forsikring'!G26+'Youplus Livsforsikring'!G26+'Oslo Forsikring'!G26</f>
        <v>510611.06049999996</v>
      </c>
      <c r="G26" s="123">
        <f t="shared" ref="G26" si="12">IF($A$1=4,IF(E26=0, "    ---- ", IF(ABS(ROUND(100/E26*F26-100,1))&lt;999,ROUND(100/E26*F26-100,1),IF(ROUND(100/E26*F26-100,1)&gt;999,999,-999))),"")</f>
        <v>14.5</v>
      </c>
      <c r="H26" s="182">
        <f t="shared" ref="H26" si="13">SUM(B26,E26)</f>
        <v>445759.00266</v>
      </c>
      <c r="I26" s="36">
        <f t="shared" ref="I26" si="14">SUM(C26,F26)</f>
        <v>510611.06049999996</v>
      </c>
      <c r="J26" s="23">
        <f t="shared" ref="J26" si="15">IF(H26=0, "    ---- ", IF(ABS(ROUND(100/H26*I26-100,1))&lt;999,ROUND(100/H26*I26-100,1),IF(ROUND(100/H26*I26-100,1)&gt;999,999,-999)))</f>
        <v>14.5</v>
      </c>
    </row>
    <row r="27" spans="1:10" ht="15.75" customHeight="1" x14ac:dyDescent="0.2">
      <c r="A27" s="385" t="s">
        <v>11</v>
      </c>
      <c r="B27" s="36">
        <f>'Fremtind Livsforsikring'!B27+'DNB Livsforsikring'!B27+'Eika Forsikring AS'!B27+'Frende Livsforsikring'!B27+'Frende Skadeforsikring'!B27+'Gjensidige Forsikring'!B27+'Gjensidige Pensjon'!B27+'If Skadeforsikring NUF'!B27+KLP!B27+'KLP Skadeforsikring AS'!B27+'Landkreditt Forsikring'!B27+'Nordea Liv '!B27+'Oslo Pensjonsforsikring'!B27+'Protector Forsikring'!B27+'Sparebank 1 Fors.'!B27+'Storebrand Livsforsikring'!B27+'Telenor Forsikring'!B27+'Tryg Forsikring'!B27+'WaterCircles F'!B27+'Euro Accident'!B27+'Ly Forsikring'!B27+'Youplus Livsforsikring'!B27+'Oslo Forsikring'!B27</f>
        <v>0</v>
      </c>
      <c r="C27" s="36">
        <f>'Fremtind Livsforsikring'!C27+'DNB Livsforsikring'!C27+'Eika Forsikring AS'!C27+'Frende Livsforsikring'!C27+'Frende Skadeforsikring'!C27+'Gjensidige Forsikring'!C27+'Gjensidige Pensjon'!C27+'If Skadeforsikring NUF'!C27+KLP!C27+'KLP Skadeforsikring AS'!C27+'Landkreditt Forsikring'!C27+'Nordea Liv '!C27+'Oslo Pensjonsforsikring'!C27+'Protector Forsikring'!C27+'Sparebank 1 Fors.'!C27+'Storebrand Livsforsikring'!C27+'Telenor Forsikring'!C27+'Tryg Forsikring'!C27+'WaterCircles F'!C27+'Euro Accident'!C27+'Ly Forsikring'!C27+'Youplus Livsforsikring'!C27+'Oslo Forsikring'!C27</f>
        <v>0</v>
      </c>
      <c r="D27" s="23"/>
      <c r="E27" s="36">
        <f>'Fremtind Livsforsikring'!F27+'DNB Livsforsikring'!F27+'Eika Forsikring AS'!F27+'Frende Livsforsikring'!F27+'Frende Skadeforsikring'!F27+'Gjensidige Forsikring'!F27+'Gjensidige Pensjon'!F27+'If Skadeforsikring NUF'!F27+KLP!F27+'KLP Skadeforsikring AS'!F27+'Landkreditt Forsikring'!F27+'Nordea Liv '!F27+'Oslo Pensjonsforsikring'!F27+'Protector Forsikring'!F27+'Sparebank 1 Fors.'!F27+'Storebrand Livsforsikring'!F27+'Telenor Forsikring'!F27+'Tryg Forsikring'!F27+'WaterCircles F'!F27+'Euro Accident'!F27+'Ly Forsikring'!F27+'Youplus Livsforsikring'!F27+'Oslo Forsikring'!F27</f>
        <v>0</v>
      </c>
      <c r="F27" s="36">
        <f>'Fremtind Livsforsikring'!G27+'DNB Livsforsikring'!G27+'Eika Forsikring AS'!G27+'Frende Livsforsikring'!G27+'Frende Skadeforsikring'!G27+'Gjensidige Forsikring'!G27+'Gjensidige Pensjon'!G27+'If Skadeforsikring NUF'!G27+KLP!G27+'KLP Skadeforsikring AS'!G27+'Landkreditt Forsikring'!G27+'Nordea Liv '!G27+'Oslo Pensjonsforsikring'!G27+'Protector Forsikring'!G27+'Sparebank 1 Fors.'!G27+'Storebrand Livsforsikring'!G27+'Telenor Forsikring'!G27+'Tryg Forsikring'!G27+'WaterCircles F'!G27+'Euro Accident'!G27+'Ly Forsikring'!G27+'Youplus Livsforsikring'!G27+'Oslo Forsikring'!G27</f>
        <v>0</v>
      </c>
      <c r="G27" s="123"/>
      <c r="H27" s="182">
        <f t="shared" si="9"/>
        <v>0</v>
      </c>
      <c r="I27" s="36">
        <f t="shared" si="7"/>
        <v>0</v>
      </c>
      <c r="J27" s="23"/>
    </row>
    <row r="28" spans="1:10" ht="15.75" customHeight="1" x14ac:dyDescent="0.2">
      <c r="A28" s="39" t="s">
        <v>248</v>
      </c>
      <c r="B28" s="36">
        <f>'Fremtind Livsforsikring'!B28+'DNB Livsforsikring'!B28+'Eika Forsikring AS'!B28+'Frende Livsforsikring'!B28+'Frende Skadeforsikring'!B28+'Gjensidige Forsikring'!B28+'Gjensidige Pensjon'!B28+'If Skadeforsikring NUF'!B28+KLP!B28+'KLP Skadeforsikring AS'!B28+'Landkreditt Forsikring'!B28+'Nordea Liv '!B28+'Oslo Pensjonsforsikring'!B28+'Protector Forsikring'!B28+'Sparebank 1 Fors.'!B28+'Storebrand Livsforsikring'!B28+'Telenor Forsikring'!B28+'Tryg Forsikring'!B28+'WaterCircles F'!B28+'Euro Accident'!B28+'Ly Forsikring'!B28+'Youplus Livsforsikring'!B28+'Oslo Forsikring'!B28</f>
        <v>1688849.4142326231</v>
      </c>
      <c r="C28" s="36">
        <f>'Fremtind Livsforsikring'!C28+'DNB Livsforsikring'!C28+'Eika Forsikring AS'!C28+'Frende Livsforsikring'!C28+'Frende Skadeforsikring'!C28+'Gjensidige Forsikring'!C28+'Gjensidige Pensjon'!C28+'If Skadeforsikring NUF'!C28+KLP!C28+'KLP Skadeforsikring AS'!C28+'Landkreditt Forsikring'!C28+'Nordea Liv '!C28+'Oslo Pensjonsforsikring'!C28+'Protector Forsikring'!C28+'Sparebank 1 Fors.'!C28+'Storebrand Livsforsikring'!C28+'Telenor Forsikring'!C28+'Tryg Forsikring'!C28+'WaterCircles F'!C28+'Euro Accident'!C28+'Ly Forsikring'!C28+'Youplus Livsforsikring'!C28+'Oslo Forsikring'!C28</f>
        <v>1883268.5894290279</v>
      </c>
      <c r="D28" s="20">
        <f t="shared" si="5"/>
        <v>11.5</v>
      </c>
      <c r="E28" s="141"/>
      <c r="F28" s="141"/>
      <c r="G28" s="123"/>
      <c r="H28" s="182">
        <f t="shared" si="9"/>
        <v>1688849.4142326231</v>
      </c>
      <c r="I28" s="36">
        <f t="shared" si="7"/>
        <v>1883268.5894290279</v>
      </c>
      <c r="J28" s="20">
        <f t="shared" si="8"/>
        <v>11.5</v>
      </c>
    </row>
    <row r="29" spans="1:10" s="35" customFormat="1" ht="15.75" customHeight="1" x14ac:dyDescent="0.2">
      <c r="A29" s="10" t="s">
        <v>330</v>
      </c>
      <c r="B29" s="184">
        <f>'Fremtind Livsforsikring'!B29+'DNB Livsforsikring'!B29+'Eika Forsikring AS'!B29+'Frende Livsforsikring'!B29+'Frende Skadeforsikring'!B29+'Gjensidige Forsikring'!B29+'Gjensidige Pensjon'!B29+'If Skadeforsikring NUF'!B29+KLP!B29+'KLP Skadeforsikring AS'!B29+'Landkreditt Forsikring'!B29+'Nordea Liv '!B29+'Oslo Pensjonsforsikring'!B29+'Protector Forsikring'!B29+'Sparebank 1 Fors.'!B29+'Storebrand Livsforsikring'!B29+'Telenor Forsikring'!B29+'Tryg Forsikring'!B29+'WaterCircles F'!B29+'Euro Accident'!B29+'Ly Forsikring'!B29+'Youplus Livsforsikring'!B29+'Oslo Forsikring'!B29</f>
        <v>43785593.137016952</v>
      </c>
      <c r="C29" s="184">
        <f>'Fremtind Livsforsikring'!C29+'DNB Livsforsikring'!C29+'Eika Forsikring AS'!C29+'Frende Livsforsikring'!C29+'Frende Skadeforsikring'!C29+'Gjensidige Forsikring'!C29+'Gjensidige Pensjon'!C29+'If Skadeforsikring NUF'!C29+KLP!C29+'KLP Skadeforsikring AS'!C29+'Landkreditt Forsikring'!C29+'Nordea Liv '!C29+'Oslo Pensjonsforsikring'!C29+'Protector Forsikring'!C29+'Sparebank 1 Fors.'!C29+'Storebrand Livsforsikring'!C29+'Telenor Forsikring'!C29+'Tryg Forsikring'!C29+'WaterCircles F'!C29+'Euro Accident'!C29+'Ly Forsikring'!C29+'Youplus Livsforsikring'!C29+'Oslo Forsikring'!C29</f>
        <v>44099076.266325556</v>
      </c>
      <c r="D29" s="21">
        <f t="shared" si="5"/>
        <v>0.7</v>
      </c>
      <c r="E29" s="251">
        <f>'Fremtind Livsforsikring'!F29+'DNB Livsforsikring'!F29+'Eika Forsikring AS'!F29+'Frende Livsforsikring'!F29+'Frende Skadeforsikring'!F29+'Gjensidige Forsikring'!F29+'Gjensidige Pensjon'!F29+'If Skadeforsikring NUF'!F29+KLP!F29+'KLP Skadeforsikring AS'!F29+'Landkreditt Forsikring'!F29+'Nordea Liv '!F29+'Oslo Pensjonsforsikring'!F29+'Protector Forsikring'!F29+'Sparebank 1 Fors.'!F29+'Storebrand Livsforsikring'!F29+'Telenor Forsikring'!F29+'Tryg Forsikring'!F29+'WaterCircles F'!F29+'Euro Accident'!F29+'Ly Forsikring'!F29+'Youplus Livsforsikring'!F29+'Oslo Forsikring'!F29</f>
        <v>28475620.883710001</v>
      </c>
      <c r="F29" s="251">
        <f>'Fremtind Livsforsikring'!G29+'DNB Livsforsikring'!G29+'Eika Forsikring AS'!G29+'Frende Livsforsikring'!G29+'Frende Skadeforsikring'!G29+'Gjensidige Forsikring'!G29+'Gjensidige Pensjon'!G29+'If Skadeforsikring NUF'!G29+KLP!G29+'KLP Skadeforsikring AS'!G29+'Landkreditt Forsikring'!G29+'Nordea Liv '!G29+'Oslo Pensjonsforsikring'!G29+'Protector Forsikring'!G29+'Sparebank 1 Fors.'!G29+'Storebrand Livsforsikring'!G29+'Telenor Forsikring'!G29+'Tryg Forsikring'!G29+'WaterCircles F'!G29+'Euro Accident'!G29+'Ly Forsikring'!G29+'Youplus Livsforsikring'!G29+'Oslo Forsikring'!G29</f>
        <v>30044832.991145004</v>
      </c>
      <c r="G29" s="127">
        <f t="shared" si="6"/>
        <v>5.5</v>
      </c>
      <c r="H29" s="251">
        <f t="shared" si="9"/>
        <v>72261214.020726949</v>
      </c>
      <c r="I29" s="184">
        <f t="shared" si="7"/>
        <v>74143909.257470563</v>
      </c>
      <c r="J29" s="21">
        <f t="shared" si="8"/>
        <v>2.6</v>
      </c>
    </row>
    <row r="30" spans="1:10" ht="15.75" customHeight="1" x14ac:dyDescent="0.2">
      <c r="A30" s="386" t="s">
        <v>326</v>
      </c>
      <c r="B30" s="36">
        <f>'Fremtind Livsforsikring'!B30+'DNB Livsforsikring'!B30+'Eika Forsikring AS'!B30+'Frende Livsforsikring'!B30+'Frende Skadeforsikring'!B30+'Gjensidige Forsikring'!B30+'Gjensidige Pensjon'!B30+'If Skadeforsikring NUF'!B30+KLP!B30+'KLP Skadeforsikring AS'!B30+'Landkreditt Forsikring'!B30+'Nordea Liv '!B30+'Oslo Pensjonsforsikring'!B30+'Protector Forsikring'!B30+'Sparebank 1 Fors.'!B30+'Storebrand Livsforsikring'!B30+'Telenor Forsikring'!B30+'Tryg Forsikring'!B30+'WaterCircles F'!B30+'Euro Accident'!B30+'Ly Forsikring'!B30+'Youplus Livsforsikring'!B30+'Oslo Forsikring'!B30</f>
        <v>18012271.618536789</v>
      </c>
      <c r="C30" s="36">
        <f>'Fremtind Livsforsikring'!C30+'DNB Livsforsikring'!C30+'Eika Forsikring AS'!C30+'Frende Livsforsikring'!C30+'Frende Skadeforsikring'!C30+'Gjensidige Forsikring'!C30+'Gjensidige Pensjon'!C30+'If Skadeforsikring NUF'!C30+KLP!C30+'KLP Skadeforsikring AS'!C30+'Landkreditt Forsikring'!C30+'Nordea Liv '!C30+'Oslo Pensjonsforsikring'!C30+'Protector Forsikring'!C30+'Sparebank 1 Fors.'!C30+'Storebrand Livsforsikring'!C30+'Telenor Forsikring'!C30+'Tryg Forsikring'!C30+'WaterCircles F'!C30+'Euro Accident'!C30+'Ly Forsikring'!C30+'Youplus Livsforsikring'!C30+'Oslo Forsikring'!C30</f>
        <v>18859717.422499534</v>
      </c>
      <c r="D30" s="23">
        <f t="shared" ref="D30:D32" si="16">IF($A$1=4,IF(B30=0, "    ---- ", IF(ABS(ROUND(100/B30*C30-100,1))&lt;999,ROUND(100/B30*C30-100,1),IF(ROUND(100/B30*C30-100,1)&gt;999,999,-999))),"")</f>
        <v>4.7</v>
      </c>
      <c r="E30" s="36">
        <f>'Fremtind Livsforsikring'!F30+'DNB Livsforsikring'!F30+'Eika Forsikring AS'!F30+'Frende Livsforsikring'!F30+'Frende Skadeforsikring'!F30+'Gjensidige Forsikring'!F30+'Gjensidige Pensjon'!F30+'If Skadeforsikring NUF'!F30+KLP!F30+'KLP Skadeforsikring AS'!F30+'Landkreditt Forsikring'!F30+'Nordea Liv '!F30+'Oslo Pensjonsforsikring'!F30+'Protector Forsikring'!F30+'Sparebank 1 Fors.'!F30+'Storebrand Livsforsikring'!F30+'Telenor Forsikring'!F30+'Tryg Forsikring'!F30+'WaterCircles F'!F30+'Euro Accident'!F30+'Ly Forsikring'!F30+'Youplus Livsforsikring'!F30+'Oslo Forsikring'!F30</f>
        <v>3767361.6317794211</v>
      </c>
      <c r="F30" s="36">
        <f>'Fremtind Livsforsikring'!G30+'DNB Livsforsikring'!G30+'Eika Forsikring AS'!G30+'Frende Livsforsikring'!G30+'Frende Skadeforsikring'!G30+'Gjensidige Forsikring'!G30+'Gjensidige Pensjon'!G30+'If Skadeforsikring NUF'!G30+KLP!G30+'KLP Skadeforsikring AS'!G30+'Landkreditt Forsikring'!G30+'Nordea Liv '!G30+'Oslo Pensjonsforsikring'!G30+'Protector Forsikring'!G30+'Sparebank 1 Fors.'!G30+'Storebrand Livsforsikring'!G30+'Telenor Forsikring'!G30+'Tryg Forsikring'!G30+'WaterCircles F'!G30+'Euro Accident'!G30+'Ly Forsikring'!G30+'Youplus Livsforsikring'!G30+'Oslo Forsikring'!G30</f>
        <v>3642462.20052082</v>
      </c>
      <c r="G30" s="123">
        <f t="shared" ref="G30:G32" si="17">IF($A$1=4,IF(E30=0, "    ---- ", IF(ABS(ROUND(100/E30*F30-100,1))&lt;999,ROUND(100/E30*F30-100,1),IF(ROUND(100/E30*F30-100,1)&gt;999,999,-999))),"")</f>
        <v>-3.3</v>
      </c>
      <c r="H30" s="182">
        <f t="shared" si="9"/>
        <v>21779633.25031621</v>
      </c>
      <c r="I30" s="36">
        <f t="shared" si="7"/>
        <v>22502179.623020355</v>
      </c>
      <c r="J30" s="20">
        <f t="shared" si="8"/>
        <v>3.3</v>
      </c>
    </row>
    <row r="31" spans="1:10" ht="15.75" customHeight="1" x14ac:dyDescent="0.2">
      <c r="A31" s="386" t="s">
        <v>327</v>
      </c>
      <c r="B31" s="36">
        <f>'Fremtind Livsforsikring'!B31+'DNB Livsforsikring'!B31+'Eika Forsikring AS'!B31+'Frende Livsforsikring'!B31+'Frende Skadeforsikring'!B31+'Gjensidige Forsikring'!B31+'Gjensidige Pensjon'!B31+'If Skadeforsikring NUF'!B31+KLP!B31+'KLP Skadeforsikring AS'!B31+'Landkreditt Forsikring'!B31+'Nordea Liv '!B31+'Oslo Pensjonsforsikring'!B31+'Protector Forsikring'!B31+'Sparebank 1 Fors.'!B31+'Storebrand Livsforsikring'!B31+'Telenor Forsikring'!B31+'Tryg Forsikring'!B31+'WaterCircles F'!B31+'Euro Accident'!B31+'Ly Forsikring'!B31+'Youplus Livsforsikring'!B31+'Oslo Forsikring'!B31</f>
        <v>23341919.469412468</v>
      </c>
      <c r="C31" s="36">
        <f>'Fremtind Livsforsikring'!C31+'DNB Livsforsikring'!C31+'Eika Forsikring AS'!C31+'Frende Livsforsikring'!C31+'Frende Skadeforsikring'!C31+'Gjensidige Forsikring'!C31+'Gjensidige Pensjon'!C31+'If Skadeforsikring NUF'!C31+KLP!C31+'KLP Skadeforsikring AS'!C31+'Landkreditt Forsikring'!C31+'Nordea Liv '!C31+'Oslo Pensjonsforsikring'!C31+'Protector Forsikring'!C31+'Sparebank 1 Fors.'!C31+'Storebrand Livsforsikring'!C31+'Telenor Forsikring'!C31+'Tryg Forsikring'!C31+'WaterCircles F'!C31+'Euro Accident'!C31+'Ly Forsikring'!C31+'Youplus Livsforsikring'!C31+'Oslo Forsikring'!C31</f>
        <v>22534823.124635398</v>
      </c>
      <c r="D31" s="23">
        <f t="shared" si="16"/>
        <v>-3.5</v>
      </c>
      <c r="E31" s="36">
        <f>'Fremtind Livsforsikring'!F31+'DNB Livsforsikring'!F31+'Eika Forsikring AS'!F31+'Frende Livsforsikring'!F31+'Frende Skadeforsikring'!F31+'Gjensidige Forsikring'!F31+'Gjensidige Pensjon'!F31+'If Skadeforsikring NUF'!F31+KLP!F31+'KLP Skadeforsikring AS'!F31+'Landkreditt Forsikring'!F31+'Nordea Liv '!F31+'Oslo Pensjonsforsikring'!F31+'Protector Forsikring'!F31+'Sparebank 1 Fors.'!F31+'Storebrand Livsforsikring'!F31+'Telenor Forsikring'!F31+'Tryg Forsikring'!F31+'WaterCircles F'!F31+'Euro Accident'!F31+'Ly Forsikring'!F31+'Youplus Livsforsikring'!F31+'Oslo Forsikring'!F31</f>
        <v>7754760.9606644064</v>
      </c>
      <c r="F31" s="36">
        <f>'Fremtind Livsforsikring'!G31+'DNB Livsforsikring'!G31+'Eika Forsikring AS'!G31+'Frende Livsforsikring'!G31+'Frende Skadeforsikring'!G31+'Gjensidige Forsikring'!G31+'Gjensidige Pensjon'!G31+'If Skadeforsikring NUF'!G31+KLP!G31+'KLP Skadeforsikring AS'!G31+'Landkreditt Forsikring'!G31+'Nordea Liv '!G31+'Oslo Pensjonsforsikring'!G31+'Protector Forsikring'!G31+'Sparebank 1 Fors.'!G31+'Storebrand Livsforsikring'!G31+'Telenor Forsikring'!G31+'Tryg Forsikring'!G31+'WaterCircles F'!G31+'Euro Accident'!G31+'Ly Forsikring'!G31+'Youplus Livsforsikring'!G31+'Oslo Forsikring'!G31</f>
        <v>7351550.3243972752</v>
      </c>
      <c r="G31" s="123">
        <f t="shared" si="17"/>
        <v>-5.2</v>
      </c>
      <c r="H31" s="182">
        <f t="shared" si="9"/>
        <v>31096680.430076875</v>
      </c>
      <c r="I31" s="36">
        <f t="shared" si="7"/>
        <v>29886373.449032672</v>
      </c>
      <c r="J31" s="20">
        <f t="shared" si="8"/>
        <v>-3.9</v>
      </c>
    </row>
    <row r="32" spans="1:10" ht="15.75" customHeight="1" x14ac:dyDescent="0.2">
      <c r="A32" s="386" t="s">
        <v>328</v>
      </c>
      <c r="B32" s="36">
        <f>'Fremtind Livsforsikring'!B32+'DNB Livsforsikring'!B32+'Eika Forsikring AS'!B32+'Frende Livsforsikring'!B32+'Frende Skadeforsikring'!B32+'Gjensidige Forsikring'!B32+'Gjensidige Pensjon'!B32+'If Skadeforsikring NUF'!B32+KLP!B32+'KLP Skadeforsikring AS'!B32+'Landkreditt Forsikring'!B32+'Nordea Liv '!B32+'Oslo Pensjonsforsikring'!B32+'Protector Forsikring'!B32+'Sparebank 1 Fors.'!B32+'Storebrand Livsforsikring'!B32+'Telenor Forsikring'!B32+'Tryg Forsikring'!B32+'WaterCircles F'!B32+'Euro Accident'!B32+'Ly Forsikring'!B32+'Youplus Livsforsikring'!B32+'Oslo Forsikring'!B32</f>
        <v>2318556.1300676912</v>
      </c>
      <c r="C32" s="36">
        <f>'Fremtind Livsforsikring'!C32+'DNB Livsforsikring'!C32+'Eika Forsikring AS'!C32+'Frende Livsforsikring'!C32+'Frende Skadeforsikring'!C32+'Gjensidige Forsikring'!C32+'Gjensidige Pensjon'!C32+'If Skadeforsikring NUF'!C32+KLP!C32+'KLP Skadeforsikring AS'!C32+'Landkreditt Forsikring'!C32+'Nordea Liv '!C32+'Oslo Pensjonsforsikring'!C32+'Protector Forsikring'!C32+'Sparebank 1 Fors.'!C32+'Storebrand Livsforsikring'!C32+'Telenor Forsikring'!C32+'Tryg Forsikring'!C32+'WaterCircles F'!C32+'Euro Accident'!C32+'Ly Forsikring'!C32+'Youplus Livsforsikring'!C32+'Oslo Forsikring'!C32</f>
        <v>2548266.7191906301</v>
      </c>
      <c r="D32" s="23">
        <f t="shared" si="16"/>
        <v>9.9</v>
      </c>
      <c r="E32" s="36">
        <f>'Fremtind Livsforsikring'!F32+'DNB Livsforsikring'!F32+'Eika Forsikring AS'!F32+'Frende Livsforsikring'!F32+'Frende Skadeforsikring'!F32+'Gjensidige Forsikring'!F32+'Gjensidige Pensjon'!F32+'If Skadeforsikring NUF'!F32+KLP!F32+'KLP Skadeforsikring AS'!F32+'Landkreditt Forsikring'!F32+'Nordea Liv '!F32+'Oslo Pensjonsforsikring'!F32+'Protector Forsikring'!F32+'Sparebank 1 Fors.'!F32+'Storebrand Livsforsikring'!F32+'Telenor Forsikring'!F32+'Tryg Forsikring'!F32+'WaterCircles F'!F32+'Euro Accident'!F32+'Ly Forsikring'!F32+'Youplus Livsforsikring'!F32+'Oslo Forsikring'!F32</f>
        <v>6545629.5208157897</v>
      </c>
      <c r="F32" s="36">
        <f>'Fremtind Livsforsikring'!G32+'DNB Livsforsikring'!G32+'Eika Forsikring AS'!G32+'Frende Livsforsikring'!G32+'Frende Skadeforsikring'!G32+'Gjensidige Forsikring'!G32+'Gjensidige Pensjon'!G32+'If Skadeforsikring NUF'!G32+KLP!G32+'KLP Skadeforsikring AS'!G32+'Landkreditt Forsikring'!G32+'Nordea Liv '!G32+'Oslo Pensjonsforsikring'!G32+'Protector Forsikring'!G32+'Sparebank 1 Fors.'!G32+'Storebrand Livsforsikring'!G32+'Telenor Forsikring'!G32+'Tryg Forsikring'!G32+'WaterCircles F'!G32+'Euro Accident'!G32+'Ly Forsikring'!G32+'Youplus Livsforsikring'!G32+'Oslo Forsikring'!G32</f>
        <v>6978765.1320826411</v>
      </c>
      <c r="G32" s="123">
        <f t="shared" si="17"/>
        <v>6.6</v>
      </c>
      <c r="H32" s="182">
        <f t="shared" si="9"/>
        <v>8864185.6508834809</v>
      </c>
      <c r="I32" s="36">
        <f t="shared" si="7"/>
        <v>9527031.8512732722</v>
      </c>
      <c r="J32" s="20">
        <f t="shared" si="8"/>
        <v>7.5</v>
      </c>
    </row>
    <row r="33" spans="1:10" ht="15.75" customHeight="1" x14ac:dyDescent="0.2">
      <c r="A33" s="386" t="s">
        <v>329</v>
      </c>
      <c r="B33" s="36">
        <f>'Fremtind Livsforsikring'!B33+'DNB Livsforsikring'!B33+'Eika Forsikring AS'!B33+'Frende Livsforsikring'!B33+'Frende Skadeforsikring'!B33+'Gjensidige Forsikring'!B33+'Gjensidige Pensjon'!B33+'If Skadeforsikring NUF'!B33+KLP!B33+'KLP Skadeforsikring AS'!B33+'Landkreditt Forsikring'!B33+'Nordea Liv '!B33+'Oslo Pensjonsforsikring'!B33+'Protector Forsikring'!B33+'Sparebank 1 Fors.'!B33+'Storebrand Livsforsikring'!B33+'Telenor Forsikring'!B33+'Tryg Forsikring'!B33+'WaterCircles F'!B33+'Euro Accident'!B33+'Ly Forsikring'!B33+'Youplus Livsforsikring'!B33+'Oslo Forsikring'!B33</f>
        <v>0</v>
      </c>
      <c r="C33" s="36">
        <f>'Fremtind Livsforsikring'!C33+'DNB Livsforsikring'!C33+'Eika Forsikring AS'!C33+'Frende Livsforsikring'!C33+'Frende Skadeforsikring'!C33+'Gjensidige Forsikring'!C33+'Gjensidige Pensjon'!C33+'If Skadeforsikring NUF'!C33+KLP!C33+'KLP Skadeforsikring AS'!C33+'Landkreditt Forsikring'!C33+'Nordea Liv '!C33+'Oslo Pensjonsforsikring'!C33+'Protector Forsikring'!C33+'Sparebank 1 Fors.'!C33+'Storebrand Livsforsikring'!C33+'Telenor Forsikring'!C33+'Tryg Forsikring'!C33+'WaterCircles F'!C33+'Euro Accident'!C33+'Ly Forsikring'!C33+'Youplus Livsforsikring'!C33+'Oslo Forsikring'!C33</f>
        <v>0</v>
      </c>
      <c r="D33" s="23"/>
      <c r="E33" s="36">
        <f>'Fremtind Livsforsikring'!F33+'DNB Livsforsikring'!F33+'Eika Forsikring AS'!F33+'Frende Livsforsikring'!F33+'Frende Skadeforsikring'!F33+'Gjensidige Forsikring'!F33+'Gjensidige Pensjon'!F33+'If Skadeforsikring NUF'!F33+KLP!F33+'KLP Skadeforsikring AS'!F33+'Landkreditt Forsikring'!F33+'Nordea Liv '!F33+'Oslo Pensjonsforsikring'!F33+'Protector Forsikring'!F33+'Sparebank 1 Fors.'!F33+'Storebrand Livsforsikring'!F33+'Telenor Forsikring'!F33+'Tryg Forsikring'!F33+'WaterCircles F'!F33+'Euro Accident'!F33+'Ly Forsikring'!F33+'Youplus Livsforsikring'!F33+'Oslo Forsikring'!F33</f>
        <v>10407868.77045038</v>
      </c>
      <c r="F33" s="36">
        <f>'Fremtind Livsforsikring'!G33+'DNB Livsforsikring'!G33+'Eika Forsikring AS'!G33+'Frende Livsforsikring'!G33+'Frende Skadeforsikring'!G33+'Gjensidige Forsikring'!G33+'Gjensidige Pensjon'!G33+'If Skadeforsikring NUF'!G33+KLP!G33+'KLP Skadeforsikring AS'!G33+'Landkreditt Forsikring'!G33+'Nordea Liv '!G33+'Oslo Pensjonsforsikring'!G33+'Protector Forsikring'!G33+'Sparebank 1 Fors.'!G33+'Storebrand Livsforsikring'!G33+'Telenor Forsikring'!G33+'Tryg Forsikring'!G33+'WaterCircles F'!G33+'Euro Accident'!G33+'Ly Forsikring'!G33+'Youplus Livsforsikring'!G33+'Oslo Forsikring'!G33</f>
        <v>12072055.334144261</v>
      </c>
      <c r="G33" s="123">
        <f t="shared" ref="G33" si="18">IF($A$1=4,IF(E33=0, "    ---- ", IF(ABS(ROUND(100/E33*F33-100,1))&lt;999,ROUND(100/E33*F33-100,1),IF(ROUND(100/E33*F33-100,1)&gt;999,999,-999))),"")</f>
        <v>16</v>
      </c>
      <c r="H33" s="182">
        <f t="shared" ref="H33" si="19">SUM(B33,E33)</f>
        <v>10407868.77045038</v>
      </c>
      <c r="I33" s="36">
        <f t="shared" ref="I33" si="20">SUM(C33,F33)</f>
        <v>12072055.334144261</v>
      </c>
      <c r="J33" s="20">
        <f t="shared" ref="J33" si="21">IF(H33=0, "    ---- ", IF(ABS(ROUND(100/H33*I33-100,1))&lt;999,ROUND(100/H33*I33-100,1),IF(ROUND(100/H33*I33-100,1)&gt;999,999,-999)))</f>
        <v>16</v>
      </c>
    </row>
    <row r="34" spans="1:10" s="35" customFormat="1" ht="15.75" customHeight="1" x14ac:dyDescent="0.2">
      <c r="A34" s="10" t="s">
        <v>324</v>
      </c>
      <c r="B34" s="184">
        <f>'Fremtind Livsforsikring'!B34+'DNB Livsforsikring'!B34+'Eika Forsikring AS'!B34+'Frende Livsforsikring'!B34+'Frende Skadeforsikring'!B34+'Gjensidige Forsikring'!B34+'Gjensidige Pensjon'!B34+'If Skadeforsikring NUF'!B34+KLP!B34+'KLP Skadeforsikring AS'!B34+'Landkreditt Forsikring'!B34+'Nordea Liv '!B34+'Oslo Pensjonsforsikring'!B34+'Protector Forsikring'!B34+'Sparebank 1 Fors.'!B34+'Storebrand Livsforsikring'!B34+'Telenor Forsikring'!B34+'Tryg Forsikring'!B34+'WaterCircles F'!B34+'Euro Accident'!B34+'Ly Forsikring'!B34+'Youplus Livsforsikring'!B34+'Oslo Forsikring'!B34</f>
        <v>11320.142</v>
      </c>
      <c r="C34" s="184">
        <f>'Fremtind Livsforsikring'!C34+'DNB Livsforsikring'!C34+'Eika Forsikring AS'!C34+'Frende Livsforsikring'!C34+'Frende Skadeforsikring'!C34+'Gjensidige Forsikring'!C34+'Gjensidige Pensjon'!C34+'If Skadeforsikring NUF'!C34+KLP!C34+'KLP Skadeforsikring AS'!C34+'Landkreditt Forsikring'!C34+'Nordea Liv '!C34+'Oslo Pensjonsforsikring'!C34+'Protector Forsikring'!C34+'Sparebank 1 Fors.'!C34+'Storebrand Livsforsikring'!C34+'Telenor Forsikring'!C34+'Tryg Forsikring'!C34+'WaterCircles F'!C34+'Euro Accident'!C34+'Ly Forsikring'!C34+'Youplus Livsforsikring'!C34+'Oslo Forsikring'!C34</f>
        <v>17676.09362</v>
      </c>
      <c r="D34" s="21">
        <f t="shared" si="5"/>
        <v>56.1</v>
      </c>
      <c r="E34" s="251">
        <f>'Fremtind Livsforsikring'!F34+'DNB Livsforsikring'!F34+'Eika Forsikring AS'!F34+'Frende Livsforsikring'!F34+'Frende Skadeforsikring'!F34+'Gjensidige Forsikring'!F34+'Gjensidige Pensjon'!F34+'If Skadeforsikring NUF'!F34+KLP!F34+'KLP Skadeforsikring AS'!F34+'Landkreditt Forsikring'!F34+'Nordea Liv '!F34+'Oslo Pensjonsforsikring'!F34+'Protector Forsikring'!F34+'Sparebank 1 Fors.'!F34+'Storebrand Livsforsikring'!F34+'Telenor Forsikring'!F34+'Tryg Forsikring'!F34+'WaterCircles F'!F34+'Euro Accident'!F34+'Ly Forsikring'!F34+'Youplus Livsforsikring'!F34+'Oslo Forsikring'!F34</f>
        <v>-102207.92419000001</v>
      </c>
      <c r="F34" s="251">
        <f>'Fremtind Livsforsikring'!G34+'DNB Livsforsikring'!G34+'Eika Forsikring AS'!G34+'Frende Livsforsikring'!G34+'Frende Skadeforsikring'!G34+'Gjensidige Forsikring'!G34+'Gjensidige Pensjon'!G34+'If Skadeforsikring NUF'!G34+KLP!G34+'KLP Skadeforsikring AS'!G34+'Landkreditt Forsikring'!G34+'Nordea Liv '!G34+'Oslo Pensjonsforsikring'!G34+'Protector Forsikring'!G34+'Sparebank 1 Fors.'!G34+'Storebrand Livsforsikring'!G34+'Telenor Forsikring'!G34+'Tryg Forsikring'!G34+'WaterCircles F'!G34+'Euro Accident'!G34+'Ly Forsikring'!G34+'Youplus Livsforsikring'!G34+'Oslo Forsikring'!G34</f>
        <v>-145523.20257000002</v>
      </c>
      <c r="G34" s="127">
        <f t="shared" si="6"/>
        <v>42.4</v>
      </c>
      <c r="H34" s="251">
        <f t="shared" si="9"/>
        <v>-90887.782189999998</v>
      </c>
      <c r="I34" s="184">
        <f t="shared" si="7"/>
        <v>-127847.10895000002</v>
      </c>
      <c r="J34" s="21">
        <f t="shared" si="8"/>
        <v>40.700000000000003</v>
      </c>
    </row>
    <row r="35" spans="1:10" s="35" customFormat="1" ht="15.75" customHeight="1" x14ac:dyDescent="0.2">
      <c r="A35" s="10" t="s">
        <v>325</v>
      </c>
      <c r="B35" s="184">
        <f>'Fremtind Livsforsikring'!B35+'DNB Livsforsikring'!B35+'Eika Forsikring AS'!B35+'Frende Livsforsikring'!B35+'Frende Skadeforsikring'!B35+'Gjensidige Forsikring'!B35+'Gjensidige Pensjon'!B35+'If Skadeforsikring NUF'!B35+KLP!B35+'KLP Skadeforsikring AS'!B35+'Landkreditt Forsikring'!B35+'Nordea Liv '!B35+'Oslo Pensjonsforsikring'!B35+'Protector Forsikring'!B35+'Sparebank 1 Fors.'!B35+'Storebrand Livsforsikring'!B35+'Telenor Forsikring'!B35+'Tryg Forsikring'!B35+'WaterCircles F'!B35+'Euro Accident'!B35+'Ly Forsikring'!B35+'Youplus Livsforsikring'!B35+'Oslo Forsikring'!B35</f>
        <v>-192255.51553999999</v>
      </c>
      <c r="C35" s="184">
        <f>'Fremtind Livsforsikring'!C35+'DNB Livsforsikring'!C35+'Eika Forsikring AS'!C35+'Frende Livsforsikring'!C35+'Frende Skadeforsikring'!C35+'Gjensidige Forsikring'!C35+'Gjensidige Pensjon'!C35+'If Skadeforsikring NUF'!C35+KLP!C35+'KLP Skadeforsikring AS'!C35+'Landkreditt Forsikring'!C35+'Nordea Liv '!C35+'Oslo Pensjonsforsikring'!C35+'Protector Forsikring'!C35+'Sparebank 1 Fors.'!C35+'Storebrand Livsforsikring'!C35+'Telenor Forsikring'!C35+'Tryg Forsikring'!C35+'WaterCircles F'!C35+'Euro Accident'!C35+'Ly Forsikring'!C35+'Youplus Livsforsikring'!C35+'Oslo Forsikring'!C35</f>
        <v>-254931.80908000001</v>
      </c>
      <c r="D35" s="21">
        <f t="shared" si="5"/>
        <v>32.6</v>
      </c>
      <c r="E35" s="251">
        <f>'Fremtind Livsforsikring'!F35+'DNB Livsforsikring'!F35+'Eika Forsikring AS'!F35+'Frende Livsforsikring'!F35+'Frende Skadeforsikring'!F35+'Gjensidige Forsikring'!F35+'Gjensidige Pensjon'!F35+'If Skadeforsikring NUF'!F35+KLP!F35+'KLP Skadeforsikring AS'!F35+'Landkreditt Forsikring'!F35+'Nordea Liv '!F35+'Oslo Pensjonsforsikring'!F35+'Protector Forsikring'!F35+'Sparebank 1 Fors.'!F35+'Storebrand Livsforsikring'!F35+'Telenor Forsikring'!F35+'Tryg Forsikring'!F35+'WaterCircles F'!F35+'Euro Accident'!F35+'Ly Forsikring'!F35+'Youplus Livsforsikring'!F35+'Oslo Forsikring'!F35</f>
        <v>109784.40388</v>
      </c>
      <c r="F35" s="251">
        <f>'Fremtind Livsforsikring'!G35+'DNB Livsforsikring'!G35+'Eika Forsikring AS'!G35+'Frende Livsforsikring'!G35+'Frende Skadeforsikring'!G35+'Gjensidige Forsikring'!G35+'Gjensidige Pensjon'!G35+'If Skadeforsikring NUF'!G35+KLP!G35+'KLP Skadeforsikring AS'!G35+'Landkreditt Forsikring'!G35+'Nordea Liv '!G35+'Oslo Pensjonsforsikring'!G35+'Protector Forsikring'!G35+'Sparebank 1 Fors.'!G35+'Storebrand Livsforsikring'!G35+'Telenor Forsikring'!G35+'Tryg Forsikring'!G35+'WaterCircles F'!G35+'Euro Accident'!G35+'Ly Forsikring'!G35+'Youplus Livsforsikring'!G35+'Oslo Forsikring'!G35</f>
        <v>129432.66148</v>
      </c>
      <c r="G35" s="127">
        <f t="shared" si="6"/>
        <v>17.899999999999999</v>
      </c>
      <c r="H35" s="251">
        <f t="shared" si="9"/>
        <v>-82471.111659999995</v>
      </c>
      <c r="I35" s="184">
        <f t="shared" si="7"/>
        <v>-125499.14760000001</v>
      </c>
      <c r="J35" s="21">
        <f t="shared" si="8"/>
        <v>52.2</v>
      </c>
    </row>
    <row r="36" spans="1:10" s="35" customFormat="1" ht="15.75" customHeight="1" x14ac:dyDescent="0.2">
      <c r="A36" s="9" t="s">
        <v>255</v>
      </c>
      <c r="B36" s="184">
        <f>'Fremtind Livsforsikring'!B36+'DNB Livsforsikring'!B36+'Eika Forsikring AS'!B36+'Frende Livsforsikring'!B36+'Frende Skadeforsikring'!B36+'Gjensidige Forsikring'!B36+'Gjensidige Pensjon'!B36+'If Skadeforsikring NUF'!B36+KLP!B36+'KLP Skadeforsikring AS'!B36+'Landkreditt Forsikring'!B36+'Nordea Liv '!B36+'Oslo Pensjonsforsikring'!B36+'Protector Forsikring'!B36+'Sparebank 1 Fors.'!B36+'Storebrand Livsforsikring'!B36+'Telenor Forsikring'!B36+'Tryg Forsikring'!B36+'WaterCircles F'!B36+'Euro Accident'!B36+'Ly Forsikring'!B36+'Youplus Livsforsikring'!B36+'Oslo Forsikring'!B36</f>
        <v>7217.7269999999999</v>
      </c>
      <c r="C36" s="184">
        <f>'Fremtind Livsforsikring'!C36+'DNB Livsforsikring'!C36+'Eika Forsikring AS'!C36+'Frende Livsforsikring'!C36+'Frende Skadeforsikring'!C36+'Gjensidige Forsikring'!C36+'Gjensidige Pensjon'!C36+'If Skadeforsikring NUF'!C36+KLP!C36+'KLP Skadeforsikring AS'!C36+'Landkreditt Forsikring'!C36+'Nordea Liv '!C36+'Oslo Pensjonsforsikring'!C36+'Protector Forsikring'!C36+'Sparebank 1 Fors.'!C36+'Storebrand Livsforsikring'!C36+'Telenor Forsikring'!C36+'Tryg Forsikring'!C36+'WaterCircles F'!C36+'Euro Accident'!C36+'Ly Forsikring'!C36+'Youplus Livsforsikring'!C36+'Oslo Forsikring'!C36</f>
        <v>9912</v>
      </c>
      <c r="D36" s="8">
        <f t="shared" si="5"/>
        <v>37.299999999999997</v>
      </c>
      <c r="E36" s="262"/>
      <c r="F36" s="262"/>
      <c r="G36" s="127"/>
      <c r="H36" s="251">
        <f t="shared" si="9"/>
        <v>7217.7269999999999</v>
      </c>
      <c r="I36" s="184">
        <f t="shared" si="7"/>
        <v>9912</v>
      </c>
      <c r="J36" s="8">
        <f t="shared" si="8"/>
        <v>37.299999999999997</v>
      </c>
    </row>
    <row r="37" spans="1:10" s="35" customFormat="1" ht="15.75" customHeight="1" x14ac:dyDescent="0.2">
      <c r="A37" s="9" t="s">
        <v>331</v>
      </c>
      <c r="B37" s="184">
        <f>'Fremtind Livsforsikring'!B37+'DNB Livsforsikring'!B37+'Eika Forsikring AS'!B37+'Frende Livsforsikring'!B37+'Frende Skadeforsikring'!B37+'Gjensidige Forsikring'!B37+'Gjensidige Pensjon'!B37+'If Skadeforsikring NUF'!B37+KLP!B37+'KLP Skadeforsikring AS'!B37+'Landkreditt Forsikring'!B37+'Nordea Liv '!B37+'Oslo Pensjonsforsikring'!B37+'Protector Forsikring'!B37+'Sparebank 1 Fors.'!B37+'Storebrand Livsforsikring'!B37+'Telenor Forsikring'!B37+'Tryg Forsikring'!B37+'WaterCircles F'!B37+'Euro Accident'!B37+'Ly Forsikring'!B37+'Youplus Livsforsikring'!B37+'Oslo Forsikring'!B37</f>
        <v>2592560.2279099999</v>
      </c>
      <c r="C37" s="184">
        <f>'Fremtind Livsforsikring'!C37+'DNB Livsforsikring'!C37+'Eika Forsikring AS'!C37+'Frende Livsforsikring'!C37+'Frende Skadeforsikring'!C37+'Gjensidige Forsikring'!C37+'Gjensidige Pensjon'!C37+'If Skadeforsikring NUF'!C37+KLP!C37+'KLP Skadeforsikring AS'!C37+'Landkreditt Forsikring'!C37+'Nordea Liv '!C37+'Oslo Pensjonsforsikring'!C37+'Protector Forsikring'!C37+'Sparebank 1 Fors.'!C37+'Storebrand Livsforsikring'!C37+'Telenor Forsikring'!C37+'Tryg Forsikring'!C37+'WaterCircles F'!C37+'Euro Accident'!C37+'Ly Forsikring'!C37+'Youplus Livsforsikring'!C37+'Oslo Forsikring'!C37</f>
        <v>2413325.6447329801</v>
      </c>
      <c r="D37" s="21">
        <f t="shared" si="5"/>
        <v>-6.9</v>
      </c>
      <c r="E37" s="267"/>
      <c r="F37" s="267"/>
      <c r="G37" s="127"/>
      <c r="H37" s="251">
        <f t="shared" si="9"/>
        <v>2592560.2279099999</v>
      </c>
      <c r="I37" s="184">
        <f t="shared" si="7"/>
        <v>2413325.6447329801</v>
      </c>
      <c r="J37" s="21">
        <f t="shared" si="8"/>
        <v>-6.9</v>
      </c>
    </row>
    <row r="38" spans="1:10" s="35" customFormat="1" ht="15.75" customHeight="1" x14ac:dyDescent="0.2">
      <c r="A38" s="9" t="s">
        <v>332</v>
      </c>
      <c r="B38" s="184">
        <f>'Fremtind Livsforsikring'!B38+'DNB Livsforsikring'!B38+'Eika Forsikring AS'!B38+'Frende Livsforsikring'!B38+'Frende Skadeforsikring'!B38+'Gjensidige Forsikring'!B38+'Gjensidige Pensjon'!B38+'If Skadeforsikring NUF'!B38+KLP!B38+'KLP Skadeforsikring AS'!B38+'Landkreditt Forsikring'!B38+'Nordea Liv '!B38+'Oslo Pensjonsforsikring'!B38+'Protector Forsikring'!B38+'Sparebank 1 Fors.'!B38+'Storebrand Livsforsikring'!B38+'Telenor Forsikring'!B38+'Tryg Forsikring'!B38+'WaterCircles F'!B38+'Euro Accident'!B38+'Ly Forsikring'!B38+'Youplus Livsforsikring'!B38+'Oslo Forsikring'!B38</f>
        <v>0</v>
      </c>
      <c r="C38" s="184">
        <f>'Fremtind Livsforsikring'!C38+'DNB Livsforsikring'!C38+'Eika Forsikring AS'!C38+'Frende Livsforsikring'!C38+'Frende Skadeforsikring'!C38+'Gjensidige Forsikring'!C38+'Gjensidige Pensjon'!C38+'If Skadeforsikring NUF'!C38+KLP!C38+'KLP Skadeforsikring AS'!C38+'Landkreditt Forsikring'!C38+'Nordea Liv '!C38+'Oslo Pensjonsforsikring'!C38+'Protector Forsikring'!C38+'Sparebank 1 Fors.'!C38+'Storebrand Livsforsikring'!C38+'Telenor Forsikring'!C38+'Tryg Forsikring'!C38+'WaterCircles F'!C38+'Euro Accident'!C38+'Ly Forsikring'!C38+'Youplus Livsforsikring'!C38+'Oslo Forsikring'!C38</f>
        <v>0</v>
      </c>
      <c r="D38" s="21"/>
      <c r="E38" s="262"/>
      <c r="F38" s="262"/>
      <c r="G38" s="127"/>
      <c r="H38" s="251">
        <f t="shared" si="9"/>
        <v>0</v>
      </c>
      <c r="I38" s="184">
        <f t="shared" si="7"/>
        <v>0</v>
      </c>
      <c r="J38" s="21"/>
    </row>
    <row r="39" spans="1:10" s="35" customFormat="1" ht="15.75" customHeight="1" x14ac:dyDescent="0.2">
      <c r="A39" s="15" t="s">
        <v>333</v>
      </c>
      <c r="B39" s="224">
        <f>'Fremtind Livsforsikring'!B39+'DNB Livsforsikring'!B39+'Eika Forsikring AS'!B39+'Frende Livsforsikring'!B39+'Frende Skadeforsikring'!B39+'Gjensidige Forsikring'!B39+'Gjensidige Pensjon'!B39+'If Skadeforsikring NUF'!B39+KLP!B39+'KLP Skadeforsikring AS'!B39+'Landkreditt Forsikring'!B39+'Nordea Liv '!B39+'Oslo Pensjonsforsikring'!B39+'Protector Forsikring'!B39+'Sparebank 1 Fors.'!B39+'Storebrand Livsforsikring'!B39+'Telenor Forsikring'!B39+'Tryg Forsikring'!B39+'WaterCircles F'!B39+'Euro Accident'!B39+'Ly Forsikring'!B39+'Youplus Livsforsikring'!B39+'Oslo Forsikring'!B39</f>
        <v>1</v>
      </c>
      <c r="C39" s="224">
        <f>'Fremtind Livsforsikring'!C39+'DNB Livsforsikring'!C39+'Eika Forsikring AS'!C39+'Frende Livsforsikring'!C39+'Frende Skadeforsikring'!C39+'Gjensidige Forsikring'!C39+'Gjensidige Pensjon'!C39+'If Skadeforsikring NUF'!C39+KLP!C39+'KLP Skadeforsikring AS'!C39+'Landkreditt Forsikring'!C39+'Nordea Liv '!C39+'Oslo Pensjonsforsikring'!C39+'Protector Forsikring'!C39+'Sparebank 1 Fors.'!C39+'Storebrand Livsforsikring'!C39+'Telenor Forsikring'!C39+'Tryg Forsikring'!C39+'WaterCircles F'!C39+'Euro Accident'!C39+'Ly Forsikring'!C39+'Youplus Livsforsikring'!C39+'Oslo Forsikring'!C39</f>
        <v>1.3109999999999999</v>
      </c>
      <c r="D39" s="30">
        <f t="shared" si="5"/>
        <v>31.1</v>
      </c>
      <c r="E39" s="268"/>
      <c r="F39" s="268"/>
      <c r="G39" s="125"/>
      <c r="H39" s="257">
        <f t="shared" si="9"/>
        <v>1</v>
      </c>
      <c r="I39" s="224">
        <f t="shared" si="7"/>
        <v>1.3109999999999999</v>
      </c>
      <c r="J39" s="30">
        <f t="shared" si="8"/>
        <v>31.1</v>
      </c>
    </row>
    <row r="40" spans="1:10" ht="15.75" customHeight="1" x14ac:dyDescent="0.2">
      <c r="A40" s="35"/>
    </row>
    <row r="41" spans="1:10" ht="15.75" customHeight="1" x14ac:dyDescent="0.2">
      <c r="A41" s="115"/>
    </row>
    <row r="42" spans="1:10" ht="15.75" customHeight="1" x14ac:dyDescent="0.25">
      <c r="A42" s="110" t="s">
        <v>245</v>
      </c>
      <c r="B42" s="576"/>
      <c r="C42" s="576"/>
      <c r="D42" s="576"/>
      <c r="E42" s="576"/>
      <c r="F42" s="576"/>
      <c r="G42" s="576"/>
      <c r="H42" s="576"/>
      <c r="I42" s="576"/>
      <c r="J42" s="576"/>
    </row>
    <row r="43" spans="1:10" ht="15.75" customHeight="1" x14ac:dyDescent="0.25">
      <c r="A43" s="122"/>
      <c r="B43" s="242"/>
      <c r="C43" s="242"/>
      <c r="D43" s="242"/>
      <c r="E43" s="242"/>
      <c r="F43" s="242"/>
      <c r="G43" s="242"/>
      <c r="H43" s="242"/>
      <c r="I43" s="242"/>
      <c r="J43" s="242"/>
    </row>
    <row r="44" spans="1:10" ht="15.75" customHeight="1" x14ac:dyDescent="0.25">
      <c r="A44" s="197"/>
      <c r="B44" s="269" t="s">
        <v>0</v>
      </c>
      <c r="C44" s="270"/>
      <c r="D44" s="205"/>
      <c r="E44" s="34"/>
      <c r="F44" s="34"/>
      <c r="G44" s="32"/>
      <c r="H44" s="34"/>
      <c r="I44" s="34"/>
      <c r="J44" s="32"/>
    </row>
    <row r="45" spans="1:10" ht="15.75" customHeight="1" x14ac:dyDescent="0.2">
      <c r="A45" s="105"/>
      <c r="B45" s="202" t="s">
        <v>417</v>
      </c>
      <c r="C45" s="203" t="s">
        <v>418</v>
      </c>
      <c r="D45" s="200" t="s">
        <v>3</v>
      </c>
      <c r="E45" s="34"/>
      <c r="F45" s="34"/>
      <c r="G45" s="32"/>
      <c r="H45" s="34"/>
      <c r="I45" s="34"/>
      <c r="J45" s="32"/>
    </row>
    <row r="46" spans="1:10" ht="15.75" customHeight="1" x14ac:dyDescent="0.2">
      <c r="A46" s="546"/>
      <c r="B46" s="7"/>
      <c r="C46" s="204"/>
      <c r="D46" s="14" t="s">
        <v>4</v>
      </c>
      <c r="E46" s="32"/>
      <c r="F46" s="32"/>
      <c r="G46" s="32"/>
      <c r="H46" s="32"/>
      <c r="I46" s="32"/>
      <c r="J46" s="32"/>
    </row>
    <row r="47" spans="1:10" s="35" customFormat="1" ht="15.75" customHeight="1" x14ac:dyDescent="0.2">
      <c r="A47" s="11" t="s">
        <v>23</v>
      </c>
      <c r="B47" s="184">
        <f>'Fremtind Livsforsikring'!B47+'DNB Livsforsikring'!B47+'Eika Forsikring AS'!B47+'Frende Livsforsikring'!B47+'Frende Skadeforsikring'!B47+'Gjensidige Forsikring'!B47+'Gjensidige Pensjon'!B47+'If Skadeforsikring NUF'!B47+KLP!B47+'KLP Skadeforsikring AS'!B47+'Landkreditt Forsikring'!B47+'Nordea Liv '!B47+'Oslo Pensjonsforsikring'!B47+'Protector Forsikring'!B47+'Sparebank 1 Fors.'!B47+'Storebrand Livsforsikring'!B47+'Telenor Forsikring'!B47+'Tryg Forsikring'!B47+'WaterCircles F'!B47+'Euro Accident'!B47+'Ly Forsikring'!B47+'Youplus Livsforsikring'!B47+'Oslo Forsikring'!B47</f>
        <v>5212381.7525399998</v>
      </c>
      <c r="C47" s="184">
        <f>'Fremtind Livsforsikring'!C47+'DNB Livsforsikring'!C47+'Eika Forsikring AS'!C47+'Frende Livsforsikring'!C47+'Frende Skadeforsikring'!C47+'Gjensidige Forsikring'!C47+'Gjensidige Pensjon'!C47+'If Skadeforsikring NUF'!C47+KLP!C47+'KLP Skadeforsikring AS'!C47+'Landkreditt Forsikring'!C47+'Nordea Liv '!C47+'Oslo Pensjonsforsikring'!C47+'Protector Forsikring'!C47+'Sparebank 1 Fors.'!C47+'Storebrand Livsforsikring'!C47+'Telenor Forsikring'!C47+'Tryg Forsikring'!C47+'WaterCircles F'!C47+'Euro Accident'!C47+'Ly Forsikring'!C47+'Youplus Livsforsikring'!C47+'Oslo Forsikring'!C47</f>
        <v>5545985.3500199998</v>
      </c>
      <c r="D47" s="21">
        <f t="shared" ref="D47:D57" si="22">IF(B47=0, "    ---- ", IF(ABS(ROUND(100/B47*C47-100,1))&lt;999,ROUND(100/B47*C47-100,1),IF(ROUND(100/B47*C47-100,1)&gt;999,999,-999)))</f>
        <v>6.4</v>
      </c>
      <c r="E47" s="338"/>
      <c r="F47" s="339"/>
      <c r="G47" s="26"/>
      <c r="H47" s="340"/>
      <c r="I47" s="340"/>
      <c r="J47" s="26"/>
    </row>
    <row r="48" spans="1:10" ht="15.75" customHeight="1" x14ac:dyDescent="0.2">
      <c r="A48" s="18" t="s">
        <v>334</v>
      </c>
      <c r="B48" s="36">
        <f>'Fremtind Livsforsikring'!B48+'DNB Livsforsikring'!B48+'Eika Forsikring AS'!B48+'Frende Livsforsikring'!B48+'Frende Skadeforsikring'!B48+'Gjensidige Forsikring'!B48+'Gjensidige Pensjon'!B48+'If Skadeforsikring NUF'!B48+KLP!B48+'KLP Skadeforsikring AS'!B48+'Landkreditt Forsikring'!B48+'Nordea Liv '!B48+'Oslo Pensjonsforsikring'!B48+'Protector Forsikring'!B48+'Sparebank 1 Fors.'!B48+'Storebrand Livsforsikring'!B48+'Telenor Forsikring'!B48+'Tryg Forsikring'!B48+'WaterCircles F'!B48+'Euro Accident'!B48+'Ly Forsikring'!B48+'Youplus Livsforsikring'!B48+'Oslo Forsikring'!B48</f>
        <v>2967784.3658300005</v>
      </c>
      <c r="C48" s="36">
        <f>'Fremtind Livsforsikring'!C48+'DNB Livsforsikring'!C48+'Eika Forsikring AS'!C48+'Frende Livsforsikring'!C48+'Frende Skadeforsikring'!C48+'Gjensidige Forsikring'!C48+'Gjensidige Pensjon'!C48+'If Skadeforsikring NUF'!C48+KLP!C48+'KLP Skadeforsikring AS'!C48+'Landkreditt Forsikring'!C48+'Nordea Liv '!C48+'Oslo Pensjonsforsikring'!C48+'Protector Forsikring'!C48+'Sparebank 1 Fors.'!C48+'Storebrand Livsforsikring'!C48+'Telenor Forsikring'!C48+'Tryg Forsikring'!C48+'WaterCircles F'!C48+'Euro Accident'!C48+'Ly Forsikring'!C48+'Youplus Livsforsikring'!C48+'Oslo Forsikring'!C48</f>
        <v>3172046.7801700002</v>
      </c>
      <c r="D48" s="20">
        <f t="shared" si="22"/>
        <v>6.9</v>
      </c>
      <c r="E48" s="29"/>
      <c r="F48" s="3"/>
      <c r="G48" s="28"/>
      <c r="H48" s="27"/>
      <c r="I48" s="27"/>
      <c r="J48" s="26"/>
    </row>
    <row r="49" spans="1:10" ht="15.75" customHeight="1" x14ac:dyDescent="0.2">
      <c r="A49" s="18" t="s">
        <v>335</v>
      </c>
      <c r="B49" s="144">
        <f>'Fremtind Livsforsikring'!B49+'DNB Livsforsikring'!B49+'Eika Forsikring AS'!B49+'Frende Livsforsikring'!B49+'Frende Skadeforsikring'!B49+'Gjensidige Forsikring'!B49+'Gjensidige Pensjon'!B49+'If Skadeforsikring NUF'!B49+KLP!B49+'KLP Skadeforsikring AS'!B49+'Landkreditt Forsikring'!B49+'Nordea Liv '!B49+'Oslo Pensjonsforsikring'!B49+'Protector Forsikring'!B49+'Sparebank 1 Fors.'!B49+'Storebrand Livsforsikring'!B49+'Telenor Forsikring'!B49+'Tryg Forsikring'!B49+'WaterCircles F'!B49+'Euro Accident'!B49+'Ly Forsikring'!B49+'Youplus Livsforsikring'!B49+'Oslo Forsikring'!B49</f>
        <v>2244597.3867099998</v>
      </c>
      <c r="C49" s="144">
        <f>'Fremtind Livsforsikring'!C49+'DNB Livsforsikring'!C49+'Eika Forsikring AS'!C49+'Frende Livsforsikring'!C49+'Frende Skadeforsikring'!C49+'Gjensidige Forsikring'!C49+'Gjensidige Pensjon'!C49+'If Skadeforsikring NUF'!C49+KLP!C49+'KLP Skadeforsikring AS'!C49+'Landkreditt Forsikring'!C49+'Nordea Liv '!C49+'Oslo Pensjonsforsikring'!C49+'Protector Forsikring'!C49+'Sparebank 1 Fors.'!C49+'Storebrand Livsforsikring'!C49+'Telenor Forsikring'!C49+'Tryg Forsikring'!C49+'WaterCircles F'!C49+'Euro Accident'!C49+'Ly Forsikring'!C49+'Youplus Livsforsikring'!C49+'Oslo Forsikring'!C49</f>
        <v>2373938.5698500001</v>
      </c>
      <c r="D49" s="20">
        <f t="shared" si="22"/>
        <v>5.8</v>
      </c>
      <c r="E49" s="29"/>
      <c r="F49" s="3"/>
      <c r="G49" s="28"/>
      <c r="H49" s="31"/>
      <c r="I49" s="31"/>
      <c r="J49" s="26"/>
    </row>
    <row r="50" spans="1:10" ht="15.75" customHeight="1" x14ac:dyDescent="0.2">
      <c r="A50" s="241" t="s">
        <v>6</v>
      </c>
      <c r="B50" s="262"/>
      <c r="C50" s="262"/>
      <c r="D50" s="23"/>
      <c r="E50" s="29"/>
      <c r="F50" s="3"/>
      <c r="G50" s="28"/>
      <c r="H50" s="27"/>
      <c r="I50" s="27"/>
      <c r="J50" s="26"/>
    </row>
    <row r="51" spans="1:10" ht="15.75" customHeight="1" x14ac:dyDescent="0.2">
      <c r="A51" s="241" t="s">
        <v>7</v>
      </c>
      <c r="B51" s="262"/>
      <c r="C51" s="262"/>
      <c r="D51" s="23"/>
      <c r="E51" s="29"/>
      <c r="F51" s="3"/>
      <c r="G51" s="28"/>
      <c r="H51" s="27"/>
      <c r="I51" s="27"/>
      <c r="J51" s="26"/>
    </row>
    <row r="52" spans="1:10" ht="15.75" customHeight="1" x14ac:dyDescent="0.2">
      <c r="A52" s="241" t="s">
        <v>8</v>
      </c>
      <c r="B52" s="262"/>
      <c r="C52" s="262"/>
      <c r="D52" s="23"/>
      <c r="E52" s="29"/>
      <c r="F52" s="3"/>
      <c r="G52" s="28"/>
      <c r="H52" s="27"/>
      <c r="I52" s="27"/>
      <c r="J52" s="26"/>
    </row>
    <row r="53" spans="1:10" s="35" customFormat="1" ht="15.75" customHeight="1" x14ac:dyDescent="0.2">
      <c r="A53" s="10" t="s">
        <v>336</v>
      </c>
      <c r="B53" s="184">
        <f>'Fremtind Livsforsikring'!B53+'DNB Livsforsikring'!B53+'Eika Forsikring AS'!B53+'Frende Livsforsikring'!B53+'Frende Skadeforsikring'!B53+'Gjensidige Forsikring'!B53+'Gjensidige Pensjon'!B53+'If Skadeforsikring NUF'!B53+KLP!B53+'KLP Skadeforsikring AS'!B53+'Landkreditt Forsikring'!B53+'Nordea Liv '!B53+'Oslo Pensjonsforsikring'!B53+'Protector Forsikring'!B53+'Sparebank 1 Fors.'!B53+'Storebrand Livsforsikring'!B53+'Telenor Forsikring'!B53+'Tryg Forsikring'!B53+'WaterCircles F'!B53+'Euro Accident'!B53+'Ly Forsikring'!B53+'Youplus Livsforsikring'!B53+'Oslo Forsikring'!B53</f>
        <v>160218.91967784814</v>
      </c>
      <c r="C53" s="184">
        <f>'Fremtind Livsforsikring'!C53+'DNB Livsforsikring'!C53+'Eika Forsikring AS'!C53+'Frende Livsforsikring'!C53+'Frende Skadeforsikring'!C53+'Gjensidige Forsikring'!C53+'Gjensidige Pensjon'!C53+'If Skadeforsikring NUF'!C53+KLP!C53+'KLP Skadeforsikring AS'!C53+'Landkreditt Forsikring'!C53+'Nordea Liv '!C53+'Oslo Pensjonsforsikring'!C53+'Protector Forsikring'!C53+'Sparebank 1 Fors.'!C53+'Storebrand Livsforsikring'!C53+'Telenor Forsikring'!C53+'Tryg Forsikring'!C53+'WaterCircles F'!C53+'Euro Accident'!C53+'Ly Forsikring'!C53+'Youplus Livsforsikring'!C53+'Oslo Forsikring'!C53</f>
        <v>268406.41899999999</v>
      </c>
      <c r="D53" s="21">
        <f t="shared" si="22"/>
        <v>67.5</v>
      </c>
      <c r="E53" s="338"/>
      <c r="F53" s="339"/>
      <c r="G53" s="26"/>
      <c r="H53" s="131"/>
      <c r="I53" s="131"/>
      <c r="J53" s="26"/>
    </row>
    <row r="54" spans="1:10" ht="15.75" customHeight="1" x14ac:dyDescent="0.2">
      <c r="A54" s="18" t="s">
        <v>334</v>
      </c>
      <c r="B54" s="36">
        <f>'Fremtind Livsforsikring'!B54+'DNB Livsforsikring'!B54+'Eika Forsikring AS'!B54+'Frende Livsforsikring'!B54+'Frende Skadeforsikring'!B54+'Gjensidige Forsikring'!B54+'Gjensidige Pensjon'!B54+'If Skadeforsikring NUF'!B54+KLP!B54+'KLP Skadeforsikring AS'!B54+'Landkreditt Forsikring'!B54+'Nordea Liv '!B54+'Oslo Pensjonsforsikring'!B54+'Protector Forsikring'!B54+'Sparebank 1 Fors.'!B54+'Storebrand Livsforsikring'!B54+'Telenor Forsikring'!B54+'Tryg Forsikring'!B54+'WaterCircles F'!B54+'Euro Accident'!B54+'Ly Forsikring'!B54+'Youplus Livsforsikring'!B54+'Oslo Forsikring'!B54</f>
        <v>159229.91967784814</v>
      </c>
      <c r="C54" s="36">
        <f>'Fremtind Livsforsikring'!C54+'DNB Livsforsikring'!C54+'Eika Forsikring AS'!C54+'Frende Livsforsikring'!C54+'Frende Skadeforsikring'!C54+'Gjensidige Forsikring'!C54+'Gjensidige Pensjon'!C54+'If Skadeforsikring NUF'!C54+KLP!C54+'KLP Skadeforsikring AS'!C54+'Landkreditt Forsikring'!C54+'Nordea Liv '!C54+'Oslo Pensjonsforsikring'!C54+'Protector Forsikring'!C54+'Sparebank 1 Fors.'!C54+'Storebrand Livsforsikring'!C54+'Telenor Forsikring'!C54+'Tryg Forsikring'!C54+'WaterCircles F'!C54+'Euro Accident'!C54+'Ly Forsikring'!C54+'Youplus Livsforsikring'!C54+'Oslo Forsikring'!C54</f>
        <v>261425.35399999999</v>
      </c>
      <c r="D54" s="20">
        <f t="shared" si="22"/>
        <v>64.2</v>
      </c>
      <c r="E54" s="29"/>
      <c r="F54" s="3"/>
      <c r="G54" s="28"/>
      <c r="H54" s="27"/>
      <c r="I54" s="27"/>
      <c r="J54" s="26"/>
    </row>
    <row r="55" spans="1:10" ht="15.75" customHeight="1" x14ac:dyDescent="0.2">
      <c r="A55" s="18" t="s">
        <v>335</v>
      </c>
      <c r="B55" s="36">
        <f>'Fremtind Livsforsikring'!B55+'DNB Livsforsikring'!B55+'Eika Forsikring AS'!B55+'Frende Livsforsikring'!B55+'Frende Skadeforsikring'!B55+'Gjensidige Forsikring'!B55+'Gjensidige Pensjon'!B55+'If Skadeforsikring NUF'!B55+KLP!B55+'KLP Skadeforsikring AS'!B55+'Landkreditt Forsikring'!B55+'Nordea Liv '!B55+'Oslo Pensjonsforsikring'!B55+'Protector Forsikring'!B55+'Sparebank 1 Fors.'!B55+'Storebrand Livsforsikring'!B55+'Telenor Forsikring'!B55+'Tryg Forsikring'!B55+'WaterCircles F'!B55+'Euro Accident'!B55+'Ly Forsikring'!B55+'Youplus Livsforsikring'!B55+'Oslo Forsikring'!B55</f>
        <v>989</v>
      </c>
      <c r="C55" s="36">
        <f>'Fremtind Livsforsikring'!C55+'DNB Livsforsikring'!C55+'Eika Forsikring AS'!C55+'Frende Livsforsikring'!C55+'Frende Skadeforsikring'!C55+'Gjensidige Forsikring'!C55+'Gjensidige Pensjon'!C55+'If Skadeforsikring NUF'!C55+KLP!C55+'KLP Skadeforsikring AS'!C55+'Landkreditt Forsikring'!C55+'Nordea Liv '!C55+'Oslo Pensjonsforsikring'!C55+'Protector Forsikring'!C55+'Sparebank 1 Fors.'!C55+'Storebrand Livsforsikring'!C55+'Telenor Forsikring'!C55+'Tryg Forsikring'!C55+'WaterCircles F'!C55+'Euro Accident'!C55+'Ly Forsikring'!C55+'Youplus Livsforsikring'!C55+'Oslo Forsikring'!C55</f>
        <v>6981.0649999999996</v>
      </c>
      <c r="D55" s="20">
        <f t="shared" si="22"/>
        <v>605.9</v>
      </c>
      <c r="E55" s="29"/>
      <c r="F55" s="3"/>
      <c r="G55" s="28"/>
      <c r="H55" s="27"/>
      <c r="I55" s="27"/>
      <c r="J55" s="26"/>
    </row>
    <row r="56" spans="1:10" s="35" customFormat="1" ht="15.75" customHeight="1" x14ac:dyDescent="0.2">
      <c r="A56" s="10" t="s">
        <v>337</v>
      </c>
      <c r="B56" s="184">
        <f>'Fremtind Livsforsikring'!B56+'DNB Livsforsikring'!B56+'Eika Forsikring AS'!B56+'Frende Livsforsikring'!B56+'Frende Skadeforsikring'!B56+'Gjensidige Forsikring'!B56+'Gjensidige Pensjon'!B56+'If Skadeforsikring NUF'!B56+KLP!B56+'KLP Skadeforsikring AS'!B56+'Landkreditt Forsikring'!B56+'Nordea Liv '!B56+'Oslo Pensjonsforsikring'!B56+'Protector Forsikring'!B56+'Sparebank 1 Fors.'!B56+'Storebrand Livsforsikring'!B56+'Telenor Forsikring'!B56+'Tryg Forsikring'!B56+'WaterCircles F'!B56+'Euro Accident'!B56+'Ly Forsikring'!B56+'Youplus Livsforsikring'!B56+'Oslo Forsikring'!B56</f>
        <v>146264.49600000001</v>
      </c>
      <c r="C56" s="184">
        <f>'Fremtind Livsforsikring'!C56+'DNB Livsforsikring'!C56+'Eika Forsikring AS'!C56+'Frende Livsforsikring'!C56+'Frende Skadeforsikring'!C56+'Gjensidige Forsikring'!C56+'Gjensidige Pensjon'!C56+'If Skadeforsikring NUF'!C56+KLP!C56+'KLP Skadeforsikring AS'!C56+'Landkreditt Forsikring'!C56+'Nordea Liv '!C56+'Oslo Pensjonsforsikring'!C56+'Protector Forsikring'!C56+'Sparebank 1 Fors.'!C56+'Storebrand Livsforsikring'!C56+'Telenor Forsikring'!C56+'Tryg Forsikring'!C56+'WaterCircles F'!C56+'Euro Accident'!C56+'Ly Forsikring'!C56+'Youplus Livsforsikring'!C56+'Oslo Forsikring'!C56</f>
        <v>64895.633999999998</v>
      </c>
      <c r="D56" s="21">
        <f t="shared" si="22"/>
        <v>-55.6</v>
      </c>
      <c r="E56" s="338"/>
      <c r="F56" s="339"/>
      <c r="G56" s="26"/>
      <c r="H56" s="131"/>
      <c r="I56" s="131"/>
      <c r="J56" s="26"/>
    </row>
    <row r="57" spans="1:10" ht="15.75" customHeight="1" x14ac:dyDescent="0.2">
      <c r="A57" s="18" t="s">
        <v>334</v>
      </c>
      <c r="B57" s="36">
        <f>'Fremtind Livsforsikring'!B57+'DNB Livsforsikring'!B57+'Eika Forsikring AS'!B57+'Frende Livsforsikring'!B57+'Frende Skadeforsikring'!B57+'Gjensidige Forsikring'!B57+'Gjensidige Pensjon'!B57+'If Skadeforsikring NUF'!B57+KLP!B57+'KLP Skadeforsikring AS'!B57+'Landkreditt Forsikring'!B57+'Nordea Liv '!B57+'Oslo Pensjonsforsikring'!B57+'Protector Forsikring'!B57+'Sparebank 1 Fors.'!B57+'Storebrand Livsforsikring'!B57+'Telenor Forsikring'!B57+'Tryg Forsikring'!B57+'WaterCircles F'!B57+'Euro Accident'!B57+'Ly Forsikring'!B57+'Youplus Livsforsikring'!B57+'Oslo Forsikring'!B57</f>
        <v>146264.49600000001</v>
      </c>
      <c r="C57" s="36">
        <f>'Fremtind Livsforsikring'!C57+'DNB Livsforsikring'!C57+'Eika Forsikring AS'!C57+'Frende Livsforsikring'!C57+'Frende Skadeforsikring'!C57+'Gjensidige Forsikring'!C57+'Gjensidige Pensjon'!C57+'If Skadeforsikring NUF'!C57+KLP!C57+'KLP Skadeforsikring AS'!C57+'Landkreditt Forsikring'!C57+'Nordea Liv '!C57+'Oslo Pensjonsforsikring'!C57+'Protector Forsikring'!C57+'Sparebank 1 Fors.'!C57+'Storebrand Livsforsikring'!C57+'Telenor Forsikring'!C57+'Tryg Forsikring'!C57+'WaterCircles F'!C57+'Euro Accident'!C57+'Ly Forsikring'!C57+'Youplus Livsforsikring'!C57+'Oslo Forsikring'!C57</f>
        <v>64895.633999999998</v>
      </c>
      <c r="D57" s="20">
        <f t="shared" si="22"/>
        <v>-55.6</v>
      </c>
      <c r="E57" s="29"/>
      <c r="F57" s="3"/>
      <c r="G57" s="28"/>
      <c r="H57" s="27"/>
      <c r="I57" s="27"/>
      <c r="J57" s="26"/>
    </row>
    <row r="58" spans="1:10" ht="15.75" customHeight="1" x14ac:dyDescent="0.2">
      <c r="A58" s="18" t="s">
        <v>335</v>
      </c>
      <c r="B58" s="37">
        <f>'Fremtind Livsforsikring'!B58+'DNB Livsforsikring'!B58+'Eika Forsikring AS'!B58+'Frende Livsforsikring'!B58+'Frende Skadeforsikring'!B58+'Gjensidige Forsikring'!B58+'Gjensidige Pensjon'!B58+'If Skadeforsikring NUF'!B58+KLP!B58+'KLP Skadeforsikring AS'!B58+'Landkreditt Forsikring'!B58+'Nordea Liv '!B58+'Oslo Pensjonsforsikring'!B58+'Protector Forsikring'!B58+'Sparebank 1 Fors.'!B58+'Storebrand Livsforsikring'!B58+'Telenor Forsikring'!B58+'Tryg Forsikring'!B58+'WaterCircles F'!B58+'Euro Accident'!B58+'Ly Forsikring'!B58+'Youplus Livsforsikring'!B58+'Oslo Forsikring'!B58</f>
        <v>0</v>
      </c>
      <c r="C58" s="37">
        <f>'Fremtind Livsforsikring'!C58+'DNB Livsforsikring'!C58+'Eika Forsikring AS'!C58+'Frende Livsforsikring'!C58+'Frende Skadeforsikring'!C58+'Gjensidige Forsikring'!C58+'Gjensidige Pensjon'!C58+'If Skadeforsikring NUF'!C58+KLP!C58+'KLP Skadeforsikring AS'!C58+'Landkreditt Forsikring'!C58+'Nordea Liv '!C58+'Oslo Pensjonsforsikring'!C58+'Protector Forsikring'!C58+'Sparebank 1 Fors.'!C58+'Storebrand Livsforsikring'!C58+'Telenor Forsikring'!C58+'Tryg Forsikring'!C58+'WaterCircles F'!C58+'Euro Accident'!C58+'Ly Forsikring'!C58+'Youplus Livsforsikring'!C58+'Oslo Forsikring'!C58</f>
        <v>0</v>
      </c>
      <c r="D58" s="30"/>
      <c r="E58" s="29"/>
      <c r="F58" s="3"/>
      <c r="G58" s="28"/>
      <c r="H58" s="27"/>
      <c r="I58" s="27"/>
      <c r="J58" s="26"/>
    </row>
    <row r="59" spans="1:10" ht="15.75" customHeight="1" x14ac:dyDescent="0.25">
      <c r="A59" s="115"/>
      <c r="B59" s="24"/>
      <c r="C59" s="24"/>
      <c r="D59" s="24"/>
      <c r="E59" s="24"/>
      <c r="F59" s="24"/>
      <c r="G59" s="24"/>
      <c r="H59" s="24"/>
      <c r="I59" s="24"/>
      <c r="J59" s="24"/>
    </row>
    <row r="60" spans="1:10" ht="15.75" customHeight="1" x14ac:dyDescent="0.2">
      <c r="A60" s="115"/>
    </row>
    <row r="61" spans="1:10" ht="15.75" customHeight="1" x14ac:dyDescent="0.25">
      <c r="A61" s="110" t="s">
        <v>246</v>
      </c>
      <c r="C61" s="22"/>
      <c r="D61" s="4"/>
      <c r="E61" s="22"/>
      <c r="F61" s="22"/>
      <c r="G61" s="4"/>
      <c r="H61" s="22"/>
      <c r="I61" s="22"/>
      <c r="J61" s="4"/>
    </row>
    <row r="62" spans="1:10" ht="20.100000000000001" customHeight="1" x14ac:dyDescent="0.25">
      <c r="A62" s="22"/>
      <c r="B62" s="576"/>
      <c r="C62" s="576"/>
      <c r="D62" s="576"/>
      <c r="E62" s="576"/>
      <c r="F62" s="576"/>
      <c r="G62" s="576"/>
      <c r="H62" s="576"/>
      <c r="I62" s="576"/>
      <c r="J62" s="576"/>
    </row>
    <row r="63" spans="1:10" ht="15.75" customHeight="1" x14ac:dyDescent="0.2">
      <c r="A63" s="108"/>
      <c r="B63" s="577" t="s">
        <v>0</v>
      </c>
      <c r="C63" s="578"/>
      <c r="D63" s="578"/>
      <c r="E63" s="577" t="s">
        <v>1</v>
      </c>
      <c r="F63" s="578"/>
      <c r="G63" s="579"/>
      <c r="H63" s="578" t="s">
        <v>2</v>
      </c>
      <c r="I63" s="578"/>
      <c r="J63" s="579"/>
    </row>
    <row r="64" spans="1:10" ht="15.75" customHeight="1" x14ac:dyDescent="0.2">
      <c r="A64" s="105"/>
      <c r="B64" s="201" t="s">
        <v>417</v>
      </c>
      <c r="C64" s="201" t="s">
        <v>418</v>
      </c>
      <c r="D64" s="16" t="s">
        <v>3</v>
      </c>
      <c r="E64" s="201" t="s">
        <v>417</v>
      </c>
      <c r="F64" s="201" t="s">
        <v>418</v>
      </c>
      <c r="G64" s="16" t="s">
        <v>3</v>
      </c>
      <c r="H64" s="201" t="s">
        <v>417</v>
      </c>
      <c r="I64" s="201" t="s">
        <v>418</v>
      </c>
      <c r="J64" s="16" t="s">
        <v>3</v>
      </c>
    </row>
    <row r="65" spans="1:10" ht="15.75" customHeight="1" x14ac:dyDescent="0.2">
      <c r="A65" s="546"/>
      <c r="B65" s="12"/>
      <c r="C65" s="12"/>
      <c r="D65" s="14" t="s">
        <v>4</v>
      </c>
      <c r="E65" s="13"/>
      <c r="F65" s="13"/>
      <c r="G65" s="12" t="s">
        <v>4</v>
      </c>
      <c r="H65" s="13"/>
      <c r="I65" s="13"/>
      <c r="J65" s="12" t="s">
        <v>4</v>
      </c>
    </row>
    <row r="66" spans="1:10" s="35" customFormat="1" ht="15.75" customHeight="1" x14ac:dyDescent="0.2">
      <c r="A66" s="11" t="s">
        <v>23</v>
      </c>
      <c r="B66" s="271">
        <f>'Fremtind Livsforsikring'!B66+'DNB Livsforsikring'!B66+'Eika Forsikring AS'!B66+'Frende Livsforsikring'!B66+'Frende Skadeforsikring'!B66+'Gjensidige Forsikring'!B66+'Gjensidige Pensjon'!B66+'If Skadeforsikring NUF'!B66+KLP!B66+'KLP Skadeforsikring AS'!B66+'Landkreditt Forsikring'!B66+'Nordea Liv '!B66+'Oslo Pensjonsforsikring'!B66+'Protector Forsikring'!B66+'Sparebank 1 Fors.'!B66+'Storebrand Livsforsikring'!B66+'Telenor Forsikring'!B66+'Tryg Forsikring'!B66+'WaterCircles F'!B66+'Euro Accident'!B66+'Ly Forsikring'!B66+'Youplus Livsforsikring'!B66+'Oslo Forsikring'!B66</f>
        <v>4883862.1312699998</v>
      </c>
      <c r="C66" s="271">
        <f>'Fremtind Livsforsikring'!C66+'DNB Livsforsikring'!C66+'Eika Forsikring AS'!C66+'Frende Livsforsikring'!C66+'Frende Skadeforsikring'!C66+'Gjensidige Forsikring'!C66+'Gjensidige Pensjon'!C66+'If Skadeforsikring NUF'!C66+KLP!C66+'KLP Skadeforsikring AS'!C66+'Landkreditt Forsikring'!C66+'Nordea Liv '!C66+'Oslo Pensjonsforsikring'!C66+'Protector Forsikring'!C66+'Sparebank 1 Fors.'!C66+'Storebrand Livsforsikring'!C66+'Telenor Forsikring'!C66+'Tryg Forsikring'!C66+'WaterCircles F'!C66+'Euro Accident'!C66+'Ly Forsikring'!C66+'Youplus Livsforsikring'!C66+'Oslo Forsikring'!C66</f>
        <v>5099637.1207900001</v>
      </c>
      <c r="D66" s="21">
        <f t="shared" ref="D66:D111" si="23">IF(B66=0, "    ---- ", IF(ABS(ROUND(100/B66*C66-100,1))&lt;999,ROUND(100/B66*C66-100,1),IF(ROUND(100/B66*C66-100,1)&gt;999,999,-999)))</f>
        <v>4.4000000000000004</v>
      </c>
      <c r="E66" s="184">
        <f>'Fremtind Livsforsikring'!F66+'DNB Livsforsikring'!F66+'Eika Forsikring AS'!F66+'Frende Livsforsikring'!F66+'Frende Skadeforsikring'!F66+'Gjensidige Forsikring'!F66+'Gjensidige Pensjon'!F66+'If Skadeforsikring NUF'!F66+KLP!F66+'KLP Skadeforsikring AS'!F66+'Landkreditt Forsikring'!F66+'Nordea Liv '!F66+'Oslo Pensjonsforsikring'!F66+'Protector Forsikring'!F66+'Sparebank 1 Fors.'!F66+'Storebrand Livsforsikring'!F66+'Telenor Forsikring'!F66+'Tryg Forsikring'!F66+'WaterCircles F'!F66+'Euro Accident'!F66+'Ly Forsikring'!F66+'Youplus Livsforsikring'!F66+'Oslo Forsikring'!F66</f>
        <v>26272723.103019997</v>
      </c>
      <c r="F66" s="184">
        <f>'Fremtind Livsforsikring'!G66+'DNB Livsforsikring'!G66+'Eika Forsikring AS'!G66+'Frende Livsforsikring'!G66+'Frende Skadeforsikring'!G66+'Gjensidige Forsikring'!G66+'Gjensidige Pensjon'!G66+'If Skadeforsikring NUF'!G66+KLP!G66+'KLP Skadeforsikring AS'!G66+'Landkreditt Forsikring'!G66+'Nordea Liv '!G66+'Oslo Pensjonsforsikring'!G66+'Protector Forsikring'!G66+'Sparebank 1 Fors.'!G66+'Storebrand Livsforsikring'!G66+'Telenor Forsikring'!G66+'Tryg Forsikring'!G66+'WaterCircles F'!G66+'Euro Accident'!G66+'Ly Forsikring'!G66+'Youplus Livsforsikring'!G66+'Oslo Forsikring'!G66</f>
        <v>28817589.945699997</v>
      </c>
      <c r="G66" s="127">
        <f t="shared" ref="G66:G125" si="24">IF(E66=0, "    ---- ", IF(ABS(ROUND(100/E66*F66-100,1))&lt;999,ROUND(100/E66*F66-100,1),IF(ROUND(100/E66*F66-100,1)&gt;999,999,-999)))</f>
        <v>9.6999999999999993</v>
      </c>
      <c r="H66" s="271">
        <f t="shared" ref="H66:H86" si="25">SUM(B66,E66)</f>
        <v>31156585.234289996</v>
      </c>
      <c r="I66" s="271">
        <f t="shared" ref="I66:I86" si="26">SUM(C66,F66)</f>
        <v>33917227.066489995</v>
      </c>
      <c r="J66" s="21">
        <f t="shared" ref="J66:J111" si="27">IF(H66=0, "    ---- ", IF(ABS(ROUND(100/H66*I66-100,1))&lt;999,ROUND(100/H66*I66-100,1),IF(ROUND(100/H66*I66-100,1)&gt;999,999,-999)))</f>
        <v>8.9</v>
      </c>
    </row>
    <row r="67" spans="1:10" ht="15.75" customHeight="1" x14ac:dyDescent="0.25">
      <c r="A67" s="18" t="s">
        <v>9</v>
      </c>
      <c r="B67" s="182">
        <f>'Fremtind Livsforsikring'!B67+'DNB Livsforsikring'!B67+'Eika Forsikring AS'!B67+'Frende Livsforsikring'!B67+'Frende Skadeforsikring'!B67+'Gjensidige Forsikring'!B67+'Gjensidige Pensjon'!B67+'If Skadeforsikring NUF'!B67+KLP!B67+'KLP Skadeforsikring AS'!B67+'Landkreditt Forsikring'!B67+'Nordea Liv '!B67+'Oslo Pensjonsforsikring'!B67+'Protector Forsikring'!B67+'Sparebank 1 Fors.'!B67+'Storebrand Livsforsikring'!B67+'Telenor Forsikring'!B67+'Tryg Forsikring'!B67+'WaterCircles F'!B67+'Euro Accident'!B67+'Ly Forsikring'!B67+'Youplus Livsforsikring'!B67+'Oslo Forsikring'!B67</f>
        <v>2899905.1021783743</v>
      </c>
      <c r="C67" s="182">
        <f>'Fremtind Livsforsikring'!C67+'DNB Livsforsikring'!C67+'Eika Forsikring AS'!C67+'Frende Livsforsikring'!C67+'Frende Skadeforsikring'!C67+'Gjensidige Forsikring'!C67+'Gjensidige Pensjon'!C67+'If Skadeforsikring NUF'!C67+KLP!C67+'KLP Skadeforsikring AS'!C67+'Landkreditt Forsikring'!C67+'Nordea Liv '!C67+'Oslo Pensjonsforsikring'!C67+'Protector Forsikring'!C67+'Sparebank 1 Fors.'!C67+'Storebrand Livsforsikring'!C67+'Telenor Forsikring'!C67+'Tryg Forsikring'!C67+'WaterCircles F'!C67+'Euro Accident'!C67+'Ly Forsikring'!C67+'Youplus Livsforsikring'!C67+'Oslo Forsikring'!C67</f>
        <v>2781334.0494354139</v>
      </c>
      <c r="D67" s="189">
        <f t="shared" si="23"/>
        <v>-4.0999999999999996</v>
      </c>
      <c r="E67" s="36">
        <f>'Fremtind Livsforsikring'!F67+'DNB Livsforsikring'!F67+'Eika Forsikring AS'!F67+'Frende Livsforsikring'!F67+'Frende Skadeforsikring'!F67+'Gjensidige Forsikring'!F67+'Gjensidige Pensjon'!F67+'If Skadeforsikring NUF'!F67+KLP!F67+'KLP Skadeforsikring AS'!F67+'Landkreditt Forsikring'!F67+'Nordea Liv '!F67+'Oslo Pensjonsforsikring'!F67+'Protector Forsikring'!F67+'Sparebank 1 Fors.'!F67+'Storebrand Livsforsikring'!F67+'Telenor Forsikring'!F67+'Tryg Forsikring'!F67+'WaterCircles F'!F67+'Euro Accident'!F67+'Ly Forsikring'!F67+'Youplus Livsforsikring'!F67+'Oslo Forsikring'!F67</f>
        <v>0</v>
      </c>
      <c r="F67" s="36">
        <f>'Fremtind Livsforsikring'!G67+'DNB Livsforsikring'!G67+'Eika Forsikring AS'!G67+'Frende Livsforsikring'!G67+'Frende Skadeforsikring'!G67+'Gjensidige Forsikring'!G67+'Gjensidige Pensjon'!G67+'If Skadeforsikring NUF'!G67+KLP!G67+'KLP Skadeforsikring AS'!G67+'Landkreditt Forsikring'!G67+'Nordea Liv '!G67+'Oslo Pensjonsforsikring'!G67+'Protector Forsikring'!G67+'Sparebank 1 Fors.'!G67+'Storebrand Livsforsikring'!G67+'Telenor Forsikring'!G67+'Tryg Forsikring'!G67+'WaterCircles F'!G67+'Euro Accident'!G67+'Ly Forsikring'!G67+'Youplus Livsforsikring'!G67+'Oslo Forsikring'!G67</f>
        <v>0</v>
      </c>
      <c r="G67" s="123"/>
      <c r="H67" s="185">
        <f t="shared" si="25"/>
        <v>2899905.1021783743</v>
      </c>
      <c r="I67" s="185">
        <f t="shared" si="26"/>
        <v>2781334.0494354139</v>
      </c>
      <c r="J67" s="20">
        <f t="shared" si="27"/>
        <v>-4.0999999999999996</v>
      </c>
    </row>
    <row r="68" spans="1:10" ht="15.75" customHeight="1" x14ac:dyDescent="0.25">
      <c r="A68" s="18" t="s">
        <v>10</v>
      </c>
      <c r="B68" s="182">
        <f>'Fremtind Livsforsikring'!B68+'DNB Livsforsikring'!B68+'Eika Forsikring AS'!B68+'Frende Livsforsikring'!B68+'Frende Skadeforsikring'!B68+'Gjensidige Forsikring'!B68+'Gjensidige Pensjon'!B68+'If Skadeforsikring NUF'!B68+KLP!B68+'KLP Skadeforsikring AS'!B68+'Landkreditt Forsikring'!B68+'Nordea Liv '!B68+'Oslo Pensjonsforsikring'!B68+'Protector Forsikring'!B68+'Sparebank 1 Fors.'!B68+'Storebrand Livsforsikring'!B68+'Telenor Forsikring'!B68+'Tryg Forsikring'!B68+'WaterCircles F'!B68+'Euro Accident'!B68+'Ly Forsikring'!B68+'Youplus Livsforsikring'!B68+'Oslo Forsikring'!B68</f>
        <v>16944.74914</v>
      </c>
      <c r="C68" s="182">
        <f>'Fremtind Livsforsikring'!C68+'DNB Livsforsikring'!C68+'Eika Forsikring AS'!C68+'Frende Livsforsikring'!C68+'Frende Skadeforsikring'!C68+'Gjensidige Forsikring'!C68+'Gjensidige Pensjon'!C68+'If Skadeforsikring NUF'!C68+KLP!C68+'KLP Skadeforsikring AS'!C68+'Landkreditt Forsikring'!C68+'Nordea Liv '!C68+'Oslo Pensjonsforsikring'!C68+'Protector Forsikring'!C68+'Sparebank 1 Fors.'!C68+'Storebrand Livsforsikring'!C68+'Telenor Forsikring'!C68+'Tryg Forsikring'!C68+'WaterCircles F'!C68+'Euro Accident'!C68+'Ly Forsikring'!C68+'Youplus Livsforsikring'!C68+'Oslo Forsikring'!C68</f>
        <v>13965.851000000001</v>
      </c>
      <c r="D68" s="189">
        <f t="shared" si="23"/>
        <v>-17.600000000000001</v>
      </c>
      <c r="E68" s="36">
        <f>'Fremtind Livsforsikring'!F68+'DNB Livsforsikring'!F68+'Eika Forsikring AS'!F68+'Frende Livsforsikring'!F68+'Frende Skadeforsikring'!F68+'Gjensidige Forsikring'!F68+'Gjensidige Pensjon'!F68+'If Skadeforsikring NUF'!F68+KLP!F68+'KLP Skadeforsikring AS'!F68+'Landkreditt Forsikring'!F68+'Nordea Liv '!F68+'Oslo Pensjonsforsikring'!F68+'Protector Forsikring'!F68+'Sparebank 1 Fors.'!F68+'Storebrand Livsforsikring'!F68+'Telenor Forsikring'!F68+'Tryg Forsikring'!F68+'WaterCircles F'!F68+'Euro Accident'!F68+'Ly Forsikring'!F68+'Youplus Livsforsikring'!F68+'Oslo Forsikring'!F68</f>
        <v>25246125.334059998</v>
      </c>
      <c r="F68" s="36">
        <f>'Fremtind Livsforsikring'!G68+'DNB Livsforsikring'!G68+'Eika Forsikring AS'!G68+'Frende Livsforsikring'!G68+'Frende Skadeforsikring'!G68+'Gjensidige Forsikring'!G68+'Gjensidige Pensjon'!G68+'If Skadeforsikring NUF'!G68+KLP!G68+'KLP Skadeforsikring AS'!G68+'Landkreditt Forsikring'!G68+'Nordea Liv '!G68+'Oslo Pensjonsforsikring'!G68+'Protector Forsikring'!G68+'Sparebank 1 Fors.'!G68+'Storebrand Livsforsikring'!G68+'Telenor Forsikring'!G68+'Tryg Forsikring'!G68+'WaterCircles F'!G68+'Euro Accident'!G68+'Ly Forsikring'!G68+'Youplus Livsforsikring'!G68+'Oslo Forsikring'!G68</f>
        <v>27743267.765700001</v>
      </c>
      <c r="G68" s="123">
        <f t="shared" si="24"/>
        <v>9.9</v>
      </c>
      <c r="H68" s="185">
        <f t="shared" si="25"/>
        <v>25263070.0832</v>
      </c>
      <c r="I68" s="185">
        <f t="shared" si="26"/>
        <v>27757233.616700001</v>
      </c>
      <c r="J68" s="20">
        <f t="shared" si="27"/>
        <v>9.9</v>
      </c>
    </row>
    <row r="69" spans="1:10" ht="15.75" customHeight="1" x14ac:dyDescent="0.2">
      <c r="A69" s="241" t="s">
        <v>338</v>
      </c>
      <c r="B69" s="262"/>
      <c r="C69" s="262"/>
      <c r="D69" s="23"/>
      <c r="E69" s="262"/>
      <c r="F69" s="262"/>
      <c r="G69" s="123"/>
      <c r="H69" s="262"/>
      <c r="I69" s="262"/>
      <c r="J69" s="20"/>
    </row>
    <row r="70" spans="1:10" ht="15.75" customHeight="1" x14ac:dyDescent="0.2">
      <c r="A70" s="241" t="s">
        <v>12</v>
      </c>
      <c r="B70" s="262"/>
      <c r="C70" s="262"/>
      <c r="D70" s="23"/>
      <c r="E70" s="262"/>
      <c r="F70" s="262"/>
      <c r="G70" s="123"/>
      <c r="H70" s="262"/>
      <c r="I70" s="262"/>
      <c r="J70" s="20"/>
    </row>
    <row r="71" spans="1:10" ht="15.75" customHeight="1" x14ac:dyDescent="0.2">
      <c r="A71" s="241" t="s">
        <v>13</v>
      </c>
      <c r="B71" s="262"/>
      <c r="C71" s="262"/>
      <c r="D71" s="23"/>
      <c r="E71" s="262"/>
      <c r="F71" s="262"/>
      <c r="G71" s="123"/>
      <c r="H71" s="262"/>
      <c r="I71" s="262"/>
      <c r="J71" s="20"/>
    </row>
    <row r="72" spans="1:10" ht="15.75" customHeight="1" x14ac:dyDescent="0.2">
      <c r="A72" s="241" t="s">
        <v>339</v>
      </c>
      <c r="B72" s="262"/>
      <c r="C72" s="262"/>
      <c r="D72" s="23"/>
      <c r="E72" s="262"/>
      <c r="F72" s="262"/>
      <c r="G72" s="123"/>
      <c r="H72" s="262"/>
      <c r="I72" s="262"/>
      <c r="J72" s="21"/>
    </row>
    <row r="73" spans="1:10" ht="15.75" customHeight="1" x14ac:dyDescent="0.2">
      <c r="A73" s="241" t="s">
        <v>12</v>
      </c>
      <c r="B73" s="183"/>
      <c r="C73" s="183"/>
      <c r="D73" s="23"/>
      <c r="E73" s="262"/>
      <c r="F73" s="262"/>
      <c r="G73" s="123"/>
      <c r="H73" s="262"/>
      <c r="I73" s="262"/>
      <c r="J73" s="20"/>
    </row>
    <row r="74" spans="1:10" ht="15.75" customHeight="1" x14ac:dyDescent="0.2">
      <c r="A74" s="241" t="s">
        <v>13</v>
      </c>
      <c r="B74" s="183"/>
      <c r="C74" s="183"/>
      <c r="D74" s="23"/>
      <c r="E74" s="262"/>
      <c r="F74" s="262"/>
      <c r="G74" s="123"/>
      <c r="H74" s="262"/>
      <c r="I74" s="262"/>
      <c r="J74" s="20"/>
    </row>
    <row r="75" spans="1:10" ht="15.75" customHeight="1" x14ac:dyDescent="0.2">
      <c r="A75" s="18" t="s">
        <v>310</v>
      </c>
      <c r="B75" s="36">
        <f>'Fremtind Livsforsikring'!B75+'DNB Livsforsikring'!B75+'Eika Forsikring AS'!B75+'Frende Livsforsikring'!B75+'Frende Skadeforsikring'!B75+'Gjensidige Forsikring'!B75+'Gjensidige Pensjon'!B75+'If Skadeforsikring NUF'!B75+KLP!B75+'KLP Skadeforsikring AS'!B75+'Landkreditt Forsikring'!B75+'Nordea Liv '!B75+'Oslo Pensjonsforsikring'!B75+'Protector Forsikring'!B75+'Sparebank 1 Fors.'!B75+'Storebrand Livsforsikring'!B75+'Telenor Forsikring'!B75+'Tryg Forsikring'!B75+'WaterCircles F'!B75+'Euro Accident'!B75+'Ly Forsikring'!B75+'Youplus Livsforsikring'!B75+'Oslo Forsikring'!B75</f>
        <v>393829.47787</v>
      </c>
      <c r="C75" s="36">
        <f>'Fremtind Livsforsikring'!C75+'DNB Livsforsikring'!C75+'Eika Forsikring AS'!C75+'Frende Livsforsikring'!C75+'Frende Skadeforsikring'!C75+'Gjensidige Forsikring'!C75+'Gjensidige Pensjon'!C75+'If Skadeforsikring NUF'!C75+KLP!C75+'KLP Skadeforsikring AS'!C75+'Landkreditt Forsikring'!C75+'Nordea Liv '!C75+'Oslo Pensjonsforsikring'!C75+'Protector Forsikring'!C75+'Sparebank 1 Fors.'!C75+'Storebrand Livsforsikring'!C75+'Telenor Forsikring'!C75+'Tryg Forsikring'!C75+'WaterCircles F'!C75+'Euro Accident'!C75+'Ly Forsikring'!C75+'Youplus Livsforsikring'!C75+'Oslo Forsikring'!C75</f>
        <v>511687.59950000001</v>
      </c>
      <c r="D75" s="20">
        <f t="shared" si="23"/>
        <v>29.9</v>
      </c>
      <c r="E75" s="36">
        <f>'Fremtind Livsforsikring'!F75+'DNB Livsforsikring'!F75+'Eika Forsikring AS'!F75+'Frende Livsforsikring'!F75+'Frende Skadeforsikring'!F75+'Gjensidige Forsikring'!F75+'Gjensidige Pensjon'!F75+'If Skadeforsikring NUF'!F75+KLP!F75+'KLP Skadeforsikring AS'!F75+'Landkreditt Forsikring'!F75+'Nordea Liv '!F75+'Oslo Pensjonsforsikring'!F75+'Protector Forsikring'!F75+'Sparebank 1 Fors.'!F75+'Storebrand Livsforsikring'!F75+'Telenor Forsikring'!F75+'Tryg Forsikring'!F75+'WaterCircles F'!F75+'Euro Accident'!F75+'Ly Forsikring'!F75+'Youplus Livsforsikring'!F75+'Oslo Forsikring'!F75</f>
        <v>1026597.76896</v>
      </c>
      <c r="F75" s="36">
        <f>'Fremtind Livsforsikring'!G75+'DNB Livsforsikring'!G75+'Eika Forsikring AS'!G75+'Frende Livsforsikring'!G75+'Frende Skadeforsikring'!G75+'Gjensidige Forsikring'!G75+'Gjensidige Pensjon'!G75+'If Skadeforsikring NUF'!G75+KLP!G75+'KLP Skadeforsikring AS'!G75+'Landkreditt Forsikring'!G75+'Nordea Liv '!G75+'Oslo Pensjonsforsikring'!G75+'Protector Forsikring'!G75+'Sparebank 1 Fors.'!G75+'Storebrand Livsforsikring'!G75+'Telenor Forsikring'!G75+'Tryg Forsikring'!G75+'WaterCircles F'!G75+'Euro Accident'!G75+'Ly Forsikring'!G75+'Youplus Livsforsikring'!G75+'Oslo Forsikring'!G75</f>
        <v>1074322.18</v>
      </c>
      <c r="G75" s="123">
        <f t="shared" si="24"/>
        <v>4.5999999999999996</v>
      </c>
      <c r="H75" s="185">
        <f t="shared" si="25"/>
        <v>1420427.2468300001</v>
      </c>
      <c r="I75" s="185">
        <f t="shared" si="26"/>
        <v>1586009.7794999999</v>
      </c>
      <c r="J75" s="20">
        <f t="shared" si="27"/>
        <v>11.7</v>
      </c>
    </row>
    <row r="76" spans="1:10" ht="15.75" customHeight="1" x14ac:dyDescent="0.2">
      <c r="A76" s="18" t="s">
        <v>309</v>
      </c>
      <c r="B76" s="36">
        <f>'Fremtind Livsforsikring'!B76+'DNB Livsforsikring'!B76+'Eika Forsikring AS'!B76+'Frende Livsforsikring'!B76+'Frende Skadeforsikring'!B76+'Gjensidige Forsikring'!B76+'Gjensidige Pensjon'!B76+'If Skadeforsikring NUF'!B76+KLP!B76+'KLP Skadeforsikring AS'!B76+'Landkreditt Forsikring'!B76+'Nordea Liv '!B76+'Oslo Pensjonsforsikring'!B76+'Protector Forsikring'!B76+'Sparebank 1 Fors.'!B76+'Storebrand Livsforsikring'!B76+'Telenor Forsikring'!B76+'Tryg Forsikring'!B76+'WaterCircles F'!B76+'Euro Accident'!B76+'Ly Forsikring'!B76+'Youplus Livsforsikring'!B76+'Oslo Forsikring'!B76</f>
        <v>1573182.8020816259</v>
      </c>
      <c r="C76" s="36">
        <f>'Fremtind Livsforsikring'!C76+'DNB Livsforsikring'!C76+'Eika Forsikring AS'!C76+'Frende Livsforsikring'!C76+'Frende Skadeforsikring'!C76+'Gjensidige Forsikring'!C76+'Gjensidige Pensjon'!C76+'If Skadeforsikring NUF'!C76+KLP!C76+'KLP Skadeforsikring AS'!C76+'Landkreditt Forsikring'!C76+'Nordea Liv '!C76+'Oslo Pensjonsforsikring'!C76+'Protector Forsikring'!C76+'Sparebank 1 Fors.'!C76+'Storebrand Livsforsikring'!C76+'Telenor Forsikring'!C76+'Tryg Forsikring'!C76+'WaterCircles F'!C76+'Euro Accident'!C76+'Ly Forsikring'!C76+'Youplus Livsforsikring'!C76+'Oslo Forsikring'!C76</f>
        <v>1792649.6208545861</v>
      </c>
      <c r="D76" s="20">
        <f t="shared" ref="D76" si="28">IF(B76=0, "    ---- ", IF(ABS(ROUND(100/B76*C76-100,1))&lt;999,ROUND(100/B76*C76-100,1),IF(ROUND(100/B76*C76-100,1)&gt;999,999,-999)))</f>
        <v>14</v>
      </c>
      <c r="E76" s="36">
        <f>'Fremtind Livsforsikring'!F76+'DNB Livsforsikring'!F76+'Eika Forsikring AS'!F76+'Frende Livsforsikring'!F76+'Frende Skadeforsikring'!F76+'Gjensidige Forsikring'!F76+'Gjensidige Pensjon'!F76+'If Skadeforsikring NUF'!F76+KLP!F76+'KLP Skadeforsikring AS'!F76+'Landkreditt Forsikring'!F76+'Nordea Liv '!F76+'Oslo Pensjonsforsikring'!F76+'Protector Forsikring'!F76+'Sparebank 1 Fors.'!F76+'Storebrand Livsforsikring'!F76+'Telenor Forsikring'!F76+'Tryg Forsikring'!F76+'WaterCircles F'!F76+'Euro Accident'!F76+'Ly Forsikring'!F76+'Youplus Livsforsikring'!F76+'Oslo Forsikring'!F76</f>
        <v>0</v>
      </c>
      <c r="F76" s="36">
        <f>'Fremtind Livsforsikring'!G76+'DNB Livsforsikring'!G76+'Eika Forsikring AS'!G76+'Frende Livsforsikring'!G76+'Frende Skadeforsikring'!G76+'Gjensidige Forsikring'!G76+'Gjensidige Pensjon'!G76+'If Skadeforsikring NUF'!G76+KLP!G76+'KLP Skadeforsikring AS'!G76+'Landkreditt Forsikring'!G76+'Nordea Liv '!G76+'Oslo Pensjonsforsikring'!G76+'Protector Forsikring'!G76+'Sparebank 1 Fors.'!G76+'Storebrand Livsforsikring'!G76+'Telenor Forsikring'!G76+'Tryg Forsikring'!G76+'WaterCircles F'!G76+'Euro Accident'!G76+'Ly Forsikring'!G76+'Youplus Livsforsikring'!G76+'Oslo Forsikring'!G76</f>
        <v>0</v>
      </c>
      <c r="G76" s="123"/>
      <c r="H76" s="185">
        <f t="shared" ref="H76" si="29">SUM(B76,E76)</f>
        <v>1573182.8020816259</v>
      </c>
      <c r="I76" s="185">
        <f t="shared" ref="I76" si="30">SUM(C76,F76)</f>
        <v>1792649.6208545861</v>
      </c>
      <c r="J76" s="20">
        <f t="shared" ref="J76" si="31">IF(H76=0, "    ---- ", IF(ABS(ROUND(100/H76*I76-100,1))&lt;999,ROUND(100/H76*I76-100,1),IF(ROUND(100/H76*I76-100,1)&gt;999,999,-999)))</f>
        <v>14</v>
      </c>
    </row>
    <row r="77" spans="1:10" ht="15.75" customHeight="1" x14ac:dyDescent="0.2">
      <c r="A77" s="18" t="s">
        <v>340</v>
      </c>
      <c r="B77" s="36">
        <f>'Fremtind Livsforsikring'!B77+'DNB Livsforsikring'!B77+'Eika Forsikring AS'!B77+'Frende Livsforsikring'!B77+'Frende Skadeforsikring'!B77+'Gjensidige Forsikring'!B77+'Gjensidige Pensjon'!B77+'If Skadeforsikring NUF'!B77+KLP!B77+'KLP Skadeforsikring AS'!B77+'Landkreditt Forsikring'!B77+'Nordea Liv '!B77+'Oslo Pensjonsforsikring'!B77+'Protector Forsikring'!B77+'Sparebank 1 Fors.'!B77+'Storebrand Livsforsikring'!B77+'Telenor Forsikring'!B77+'Tryg Forsikring'!B77+'WaterCircles F'!B77+'Euro Accident'!B77+'Ly Forsikring'!B77+'Youplus Livsforsikring'!B77+'Oslo Forsikring'!B77</f>
        <v>2846774.2263183743</v>
      </c>
      <c r="C77" s="36">
        <f>'Fremtind Livsforsikring'!C77+'DNB Livsforsikring'!C77+'Eika Forsikring AS'!C77+'Frende Livsforsikring'!C77+'Frende Skadeforsikring'!C77+'Gjensidige Forsikring'!C77+'Gjensidige Pensjon'!C77+'If Skadeforsikring NUF'!C77+KLP!C77+'KLP Skadeforsikring AS'!C77+'Landkreditt Forsikring'!C77+'Nordea Liv '!C77+'Oslo Pensjonsforsikring'!C77+'Protector Forsikring'!C77+'Sparebank 1 Fors.'!C77+'Storebrand Livsforsikring'!C77+'Telenor Forsikring'!C77+'Tryg Forsikring'!C77+'WaterCircles F'!C77+'Euro Accident'!C77+'Ly Forsikring'!C77+'Youplus Livsforsikring'!C77+'Oslo Forsikring'!C77</f>
        <v>2727723.3884354141</v>
      </c>
      <c r="D77" s="20">
        <f t="shared" si="23"/>
        <v>-4.2</v>
      </c>
      <c r="E77" s="36">
        <f>'Fremtind Livsforsikring'!F77+'DNB Livsforsikring'!F77+'Eika Forsikring AS'!F77+'Frende Livsforsikring'!F77+'Frende Skadeforsikring'!F77+'Gjensidige Forsikring'!F77+'Gjensidige Pensjon'!F77+'If Skadeforsikring NUF'!F77+KLP!F77+'KLP Skadeforsikring AS'!F77+'Landkreditt Forsikring'!F77+'Nordea Liv '!F77+'Oslo Pensjonsforsikring'!F77+'Protector Forsikring'!F77+'Sparebank 1 Fors.'!F77+'Storebrand Livsforsikring'!F77+'Telenor Forsikring'!F77+'Tryg Forsikring'!F77+'WaterCircles F'!F77+'Euro Accident'!F77+'Ly Forsikring'!F77+'Youplus Livsforsikring'!F77+'Oslo Forsikring'!F77</f>
        <v>25239546.54806</v>
      </c>
      <c r="F77" s="36">
        <f>'Fremtind Livsforsikring'!G77+'DNB Livsforsikring'!G77+'Eika Forsikring AS'!G77+'Frende Livsforsikring'!G77+'Frende Skadeforsikring'!G77+'Gjensidige Forsikring'!G77+'Gjensidige Pensjon'!G77+'If Skadeforsikring NUF'!G77+KLP!G77+'KLP Skadeforsikring AS'!G77+'Landkreditt Forsikring'!G77+'Nordea Liv '!G77+'Oslo Pensjonsforsikring'!G77+'Protector Forsikring'!G77+'Sparebank 1 Fors.'!G77+'Storebrand Livsforsikring'!G77+'Telenor Forsikring'!G77+'Tryg Forsikring'!G77+'WaterCircles F'!G77+'Euro Accident'!G77+'Ly Forsikring'!G77+'Youplus Livsforsikring'!G77+'Oslo Forsikring'!G77</f>
        <v>27736412.639699999</v>
      </c>
      <c r="G77" s="123">
        <f t="shared" si="24"/>
        <v>9.9</v>
      </c>
      <c r="H77" s="185">
        <f t="shared" si="25"/>
        <v>28086320.774378374</v>
      </c>
      <c r="I77" s="185">
        <f t="shared" si="26"/>
        <v>30464136.028135411</v>
      </c>
      <c r="J77" s="20">
        <f t="shared" si="27"/>
        <v>8.5</v>
      </c>
    </row>
    <row r="78" spans="1:10" ht="15.75" customHeight="1" x14ac:dyDescent="0.2">
      <c r="A78" s="18" t="s">
        <v>9</v>
      </c>
      <c r="B78" s="36">
        <f>'Fremtind Livsforsikring'!B78+'DNB Livsforsikring'!B78+'Eika Forsikring AS'!B78+'Frende Livsforsikring'!B78+'Frende Skadeforsikring'!B78+'Gjensidige Forsikring'!B78+'Gjensidige Pensjon'!B78+'If Skadeforsikring NUF'!B78+KLP!B78+'KLP Skadeforsikring AS'!B78+'Landkreditt Forsikring'!B78+'Nordea Liv '!B78+'Oslo Pensjonsforsikring'!B78+'Protector Forsikring'!B78+'Sparebank 1 Fors.'!B78+'Storebrand Livsforsikring'!B78+'Telenor Forsikring'!B78+'Tryg Forsikring'!B78+'WaterCircles F'!B78+'Euro Accident'!B78+'Ly Forsikring'!B78+'Youplus Livsforsikring'!B78+'Oslo Forsikring'!B78</f>
        <v>2829829.4771783743</v>
      </c>
      <c r="C78" s="36">
        <f>'Fremtind Livsforsikring'!C78+'DNB Livsforsikring'!C78+'Eika Forsikring AS'!C78+'Frende Livsforsikring'!C78+'Frende Skadeforsikring'!C78+'Gjensidige Forsikring'!C78+'Gjensidige Pensjon'!C78+'If Skadeforsikring NUF'!C78+KLP!C78+'KLP Skadeforsikring AS'!C78+'Landkreditt Forsikring'!C78+'Nordea Liv '!C78+'Oslo Pensjonsforsikring'!C78+'Protector Forsikring'!C78+'Sparebank 1 Fors.'!C78+'Storebrand Livsforsikring'!C78+'Telenor Forsikring'!C78+'Tryg Forsikring'!C78+'WaterCircles F'!C78+'Euro Accident'!C78+'Ly Forsikring'!C78+'Youplus Livsforsikring'!C78+'Oslo Forsikring'!C78</f>
        <v>2713757.5374354138</v>
      </c>
      <c r="D78" s="20">
        <f t="shared" si="23"/>
        <v>-4.0999999999999996</v>
      </c>
      <c r="E78" s="36">
        <f>'Fremtind Livsforsikring'!F78+'DNB Livsforsikring'!F78+'Eika Forsikring AS'!F78+'Frende Livsforsikring'!F78+'Frende Skadeforsikring'!F78+'Gjensidige Forsikring'!F78+'Gjensidige Pensjon'!F78+'If Skadeforsikring NUF'!F78+KLP!F78+'KLP Skadeforsikring AS'!F78+'Landkreditt Forsikring'!F78+'Nordea Liv '!F78+'Oslo Pensjonsforsikring'!F78+'Protector Forsikring'!F78+'Sparebank 1 Fors.'!F78+'Storebrand Livsforsikring'!F78+'Telenor Forsikring'!F78+'Tryg Forsikring'!F78+'WaterCircles F'!F78+'Euro Accident'!F78+'Ly Forsikring'!F78+'Youplus Livsforsikring'!F78+'Oslo Forsikring'!F78</f>
        <v>0</v>
      </c>
      <c r="F78" s="36">
        <f>'Fremtind Livsforsikring'!G78+'DNB Livsforsikring'!G78+'Eika Forsikring AS'!G78+'Frende Livsforsikring'!G78+'Frende Skadeforsikring'!G78+'Gjensidige Forsikring'!G78+'Gjensidige Pensjon'!G78+'If Skadeforsikring NUF'!G78+KLP!G78+'KLP Skadeforsikring AS'!G78+'Landkreditt Forsikring'!G78+'Nordea Liv '!G78+'Oslo Pensjonsforsikring'!G78+'Protector Forsikring'!G78+'Sparebank 1 Fors.'!G78+'Storebrand Livsforsikring'!G78+'Telenor Forsikring'!G78+'Tryg Forsikring'!G78+'WaterCircles F'!G78+'Euro Accident'!G78+'Ly Forsikring'!G78+'Youplus Livsforsikring'!G78+'Oslo Forsikring'!G78</f>
        <v>0</v>
      </c>
      <c r="G78" s="123"/>
      <c r="H78" s="185">
        <f t="shared" si="25"/>
        <v>2829829.4771783743</v>
      </c>
      <c r="I78" s="185">
        <f t="shared" si="26"/>
        <v>2713757.5374354138</v>
      </c>
      <c r="J78" s="20">
        <f t="shared" si="27"/>
        <v>-4.0999999999999996</v>
      </c>
    </row>
    <row r="79" spans="1:10" ht="15.75" customHeight="1" x14ac:dyDescent="0.2">
      <c r="A79" s="18" t="s">
        <v>368</v>
      </c>
      <c r="B79" s="36">
        <f>'Fremtind Livsforsikring'!B79+'DNB Livsforsikring'!B79+'Eika Forsikring AS'!B79+'Frende Livsforsikring'!B79+'Frende Skadeforsikring'!B79+'Gjensidige Forsikring'!B79+'Gjensidige Pensjon'!B79+'If Skadeforsikring NUF'!B79+KLP!B79+'KLP Skadeforsikring AS'!B79+'Landkreditt Forsikring'!B79+'Nordea Liv '!B79+'Oslo Pensjonsforsikring'!B79+'Protector Forsikring'!B79+'Sparebank 1 Fors.'!B79+'Storebrand Livsforsikring'!B79+'Telenor Forsikring'!B79+'Tryg Forsikring'!B79+'WaterCircles F'!B79+'Euro Accident'!B79+'Ly Forsikring'!B79+'Youplus Livsforsikring'!B79+'Oslo Forsikring'!B79</f>
        <v>16944.74914</v>
      </c>
      <c r="C79" s="36">
        <f>'Fremtind Livsforsikring'!C79+'DNB Livsforsikring'!C79+'Eika Forsikring AS'!C79+'Frende Livsforsikring'!C79+'Frende Skadeforsikring'!C79+'Gjensidige Forsikring'!C79+'Gjensidige Pensjon'!C79+'If Skadeforsikring NUF'!C79+KLP!C79+'KLP Skadeforsikring AS'!C79+'Landkreditt Forsikring'!C79+'Nordea Liv '!C79+'Oslo Pensjonsforsikring'!C79+'Protector Forsikring'!C79+'Sparebank 1 Fors.'!C79+'Storebrand Livsforsikring'!C79+'Telenor Forsikring'!C79+'Tryg Forsikring'!C79+'WaterCircles F'!C79+'Euro Accident'!C79+'Ly Forsikring'!C79+'Youplus Livsforsikring'!C79+'Oslo Forsikring'!C79</f>
        <v>13965.851000000001</v>
      </c>
      <c r="D79" s="20">
        <f t="shared" si="23"/>
        <v>-17.600000000000001</v>
      </c>
      <c r="E79" s="36">
        <f>'Fremtind Livsforsikring'!F79+'DNB Livsforsikring'!F79+'Eika Forsikring AS'!F79+'Frende Livsforsikring'!F79+'Frende Skadeforsikring'!F79+'Gjensidige Forsikring'!F79+'Gjensidige Pensjon'!F79+'If Skadeforsikring NUF'!F79+KLP!F79+'KLP Skadeforsikring AS'!F79+'Landkreditt Forsikring'!F79+'Nordea Liv '!F79+'Oslo Pensjonsforsikring'!F79+'Protector Forsikring'!F79+'Sparebank 1 Fors.'!F79+'Storebrand Livsforsikring'!F79+'Telenor Forsikring'!F79+'Tryg Forsikring'!F79+'WaterCircles F'!F79+'Euro Accident'!F79+'Ly Forsikring'!F79+'Youplus Livsforsikring'!F79+'Oslo Forsikring'!F79</f>
        <v>25239546.54806</v>
      </c>
      <c r="F79" s="36">
        <f>'Fremtind Livsforsikring'!G79+'DNB Livsforsikring'!G79+'Eika Forsikring AS'!G79+'Frende Livsforsikring'!G79+'Frende Skadeforsikring'!G79+'Gjensidige Forsikring'!G79+'Gjensidige Pensjon'!G79+'If Skadeforsikring NUF'!G79+KLP!G79+'KLP Skadeforsikring AS'!G79+'Landkreditt Forsikring'!G79+'Nordea Liv '!G79+'Oslo Pensjonsforsikring'!G79+'Protector Forsikring'!G79+'Sparebank 1 Fors.'!G79+'Storebrand Livsforsikring'!G79+'Telenor Forsikring'!G79+'Tryg Forsikring'!G79+'WaterCircles F'!G79+'Euro Accident'!G79+'Ly Forsikring'!G79+'Youplus Livsforsikring'!G79+'Oslo Forsikring'!G79</f>
        <v>27736412.639699999</v>
      </c>
      <c r="G79" s="123">
        <f t="shared" si="24"/>
        <v>9.9</v>
      </c>
      <c r="H79" s="185">
        <f t="shared" si="25"/>
        <v>25256491.297200002</v>
      </c>
      <c r="I79" s="185">
        <f t="shared" si="26"/>
        <v>27750378.490699999</v>
      </c>
      <c r="J79" s="20">
        <f t="shared" si="27"/>
        <v>9.9</v>
      </c>
    </row>
    <row r="80" spans="1:10" ht="15.75" customHeight="1" x14ac:dyDescent="0.2">
      <c r="A80" s="241" t="s">
        <v>338</v>
      </c>
      <c r="B80" s="262"/>
      <c r="C80" s="262"/>
      <c r="D80" s="23"/>
      <c r="E80" s="262"/>
      <c r="F80" s="262"/>
      <c r="G80" s="123"/>
      <c r="H80" s="262"/>
      <c r="I80" s="262"/>
      <c r="J80" s="20"/>
    </row>
    <row r="81" spans="1:13" ht="15.75" customHeight="1" x14ac:dyDescent="0.2">
      <c r="A81" s="241" t="s">
        <v>12</v>
      </c>
      <c r="B81" s="262"/>
      <c r="C81" s="262"/>
      <c r="D81" s="23"/>
      <c r="E81" s="262"/>
      <c r="F81" s="262"/>
      <c r="G81" s="123"/>
      <c r="H81" s="262"/>
      <c r="I81" s="262"/>
      <c r="J81" s="20"/>
    </row>
    <row r="82" spans="1:13" ht="15.75" customHeight="1" x14ac:dyDescent="0.2">
      <c r="A82" s="241" t="s">
        <v>13</v>
      </c>
      <c r="B82" s="262"/>
      <c r="C82" s="262"/>
      <c r="D82" s="23"/>
      <c r="E82" s="262"/>
      <c r="F82" s="262"/>
      <c r="G82" s="123"/>
      <c r="H82" s="262"/>
      <c r="I82" s="262"/>
      <c r="J82" s="20"/>
    </row>
    <row r="83" spans="1:13" ht="15.75" customHeight="1" x14ac:dyDescent="0.2">
      <c r="A83" s="241" t="s">
        <v>339</v>
      </c>
      <c r="B83" s="262"/>
      <c r="C83" s="262"/>
      <c r="D83" s="23"/>
      <c r="E83" s="262"/>
      <c r="F83" s="262"/>
      <c r="G83" s="123"/>
      <c r="H83" s="262"/>
      <c r="I83" s="262"/>
      <c r="J83" s="21"/>
    </row>
    <row r="84" spans="1:13" ht="15.75" customHeight="1" x14ac:dyDescent="0.2">
      <c r="A84" s="241" t="s">
        <v>12</v>
      </c>
      <c r="B84" s="183"/>
      <c r="C84" s="183"/>
      <c r="D84" s="23"/>
      <c r="E84" s="262"/>
      <c r="F84" s="262"/>
      <c r="G84" s="123"/>
      <c r="H84" s="262"/>
      <c r="I84" s="262"/>
      <c r="J84" s="20"/>
    </row>
    <row r="85" spans="1:13" ht="15.75" customHeight="1" x14ac:dyDescent="0.2">
      <c r="A85" s="241" t="s">
        <v>13</v>
      </c>
      <c r="B85" s="183"/>
      <c r="C85" s="183"/>
      <c r="D85" s="23"/>
      <c r="E85" s="262"/>
      <c r="F85" s="262"/>
      <c r="G85" s="123"/>
      <c r="H85" s="262"/>
      <c r="I85" s="262"/>
      <c r="J85" s="20"/>
    </row>
    <row r="86" spans="1:13" ht="15.75" customHeight="1" x14ac:dyDescent="0.2">
      <c r="A86" s="18" t="s">
        <v>341</v>
      </c>
      <c r="B86" s="182">
        <f>'Fremtind Livsforsikring'!B86+'DNB Livsforsikring'!B86+'Eika Forsikring AS'!B86+'Frende Livsforsikring'!B86+'Frende Skadeforsikring'!B86+'Gjensidige Forsikring'!B86+'Gjensidige Pensjon'!B86+'If Skadeforsikring NUF'!B86+KLP!B86+'KLP Skadeforsikring AS'!B86+'Landkreditt Forsikring'!B86+'Nordea Liv '!B86+'Oslo Pensjonsforsikring'!B86+'Protector Forsikring'!B86+'Sparebank 1 Fors.'!B86+'Storebrand Livsforsikring'!B86+'Telenor Forsikring'!B86+'Tryg Forsikring'!B86+'WaterCircles F'!B86+'Euro Accident'!B86+'Ly Forsikring'!B86+'Youplus Livsforsikring'!B86+'Oslo Forsikring'!B86</f>
        <v>70075.729000000007</v>
      </c>
      <c r="C86" s="182">
        <f>'Fremtind Livsforsikring'!C86+'DNB Livsforsikring'!C86+'Eika Forsikring AS'!C86+'Frende Livsforsikring'!C86+'Frende Skadeforsikring'!C86+'Gjensidige Forsikring'!C86+'Gjensidige Pensjon'!C86+'If Skadeforsikring NUF'!C86+KLP!C86+'KLP Skadeforsikring AS'!C86+'Landkreditt Forsikring'!C86+'Nordea Liv '!C86+'Oslo Pensjonsforsikring'!C86+'Protector Forsikring'!C86+'Sparebank 1 Fors.'!C86+'Storebrand Livsforsikring'!C86+'Telenor Forsikring'!C86+'Tryg Forsikring'!C86+'WaterCircles F'!C86+'Euro Accident'!C86+'Ly Forsikring'!C86+'Youplus Livsforsikring'!C86+'Oslo Forsikring'!C86</f>
        <v>67576.512000000002</v>
      </c>
      <c r="D86" s="20">
        <f t="shared" si="23"/>
        <v>-3.6</v>
      </c>
      <c r="E86" s="36">
        <f>'Fremtind Livsforsikring'!F86+'DNB Livsforsikring'!F86+'Eika Forsikring AS'!F86+'Frende Livsforsikring'!F86+'Frende Skadeforsikring'!F86+'Gjensidige Forsikring'!F86+'Gjensidige Pensjon'!F86+'If Skadeforsikring NUF'!F86+KLP!F86+'KLP Skadeforsikring AS'!F86+'Landkreditt Forsikring'!F86+'Nordea Liv '!F86+'Oslo Pensjonsforsikring'!F86+'Protector Forsikring'!F86+'Sparebank 1 Fors.'!F86+'Storebrand Livsforsikring'!F86+'Telenor Forsikring'!F86+'Tryg Forsikring'!F86+'WaterCircles F'!F86+'Euro Accident'!F86+'Ly Forsikring'!F86+'Youplus Livsforsikring'!F86+'Oslo Forsikring'!F86</f>
        <v>6578.7860000000001</v>
      </c>
      <c r="F86" s="36">
        <f>'Fremtind Livsforsikring'!G86+'DNB Livsforsikring'!G86+'Eika Forsikring AS'!G86+'Frende Livsforsikring'!G86+'Frende Skadeforsikring'!G86+'Gjensidige Forsikring'!G86+'Gjensidige Pensjon'!G86+'If Skadeforsikring NUF'!G86+KLP!G86+'KLP Skadeforsikring AS'!G86+'Landkreditt Forsikring'!G86+'Nordea Liv '!G86+'Oslo Pensjonsforsikring'!G86+'Protector Forsikring'!G86+'Sparebank 1 Fors.'!G86+'Storebrand Livsforsikring'!G86+'Telenor Forsikring'!G86+'Tryg Forsikring'!G86+'WaterCircles F'!G86+'Euro Accident'!G86+'Ly Forsikring'!G86+'Youplus Livsforsikring'!G86+'Oslo Forsikring'!G86</f>
        <v>6855.1260000000002</v>
      </c>
      <c r="G86" s="123">
        <f t="shared" si="24"/>
        <v>4.2</v>
      </c>
      <c r="H86" s="185">
        <f t="shared" si="25"/>
        <v>76654.515000000014</v>
      </c>
      <c r="I86" s="185">
        <f t="shared" si="26"/>
        <v>74431.638000000006</v>
      </c>
      <c r="J86" s="20">
        <f t="shared" si="27"/>
        <v>-2.9</v>
      </c>
    </row>
    <row r="87" spans="1:13" s="35" customFormat="1" ht="15.75" customHeight="1" x14ac:dyDescent="0.2">
      <c r="A87" s="10" t="s">
        <v>323</v>
      </c>
      <c r="B87" s="251">
        <f>'Fremtind Livsforsikring'!B87+'DNB Livsforsikring'!B87+'Eika Forsikring AS'!B87+'Frende Livsforsikring'!B87+'Frende Skadeforsikring'!B87+'Gjensidige Forsikring'!B87+'Gjensidige Pensjon'!B87+'If Skadeforsikring NUF'!B87+KLP!B87+'KLP Skadeforsikring AS'!B87+'Landkreditt Forsikring'!B87+'Nordea Liv '!B87+'Oslo Pensjonsforsikring'!B87+'Protector Forsikring'!B87+'Sparebank 1 Fors.'!B87+'Storebrand Livsforsikring'!B87+'Telenor Forsikring'!B87+'Tryg Forsikring'!B87+'WaterCircles F'!B87+'Euro Accident'!B87+'Ly Forsikring'!B87+'Youplus Livsforsikring'!B87+'Oslo Forsikring'!B87</f>
        <v>403963693.13131827</v>
      </c>
      <c r="C87" s="251">
        <f>'Fremtind Livsforsikring'!C87+'DNB Livsforsikring'!C87+'Eika Forsikring AS'!C87+'Frende Livsforsikring'!C87+'Frende Skadeforsikring'!C87+'Gjensidige Forsikring'!C87+'Gjensidige Pensjon'!C87+'If Skadeforsikring NUF'!C87+KLP!C87+'KLP Skadeforsikring AS'!C87+'Landkreditt Forsikring'!C87+'Nordea Liv '!C87+'Oslo Pensjonsforsikring'!C87+'Protector Forsikring'!C87+'Sparebank 1 Fors.'!C87+'Storebrand Livsforsikring'!C87+'Telenor Forsikring'!C87+'Tryg Forsikring'!C87+'WaterCircles F'!C87+'Euro Accident'!C87+'Ly Forsikring'!C87+'Youplus Livsforsikring'!C87+'Oslo Forsikring'!C87</f>
        <v>411519797.50512445</v>
      </c>
      <c r="D87" s="21">
        <f t="shared" si="23"/>
        <v>1.9</v>
      </c>
      <c r="E87" s="184">
        <f>'Fremtind Livsforsikring'!F87+'DNB Livsforsikring'!F87+'Eika Forsikring AS'!F87+'Frende Livsforsikring'!F87+'Frende Skadeforsikring'!F87+'Gjensidige Forsikring'!F87+'Gjensidige Pensjon'!F87+'If Skadeforsikring NUF'!F87+KLP!F87+'KLP Skadeforsikring AS'!F87+'Landkreditt Forsikring'!F87+'Nordea Liv '!F87+'Oslo Pensjonsforsikring'!F87+'Protector Forsikring'!F87+'Sparebank 1 Fors.'!F87+'Storebrand Livsforsikring'!F87+'Telenor Forsikring'!F87+'Tryg Forsikring'!F87+'WaterCircles F'!F87+'Euro Accident'!F87+'Ly Forsikring'!F87+'Youplus Livsforsikring'!F87+'Oslo Forsikring'!F87</f>
        <v>612676988.24200487</v>
      </c>
      <c r="F87" s="184">
        <f>'Fremtind Livsforsikring'!G87+'DNB Livsforsikring'!G87+'Eika Forsikring AS'!G87+'Frende Livsforsikring'!G87+'Frende Skadeforsikring'!G87+'Gjensidige Forsikring'!G87+'Gjensidige Pensjon'!G87+'If Skadeforsikring NUF'!G87+KLP!G87+'KLP Skadeforsikring AS'!G87+'Landkreditt Forsikring'!G87+'Nordea Liv '!G87+'Oslo Pensjonsforsikring'!G87+'Protector Forsikring'!G87+'Sparebank 1 Fors.'!G87+'Storebrand Livsforsikring'!G87+'Telenor Forsikring'!G87+'Tryg Forsikring'!G87+'WaterCircles F'!G87+'Euro Accident'!G87+'Ly Forsikring'!G87+'Youplus Livsforsikring'!G87+'Oslo Forsikring'!G87</f>
        <v>714857529.44171309</v>
      </c>
      <c r="G87" s="127">
        <f t="shared" si="24"/>
        <v>16.7</v>
      </c>
      <c r="H87" s="271">
        <f t="shared" ref="H87:H111" si="32">SUM(B87,E87)</f>
        <v>1016640681.3733232</v>
      </c>
      <c r="I87" s="271">
        <f t="shared" ref="I87:I111" si="33">SUM(C87,F87)</f>
        <v>1126377326.9468374</v>
      </c>
      <c r="J87" s="21">
        <f t="shared" si="27"/>
        <v>10.8</v>
      </c>
    </row>
    <row r="88" spans="1:13" ht="15.75" customHeight="1" x14ac:dyDescent="0.2">
      <c r="A88" s="18" t="s">
        <v>9</v>
      </c>
      <c r="B88" s="182">
        <f>'Fremtind Livsforsikring'!B88+'DNB Livsforsikring'!B88+'Eika Forsikring AS'!B88+'Frende Livsforsikring'!B88+'Frende Skadeforsikring'!B88+'Gjensidige Forsikring'!B88+'Gjensidige Pensjon'!B88+'If Skadeforsikring NUF'!B88+KLP!B88+'KLP Skadeforsikring AS'!B88+'Landkreditt Forsikring'!B88+'Nordea Liv '!B88+'Oslo Pensjonsforsikring'!B88+'Protector Forsikring'!B88+'Sparebank 1 Fors.'!B88+'Storebrand Livsforsikring'!B88+'Telenor Forsikring'!B88+'Tryg Forsikring'!B88+'WaterCircles F'!B88+'Euro Accident'!B88+'Ly Forsikring'!B88+'Youplus Livsforsikring'!B88+'Oslo Forsikring'!B88</f>
        <v>384130486.136904</v>
      </c>
      <c r="C88" s="182">
        <f>'Fremtind Livsforsikring'!C88+'DNB Livsforsikring'!C88+'Eika Forsikring AS'!C88+'Frende Livsforsikring'!C88+'Frende Skadeforsikring'!C88+'Gjensidige Forsikring'!C88+'Gjensidige Pensjon'!C88+'If Skadeforsikring NUF'!C88+KLP!C88+'KLP Skadeforsikring AS'!C88+'Landkreditt Forsikring'!C88+'Nordea Liv '!C88+'Oslo Pensjonsforsikring'!C88+'Protector Forsikring'!C88+'Sparebank 1 Fors.'!C88+'Storebrand Livsforsikring'!C88+'Telenor Forsikring'!C88+'Tryg Forsikring'!C88+'WaterCircles F'!C88+'Euro Accident'!C88+'Ly Forsikring'!C88+'Youplus Livsforsikring'!C88+'Oslo Forsikring'!C88</f>
        <v>386272471.47492492</v>
      </c>
      <c r="D88" s="20">
        <f t="shared" si="23"/>
        <v>0.6</v>
      </c>
      <c r="E88" s="36">
        <f>'Fremtind Livsforsikring'!F88+'DNB Livsforsikring'!F88+'Eika Forsikring AS'!F88+'Frende Livsforsikring'!F88+'Frende Skadeforsikring'!F88+'Gjensidige Forsikring'!F88+'Gjensidige Pensjon'!F88+'If Skadeforsikring NUF'!F88+KLP!F88+'KLP Skadeforsikring AS'!F88+'Landkreditt Forsikring'!F88+'Nordea Liv '!F88+'Oslo Pensjonsforsikring'!F88+'Protector Forsikring'!F88+'Sparebank 1 Fors.'!F88+'Storebrand Livsforsikring'!F88+'Telenor Forsikring'!F88+'Tryg Forsikring'!F88+'WaterCircles F'!F88+'Euro Accident'!F88+'Ly Forsikring'!F88+'Youplus Livsforsikring'!F88+'Oslo Forsikring'!F88</f>
        <v>0</v>
      </c>
      <c r="F88" s="36">
        <f>'Fremtind Livsforsikring'!G88+'DNB Livsforsikring'!G88+'Eika Forsikring AS'!G88+'Frende Livsforsikring'!G88+'Frende Skadeforsikring'!G88+'Gjensidige Forsikring'!G88+'Gjensidige Pensjon'!G88+'If Skadeforsikring NUF'!G88+KLP!G88+'KLP Skadeforsikring AS'!G88+'Landkreditt Forsikring'!G88+'Nordea Liv '!G88+'Oslo Pensjonsforsikring'!G88+'Protector Forsikring'!G88+'Sparebank 1 Fors.'!G88+'Storebrand Livsforsikring'!G88+'Telenor Forsikring'!G88+'Tryg Forsikring'!G88+'WaterCircles F'!G88+'Euro Accident'!G88+'Ly Forsikring'!G88+'Youplus Livsforsikring'!G88+'Oslo Forsikring'!G88</f>
        <v>0</v>
      </c>
      <c r="G88" s="123"/>
      <c r="H88" s="185">
        <f t="shared" si="32"/>
        <v>384130486.136904</v>
      </c>
      <c r="I88" s="185">
        <f t="shared" si="33"/>
        <v>386272471.47492492</v>
      </c>
      <c r="J88" s="20">
        <f t="shared" si="27"/>
        <v>0.6</v>
      </c>
      <c r="M88" s="22"/>
    </row>
    <row r="89" spans="1:13" ht="15.75" customHeight="1" x14ac:dyDescent="0.2">
      <c r="A89" s="18" t="s">
        <v>10</v>
      </c>
      <c r="B89" s="182">
        <f>'Fremtind Livsforsikring'!B89+'DNB Livsforsikring'!B89+'Eika Forsikring AS'!B89+'Frende Livsforsikring'!B89+'Frende Skadeforsikring'!B89+'Gjensidige Forsikring'!B89+'Gjensidige Pensjon'!B89+'If Skadeforsikring NUF'!B89+KLP!B89+'KLP Skadeforsikring AS'!B89+'Landkreditt Forsikring'!B89+'Nordea Liv '!B89+'Oslo Pensjonsforsikring'!B89+'Protector Forsikring'!B89+'Sparebank 1 Fors.'!B89+'Storebrand Livsforsikring'!B89+'Telenor Forsikring'!B89+'Tryg Forsikring'!B89+'WaterCircles F'!B89+'Euro Accident'!B89+'Ly Forsikring'!B89+'Youplus Livsforsikring'!B89+'Oslo Forsikring'!B89</f>
        <v>2394733.1854943</v>
      </c>
      <c r="C89" s="182">
        <f>'Fremtind Livsforsikring'!C89+'DNB Livsforsikring'!C89+'Eika Forsikring AS'!C89+'Frende Livsforsikring'!C89+'Frende Skadeforsikring'!C89+'Gjensidige Forsikring'!C89+'Gjensidige Pensjon'!C89+'If Skadeforsikring NUF'!C89+KLP!C89+'KLP Skadeforsikring AS'!C89+'Landkreditt Forsikring'!C89+'Nordea Liv '!C89+'Oslo Pensjonsforsikring'!C89+'Protector Forsikring'!C89+'Sparebank 1 Fors.'!C89+'Storebrand Livsforsikring'!C89+'Telenor Forsikring'!C89+'Tryg Forsikring'!C89+'WaterCircles F'!C89+'Euro Accident'!C89+'Ly Forsikring'!C89+'Youplus Livsforsikring'!C89+'Oslo Forsikring'!C89</f>
        <v>4099874.1789395139</v>
      </c>
      <c r="D89" s="20">
        <f t="shared" si="23"/>
        <v>71.2</v>
      </c>
      <c r="E89" s="36">
        <f>'Fremtind Livsforsikring'!F89+'DNB Livsforsikring'!F89+'Eika Forsikring AS'!F89+'Frende Livsforsikring'!F89+'Frende Skadeforsikring'!F89+'Gjensidige Forsikring'!F89+'Gjensidige Pensjon'!F89+'If Skadeforsikring NUF'!F89+KLP!F89+'KLP Skadeforsikring AS'!F89+'Landkreditt Forsikring'!F89+'Nordea Liv '!F89+'Oslo Pensjonsforsikring'!F89+'Protector Forsikring'!F89+'Sparebank 1 Fors.'!F89+'Storebrand Livsforsikring'!F89+'Telenor Forsikring'!F89+'Tryg Forsikring'!F89+'WaterCircles F'!F89+'Euro Accident'!F89+'Ly Forsikring'!F89+'Youplus Livsforsikring'!F89+'Oslo Forsikring'!F89</f>
        <v>603422703.44499493</v>
      </c>
      <c r="F89" s="36">
        <f>'Fremtind Livsforsikring'!G89+'DNB Livsforsikring'!G89+'Eika Forsikring AS'!G89+'Frende Livsforsikring'!G89+'Frende Skadeforsikring'!G89+'Gjensidige Forsikring'!G89+'Gjensidige Pensjon'!G89+'If Skadeforsikring NUF'!G89+KLP!G89+'KLP Skadeforsikring AS'!G89+'Landkreditt Forsikring'!G89+'Nordea Liv '!G89+'Oslo Pensjonsforsikring'!G89+'Protector Forsikring'!G89+'Sparebank 1 Fors.'!G89+'Storebrand Livsforsikring'!G89+'Telenor Forsikring'!G89+'Tryg Forsikring'!G89+'WaterCircles F'!G89+'Euro Accident'!G89+'Ly Forsikring'!G89+'Youplus Livsforsikring'!G89+'Oslo Forsikring'!G89</f>
        <v>703574201.62968302</v>
      </c>
      <c r="G89" s="123">
        <f t="shared" si="24"/>
        <v>16.600000000000001</v>
      </c>
      <c r="H89" s="185">
        <f t="shared" si="32"/>
        <v>605817436.63048923</v>
      </c>
      <c r="I89" s="185">
        <f t="shared" si="33"/>
        <v>707674075.80862248</v>
      </c>
      <c r="J89" s="20">
        <f t="shared" si="27"/>
        <v>16.8</v>
      </c>
      <c r="L89" s="22"/>
      <c r="M89" s="22"/>
    </row>
    <row r="90" spans="1:13" ht="15.75" customHeight="1" x14ac:dyDescent="0.2">
      <c r="A90" s="241" t="s">
        <v>338</v>
      </c>
      <c r="B90" s="262"/>
      <c r="C90" s="262"/>
      <c r="D90" s="23"/>
      <c r="E90" s="262"/>
      <c r="F90" s="262"/>
      <c r="G90" s="123"/>
      <c r="H90" s="262"/>
      <c r="I90" s="262"/>
      <c r="J90" s="20"/>
    </row>
    <row r="91" spans="1:13" ht="15.75" customHeight="1" x14ac:dyDescent="0.2">
      <c r="A91" s="241" t="s">
        <v>12</v>
      </c>
      <c r="B91" s="262"/>
      <c r="C91" s="262"/>
      <c r="D91" s="23"/>
      <c r="E91" s="262"/>
      <c r="F91" s="262"/>
      <c r="G91" s="123"/>
      <c r="H91" s="262"/>
      <c r="I91" s="262"/>
      <c r="J91" s="20"/>
    </row>
    <row r="92" spans="1:13" ht="15.75" customHeight="1" x14ac:dyDescent="0.2">
      <c r="A92" s="241" t="s">
        <v>13</v>
      </c>
      <c r="B92" s="262"/>
      <c r="C92" s="262"/>
      <c r="D92" s="23"/>
      <c r="E92" s="262"/>
      <c r="F92" s="262"/>
      <c r="G92" s="123"/>
      <c r="H92" s="262"/>
      <c r="I92" s="262"/>
      <c r="J92" s="20"/>
    </row>
    <row r="93" spans="1:13" ht="15.75" customHeight="1" x14ac:dyDescent="0.2">
      <c r="A93" s="241" t="s">
        <v>339</v>
      </c>
      <c r="B93" s="262"/>
      <c r="C93" s="262"/>
      <c r="D93" s="23"/>
      <c r="E93" s="262"/>
      <c r="F93" s="262"/>
      <c r="G93" s="123"/>
      <c r="H93" s="262"/>
      <c r="I93" s="262"/>
      <c r="J93" s="20"/>
    </row>
    <row r="94" spans="1:13" ht="15.75" customHeight="1" x14ac:dyDescent="0.2">
      <c r="A94" s="241" t="s">
        <v>12</v>
      </c>
      <c r="B94" s="183"/>
      <c r="C94" s="183"/>
      <c r="D94" s="23"/>
      <c r="E94" s="262"/>
      <c r="F94" s="262"/>
      <c r="G94" s="123"/>
      <c r="H94" s="262"/>
      <c r="I94" s="262"/>
      <c r="J94" s="20"/>
    </row>
    <row r="95" spans="1:13" ht="15.75" customHeight="1" x14ac:dyDescent="0.2">
      <c r="A95" s="241" t="s">
        <v>13</v>
      </c>
      <c r="B95" s="183"/>
      <c r="C95" s="183"/>
      <c r="D95" s="23"/>
      <c r="E95" s="262"/>
      <c r="F95" s="262"/>
      <c r="G95" s="123"/>
      <c r="H95" s="262"/>
      <c r="I95" s="262"/>
      <c r="J95" s="20"/>
    </row>
    <row r="96" spans="1:13" ht="15.75" customHeight="1" x14ac:dyDescent="0.2">
      <c r="A96" s="18" t="s">
        <v>310</v>
      </c>
      <c r="B96" s="182">
        <f>'Fremtind Livsforsikring'!B96+'DNB Livsforsikring'!B96+'Eika Forsikring AS'!B96+'Frende Livsforsikring'!B96+'Frende Skadeforsikring'!B96+'Gjensidige Forsikring'!B96+'Gjensidige Pensjon'!B96+'If Skadeforsikring NUF'!B96+KLP!B96+'KLP Skadeforsikring AS'!B96+'Landkreditt Forsikring'!B96+'Nordea Liv '!B96+'Oslo Pensjonsforsikring'!B96+'Protector Forsikring'!B96+'Sparebank 1 Fors.'!B96+'Storebrand Livsforsikring'!B96+'Telenor Forsikring'!B96+'Tryg Forsikring'!B96+'WaterCircles F'!B96+'Euro Accident'!B96+'Ly Forsikring'!B96+'Youplus Livsforsikring'!B96+'Oslo Forsikring'!B96</f>
        <v>5970807.5686600003</v>
      </c>
      <c r="C96" s="182">
        <f>'Fremtind Livsforsikring'!C96+'DNB Livsforsikring'!C96+'Eika Forsikring AS'!C96+'Frende Livsforsikring'!C96+'Frende Skadeforsikring'!C96+'Gjensidige Forsikring'!C96+'Gjensidige Pensjon'!C96+'If Skadeforsikring NUF'!C96+KLP!C96+'KLP Skadeforsikring AS'!C96+'Landkreditt Forsikring'!C96+'Nordea Liv '!C96+'Oslo Pensjonsforsikring'!C96+'Protector Forsikring'!C96+'Sparebank 1 Fors.'!C96+'Storebrand Livsforsikring'!C96+'Telenor Forsikring'!C96+'Tryg Forsikring'!C96+'WaterCircles F'!C96+'Euro Accident'!C96+'Ly Forsikring'!C96+'Youplus Livsforsikring'!C96+'Oslo Forsikring'!C96</f>
        <v>8043000.4145</v>
      </c>
      <c r="D96" s="20">
        <f t="shared" si="23"/>
        <v>34.700000000000003</v>
      </c>
      <c r="E96" s="36">
        <f>'Fremtind Livsforsikring'!F96+'DNB Livsforsikring'!F96+'Eika Forsikring AS'!F96+'Frende Livsforsikring'!F96+'Frende Skadeforsikring'!F96+'Gjensidige Forsikring'!F96+'Gjensidige Pensjon'!F96+'If Skadeforsikring NUF'!F96+KLP!F96+'KLP Skadeforsikring AS'!F96+'Landkreditt Forsikring'!F96+'Nordea Liv '!F96+'Oslo Pensjonsforsikring'!F96+'Protector Forsikring'!F96+'Sparebank 1 Fors.'!F96+'Storebrand Livsforsikring'!F96+'Telenor Forsikring'!F96+'Tryg Forsikring'!F96+'WaterCircles F'!F96+'Euro Accident'!F96+'Ly Forsikring'!F96+'Youplus Livsforsikring'!F96+'Oslo Forsikring'!F96</f>
        <v>9254284.7970100008</v>
      </c>
      <c r="F96" s="36">
        <f>'Fremtind Livsforsikring'!G96+'DNB Livsforsikring'!G96+'Eika Forsikring AS'!G96+'Frende Livsforsikring'!G96+'Frende Skadeforsikring'!G96+'Gjensidige Forsikring'!G96+'Gjensidige Pensjon'!G96+'If Skadeforsikring NUF'!G96+KLP!G96+'KLP Skadeforsikring AS'!G96+'Landkreditt Forsikring'!G96+'Nordea Liv '!G96+'Oslo Pensjonsforsikring'!G96+'Protector Forsikring'!G96+'Sparebank 1 Fors.'!G96+'Storebrand Livsforsikring'!G96+'Telenor Forsikring'!G96+'Tryg Forsikring'!G96+'WaterCircles F'!G96+'Euro Accident'!G96+'Ly Forsikring'!G96+'Youplus Livsforsikring'!G96+'Oslo Forsikring'!G96</f>
        <v>11283327.812030001</v>
      </c>
      <c r="G96" s="123">
        <f t="shared" si="24"/>
        <v>21.9</v>
      </c>
      <c r="H96" s="185">
        <f t="shared" si="32"/>
        <v>15225092.365670001</v>
      </c>
      <c r="I96" s="185">
        <f t="shared" si="33"/>
        <v>19326328.226530001</v>
      </c>
      <c r="J96" s="20">
        <f t="shared" si="27"/>
        <v>26.9</v>
      </c>
    </row>
    <row r="97" spans="1:10" ht="15.75" customHeight="1" x14ac:dyDescent="0.2">
      <c r="A97" s="18" t="s">
        <v>309</v>
      </c>
      <c r="B97" s="182">
        <f>'Fremtind Livsforsikring'!B97+'DNB Livsforsikring'!B97+'Eika Forsikring AS'!B97+'Frende Livsforsikring'!B97+'Frende Skadeforsikring'!B97+'Gjensidige Forsikring'!B97+'Gjensidige Pensjon'!B97+'If Skadeforsikring NUF'!B97+KLP!B97+'KLP Skadeforsikring AS'!B97+'Landkreditt Forsikring'!B97+'Nordea Liv '!B97+'Oslo Pensjonsforsikring'!B97+'Protector Forsikring'!B97+'Sparebank 1 Fors.'!B97+'Storebrand Livsforsikring'!B97+'Telenor Forsikring'!B97+'Tryg Forsikring'!B97+'WaterCircles F'!B97+'Euro Accident'!B97+'Ly Forsikring'!B97+'Youplus Livsforsikring'!B97+'Oslo Forsikring'!B97</f>
        <v>11467666.240259999</v>
      </c>
      <c r="C97" s="182">
        <f>'Fremtind Livsforsikring'!C97+'DNB Livsforsikring'!C97+'Eika Forsikring AS'!C97+'Frende Livsforsikring'!C97+'Frende Skadeforsikring'!C97+'Gjensidige Forsikring'!C97+'Gjensidige Pensjon'!C97+'If Skadeforsikring NUF'!C97+KLP!C97+'KLP Skadeforsikring AS'!C97+'Landkreditt Forsikring'!C97+'Nordea Liv '!C97+'Oslo Pensjonsforsikring'!C97+'Protector Forsikring'!C97+'Sparebank 1 Fors.'!C97+'Storebrand Livsforsikring'!C97+'Telenor Forsikring'!C97+'Tryg Forsikring'!C97+'WaterCircles F'!C97+'Euro Accident'!C97+'Ly Forsikring'!C97+'Youplus Livsforsikring'!C97+'Oslo Forsikring'!C97</f>
        <v>13104451.436759999</v>
      </c>
      <c r="D97" s="20">
        <f t="shared" ref="D97" si="34">IF(B97=0, "    ---- ", IF(ABS(ROUND(100/B97*C97-100,1))&lt;999,ROUND(100/B97*C97-100,1),IF(ROUND(100/B97*C97-100,1)&gt;999,999,-999)))</f>
        <v>14.3</v>
      </c>
      <c r="E97" s="36">
        <f>'Fremtind Livsforsikring'!F97+'DNB Livsforsikring'!F97+'Eika Forsikring AS'!F97+'Frende Livsforsikring'!F97+'Frende Skadeforsikring'!F97+'Gjensidige Forsikring'!F97+'Gjensidige Pensjon'!F97+'If Skadeforsikring NUF'!F97+KLP!F97+'KLP Skadeforsikring AS'!F97+'Landkreditt Forsikring'!F97+'Nordea Liv '!F97+'Oslo Pensjonsforsikring'!F97+'Protector Forsikring'!F97+'Sparebank 1 Fors.'!F97+'Storebrand Livsforsikring'!F97+'Telenor Forsikring'!F97+'Tryg Forsikring'!F97+'WaterCircles F'!F97+'Euro Accident'!F97+'Ly Forsikring'!F97+'Youplus Livsforsikring'!F97+'Oslo Forsikring'!F97</f>
        <v>0</v>
      </c>
      <c r="F97" s="36">
        <f>'Fremtind Livsforsikring'!G97+'DNB Livsforsikring'!G97+'Eika Forsikring AS'!G97+'Frende Livsforsikring'!G97+'Frende Skadeforsikring'!G97+'Gjensidige Forsikring'!G97+'Gjensidige Pensjon'!G97+'If Skadeforsikring NUF'!G97+KLP!G97+'KLP Skadeforsikring AS'!G97+'Landkreditt Forsikring'!G97+'Nordea Liv '!G97+'Oslo Pensjonsforsikring'!G97+'Protector Forsikring'!G97+'Sparebank 1 Fors.'!G97+'Storebrand Livsforsikring'!G97+'Telenor Forsikring'!G97+'Tryg Forsikring'!G97+'WaterCircles F'!G97+'Euro Accident'!G97+'Ly Forsikring'!G97+'Youplus Livsforsikring'!G97+'Oslo Forsikring'!G97</f>
        <v>0</v>
      </c>
      <c r="G97" s="123"/>
      <c r="H97" s="185">
        <f t="shared" ref="H97" si="35">SUM(B97,E97)</f>
        <v>11467666.240259999</v>
      </c>
      <c r="I97" s="185">
        <f t="shared" ref="I97" si="36">SUM(C97,F97)</f>
        <v>13104451.436759999</v>
      </c>
      <c r="J97" s="20">
        <f t="shared" ref="J97" si="37">IF(H97=0, "    ---- ", IF(ABS(ROUND(100/H97*I97-100,1))&lt;999,ROUND(100/H97*I97-100,1),IF(ROUND(100/H97*I97-100,1)&gt;999,999,-999)))</f>
        <v>14.3</v>
      </c>
    </row>
    <row r="98" spans="1:10" ht="15.75" customHeight="1" x14ac:dyDescent="0.2">
      <c r="A98" s="18" t="s">
        <v>340</v>
      </c>
      <c r="B98" s="182">
        <f>'Fremtind Livsforsikring'!B98+'DNB Livsforsikring'!B98+'Eika Forsikring AS'!B98+'Frende Livsforsikring'!B98+'Frende Skadeforsikring'!B98+'Gjensidige Forsikring'!B98+'Gjensidige Pensjon'!B98+'If Skadeforsikring NUF'!B98+KLP!B98+'KLP Skadeforsikring AS'!B98+'Landkreditt Forsikring'!B98+'Nordea Liv '!B98+'Oslo Pensjonsforsikring'!B98+'Protector Forsikring'!B98+'Sparebank 1 Fors.'!B98+'Storebrand Livsforsikring'!B98+'Telenor Forsikring'!B98+'Tryg Forsikring'!B98+'WaterCircles F'!B98+'Euro Accident'!B98+'Ly Forsikring'!B98+'Youplus Livsforsikring'!B98+'Oslo Forsikring'!B98</f>
        <v>382233924.78239828</v>
      </c>
      <c r="C98" s="182">
        <f>'Fremtind Livsforsikring'!C98+'DNB Livsforsikring'!C98+'Eika Forsikring AS'!C98+'Frende Livsforsikring'!C98+'Frende Skadeforsikring'!C98+'Gjensidige Forsikring'!C98+'Gjensidige Pensjon'!C98+'If Skadeforsikring NUF'!C98+KLP!C98+'KLP Skadeforsikring AS'!C98+'Landkreditt Forsikring'!C98+'Nordea Liv '!C98+'Oslo Pensjonsforsikring'!C98+'Protector Forsikring'!C98+'Sparebank 1 Fors.'!C98+'Storebrand Livsforsikring'!C98+'Telenor Forsikring'!C98+'Tryg Forsikring'!C98+'WaterCircles F'!C98+'Euro Accident'!C98+'Ly Forsikring'!C98+'Youplus Livsforsikring'!C98+'Oslo Forsikring'!C98</f>
        <v>386254336.21386445</v>
      </c>
      <c r="D98" s="20">
        <f t="shared" si="23"/>
        <v>1.1000000000000001</v>
      </c>
      <c r="E98" s="36">
        <f>'Fremtind Livsforsikring'!F98+'DNB Livsforsikring'!F98+'Eika Forsikring AS'!F98+'Frende Livsforsikring'!F98+'Frende Skadeforsikring'!F98+'Gjensidige Forsikring'!F98+'Gjensidige Pensjon'!F98+'If Skadeforsikring NUF'!F98+KLP!F98+'KLP Skadeforsikring AS'!F98+'Landkreditt Forsikring'!F98+'Nordea Liv '!F98+'Oslo Pensjonsforsikring'!F98+'Protector Forsikring'!F98+'Sparebank 1 Fors.'!F98+'Storebrand Livsforsikring'!F98+'Telenor Forsikring'!F98+'Tryg Forsikring'!F98+'WaterCircles F'!F98+'Euro Accident'!F98+'Ly Forsikring'!F98+'Youplus Livsforsikring'!F98+'Oslo Forsikring'!F98</f>
        <v>603018161.03018498</v>
      </c>
      <c r="F98" s="36">
        <f>'Fremtind Livsforsikring'!G98+'DNB Livsforsikring'!G98+'Eika Forsikring AS'!G98+'Frende Livsforsikring'!G98+'Frende Skadeforsikring'!G98+'Gjensidige Forsikring'!G98+'Gjensidige Pensjon'!G98+'If Skadeforsikring NUF'!G98+KLP!G98+'KLP Skadeforsikring AS'!G98+'Landkreditt Forsikring'!G98+'Nordea Liv '!G98+'Oslo Pensjonsforsikring'!G98+'Protector Forsikring'!G98+'Sparebank 1 Fors.'!G98+'Storebrand Livsforsikring'!G98+'Telenor Forsikring'!G98+'Tryg Forsikring'!G98+'WaterCircles F'!G98+'Euro Accident'!G98+'Ly Forsikring'!G98+'Youplus Livsforsikring'!G98+'Oslo Forsikring'!G98</f>
        <v>703167237.54094505</v>
      </c>
      <c r="G98" s="123">
        <f t="shared" si="24"/>
        <v>16.600000000000001</v>
      </c>
      <c r="H98" s="185">
        <f t="shared" si="32"/>
        <v>985252085.81258321</v>
      </c>
      <c r="I98" s="185">
        <f t="shared" si="33"/>
        <v>1089421573.7548094</v>
      </c>
      <c r="J98" s="20">
        <f t="shared" si="27"/>
        <v>10.6</v>
      </c>
    </row>
    <row r="99" spans="1:10" ht="15.75" customHeight="1" x14ac:dyDescent="0.2">
      <c r="A99" s="18" t="s">
        <v>9</v>
      </c>
      <c r="B99" s="182">
        <f>'Fremtind Livsforsikring'!B99+'DNB Livsforsikring'!B99+'Eika Forsikring AS'!B99+'Frende Livsforsikring'!B99+'Frende Skadeforsikring'!B99+'Gjensidige Forsikring'!B99+'Gjensidige Pensjon'!B99+'If Skadeforsikring NUF'!B99+KLP!B99+'KLP Skadeforsikring AS'!B99+'Landkreditt Forsikring'!B99+'Nordea Liv '!B99+'Oslo Pensjonsforsikring'!B99+'Protector Forsikring'!B99+'Sparebank 1 Fors.'!B99+'Storebrand Livsforsikring'!B99+'Telenor Forsikring'!B99+'Tryg Forsikring'!B99+'WaterCircles F'!B99+'Euro Accident'!B99+'Ly Forsikring'!B99+'Youplus Livsforsikring'!B99+'Oslo Forsikring'!B99</f>
        <v>379839191.59690404</v>
      </c>
      <c r="C99" s="182">
        <f>'Fremtind Livsforsikring'!C99+'DNB Livsforsikring'!C99+'Eika Forsikring AS'!C99+'Frende Livsforsikring'!C99+'Frende Skadeforsikring'!C99+'Gjensidige Forsikring'!C99+'Gjensidige Pensjon'!C99+'If Skadeforsikring NUF'!C99+KLP!C99+'KLP Skadeforsikring AS'!C99+'Landkreditt Forsikring'!C99+'Nordea Liv '!C99+'Oslo Pensjonsforsikring'!C99+'Protector Forsikring'!C99+'Sparebank 1 Fors.'!C99+'Storebrand Livsforsikring'!C99+'Telenor Forsikring'!C99+'Tryg Forsikring'!C99+'WaterCircles F'!C99+'Euro Accident'!C99+'Ly Forsikring'!C99+'Youplus Livsforsikring'!C99+'Oslo Forsikring'!C99</f>
        <v>382154462.03492492</v>
      </c>
      <c r="D99" s="20">
        <f t="shared" si="23"/>
        <v>0.6</v>
      </c>
      <c r="E99" s="36">
        <f>'Fremtind Livsforsikring'!F99+'DNB Livsforsikring'!F99+'Eika Forsikring AS'!F99+'Frende Livsforsikring'!F99+'Frende Skadeforsikring'!F99+'Gjensidige Forsikring'!F99+'Gjensidige Pensjon'!F99+'If Skadeforsikring NUF'!F99+KLP!F99+'KLP Skadeforsikring AS'!F99+'Landkreditt Forsikring'!F99+'Nordea Liv '!F99+'Oslo Pensjonsforsikring'!F99+'Protector Forsikring'!F99+'Sparebank 1 Fors.'!F99+'Storebrand Livsforsikring'!F99+'Telenor Forsikring'!F99+'Tryg Forsikring'!F99+'WaterCircles F'!F99+'Euro Accident'!F99+'Ly Forsikring'!F99+'Youplus Livsforsikring'!F99+'Oslo Forsikring'!F99</f>
        <v>0</v>
      </c>
      <c r="F99" s="36">
        <f>'Fremtind Livsforsikring'!G99+'DNB Livsforsikring'!G99+'Eika Forsikring AS'!G99+'Frende Livsforsikring'!G99+'Frende Skadeforsikring'!G99+'Gjensidige Forsikring'!G99+'Gjensidige Pensjon'!G99+'If Skadeforsikring NUF'!G99+KLP!G99+'KLP Skadeforsikring AS'!G99+'Landkreditt Forsikring'!G99+'Nordea Liv '!G99+'Oslo Pensjonsforsikring'!G99+'Protector Forsikring'!G99+'Sparebank 1 Fors.'!G99+'Storebrand Livsforsikring'!G99+'Telenor Forsikring'!G99+'Tryg Forsikring'!G99+'WaterCircles F'!G99+'Euro Accident'!G99+'Ly Forsikring'!G99+'Youplus Livsforsikring'!G99+'Oslo Forsikring'!G99</f>
        <v>0</v>
      </c>
      <c r="G99" s="123"/>
      <c r="H99" s="185">
        <f t="shared" si="32"/>
        <v>379839191.59690404</v>
      </c>
      <c r="I99" s="185">
        <f t="shared" si="33"/>
        <v>382154462.03492492</v>
      </c>
      <c r="J99" s="20">
        <f t="shared" si="27"/>
        <v>0.6</v>
      </c>
    </row>
    <row r="100" spans="1:10" ht="15.75" customHeight="1" x14ac:dyDescent="0.2">
      <c r="A100" s="18" t="s">
        <v>368</v>
      </c>
      <c r="B100" s="182">
        <f>'Fremtind Livsforsikring'!B100+'DNB Livsforsikring'!B100+'Eika Forsikring AS'!B100+'Frende Livsforsikring'!B100+'Frende Skadeforsikring'!B100+'Gjensidige Forsikring'!B100+'Gjensidige Pensjon'!B100+'If Skadeforsikring NUF'!B100+KLP!B100+'KLP Skadeforsikring AS'!B100+'Landkreditt Forsikring'!B100+'Nordea Liv '!B100+'Oslo Pensjonsforsikring'!B100+'Protector Forsikring'!B100+'Sparebank 1 Fors.'!B100+'Storebrand Livsforsikring'!B100+'Telenor Forsikring'!B100+'Tryg Forsikring'!B100+'WaterCircles F'!B100+'Euro Accident'!B100+'Ly Forsikring'!B100+'Youplus Livsforsikring'!B100+'Oslo Forsikring'!B100</f>
        <v>2394733.1854943</v>
      </c>
      <c r="C100" s="182">
        <f>'Fremtind Livsforsikring'!C100+'DNB Livsforsikring'!C100+'Eika Forsikring AS'!C100+'Frende Livsforsikring'!C100+'Frende Skadeforsikring'!C100+'Gjensidige Forsikring'!C100+'Gjensidige Pensjon'!C100+'If Skadeforsikring NUF'!C100+KLP!C100+'KLP Skadeforsikring AS'!C100+'Landkreditt Forsikring'!C100+'Nordea Liv '!C100+'Oslo Pensjonsforsikring'!C100+'Protector Forsikring'!C100+'Sparebank 1 Fors.'!C100+'Storebrand Livsforsikring'!C100+'Telenor Forsikring'!C100+'Tryg Forsikring'!C100+'WaterCircles F'!C100+'Euro Accident'!C100+'Ly Forsikring'!C100+'Youplus Livsforsikring'!C100+'Oslo Forsikring'!C100</f>
        <v>4099874.1789395139</v>
      </c>
      <c r="D100" s="20">
        <f t="shared" si="23"/>
        <v>71.2</v>
      </c>
      <c r="E100" s="36">
        <f>'Fremtind Livsforsikring'!F100+'DNB Livsforsikring'!F100+'Eika Forsikring AS'!F100+'Frende Livsforsikring'!F100+'Frende Skadeforsikring'!F100+'Gjensidige Forsikring'!F100+'Gjensidige Pensjon'!F100+'If Skadeforsikring NUF'!F100+KLP!F100+'KLP Skadeforsikring AS'!F100+'Landkreditt Forsikring'!F100+'Nordea Liv '!F100+'Oslo Pensjonsforsikring'!F100+'Protector Forsikring'!F100+'Sparebank 1 Fors.'!F100+'Storebrand Livsforsikring'!F100+'Telenor Forsikring'!F100+'Tryg Forsikring'!F100+'WaterCircles F'!F100+'Euro Accident'!F100+'Ly Forsikring'!F100+'Youplus Livsforsikring'!F100+'Oslo Forsikring'!F100</f>
        <v>603018161.03018498</v>
      </c>
      <c r="F100" s="36">
        <f>'Fremtind Livsforsikring'!G100+'DNB Livsforsikring'!G100+'Eika Forsikring AS'!G100+'Frende Livsforsikring'!G100+'Frende Skadeforsikring'!G100+'Gjensidige Forsikring'!G100+'Gjensidige Pensjon'!G100+'If Skadeforsikring NUF'!G100+KLP!G100+'KLP Skadeforsikring AS'!G100+'Landkreditt Forsikring'!G100+'Nordea Liv '!G100+'Oslo Pensjonsforsikring'!G100+'Protector Forsikring'!G100+'Sparebank 1 Fors.'!G100+'Storebrand Livsforsikring'!G100+'Telenor Forsikring'!G100+'Tryg Forsikring'!G100+'WaterCircles F'!G100+'Euro Accident'!G100+'Ly Forsikring'!G100+'Youplus Livsforsikring'!G100+'Oslo Forsikring'!G100</f>
        <v>703167237.54094505</v>
      </c>
      <c r="G100" s="123">
        <f t="shared" si="24"/>
        <v>16.600000000000001</v>
      </c>
      <c r="H100" s="185">
        <f t="shared" si="32"/>
        <v>605412894.21567929</v>
      </c>
      <c r="I100" s="185">
        <f t="shared" si="33"/>
        <v>707267111.71988451</v>
      </c>
      <c r="J100" s="20">
        <f t="shared" si="27"/>
        <v>16.8</v>
      </c>
    </row>
    <row r="101" spans="1:10" ht="15.75" customHeight="1" x14ac:dyDescent="0.2">
      <c r="A101" s="241" t="s">
        <v>338</v>
      </c>
      <c r="B101" s="262"/>
      <c r="C101" s="262"/>
      <c r="D101" s="23"/>
      <c r="E101" s="262"/>
      <c r="F101" s="262"/>
      <c r="G101" s="123"/>
      <c r="H101" s="262"/>
      <c r="I101" s="262"/>
      <c r="J101" s="20"/>
    </row>
    <row r="102" spans="1:10" ht="15.75" customHeight="1" x14ac:dyDescent="0.2">
      <c r="A102" s="241" t="s">
        <v>12</v>
      </c>
      <c r="B102" s="262"/>
      <c r="C102" s="262"/>
      <c r="D102" s="23"/>
      <c r="E102" s="262"/>
      <c r="F102" s="262"/>
      <c r="G102" s="123"/>
      <c r="H102" s="262"/>
      <c r="I102" s="262"/>
      <c r="J102" s="20"/>
    </row>
    <row r="103" spans="1:10" ht="15.75" customHeight="1" x14ac:dyDescent="0.2">
      <c r="A103" s="241" t="s">
        <v>13</v>
      </c>
      <c r="B103" s="262"/>
      <c r="C103" s="262"/>
      <c r="D103" s="23"/>
      <c r="E103" s="262"/>
      <c r="F103" s="262"/>
      <c r="G103" s="123"/>
      <c r="H103" s="262"/>
      <c r="I103" s="262"/>
      <c r="J103" s="20"/>
    </row>
    <row r="104" spans="1:10" ht="15.75" customHeight="1" x14ac:dyDescent="0.2">
      <c r="A104" s="241" t="s">
        <v>339</v>
      </c>
      <c r="B104" s="262"/>
      <c r="C104" s="262"/>
      <c r="D104" s="23"/>
      <c r="E104" s="262"/>
      <c r="F104" s="262"/>
      <c r="G104" s="123"/>
      <c r="H104" s="262"/>
      <c r="I104" s="262"/>
      <c r="J104" s="20"/>
    </row>
    <row r="105" spans="1:10" ht="15.75" customHeight="1" x14ac:dyDescent="0.2">
      <c r="A105" s="241" t="s">
        <v>12</v>
      </c>
      <c r="B105" s="183"/>
      <c r="C105" s="183"/>
      <c r="D105" s="23"/>
      <c r="E105" s="262"/>
      <c r="F105" s="262"/>
      <c r="G105" s="123"/>
      <c r="H105" s="262"/>
      <c r="I105" s="262"/>
      <c r="J105" s="20"/>
    </row>
    <row r="106" spans="1:10" ht="15.75" customHeight="1" x14ac:dyDescent="0.2">
      <c r="A106" s="241" t="s">
        <v>13</v>
      </c>
      <c r="B106" s="183"/>
      <c r="C106" s="183"/>
      <c r="D106" s="23"/>
      <c r="E106" s="262"/>
      <c r="F106" s="262"/>
      <c r="G106" s="123"/>
      <c r="H106" s="262"/>
      <c r="I106" s="262"/>
      <c r="J106" s="20"/>
    </row>
    <row r="107" spans="1:10" ht="15.75" customHeight="1" x14ac:dyDescent="0.2">
      <c r="A107" s="18" t="s">
        <v>341</v>
      </c>
      <c r="B107" s="182">
        <f>'Fremtind Livsforsikring'!B107+'DNB Livsforsikring'!B107+'Eika Forsikring AS'!B107+'Frende Livsforsikring'!B107+'Frende Skadeforsikring'!B107+'Gjensidige Forsikring'!B107+'Gjensidige Pensjon'!B107+'If Skadeforsikring NUF'!B107+KLP!B107+'KLP Skadeforsikring AS'!B107+'Landkreditt Forsikring'!B107+'Nordea Liv '!B107+'Oslo Pensjonsforsikring'!B107+'Protector Forsikring'!B107+'Sparebank 1 Fors.'!B107+'Storebrand Livsforsikring'!B107+'Telenor Forsikring'!B107+'Tryg Forsikring'!B107+'WaterCircles F'!B107+'Euro Accident'!B107+'Ly Forsikring'!B107+'Youplus Livsforsikring'!B107+'Oslo Forsikring'!B107</f>
        <v>4291294.9560000002</v>
      </c>
      <c r="C107" s="182">
        <f>'Fremtind Livsforsikring'!C107+'DNB Livsforsikring'!C107+'Eika Forsikring AS'!C107+'Frende Livsforsikring'!C107+'Frende Skadeforsikring'!C107+'Gjensidige Forsikring'!C107+'Gjensidige Pensjon'!C107+'If Skadeforsikring NUF'!C107+KLP!C107+'KLP Skadeforsikring AS'!C107+'Landkreditt Forsikring'!C107+'Nordea Liv '!C107+'Oslo Pensjonsforsikring'!C107+'Protector Forsikring'!C107+'Sparebank 1 Fors.'!C107+'Storebrand Livsforsikring'!C107+'Telenor Forsikring'!C107+'Tryg Forsikring'!C107+'WaterCircles F'!C107+'Euro Accident'!C107+'Ly Forsikring'!C107+'Youplus Livsforsikring'!C107+'Oslo Forsikring'!C107</f>
        <v>4118009.44</v>
      </c>
      <c r="D107" s="20">
        <f t="shared" si="23"/>
        <v>-4</v>
      </c>
      <c r="E107" s="36">
        <f>'Fremtind Livsforsikring'!F107+'DNB Livsforsikring'!F107+'Eika Forsikring AS'!F107+'Frende Livsforsikring'!F107+'Frende Skadeforsikring'!F107+'Gjensidige Forsikring'!F107+'Gjensidige Pensjon'!F107+'If Skadeforsikring NUF'!F107+KLP!F107+'KLP Skadeforsikring AS'!F107+'Landkreditt Forsikring'!F107+'Nordea Liv '!F107+'Oslo Pensjonsforsikring'!F107+'Protector Forsikring'!F107+'Sparebank 1 Fors.'!F107+'Storebrand Livsforsikring'!F107+'Telenor Forsikring'!F107+'Tryg Forsikring'!F107+'WaterCircles F'!F107+'Euro Accident'!F107+'Ly Forsikring'!F107+'Youplus Livsforsikring'!F107+'Oslo Forsikring'!F107</f>
        <v>404542.6673599999</v>
      </c>
      <c r="F107" s="36">
        <f>'Fremtind Livsforsikring'!G107+'DNB Livsforsikring'!G107+'Eika Forsikring AS'!G107+'Frende Livsforsikring'!G107+'Frende Skadeforsikring'!G107+'Gjensidige Forsikring'!G107+'Gjensidige Pensjon'!G107+'If Skadeforsikring NUF'!G107+KLP!G107+'KLP Skadeforsikring AS'!G107+'Landkreditt Forsikring'!G107+'Nordea Liv '!G107+'Oslo Pensjonsforsikring'!G107+'Protector Forsikring'!G107+'Sparebank 1 Fors.'!G107+'Storebrand Livsforsikring'!G107+'Telenor Forsikring'!G107+'Tryg Forsikring'!G107+'WaterCircles F'!G107+'Euro Accident'!G107+'Ly Forsikring'!G107+'Youplus Livsforsikring'!G107+'Oslo Forsikring'!G107</f>
        <v>406964.08773830405</v>
      </c>
      <c r="G107" s="123">
        <f t="shared" si="24"/>
        <v>0.6</v>
      </c>
      <c r="H107" s="185">
        <f t="shared" si="32"/>
        <v>4695837.6233600006</v>
      </c>
      <c r="I107" s="185">
        <f t="shared" si="33"/>
        <v>4524973.5277383039</v>
      </c>
      <c r="J107" s="20">
        <f t="shared" si="27"/>
        <v>-3.6</v>
      </c>
    </row>
    <row r="108" spans="1:10" ht="15.75" customHeight="1" x14ac:dyDescent="0.2">
      <c r="A108" s="18" t="s">
        <v>342</v>
      </c>
      <c r="B108" s="182">
        <f>'Fremtind Livsforsikring'!B108+'DNB Livsforsikring'!B108+'Eika Forsikring AS'!B108+'Frende Livsforsikring'!B108+'Frende Skadeforsikring'!B108+'Gjensidige Forsikring'!B108+'Gjensidige Pensjon'!B108+'If Skadeforsikring NUF'!B108+KLP!B108+'KLP Skadeforsikring AS'!B108+'Landkreditt Forsikring'!B108+'Nordea Liv '!B108+'Oslo Pensjonsforsikring'!B108+'Protector Forsikring'!B108+'Sparebank 1 Fors.'!B108+'Storebrand Livsforsikring'!B108+'Telenor Forsikring'!B108+'Tryg Forsikring'!B108+'WaterCircles F'!B108+'Euro Accident'!B108+'Ly Forsikring'!B108+'Youplus Livsforsikring'!B108+'Oslo Forsikring'!B108</f>
        <v>331379472.97997999</v>
      </c>
      <c r="C108" s="182">
        <f>'Fremtind Livsforsikring'!C108+'DNB Livsforsikring'!C108+'Eika Forsikring AS'!C108+'Frende Livsforsikring'!C108+'Frende Skadeforsikring'!C108+'Gjensidige Forsikring'!C108+'Gjensidige Pensjon'!C108+'If Skadeforsikring NUF'!C108+KLP!C108+'KLP Skadeforsikring AS'!C108+'Landkreditt Forsikring'!C108+'Nordea Liv '!C108+'Oslo Pensjonsforsikring'!C108+'Protector Forsikring'!C108+'Sparebank 1 Fors.'!C108+'Storebrand Livsforsikring'!C108+'Telenor Forsikring'!C108+'Tryg Forsikring'!C108+'WaterCircles F'!C108+'Euro Accident'!C108+'Ly Forsikring'!C108+'Youplus Livsforsikring'!C108+'Oslo Forsikring'!C108</f>
        <v>331615369.23093659</v>
      </c>
      <c r="D108" s="20">
        <f t="shared" si="23"/>
        <v>0.1</v>
      </c>
      <c r="E108" s="36">
        <f>'Fremtind Livsforsikring'!F108+'DNB Livsforsikring'!F108+'Eika Forsikring AS'!F108+'Frende Livsforsikring'!F108+'Frende Skadeforsikring'!F108+'Gjensidige Forsikring'!F108+'Gjensidige Pensjon'!F108+'If Skadeforsikring NUF'!F108+KLP!F108+'KLP Skadeforsikring AS'!F108+'Landkreditt Forsikring'!F108+'Nordea Liv '!F108+'Oslo Pensjonsforsikring'!F108+'Protector Forsikring'!F108+'Sparebank 1 Fors.'!F108+'Storebrand Livsforsikring'!F108+'Telenor Forsikring'!F108+'Tryg Forsikring'!F108+'WaterCircles F'!F108+'Euro Accident'!F108+'Ly Forsikring'!F108+'Youplus Livsforsikring'!F108+'Oslo Forsikring'!F108</f>
        <v>22412240.37686</v>
      </c>
      <c r="F108" s="36">
        <f>'Fremtind Livsforsikring'!G108+'DNB Livsforsikring'!G108+'Eika Forsikring AS'!G108+'Frende Livsforsikring'!G108+'Frende Skadeforsikring'!G108+'Gjensidige Forsikring'!G108+'Gjensidige Pensjon'!G108+'If Skadeforsikring NUF'!G108+KLP!G108+'KLP Skadeforsikring AS'!G108+'Landkreditt Forsikring'!G108+'Nordea Liv '!G108+'Oslo Pensjonsforsikring'!G108+'Protector Forsikring'!G108+'Sparebank 1 Fors.'!G108+'Storebrand Livsforsikring'!G108+'Telenor Forsikring'!G108+'Tryg Forsikring'!G108+'WaterCircles F'!G108+'Euro Accident'!G108+'Ly Forsikring'!G108+'Youplus Livsforsikring'!G108+'Oslo Forsikring'!G108</f>
        <v>24545066.106019769</v>
      </c>
      <c r="G108" s="123">
        <f t="shared" si="24"/>
        <v>9.5</v>
      </c>
      <c r="H108" s="185">
        <f t="shared" si="32"/>
        <v>353791713.35684001</v>
      </c>
      <c r="I108" s="185">
        <f t="shared" si="33"/>
        <v>356160435.33695638</v>
      </c>
      <c r="J108" s="20">
        <f t="shared" si="27"/>
        <v>0.7</v>
      </c>
    </row>
    <row r="109" spans="1:10" ht="15.75" customHeight="1" x14ac:dyDescent="0.2">
      <c r="A109" s="18" t="s">
        <v>382</v>
      </c>
      <c r="B109" s="182">
        <f>'Fremtind Livsforsikring'!B109+'DNB Livsforsikring'!B109+'Eika Forsikring AS'!B109+'Frende Livsforsikring'!B109+'Frende Skadeforsikring'!B109+'Gjensidige Forsikring'!B109+'Gjensidige Pensjon'!B109+'If Skadeforsikring NUF'!B109+KLP!B109+'KLP Skadeforsikring AS'!B109+'Landkreditt Forsikring'!B109+'Nordea Liv '!B109+'Oslo Pensjonsforsikring'!B109+'Protector Forsikring'!B109+'Sparebank 1 Fors.'!B109+'Storebrand Livsforsikring'!B109+'Telenor Forsikring'!B109+'Tryg Forsikring'!B109+'WaterCircles F'!B109+'Euro Accident'!B109+'Ly Forsikring'!B109+'Youplus Livsforsikring'!B109+'Oslo Forsikring'!B109</f>
        <v>2346635.6744448403</v>
      </c>
      <c r="C109" s="182">
        <f>'Fremtind Livsforsikring'!C109+'DNB Livsforsikring'!C109+'Eika Forsikring AS'!C109+'Frende Livsforsikring'!C109+'Frende Skadeforsikring'!C109+'Gjensidige Forsikring'!C109+'Gjensidige Pensjon'!C109+'If Skadeforsikring NUF'!C109+KLP!C109+'KLP Skadeforsikring AS'!C109+'Landkreditt Forsikring'!C109+'Nordea Liv '!C109+'Oslo Pensjonsforsikring'!C109+'Protector Forsikring'!C109+'Sparebank 1 Fors.'!C109+'Storebrand Livsforsikring'!C109+'Telenor Forsikring'!C109+'Tryg Forsikring'!C109+'WaterCircles F'!C109+'Euro Accident'!C109+'Ly Forsikring'!C109+'Youplus Livsforsikring'!C109+'Oslo Forsikring'!C109</f>
        <v>2578235.2198863542</v>
      </c>
      <c r="D109" s="20">
        <f t="shared" si="23"/>
        <v>9.9</v>
      </c>
      <c r="E109" s="36">
        <f>'Fremtind Livsforsikring'!F109+'DNB Livsforsikring'!F109+'Eika Forsikring AS'!F109+'Frende Livsforsikring'!F109+'Frende Skadeforsikring'!F109+'Gjensidige Forsikring'!F109+'Gjensidige Pensjon'!F109+'If Skadeforsikring NUF'!F109+KLP!F109+'KLP Skadeforsikring AS'!F109+'Landkreditt Forsikring'!F109+'Nordea Liv '!F109+'Oslo Pensjonsforsikring'!F109+'Protector Forsikring'!F109+'Sparebank 1 Fors.'!F109+'Storebrand Livsforsikring'!F109+'Telenor Forsikring'!F109+'Tryg Forsikring'!F109+'WaterCircles F'!F109+'Euro Accident'!F109+'Ly Forsikring'!F109+'Youplus Livsforsikring'!F109+'Oslo Forsikring'!F109</f>
        <v>228019775.76427001</v>
      </c>
      <c r="F109" s="36">
        <f>'Fremtind Livsforsikring'!G109+'DNB Livsforsikring'!G109+'Eika Forsikring AS'!G109+'Frende Livsforsikring'!G109+'Frende Skadeforsikring'!G109+'Gjensidige Forsikring'!G109+'Gjensidige Pensjon'!G109+'If Skadeforsikring NUF'!G109+KLP!G109+'KLP Skadeforsikring AS'!G109+'Landkreditt Forsikring'!G109+'Nordea Liv '!G109+'Oslo Pensjonsforsikring'!G109+'Protector Forsikring'!G109+'Sparebank 1 Fors.'!G109+'Storebrand Livsforsikring'!G109+'Telenor Forsikring'!G109+'Tryg Forsikring'!G109+'WaterCircles F'!G109+'Euro Accident'!G109+'Ly Forsikring'!G109+'Youplus Livsforsikring'!G109+'Oslo Forsikring'!G109</f>
        <v>273899807.88926989</v>
      </c>
      <c r="G109" s="123">
        <f t="shared" si="24"/>
        <v>20.100000000000001</v>
      </c>
      <c r="H109" s="185">
        <f t="shared" si="32"/>
        <v>230366411.43871486</v>
      </c>
      <c r="I109" s="185">
        <f t="shared" si="33"/>
        <v>276478043.10915625</v>
      </c>
      <c r="J109" s="20">
        <f t="shared" si="27"/>
        <v>20</v>
      </c>
    </row>
    <row r="110" spans="1:10" ht="15.75" customHeight="1" x14ac:dyDescent="0.2">
      <c r="A110" s="18" t="s">
        <v>343</v>
      </c>
      <c r="B110" s="182">
        <f>'Fremtind Livsforsikring'!B110+'DNB Livsforsikring'!B110+'Eika Forsikring AS'!B110+'Frende Livsforsikring'!B110+'Frende Skadeforsikring'!B110+'Gjensidige Forsikring'!B110+'Gjensidige Pensjon'!B110+'If Skadeforsikring NUF'!B110+KLP!B110+'KLP Skadeforsikring AS'!B110+'Landkreditt Forsikring'!B110+'Nordea Liv '!B110+'Oslo Pensjonsforsikring'!B110+'Protector Forsikring'!B110+'Sparebank 1 Fors.'!B110+'Storebrand Livsforsikring'!B110+'Telenor Forsikring'!B110+'Tryg Forsikring'!B110+'WaterCircles F'!B110+'Euro Accident'!B110+'Ly Forsikring'!B110+'Youplus Livsforsikring'!B110+'Oslo Forsikring'!B110</f>
        <v>2834424.1458900003</v>
      </c>
      <c r="C110" s="182">
        <f>'Fremtind Livsforsikring'!C110+'DNB Livsforsikring'!C110+'Eika Forsikring AS'!C110+'Frende Livsforsikring'!C110+'Frende Skadeforsikring'!C110+'Gjensidige Forsikring'!C110+'Gjensidige Pensjon'!C110+'If Skadeforsikring NUF'!C110+KLP!C110+'KLP Skadeforsikring AS'!C110+'Landkreditt Forsikring'!C110+'Nordea Liv '!C110+'Oslo Pensjonsforsikring'!C110+'Protector Forsikring'!C110+'Sparebank 1 Fors.'!C110+'Storebrand Livsforsikring'!C110+'Telenor Forsikring'!C110+'Tryg Forsikring'!C110+'WaterCircles F'!C110+'Euro Accident'!C110+'Ly Forsikring'!C110+'Youplus Livsforsikring'!C110+'Oslo Forsikring'!C110</f>
        <v>4047509.3461600002</v>
      </c>
      <c r="D110" s="20">
        <f t="shared" si="23"/>
        <v>42.8</v>
      </c>
      <c r="E110" s="36">
        <f>'Fremtind Livsforsikring'!F110+'DNB Livsforsikring'!F110+'Eika Forsikring AS'!F110+'Frende Livsforsikring'!F110+'Frende Skadeforsikring'!F110+'Gjensidige Forsikring'!F110+'Gjensidige Pensjon'!F110+'If Skadeforsikring NUF'!F110+KLP!F110+'KLP Skadeforsikring AS'!F110+'Landkreditt Forsikring'!F110+'Nordea Liv '!F110+'Oslo Pensjonsforsikring'!F110+'Protector Forsikring'!F110+'Sparebank 1 Fors.'!F110+'Storebrand Livsforsikring'!F110+'Telenor Forsikring'!F110+'Tryg Forsikring'!F110+'WaterCircles F'!F110+'Euro Accident'!F110+'Ly Forsikring'!F110+'Youplus Livsforsikring'!F110+'Oslo Forsikring'!F110</f>
        <v>0</v>
      </c>
      <c r="F110" s="36">
        <f>'Fremtind Livsforsikring'!G110+'DNB Livsforsikring'!G110+'Eika Forsikring AS'!G110+'Frende Livsforsikring'!G110+'Frende Skadeforsikring'!G110+'Gjensidige Forsikring'!G110+'Gjensidige Pensjon'!G110+'If Skadeforsikring NUF'!G110+KLP!G110+'KLP Skadeforsikring AS'!G110+'Landkreditt Forsikring'!G110+'Nordea Liv '!G110+'Oslo Pensjonsforsikring'!G110+'Protector Forsikring'!G110+'Sparebank 1 Fors.'!G110+'Storebrand Livsforsikring'!G110+'Telenor Forsikring'!G110+'Tryg Forsikring'!G110+'WaterCircles F'!G110+'Euro Accident'!G110+'Ly Forsikring'!G110+'Youplus Livsforsikring'!G110+'Oslo Forsikring'!G110</f>
        <v>0</v>
      </c>
      <c r="G110" s="123"/>
      <c r="H110" s="185">
        <f t="shared" si="32"/>
        <v>2834424.1458900003</v>
      </c>
      <c r="I110" s="185">
        <f t="shared" si="33"/>
        <v>4047509.3461600002</v>
      </c>
      <c r="J110" s="20">
        <f t="shared" si="27"/>
        <v>42.8</v>
      </c>
    </row>
    <row r="111" spans="1:10" s="35" customFormat="1" ht="15.75" customHeight="1" x14ac:dyDescent="0.2">
      <c r="A111" s="10" t="s">
        <v>324</v>
      </c>
      <c r="B111" s="251">
        <f>'Fremtind Livsforsikring'!B111+'DNB Livsforsikring'!B111+'Eika Forsikring AS'!B111+'Frende Livsforsikring'!B111+'Frende Skadeforsikring'!B111+'Gjensidige Forsikring'!B111+'Gjensidige Pensjon'!B111+'If Skadeforsikring NUF'!B111+KLP!B111+'KLP Skadeforsikring AS'!B111+'Landkreditt Forsikring'!B111+'Nordea Liv '!B111+'Oslo Pensjonsforsikring'!B111+'Protector Forsikring'!B111+'Sparebank 1 Fors.'!B111+'Storebrand Livsforsikring'!B111+'Telenor Forsikring'!B111+'Tryg Forsikring'!B111+'WaterCircles F'!B111+'Euro Accident'!B111+'Ly Forsikring'!B111+'Youplus Livsforsikring'!B111+'Oslo Forsikring'!B111</f>
        <v>337334.94871999999</v>
      </c>
      <c r="C111" s="251">
        <f>'Fremtind Livsforsikring'!C111+'DNB Livsforsikring'!C111+'Eika Forsikring AS'!C111+'Frende Livsforsikring'!C111+'Frende Skadeforsikring'!C111+'Gjensidige Forsikring'!C111+'Gjensidige Pensjon'!C111+'If Skadeforsikring NUF'!C111+KLP!C111+'KLP Skadeforsikring AS'!C111+'Landkreditt Forsikring'!C111+'Nordea Liv '!C111+'Oslo Pensjonsforsikring'!C111+'Protector Forsikring'!C111+'Sparebank 1 Fors.'!C111+'Storebrand Livsforsikring'!C111+'Telenor Forsikring'!C111+'Tryg Forsikring'!C111+'WaterCircles F'!C111+'Euro Accident'!C111+'Ly Forsikring'!C111+'Youplus Livsforsikring'!C111+'Oslo Forsikring'!C111</f>
        <v>1321054.7294999999</v>
      </c>
      <c r="D111" s="21">
        <f t="shared" si="23"/>
        <v>291.60000000000002</v>
      </c>
      <c r="E111" s="184">
        <f>'Fremtind Livsforsikring'!F111+'DNB Livsforsikring'!F111+'Eika Forsikring AS'!F111+'Frende Livsforsikring'!F111+'Frende Skadeforsikring'!F111+'Gjensidige Forsikring'!F111+'Gjensidige Pensjon'!F111+'If Skadeforsikring NUF'!F111+KLP!F111+'KLP Skadeforsikring AS'!F111+'Landkreditt Forsikring'!F111+'Nordea Liv '!F111+'Oslo Pensjonsforsikring'!F111+'Protector Forsikring'!F111+'Sparebank 1 Fors.'!F111+'Storebrand Livsforsikring'!F111+'Telenor Forsikring'!F111+'Tryg Forsikring'!F111+'WaterCircles F'!F111+'Euro Accident'!F111+'Ly Forsikring'!F111+'Youplus Livsforsikring'!F111+'Oslo Forsikring'!F111</f>
        <v>26359634.33255</v>
      </c>
      <c r="F111" s="184">
        <f>'Fremtind Livsforsikring'!G111+'DNB Livsforsikring'!G111+'Eika Forsikring AS'!G111+'Frende Livsforsikring'!G111+'Frende Skadeforsikring'!G111+'Gjensidige Forsikring'!G111+'Gjensidige Pensjon'!G111+'If Skadeforsikring NUF'!G111+KLP!G111+'KLP Skadeforsikring AS'!G111+'Landkreditt Forsikring'!G111+'Nordea Liv '!G111+'Oslo Pensjonsforsikring'!G111+'Protector Forsikring'!G111+'Sparebank 1 Fors.'!G111+'Storebrand Livsforsikring'!G111+'Telenor Forsikring'!G111+'Tryg Forsikring'!G111+'WaterCircles F'!G111+'Euro Accident'!G111+'Ly Forsikring'!G111+'Youplus Livsforsikring'!G111+'Oslo Forsikring'!G111</f>
        <v>35246864.129100002</v>
      </c>
      <c r="G111" s="127">
        <f t="shared" si="24"/>
        <v>33.700000000000003</v>
      </c>
      <c r="H111" s="271">
        <f t="shared" si="32"/>
        <v>26696969.281270001</v>
      </c>
      <c r="I111" s="271">
        <f t="shared" si="33"/>
        <v>36567918.858600006</v>
      </c>
      <c r="J111" s="21">
        <f t="shared" si="27"/>
        <v>37</v>
      </c>
    </row>
    <row r="112" spans="1:10" ht="15.75" customHeight="1" x14ac:dyDescent="0.2">
      <c r="A112" s="18" t="s">
        <v>9</v>
      </c>
      <c r="B112" s="182">
        <f>'Fremtind Livsforsikring'!B112+'DNB Livsforsikring'!B112+'Eika Forsikring AS'!B112+'Frende Livsforsikring'!B112+'Frende Skadeforsikring'!B112+'Gjensidige Forsikring'!B112+'Gjensidige Pensjon'!B112+'If Skadeforsikring NUF'!B112+KLP!B112+'KLP Skadeforsikring AS'!B112+'Landkreditt Forsikring'!B112+'Nordea Liv '!B112+'Oslo Pensjonsforsikring'!B112+'Protector Forsikring'!B112+'Sparebank 1 Fors.'!B112+'Storebrand Livsforsikring'!B112+'Telenor Forsikring'!B112+'Tryg Forsikring'!B112+'WaterCircles F'!B112+'Euro Accident'!B112+'Ly Forsikring'!B112+'Youplus Livsforsikring'!B112+'Oslo Forsikring'!B112</f>
        <v>236445.06138000003</v>
      </c>
      <c r="C112" s="182">
        <f>'Fremtind Livsforsikring'!C112+'DNB Livsforsikring'!C112+'Eika Forsikring AS'!C112+'Frende Livsforsikring'!C112+'Frende Skadeforsikring'!C112+'Gjensidige Forsikring'!C112+'Gjensidige Pensjon'!C112+'If Skadeforsikring NUF'!C112+KLP!C112+'KLP Skadeforsikring AS'!C112+'Landkreditt Forsikring'!C112+'Nordea Liv '!C112+'Oslo Pensjonsforsikring'!C112+'Protector Forsikring'!C112+'Sparebank 1 Fors.'!C112+'Storebrand Livsforsikring'!C112+'Telenor Forsikring'!C112+'Tryg Forsikring'!C112+'WaterCircles F'!C112+'Euro Accident'!C112+'Ly Forsikring'!C112+'Youplus Livsforsikring'!C112+'Oslo Forsikring'!C112</f>
        <v>1197288.1144999999</v>
      </c>
      <c r="D112" s="20">
        <f t="shared" ref="D112:D125" si="38">IF(B112=0, "    ---- ", IF(ABS(ROUND(100/B112*C112-100,1))&lt;999,ROUND(100/B112*C112-100,1),IF(ROUND(100/B112*C112-100,1)&gt;999,999,-999)))</f>
        <v>406.4</v>
      </c>
      <c r="E112" s="36">
        <f>'Fremtind Livsforsikring'!F112+'DNB Livsforsikring'!F112+'Eika Forsikring AS'!F112+'Frende Livsforsikring'!F112+'Frende Skadeforsikring'!F112+'Gjensidige Forsikring'!F112+'Gjensidige Pensjon'!F112+'If Skadeforsikring NUF'!F112+KLP!F112+'KLP Skadeforsikring AS'!F112+'Landkreditt Forsikring'!F112+'Nordea Liv '!F112+'Oslo Pensjonsforsikring'!F112+'Protector Forsikring'!F112+'Sparebank 1 Fors.'!F112+'Storebrand Livsforsikring'!F112+'Telenor Forsikring'!F112+'Tryg Forsikring'!F112+'WaterCircles F'!F112+'Euro Accident'!F112+'Ly Forsikring'!F112+'Youplus Livsforsikring'!F112+'Oslo Forsikring'!F112</f>
        <v>983.60799999999995</v>
      </c>
      <c r="F112" s="36">
        <f>'Fremtind Livsforsikring'!G112+'DNB Livsforsikring'!G112+'Eika Forsikring AS'!G112+'Frende Livsforsikring'!G112+'Frende Skadeforsikring'!G112+'Gjensidige Forsikring'!G112+'Gjensidige Pensjon'!G112+'If Skadeforsikring NUF'!G112+KLP!G112+'KLP Skadeforsikring AS'!G112+'Landkreditt Forsikring'!G112+'Nordea Liv '!G112+'Oslo Pensjonsforsikring'!G112+'Protector Forsikring'!G112+'Sparebank 1 Fors.'!G112+'Storebrand Livsforsikring'!G112+'Telenor Forsikring'!G112+'Tryg Forsikring'!G112+'WaterCircles F'!G112+'Euro Accident'!G112+'Ly Forsikring'!G112+'Youplus Livsforsikring'!G112+'Oslo Forsikring'!G112</f>
        <v>887.78599999999994</v>
      </c>
      <c r="G112" s="123">
        <f t="shared" si="24"/>
        <v>-9.6999999999999993</v>
      </c>
      <c r="H112" s="185">
        <f t="shared" ref="H112:H126" si="39">SUM(B112,E112)</f>
        <v>237428.66938000004</v>
      </c>
      <c r="I112" s="185">
        <f t="shared" ref="I112:I126" si="40">SUM(C112,F112)</f>
        <v>1198175.9005</v>
      </c>
      <c r="J112" s="20">
        <f t="shared" ref="J112:J125" si="41">IF(H112=0, "    ---- ", IF(ABS(ROUND(100/H112*I112-100,1))&lt;999,ROUND(100/H112*I112-100,1),IF(ROUND(100/H112*I112-100,1)&gt;999,999,-999)))</f>
        <v>404.6</v>
      </c>
    </row>
    <row r="113" spans="1:10" ht="15.75" customHeight="1" x14ac:dyDescent="0.2">
      <c r="A113" s="18" t="s">
        <v>10</v>
      </c>
      <c r="B113" s="182">
        <f>'Fremtind Livsforsikring'!B113+'DNB Livsforsikring'!B113+'Eika Forsikring AS'!B113+'Frende Livsforsikring'!B113+'Frende Skadeforsikring'!B113+'Gjensidige Forsikring'!B113+'Gjensidige Pensjon'!B113+'If Skadeforsikring NUF'!B113+KLP!B113+'KLP Skadeforsikring AS'!B113+'Landkreditt Forsikring'!B113+'Nordea Liv '!B113+'Oslo Pensjonsforsikring'!B113+'Protector Forsikring'!B113+'Sparebank 1 Fors.'!B113+'Storebrand Livsforsikring'!B113+'Telenor Forsikring'!B113+'Tryg Forsikring'!B113+'WaterCircles F'!B113+'Euro Accident'!B113+'Ly Forsikring'!B113+'Youplus Livsforsikring'!B113+'Oslo Forsikring'!B113</f>
        <v>0</v>
      </c>
      <c r="C113" s="182">
        <f>'Fremtind Livsforsikring'!C113+'DNB Livsforsikring'!C113+'Eika Forsikring AS'!C113+'Frende Livsforsikring'!C113+'Frende Skadeforsikring'!C113+'Gjensidige Forsikring'!C113+'Gjensidige Pensjon'!C113+'If Skadeforsikring NUF'!C113+KLP!C113+'KLP Skadeforsikring AS'!C113+'Landkreditt Forsikring'!C113+'Nordea Liv '!C113+'Oslo Pensjonsforsikring'!C113+'Protector Forsikring'!C113+'Sparebank 1 Fors.'!C113+'Storebrand Livsforsikring'!C113+'Telenor Forsikring'!C113+'Tryg Forsikring'!C113+'WaterCircles F'!C113+'Euro Accident'!C113+'Ly Forsikring'!C113+'Youplus Livsforsikring'!C113+'Oslo Forsikring'!C113</f>
        <v>21482.974999999999</v>
      </c>
      <c r="D113" s="20" t="str">
        <f t="shared" si="38"/>
        <v xml:space="preserve">    ---- </v>
      </c>
      <c r="E113" s="36">
        <f>'Fremtind Livsforsikring'!F113+'DNB Livsforsikring'!F113+'Eika Forsikring AS'!F113+'Frende Livsforsikring'!F113+'Frende Skadeforsikring'!F113+'Gjensidige Forsikring'!F113+'Gjensidige Pensjon'!F113+'If Skadeforsikring NUF'!F113+KLP!F113+'KLP Skadeforsikring AS'!F113+'Landkreditt Forsikring'!F113+'Nordea Liv '!F113+'Oslo Pensjonsforsikring'!F113+'Protector Forsikring'!F113+'Sparebank 1 Fors.'!F113+'Storebrand Livsforsikring'!F113+'Telenor Forsikring'!F113+'Tryg Forsikring'!F113+'WaterCircles F'!F113+'Euro Accident'!F113+'Ly Forsikring'!F113+'Youplus Livsforsikring'!F113+'Oslo Forsikring'!F113</f>
        <v>26358650.724550001</v>
      </c>
      <c r="F113" s="36">
        <f>'Fremtind Livsforsikring'!G113+'DNB Livsforsikring'!G113+'Eika Forsikring AS'!G113+'Frende Livsforsikring'!G113+'Frende Skadeforsikring'!G113+'Gjensidige Forsikring'!G113+'Gjensidige Pensjon'!G113+'If Skadeforsikring NUF'!G113+KLP!G113+'KLP Skadeforsikring AS'!G113+'Landkreditt Forsikring'!G113+'Nordea Liv '!G113+'Oslo Pensjonsforsikring'!G113+'Protector Forsikring'!G113+'Sparebank 1 Fors.'!G113+'Storebrand Livsforsikring'!G113+'Telenor Forsikring'!G113+'Tryg Forsikring'!G113+'WaterCircles F'!G113+'Euro Accident'!G113+'Ly Forsikring'!G113+'Youplus Livsforsikring'!G113+'Oslo Forsikring'!G113</f>
        <v>35245976.343100004</v>
      </c>
      <c r="G113" s="127">
        <f t="shared" si="24"/>
        <v>33.700000000000003</v>
      </c>
      <c r="H113" s="185">
        <f t="shared" si="39"/>
        <v>26358650.724550001</v>
      </c>
      <c r="I113" s="185">
        <f t="shared" si="40"/>
        <v>35267459.318100005</v>
      </c>
      <c r="J113" s="21">
        <f t="shared" si="41"/>
        <v>33.799999999999997</v>
      </c>
    </row>
    <row r="114" spans="1:10" ht="15.75" customHeight="1" x14ac:dyDescent="0.2">
      <c r="A114" s="18" t="s">
        <v>26</v>
      </c>
      <c r="B114" s="182">
        <f>'Fremtind Livsforsikring'!B114+'DNB Livsforsikring'!B114+'Eika Forsikring AS'!B114+'Frende Livsforsikring'!B114+'Frende Skadeforsikring'!B114+'Gjensidige Forsikring'!B114+'Gjensidige Pensjon'!B114+'If Skadeforsikring NUF'!B114+KLP!B114+'KLP Skadeforsikring AS'!B114+'Landkreditt Forsikring'!B114+'Nordea Liv '!B114+'Oslo Pensjonsforsikring'!B114+'Protector Forsikring'!B114+'Sparebank 1 Fors.'!B114+'Storebrand Livsforsikring'!B114+'Telenor Forsikring'!B114+'Tryg Forsikring'!B114+'WaterCircles F'!B114+'Euro Accident'!B114+'Ly Forsikring'!B114+'Youplus Livsforsikring'!B114+'Oslo Forsikring'!B114</f>
        <v>100889.88734</v>
      </c>
      <c r="C114" s="182">
        <f>'Fremtind Livsforsikring'!C114+'DNB Livsforsikring'!C114+'Eika Forsikring AS'!C114+'Frende Livsforsikring'!C114+'Frende Skadeforsikring'!C114+'Gjensidige Forsikring'!C114+'Gjensidige Pensjon'!C114+'If Skadeforsikring NUF'!C114+KLP!C114+'KLP Skadeforsikring AS'!C114+'Landkreditt Forsikring'!C114+'Nordea Liv '!C114+'Oslo Pensjonsforsikring'!C114+'Protector Forsikring'!C114+'Sparebank 1 Fors.'!C114+'Storebrand Livsforsikring'!C114+'Telenor Forsikring'!C114+'Tryg Forsikring'!C114+'WaterCircles F'!C114+'Euro Accident'!C114+'Ly Forsikring'!C114+'Youplus Livsforsikring'!C114+'Oslo Forsikring'!C114</f>
        <v>102283.64</v>
      </c>
      <c r="D114" s="20">
        <f t="shared" si="38"/>
        <v>1.4</v>
      </c>
      <c r="E114" s="36">
        <f>'Fremtind Livsforsikring'!F114+'DNB Livsforsikring'!F114+'Eika Forsikring AS'!F114+'Frende Livsforsikring'!F114+'Frende Skadeforsikring'!F114+'Gjensidige Forsikring'!F114+'Gjensidige Pensjon'!F114+'If Skadeforsikring NUF'!F114+KLP!F114+'KLP Skadeforsikring AS'!F114+'Landkreditt Forsikring'!F114+'Nordea Liv '!F114+'Oslo Pensjonsforsikring'!F114+'Protector Forsikring'!F114+'Sparebank 1 Fors.'!F114+'Storebrand Livsforsikring'!F114+'Telenor Forsikring'!F114+'Tryg Forsikring'!F114+'WaterCircles F'!F114+'Euro Accident'!F114+'Ly Forsikring'!F114+'Youplus Livsforsikring'!F114+'Oslo Forsikring'!F114</f>
        <v>0</v>
      </c>
      <c r="F114" s="36">
        <f>'Fremtind Livsforsikring'!G114+'DNB Livsforsikring'!G114+'Eika Forsikring AS'!G114+'Frende Livsforsikring'!G114+'Frende Skadeforsikring'!G114+'Gjensidige Forsikring'!G114+'Gjensidige Pensjon'!G114+'If Skadeforsikring NUF'!G114+KLP!G114+'KLP Skadeforsikring AS'!G114+'Landkreditt Forsikring'!G114+'Nordea Liv '!G114+'Oslo Pensjonsforsikring'!G114+'Protector Forsikring'!G114+'Sparebank 1 Fors.'!G114+'Storebrand Livsforsikring'!G114+'Telenor Forsikring'!G114+'Tryg Forsikring'!G114+'WaterCircles F'!G114+'Euro Accident'!G114+'Ly Forsikring'!G114+'Youplus Livsforsikring'!G114+'Oslo Forsikring'!G114</f>
        <v>0</v>
      </c>
      <c r="G114" s="127"/>
      <c r="H114" s="185">
        <f t="shared" si="39"/>
        <v>100889.88734</v>
      </c>
      <c r="I114" s="185">
        <f t="shared" si="40"/>
        <v>102283.64</v>
      </c>
      <c r="J114" s="21">
        <f t="shared" si="41"/>
        <v>1.4</v>
      </c>
    </row>
    <row r="115" spans="1:10" ht="15.75" customHeight="1" x14ac:dyDescent="0.2">
      <c r="A115" s="241" t="s">
        <v>15</v>
      </c>
      <c r="B115" s="36"/>
      <c r="C115" s="36"/>
      <c r="D115" s="23"/>
      <c r="E115" s="36"/>
      <c r="F115" s="36"/>
      <c r="G115" s="123"/>
      <c r="H115" s="185"/>
      <c r="I115" s="185"/>
      <c r="J115" s="20"/>
    </row>
    <row r="116" spans="1:10" ht="15.75" customHeight="1" x14ac:dyDescent="0.2">
      <c r="A116" s="18" t="s">
        <v>344</v>
      </c>
      <c r="B116" s="182">
        <f>'Fremtind Livsforsikring'!B116+'DNB Livsforsikring'!B116+'Eika Forsikring AS'!B116+'Frende Livsforsikring'!B116+'Frende Skadeforsikring'!B116+'Gjensidige Forsikring'!B116+'Gjensidige Pensjon'!B116+'If Skadeforsikring NUF'!B116+KLP!B116+'KLP Skadeforsikring AS'!B116+'Landkreditt Forsikring'!B116+'Nordea Liv '!B116+'Oslo Pensjonsforsikring'!B116+'Protector Forsikring'!B116+'Sparebank 1 Fors.'!B116+'Storebrand Livsforsikring'!B116+'Telenor Forsikring'!B116+'Tryg Forsikring'!B116+'WaterCircles F'!B116+'Euro Accident'!B116+'Ly Forsikring'!B116+'Youplus Livsforsikring'!B116+'Oslo Forsikring'!B116</f>
        <v>36408.257039999997</v>
      </c>
      <c r="C116" s="182">
        <f>'Fremtind Livsforsikring'!C116+'DNB Livsforsikring'!C116+'Eika Forsikring AS'!C116+'Frende Livsforsikring'!C116+'Frende Skadeforsikring'!C116+'Gjensidige Forsikring'!C116+'Gjensidige Pensjon'!C116+'If Skadeforsikring NUF'!C116+KLP!C116+'KLP Skadeforsikring AS'!C116+'Landkreditt Forsikring'!C116+'Nordea Liv '!C116+'Oslo Pensjonsforsikring'!C116+'Protector Forsikring'!C116+'Sparebank 1 Fors.'!C116+'Storebrand Livsforsikring'!C116+'Telenor Forsikring'!C116+'Tryg Forsikring'!C116+'WaterCircles F'!C116+'Euro Accident'!C116+'Ly Forsikring'!C116+'Youplus Livsforsikring'!C116+'Oslo Forsikring'!C116</f>
        <v>919689.94840999995</v>
      </c>
      <c r="D116" s="20">
        <f t="shared" si="38"/>
        <v>999</v>
      </c>
      <c r="E116" s="36">
        <f>'Fremtind Livsforsikring'!F116+'DNB Livsforsikring'!F116+'Eika Forsikring AS'!F116+'Frende Livsforsikring'!F116+'Frende Skadeforsikring'!F116+'Gjensidige Forsikring'!F116+'Gjensidige Pensjon'!F116+'If Skadeforsikring NUF'!F116+KLP!F116+'KLP Skadeforsikring AS'!F116+'Landkreditt Forsikring'!F116+'Nordea Liv '!F116+'Oslo Pensjonsforsikring'!F116+'Protector Forsikring'!F116+'Sparebank 1 Fors.'!F116+'Storebrand Livsforsikring'!F116+'Telenor Forsikring'!F116+'Tryg Forsikring'!F116+'WaterCircles F'!F116+'Euro Accident'!F116+'Ly Forsikring'!F116+'Youplus Livsforsikring'!F116+'Oslo Forsikring'!F116</f>
        <v>983.60799999999995</v>
      </c>
      <c r="F116" s="36">
        <f>'Fremtind Livsforsikring'!G116+'DNB Livsforsikring'!G116+'Eika Forsikring AS'!G116+'Frende Livsforsikring'!G116+'Frende Skadeforsikring'!G116+'Gjensidige Forsikring'!G116+'Gjensidige Pensjon'!G116+'If Skadeforsikring NUF'!G116+KLP!G116+'KLP Skadeforsikring AS'!G116+'Landkreditt Forsikring'!G116+'Nordea Liv '!G116+'Oslo Pensjonsforsikring'!G116+'Protector Forsikring'!G116+'Sparebank 1 Fors.'!G116+'Storebrand Livsforsikring'!G116+'Telenor Forsikring'!G116+'Tryg Forsikring'!G116+'WaterCircles F'!G116+'Euro Accident'!G116+'Ly Forsikring'!G116+'Youplus Livsforsikring'!G116+'Oslo Forsikring'!G116</f>
        <v>887.78599999999994</v>
      </c>
      <c r="G116" s="123">
        <f t="shared" si="24"/>
        <v>-9.6999999999999993</v>
      </c>
      <c r="H116" s="185">
        <f t="shared" si="39"/>
        <v>37391.865039999997</v>
      </c>
      <c r="I116" s="185">
        <f t="shared" si="40"/>
        <v>920577.73440999992</v>
      </c>
      <c r="J116" s="20">
        <f t="shared" si="41"/>
        <v>999</v>
      </c>
    </row>
    <row r="117" spans="1:10" ht="15.75" customHeight="1" x14ac:dyDescent="0.2">
      <c r="A117" s="18" t="s">
        <v>382</v>
      </c>
      <c r="B117" s="182">
        <f>'Fremtind Livsforsikring'!B117+'DNB Livsforsikring'!B117+'Eika Forsikring AS'!B117+'Frende Livsforsikring'!B117+'Frende Skadeforsikring'!B117+'Gjensidige Forsikring'!B117+'Gjensidige Pensjon'!B117+'If Skadeforsikring NUF'!B117+KLP!B117+'KLP Skadeforsikring AS'!B117+'Landkreditt Forsikring'!B117+'Nordea Liv '!B117+'Oslo Pensjonsforsikring'!B117+'Protector Forsikring'!B117+'Sparebank 1 Fors.'!B117+'Storebrand Livsforsikring'!B117+'Telenor Forsikring'!B117+'Tryg Forsikring'!B117+'WaterCircles F'!B117+'Euro Accident'!B117+'Ly Forsikring'!B117+'Youplus Livsforsikring'!B117+'Oslo Forsikring'!B117</f>
        <v>0</v>
      </c>
      <c r="C117" s="182">
        <f>'Fremtind Livsforsikring'!C117+'DNB Livsforsikring'!C117+'Eika Forsikring AS'!C117+'Frende Livsforsikring'!C117+'Frende Skadeforsikring'!C117+'Gjensidige Forsikring'!C117+'Gjensidige Pensjon'!C117+'If Skadeforsikring NUF'!C117+KLP!C117+'KLP Skadeforsikring AS'!C117+'Landkreditt Forsikring'!C117+'Nordea Liv '!C117+'Oslo Pensjonsforsikring'!C117+'Protector Forsikring'!C117+'Sparebank 1 Fors.'!C117+'Storebrand Livsforsikring'!C117+'Telenor Forsikring'!C117+'Tryg Forsikring'!C117+'WaterCircles F'!C117+'Euro Accident'!C117+'Ly Forsikring'!C117+'Youplus Livsforsikring'!C117+'Oslo Forsikring'!C117</f>
        <v>0</v>
      </c>
      <c r="D117" s="20"/>
      <c r="E117" s="36">
        <f>'Fremtind Livsforsikring'!F117+'DNB Livsforsikring'!F117+'Eika Forsikring AS'!F117+'Frende Livsforsikring'!F117+'Frende Skadeforsikring'!F117+'Gjensidige Forsikring'!F117+'Gjensidige Pensjon'!F117+'If Skadeforsikring NUF'!F117+KLP!F117+'KLP Skadeforsikring AS'!F117+'Landkreditt Forsikring'!F117+'Nordea Liv '!F117+'Oslo Pensjonsforsikring'!F117+'Protector Forsikring'!F117+'Sparebank 1 Fors.'!F117+'Storebrand Livsforsikring'!F117+'Telenor Forsikring'!F117+'Tryg Forsikring'!F117+'WaterCircles F'!F117+'Euro Accident'!F117+'Ly Forsikring'!F117+'Youplus Livsforsikring'!F117+'Oslo Forsikring'!F117</f>
        <v>13848957.72958</v>
      </c>
      <c r="F117" s="36">
        <f>'Fremtind Livsforsikring'!G117+'DNB Livsforsikring'!G117+'Eika Forsikring AS'!G117+'Frende Livsforsikring'!G117+'Frende Skadeforsikring'!G117+'Gjensidige Forsikring'!G117+'Gjensidige Pensjon'!G117+'If Skadeforsikring NUF'!G117+KLP!G117+'KLP Skadeforsikring AS'!G117+'Landkreditt Forsikring'!G117+'Nordea Liv '!G117+'Oslo Pensjonsforsikring'!G117+'Protector Forsikring'!G117+'Sparebank 1 Fors.'!G117+'Storebrand Livsforsikring'!G117+'Telenor Forsikring'!G117+'Tryg Forsikring'!G117+'WaterCircles F'!G117+'Euro Accident'!G117+'Ly Forsikring'!G117+'Youplus Livsforsikring'!G117+'Oslo Forsikring'!G117</f>
        <v>21372898.13064</v>
      </c>
      <c r="G117" s="123">
        <f t="shared" si="24"/>
        <v>54.3</v>
      </c>
      <c r="H117" s="185">
        <f t="shared" si="39"/>
        <v>13848957.72958</v>
      </c>
      <c r="I117" s="185">
        <f t="shared" si="40"/>
        <v>21372898.13064</v>
      </c>
      <c r="J117" s="20">
        <f t="shared" si="41"/>
        <v>54.3</v>
      </c>
    </row>
    <row r="118" spans="1:10" ht="15.75" customHeight="1" x14ac:dyDescent="0.2">
      <c r="A118" s="18" t="s">
        <v>343</v>
      </c>
      <c r="B118" s="182">
        <f>'Fremtind Livsforsikring'!B118+'DNB Livsforsikring'!B118+'Eika Forsikring AS'!B118+'Frende Livsforsikring'!B118+'Frende Skadeforsikring'!B118+'Gjensidige Forsikring'!B118+'Gjensidige Pensjon'!B118+'If Skadeforsikring NUF'!B118+KLP!B118+'KLP Skadeforsikring AS'!B118+'Landkreditt Forsikring'!B118+'Nordea Liv '!B118+'Oslo Pensjonsforsikring'!B118+'Protector Forsikring'!B118+'Sparebank 1 Fors.'!B118+'Storebrand Livsforsikring'!B118+'Telenor Forsikring'!B118+'Tryg Forsikring'!B118+'WaterCircles F'!B118+'Euro Accident'!B118+'Ly Forsikring'!B118+'Youplus Livsforsikring'!B118+'Oslo Forsikring'!B118</f>
        <v>0</v>
      </c>
      <c r="C118" s="182">
        <f>'Fremtind Livsforsikring'!C118+'DNB Livsforsikring'!C118+'Eika Forsikring AS'!C118+'Frende Livsforsikring'!C118+'Frende Skadeforsikring'!C118+'Gjensidige Forsikring'!C118+'Gjensidige Pensjon'!C118+'If Skadeforsikring NUF'!C118+KLP!C118+'KLP Skadeforsikring AS'!C118+'Landkreditt Forsikring'!C118+'Nordea Liv '!C118+'Oslo Pensjonsforsikring'!C118+'Protector Forsikring'!C118+'Sparebank 1 Fors.'!C118+'Storebrand Livsforsikring'!C118+'Telenor Forsikring'!C118+'Tryg Forsikring'!C118+'WaterCircles F'!C118+'Euro Accident'!C118+'Ly Forsikring'!C118+'Youplus Livsforsikring'!C118+'Oslo Forsikring'!C118</f>
        <v>0</v>
      </c>
      <c r="D118" s="20"/>
      <c r="E118" s="36">
        <f>'Fremtind Livsforsikring'!F118+'DNB Livsforsikring'!F118+'Eika Forsikring AS'!F118+'Frende Livsforsikring'!F118+'Frende Skadeforsikring'!F118+'Gjensidige Forsikring'!F118+'Gjensidige Pensjon'!F118+'If Skadeforsikring NUF'!F118+KLP!F118+'KLP Skadeforsikring AS'!F118+'Landkreditt Forsikring'!F118+'Nordea Liv '!F118+'Oslo Pensjonsforsikring'!F118+'Protector Forsikring'!F118+'Sparebank 1 Fors.'!F118+'Storebrand Livsforsikring'!F118+'Telenor Forsikring'!F118+'Tryg Forsikring'!F118+'WaterCircles F'!F118+'Euro Accident'!F118+'Ly Forsikring'!F118+'Youplus Livsforsikring'!F118+'Oslo Forsikring'!F118</f>
        <v>0</v>
      </c>
      <c r="F118" s="36">
        <f>'Fremtind Livsforsikring'!G118+'DNB Livsforsikring'!G118+'Eika Forsikring AS'!G118+'Frende Livsforsikring'!G118+'Frende Skadeforsikring'!G118+'Gjensidige Forsikring'!G118+'Gjensidige Pensjon'!G118+'If Skadeforsikring NUF'!G118+KLP!G118+'KLP Skadeforsikring AS'!G118+'Landkreditt Forsikring'!G118+'Nordea Liv '!G118+'Oslo Pensjonsforsikring'!G118+'Protector Forsikring'!G118+'Sparebank 1 Fors.'!G118+'Storebrand Livsforsikring'!G118+'Telenor Forsikring'!G118+'Tryg Forsikring'!G118+'WaterCircles F'!G118+'Euro Accident'!G118+'Ly Forsikring'!G118+'Youplus Livsforsikring'!G118+'Oslo Forsikring'!G118</f>
        <v>0</v>
      </c>
      <c r="G118" s="123"/>
      <c r="H118" s="185">
        <f t="shared" si="39"/>
        <v>0</v>
      </c>
      <c r="I118" s="185">
        <f t="shared" si="40"/>
        <v>0</v>
      </c>
      <c r="J118" s="20"/>
    </row>
    <row r="119" spans="1:10" s="35" customFormat="1" ht="15.75" customHeight="1" x14ac:dyDescent="0.2">
      <c r="A119" s="10" t="s">
        <v>325</v>
      </c>
      <c r="B119" s="271">
        <f>'Fremtind Livsforsikring'!B119+'DNB Livsforsikring'!B119+'Eika Forsikring AS'!B119+'Frende Livsforsikring'!B119+'Frende Skadeforsikring'!B119+'Gjensidige Forsikring'!B119+'Gjensidige Pensjon'!B119+'If Skadeforsikring NUF'!B119+KLP!B119+'KLP Skadeforsikring AS'!B119+'Landkreditt Forsikring'!B119+'Nordea Liv '!B119+'Oslo Pensjonsforsikring'!B119+'Protector Forsikring'!B119+'Sparebank 1 Fors.'!B119+'Storebrand Livsforsikring'!B119+'Telenor Forsikring'!B119+'Tryg Forsikring'!B119+'WaterCircles F'!B119+'Euro Accident'!B119+'Ly Forsikring'!B119+'Youplus Livsforsikring'!B119+'Oslo Forsikring'!B119</f>
        <v>170992.5613099995</v>
      </c>
      <c r="C119" s="271">
        <f>'Fremtind Livsforsikring'!C119+'DNB Livsforsikring'!C119+'Eika Forsikring AS'!C119+'Frende Livsforsikring'!C119+'Frende Skadeforsikring'!C119+'Gjensidige Forsikring'!C119+'Gjensidige Pensjon'!C119+'If Skadeforsikring NUF'!C119+KLP!C119+'KLP Skadeforsikring AS'!C119+'Landkreditt Forsikring'!C119+'Nordea Liv '!C119+'Oslo Pensjonsforsikring'!C119+'Protector Forsikring'!C119+'Sparebank 1 Fors.'!C119+'Storebrand Livsforsikring'!C119+'Telenor Forsikring'!C119+'Tryg Forsikring'!C119+'WaterCircles F'!C119+'Euro Accident'!C119+'Ly Forsikring'!C119+'Youplus Livsforsikring'!C119+'Oslo Forsikring'!C119</f>
        <v>367939.22365000023</v>
      </c>
      <c r="D119" s="21">
        <f t="shared" si="38"/>
        <v>115.2</v>
      </c>
      <c r="E119" s="184">
        <f>'Fremtind Livsforsikring'!F119+'DNB Livsforsikring'!F119+'Eika Forsikring AS'!F119+'Frende Livsforsikring'!F119+'Frende Skadeforsikring'!F119+'Gjensidige Forsikring'!F119+'Gjensidige Pensjon'!F119+'If Skadeforsikring NUF'!F119+KLP!F119+'KLP Skadeforsikring AS'!F119+'Landkreditt Forsikring'!F119+'Nordea Liv '!F119+'Oslo Pensjonsforsikring'!F119+'Protector Forsikring'!F119+'Sparebank 1 Fors.'!F119+'Storebrand Livsforsikring'!F119+'Telenor Forsikring'!F119+'Tryg Forsikring'!F119+'WaterCircles F'!F119+'Euro Accident'!F119+'Ly Forsikring'!F119+'Youplus Livsforsikring'!F119+'Oslo Forsikring'!F119</f>
        <v>29091608.48065</v>
      </c>
      <c r="F119" s="184">
        <f>'Fremtind Livsforsikring'!G119+'DNB Livsforsikring'!G119+'Eika Forsikring AS'!G119+'Frende Livsforsikring'!G119+'Frende Skadeforsikring'!G119+'Gjensidige Forsikring'!G119+'Gjensidige Pensjon'!G119+'If Skadeforsikring NUF'!G119+KLP!G119+'KLP Skadeforsikring AS'!G119+'Landkreditt Forsikring'!G119+'Nordea Liv '!G119+'Oslo Pensjonsforsikring'!G119+'Protector Forsikring'!G119+'Sparebank 1 Fors.'!G119+'Storebrand Livsforsikring'!G119+'Telenor Forsikring'!G119+'Tryg Forsikring'!G119+'WaterCircles F'!G119+'Euro Accident'!G119+'Ly Forsikring'!G119+'Youplus Livsforsikring'!G119+'Oslo Forsikring'!G119</f>
        <v>36995974.725000001</v>
      </c>
      <c r="G119" s="127">
        <f t="shared" si="24"/>
        <v>27.2</v>
      </c>
      <c r="H119" s="271">
        <f t="shared" si="39"/>
        <v>29262601.041960001</v>
      </c>
      <c r="I119" s="271">
        <f t="shared" si="40"/>
        <v>37363913.948650002</v>
      </c>
      <c r="J119" s="21">
        <f t="shared" si="41"/>
        <v>27.7</v>
      </c>
    </row>
    <row r="120" spans="1:10" ht="15.75" customHeight="1" x14ac:dyDescent="0.2">
      <c r="A120" s="18" t="s">
        <v>9</v>
      </c>
      <c r="B120" s="185">
        <f>'Fremtind Livsforsikring'!B120+'DNB Livsforsikring'!B120+'Eika Forsikring AS'!B120+'Frende Livsforsikring'!B120+'Frende Skadeforsikring'!B120+'Gjensidige Forsikring'!B120+'Gjensidige Pensjon'!B120+'If Skadeforsikring NUF'!B120+KLP!B120+'KLP Skadeforsikring AS'!B120+'Landkreditt Forsikring'!B120+'Nordea Liv '!B120+'Oslo Pensjonsforsikring'!B120+'Protector Forsikring'!B120+'Sparebank 1 Fors.'!B120+'Storebrand Livsforsikring'!B120+'Telenor Forsikring'!B120+'Tryg Forsikring'!B120+'WaterCircles F'!B120+'Euro Accident'!B120+'Ly Forsikring'!B120+'Youplus Livsforsikring'!B120+'Oslo Forsikring'!B120</f>
        <v>92797.120159999497</v>
      </c>
      <c r="C120" s="185">
        <f>'Fremtind Livsforsikring'!C120+'DNB Livsforsikring'!C120+'Eika Forsikring AS'!C120+'Frende Livsforsikring'!C120+'Frende Skadeforsikring'!C120+'Gjensidige Forsikring'!C120+'Gjensidige Pensjon'!C120+'If Skadeforsikring NUF'!C120+KLP!C120+'KLP Skadeforsikring AS'!C120+'Landkreditt Forsikring'!C120+'Nordea Liv '!C120+'Oslo Pensjonsforsikring'!C120+'Protector Forsikring'!C120+'Sparebank 1 Fors.'!C120+'Storebrand Livsforsikring'!C120+'Telenor Forsikring'!C120+'Tryg Forsikring'!C120+'WaterCircles F'!C120+'Euro Accident'!C120+'Ly Forsikring'!C120+'Youplus Livsforsikring'!C120+'Oslo Forsikring'!C120</f>
        <v>106084.28865000025</v>
      </c>
      <c r="D120" s="20">
        <f t="shared" si="38"/>
        <v>14.3</v>
      </c>
      <c r="E120" s="36">
        <f>'Fremtind Livsforsikring'!F120+'DNB Livsforsikring'!F120+'Eika Forsikring AS'!F120+'Frende Livsforsikring'!F120+'Frende Skadeforsikring'!F120+'Gjensidige Forsikring'!F120+'Gjensidige Pensjon'!F120+'If Skadeforsikring NUF'!F120+KLP!F120+'KLP Skadeforsikring AS'!F120+'Landkreditt Forsikring'!F120+'Nordea Liv '!F120+'Oslo Pensjonsforsikring'!F120+'Protector Forsikring'!F120+'Sparebank 1 Fors.'!F120+'Storebrand Livsforsikring'!F120+'Telenor Forsikring'!F120+'Tryg Forsikring'!F120+'WaterCircles F'!F120+'Euro Accident'!F120+'Ly Forsikring'!F120+'Youplus Livsforsikring'!F120+'Oslo Forsikring'!F120</f>
        <v>0</v>
      </c>
      <c r="F120" s="36">
        <f>'Fremtind Livsforsikring'!G120+'DNB Livsforsikring'!G120+'Eika Forsikring AS'!G120+'Frende Livsforsikring'!G120+'Frende Skadeforsikring'!G120+'Gjensidige Forsikring'!G120+'Gjensidige Pensjon'!G120+'If Skadeforsikring NUF'!G120+KLP!G120+'KLP Skadeforsikring AS'!G120+'Landkreditt Forsikring'!G120+'Nordea Liv '!G120+'Oslo Pensjonsforsikring'!G120+'Protector Forsikring'!G120+'Sparebank 1 Fors.'!G120+'Storebrand Livsforsikring'!G120+'Telenor Forsikring'!G120+'Tryg Forsikring'!G120+'WaterCircles F'!G120+'Euro Accident'!G120+'Ly Forsikring'!G120+'Youplus Livsforsikring'!G120+'Oslo Forsikring'!G120</f>
        <v>0</v>
      </c>
      <c r="G120" s="123"/>
      <c r="H120" s="185">
        <f t="shared" si="39"/>
        <v>92797.120159999497</v>
      </c>
      <c r="I120" s="185">
        <f t="shared" si="40"/>
        <v>106084.28865000025</v>
      </c>
      <c r="J120" s="20">
        <f t="shared" si="41"/>
        <v>14.3</v>
      </c>
    </row>
    <row r="121" spans="1:10" ht="15.75" customHeight="1" x14ac:dyDescent="0.2">
      <c r="A121" s="18" t="s">
        <v>10</v>
      </c>
      <c r="B121" s="185">
        <f>'Fremtind Livsforsikring'!B121+'DNB Livsforsikring'!B121+'Eika Forsikring AS'!B121+'Frende Livsforsikring'!B121+'Frende Skadeforsikring'!B121+'Gjensidige Forsikring'!B121+'Gjensidige Pensjon'!B121+'If Skadeforsikring NUF'!B121+KLP!B121+'KLP Skadeforsikring AS'!B121+'Landkreditt Forsikring'!B121+'Nordea Liv '!B121+'Oslo Pensjonsforsikring'!B121+'Protector Forsikring'!B121+'Sparebank 1 Fors.'!B121+'Storebrand Livsforsikring'!B121+'Telenor Forsikring'!B121+'Tryg Forsikring'!B121+'WaterCircles F'!B121+'Euro Accident'!B121+'Ly Forsikring'!B121+'Youplus Livsforsikring'!B121+'Oslo Forsikring'!B121</f>
        <v>5132.13501</v>
      </c>
      <c r="C121" s="185">
        <f>'Fremtind Livsforsikring'!C121+'DNB Livsforsikring'!C121+'Eika Forsikring AS'!C121+'Frende Livsforsikring'!C121+'Frende Skadeforsikring'!C121+'Gjensidige Forsikring'!C121+'Gjensidige Pensjon'!C121+'If Skadeforsikring NUF'!C121+KLP!C121+'KLP Skadeforsikring AS'!C121+'Landkreditt Forsikring'!C121+'Nordea Liv '!C121+'Oslo Pensjonsforsikring'!C121+'Protector Forsikring'!C121+'Sparebank 1 Fors.'!C121+'Storebrand Livsforsikring'!C121+'Telenor Forsikring'!C121+'Tryg Forsikring'!C121+'WaterCircles F'!C121+'Euro Accident'!C121+'Ly Forsikring'!C121+'Youplus Livsforsikring'!C121+'Oslo Forsikring'!C121</f>
        <v>34989.053999999996</v>
      </c>
      <c r="D121" s="20">
        <f t="shared" si="38"/>
        <v>581.79999999999995</v>
      </c>
      <c r="E121" s="36">
        <f>'Fremtind Livsforsikring'!F121+'DNB Livsforsikring'!F121+'Eika Forsikring AS'!F121+'Frende Livsforsikring'!F121+'Frende Skadeforsikring'!F121+'Gjensidige Forsikring'!F121+'Gjensidige Pensjon'!F121+'If Skadeforsikring NUF'!F121+KLP!F121+'KLP Skadeforsikring AS'!F121+'Landkreditt Forsikring'!F121+'Nordea Liv '!F121+'Oslo Pensjonsforsikring'!F121+'Protector Forsikring'!F121+'Sparebank 1 Fors.'!F121+'Storebrand Livsforsikring'!F121+'Telenor Forsikring'!F121+'Tryg Forsikring'!F121+'WaterCircles F'!F121+'Euro Accident'!F121+'Ly Forsikring'!F121+'Youplus Livsforsikring'!F121+'Oslo Forsikring'!F121</f>
        <v>29091608.48065</v>
      </c>
      <c r="F121" s="36">
        <f>'Fremtind Livsforsikring'!G121+'DNB Livsforsikring'!G121+'Eika Forsikring AS'!G121+'Frende Livsforsikring'!G121+'Frende Skadeforsikring'!G121+'Gjensidige Forsikring'!G121+'Gjensidige Pensjon'!G121+'If Skadeforsikring NUF'!G121+KLP!G121+'KLP Skadeforsikring AS'!G121+'Landkreditt Forsikring'!G121+'Nordea Liv '!G121+'Oslo Pensjonsforsikring'!G121+'Protector Forsikring'!G121+'Sparebank 1 Fors.'!G121+'Storebrand Livsforsikring'!G121+'Telenor Forsikring'!G121+'Tryg Forsikring'!G121+'WaterCircles F'!G121+'Euro Accident'!G121+'Ly Forsikring'!G121+'Youplus Livsforsikring'!G121+'Oslo Forsikring'!G121</f>
        <v>36995974.725000001</v>
      </c>
      <c r="G121" s="123">
        <f t="shared" si="24"/>
        <v>27.2</v>
      </c>
      <c r="H121" s="185">
        <f t="shared" si="39"/>
        <v>29096740.615660001</v>
      </c>
      <c r="I121" s="185">
        <f t="shared" si="40"/>
        <v>37030963.778999999</v>
      </c>
      <c r="J121" s="20">
        <f t="shared" si="41"/>
        <v>27.3</v>
      </c>
    </row>
    <row r="122" spans="1:10" ht="15.75" customHeight="1" x14ac:dyDescent="0.2">
      <c r="A122" s="18" t="s">
        <v>26</v>
      </c>
      <c r="B122" s="185">
        <f>'Fremtind Livsforsikring'!B122+'DNB Livsforsikring'!B122+'Eika Forsikring AS'!B122+'Frende Livsforsikring'!B122+'Frende Skadeforsikring'!B122+'Gjensidige Forsikring'!B122+'Gjensidige Pensjon'!B122+'If Skadeforsikring NUF'!B122+KLP!B122+'KLP Skadeforsikring AS'!B122+'Landkreditt Forsikring'!B122+'Nordea Liv '!B122+'Oslo Pensjonsforsikring'!B122+'Protector Forsikring'!B122+'Sparebank 1 Fors.'!B122+'Storebrand Livsforsikring'!B122+'Telenor Forsikring'!B122+'Tryg Forsikring'!B122+'WaterCircles F'!B122+'Euro Accident'!B122+'Ly Forsikring'!B122+'Youplus Livsforsikring'!B122+'Oslo Forsikring'!B122</f>
        <v>73063.306140000001</v>
      </c>
      <c r="C122" s="185">
        <f>'Fremtind Livsforsikring'!C122+'DNB Livsforsikring'!C122+'Eika Forsikring AS'!C122+'Frende Livsforsikring'!C122+'Frende Skadeforsikring'!C122+'Gjensidige Forsikring'!C122+'Gjensidige Pensjon'!C122+'If Skadeforsikring NUF'!C122+KLP!C122+'KLP Skadeforsikring AS'!C122+'Landkreditt Forsikring'!C122+'Nordea Liv '!C122+'Oslo Pensjonsforsikring'!C122+'Protector Forsikring'!C122+'Sparebank 1 Fors.'!C122+'Storebrand Livsforsikring'!C122+'Telenor Forsikring'!C122+'Tryg Forsikring'!C122+'WaterCircles F'!C122+'Euro Accident'!C122+'Ly Forsikring'!C122+'Youplus Livsforsikring'!C122+'Oslo Forsikring'!C122</f>
        <v>226865.88099999999</v>
      </c>
      <c r="D122" s="20">
        <f t="shared" si="38"/>
        <v>210.5</v>
      </c>
      <c r="E122" s="36">
        <f>'Fremtind Livsforsikring'!F122+'DNB Livsforsikring'!F122+'Eika Forsikring AS'!F122+'Frende Livsforsikring'!F122+'Frende Skadeforsikring'!F122+'Gjensidige Forsikring'!F122+'Gjensidige Pensjon'!F122+'If Skadeforsikring NUF'!F122+KLP!F122+'KLP Skadeforsikring AS'!F122+'Landkreditt Forsikring'!F122+'Nordea Liv '!F122+'Oslo Pensjonsforsikring'!F122+'Protector Forsikring'!F122+'Sparebank 1 Fors.'!F122+'Storebrand Livsforsikring'!F122+'Telenor Forsikring'!F122+'Tryg Forsikring'!F122+'WaterCircles F'!F122+'Euro Accident'!F122+'Ly Forsikring'!F122+'Youplus Livsforsikring'!F122+'Oslo Forsikring'!F122</f>
        <v>0</v>
      </c>
      <c r="F122" s="36">
        <f>'Fremtind Livsforsikring'!G122+'DNB Livsforsikring'!G122+'Eika Forsikring AS'!G122+'Frende Livsforsikring'!G122+'Frende Skadeforsikring'!G122+'Gjensidige Forsikring'!G122+'Gjensidige Pensjon'!G122+'If Skadeforsikring NUF'!G122+KLP!G122+'KLP Skadeforsikring AS'!G122+'Landkreditt Forsikring'!G122+'Nordea Liv '!G122+'Oslo Pensjonsforsikring'!G122+'Protector Forsikring'!G122+'Sparebank 1 Fors.'!G122+'Storebrand Livsforsikring'!G122+'Telenor Forsikring'!G122+'Tryg Forsikring'!G122+'WaterCircles F'!G122+'Euro Accident'!G122+'Ly Forsikring'!G122+'Youplus Livsforsikring'!G122+'Oslo Forsikring'!G122</f>
        <v>0</v>
      </c>
      <c r="G122" s="123"/>
      <c r="H122" s="185">
        <f t="shared" si="39"/>
        <v>73063.306140000001</v>
      </c>
      <c r="I122" s="185">
        <f t="shared" si="40"/>
        <v>226865.88099999999</v>
      </c>
      <c r="J122" s="20">
        <f t="shared" si="41"/>
        <v>210.5</v>
      </c>
    </row>
    <row r="123" spans="1:10" ht="15.75" customHeight="1" x14ac:dyDescent="0.2">
      <c r="A123" s="241" t="s">
        <v>14</v>
      </c>
      <c r="B123" s="36"/>
      <c r="C123" s="36"/>
      <c r="D123" s="23"/>
      <c r="E123" s="36"/>
      <c r="F123" s="36"/>
      <c r="G123" s="123"/>
      <c r="H123" s="185"/>
      <c r="I123" s="185"/>
      <c r="J123" s="20"/>
    </row>
    <row r="124" spans="1:10" ht="15.75" customHeight="1" x14ac:dyDescent="0.2">
      <c r="A124" s="18" t="s">
        <v>342</v>
      </c>
      <c r="B124" s="185">
        <f>'Fremtind Livsforsikring'!B124+'DNB Livsforsikring'!B124+'Eika Forsikring AS'!B124+'Frende Livsforsikring'!B124+'Frende Skadeforsikring'!B124+'Gjensidige Forsikring'!B124+'Gjensidige Pensjon'!B124+'If Skadeforsikring NUF'!B124+KLP!B124+'KLP Skadeforsikring AS'!B124+'Landkreditt Forsikring'!B124+'Nordea Liv '!B124+'Oslo Pensjonsforsikring'!B124+'Protector Forsikring'!B124+'Sparebank 1 Fors.'!B124+'Storebrand Livsforsikring'!B124+'Telenor Forsikring'!B124+'Tryg Forsikring'!B124+'WaterCircles F'!B124+'Euro Accident'!B124+'Ly Forsikring'!B124+'Youplus Livsforsikring'!B124+'Oslo Forsikring'!B124</f>
        <v>15944.806</v>
      </c>
      <c r="C124" s="185">
        <f>'Fremtind Livsforsikring'!C124+'DNB Livsforsikring'!C124+'Eika Forsikring AS'!C124+'Frende Livsforsikring'!C124+'Frende Skadeforsikring'!C124+'Gjensidige Forsikring'!C124+'Gjensidige Pensjon'!C124+'If Skadeforsikring NUF'!C124+KLP!C124+'KLP Skadeforsikring AS'!C124+'Landkreditt Forsikring'!C124+'Nordea Liv '!C124+'Oslo Pensjonsforsikring'!C124+'Protector Forsikring'!C124+'Sparebank 1 Fors.'!C124+'Storebrand Livsforsikring'!C124+'Telenor Forsikring'!C124+'Tryg Forsikring'!C124+'WaterCircles F'!C124+'Euro Accident'!C124+'Ly Forsikring'!C124+'Youplus Livsforsikring'!C124+'Oslo Forsikring'!C124</f>
        <v>18246.739000000001</v>
      </c>
      <c r="D124" s="20">
        <f t="shared" si="38"/>
        <v>14.4</v>
      </c>
      <c r="E124" s="36">
        <f>'Fremtind Livsforsikring'!F124+'DNB Livsforsikring'!F124+'Eika Forsikring AS'!F124+'Frende Livsforsikring'!F124+'Frende Skadeforsikring'!F124+'Gjensidige Forsikring'!F124+'Gjensidige Pensjon'!F124+'If Skadeforsikring NUF'!F124+KLP!F124+'KLP Skadeforsikring AS'!F124+'Landkreditt Forsikring'!F124+'Nordea Liv '!F124+'Oslo Pensjonsforsikring'!F124+'Protector Forsikring'!F124+'Sparebank 1 Fors.'!F124+'Storebrand Livsforsikring'!F124+'Telenor Forsikring'!F124+'Tryg Forsikring'!F124+'WaterCircles F'!F124+'Euro Accident'!F124+'Ly Forsikring'!F124+'Youplus Livsforsikring'!F124+'Oslo Forsikring'!F124</f>
        <v>13865.686</v>
      </c>
      <c r="F124" s="36">
        <f>'Fremtind Livsforsikring'!G124+'DNB Livsforsikring'!G124+'Eika Forsikring AS'!G124+'Frende Livsforsikring'!G124+'Frende Skadeforsikring'!G124+'Gjensidige Forsikring'!G124+'Gjensidige Pensjon'!G124+'If Skadeforsikring NUF'!G124+KLP!G124+'KLP Skadeforsikring AS'!G124+'Landkreditt Forsikring'!G124+'Nordea Liv '!G124+'Oslo Pensjonsforsikring'!G124+'Protector Forsikring'!G124+'Sparebank 1 Fors.'!G124+'Storebrand Livsforsikring'!G124+'Telenor Forsikring'!G124+'Tryg Forsikring'!G124+'WaterCircles F'!G124+'Euro Accident'!G124+'Ly Forsikring'!G124+'Youplus Livsforsikring'!G124+'Oslo Forsikring'!G124</f>
        <v>33478.699999999997</v>
      </c>
      <c r="G124" s="123">
        <f t="shared" si="24"/>
        <v>141.5</v>
      </c>
      <c r="H124" s="185">
        <f t="shared" si="39"/>
        <v>29810.491999999998</v>
      </c>
      <c r="I124" s="185">
        <f t="shared" si="40"/>
        <v>51725.438999999998</v>
      </c>
      <c r="J124" s="20">
        <f t="shared" si="41"/>
        <v>73.5</v>
      </c>
    </row>
    <row r="125" spans="1:10" ht="15.75" customHeight="1" x14ac:dyDescent="0.2">
      <c r="A125" s="18" t="s">
        <v>382</v>
      </c>
      <c r="B125" s="185">
        <f>'Fremtind Livsforsikring'!B125+'DNB Livsforsikring'!B125+'Eika Forsikring AS'!B125+'Frende Livsforsikring'!B125+'Frende Skadeforsikring'!B125+'Gjensidige Forsikring'!B125+'Gjensidige Pensjon'!B125+'If Skadeforsikring NUF'!B125+KLP!B125+'KLP Skadeforsikring AS'!B125+'Landkreditt Forsikring'!B125+'Nordea Liv '!B125+'Oslo Pensjonsforsikring'!B125+'Protector Forsikring'!B125+'Sparebank 1 Fors.'!B125+'Storebrand Livsforsikring'!B125+'Telenor Forsikring'!B125+'Tryg Forsikring'!B125+'WaterCircles F'!B125+'Euro Accident'!B125+'Ly Forsikring'!B125+'Youplus Livsforsikring'!B125+'Oslo Forsikring'!B125</f>
        <v>2475.5549100000003</v>
      </c>
      <c r="C125" s="185">
        <f>'Fremtind Livsforsikring'!C125+'DNB Livsforsikring'!C125+'Eika Forsikring AS'!C125+'Frende Livsforsikring'!C125+'Frende Skadeforsikring'!C125+'Gjensidige Forsikring'!C125+'Gjensidige Pensjon'!C125+'If Skadeforsikring NUF'!C125+KLP!C125+'KLP Skadeforsikring AS'!C125+'Landkreditt Forsikring'!C125+'Nordea Liv '!C125+'Oslo Pensjonsforsikring'!C125+'Protector Forsikring'!C125+'Sparebank 1 Fors.'!C125+'Storebrand Livsforsikring'!C125+'Telenor Forsikring'!C125+'Tryg Forsikring'!C125+'WaterCircles F'!C125+'Euro Accident'!C125+'Ly Forsikring'!C125+'Youplus Livsforsikring'!C125+'Oslo Forsikring'!C125</f>
        <v>1394.1329999999998</v>
      </c>
      <c r="D125" s="20">
        <f t="shared" si="38"/>
        <v>-43.7</v>
      </c>
      <c r="E125" s="36">
        <f>'Fremtind Livsforsikring'!F125+'DNB Livsforsikring'!F125+'Eika Forsikring AS'!F125+'Frende Livsforsikring'!F125+'Frende Skadeforsikring'!F125+'Gjensidige Forsikring'!F125+'Gjensidige Pensjon'!F125+'If Skadeforsikring NUF'!F125+KLP!F125+'KLP Skadeforsikring AS'!F125+'Landkreditt Forsikring'!F125+'Nordea Liv '!F125+'Oslo Pensjonsforsikring'!F125+'Protector Forsikring'!F125+'Sparebank 1 Fors.'!F125+'Storebrand Livsforsikring'!F125+'Telenor Forsikring'!F125+'Tryg Forsikring'!F125+'WaterCircles F'!F125+'Euro Accident'!F125+'Ly Forsikring'!F125+'Youplus Livsforsikring'!F125+'Oslo Forsikring'!F125</f>
        <v>13501871.487509999</v>
      </c>
      <c r="F125" s="36">
        <f>'Fremtind Livsforsikring'!G125+'DNB Livsforsikring'!G125+'Eika Forsikring AS'!G125+'Frende Livsforsikring'!G125+'Frende Skadeforsikring'!G125+'Gjensidige Forsikring'!G125+'Gjensidige Pensjon'!G125+'If Skadeforsikring NUF'!G125+KLP!G125+'KLP Skadeforsikring AS'!G125+'Landkreditt Forsikring'!G125+'Nordea Liv '!G125+'Oslo Pensjonsforsikring'!G125+'Protector Forsikring'!G125+'Sparebank 1 Fors.'!G125+'Storebrand Livsforsikring'!G125+'Telenor Forsikring'!G125+'Tryg Forsikring'!G125+'WaterCircles F'!G125+'Euro Accident'!G125+'Ly Forsikring'!G125+'Youplus Livsforsikring'!G125+'Oslo Forsikring'!G125</f>
        <v>20810906.553570002</v>
      </c>
      <c r="G125" s="123">
        <f t="shared" si="24"/>
        <v>54.1</v>
      </c>
      <c r="H125" s="185">
        <f t="shared" si="39"/>
        <v>13504347.04242</v>
      </c>
      <c r="I125" s="185">
        <f t="shared" si="40"/>
        <v>20812300.686570004</v>
      </c>
      <c r="J125" s="20">
        <f t="shared" si="41"/>
        <v>54.1</v>
      </c>
    </row>
    <row r="126" spans="1:10" ht="15.75" customHeight="1" x14ac:dyDescent="0.2">
      <c r="A126" s="7" t="s">
        <v>343</v>
      </c>
      <c r="B126" s="186">
        <f>'Fremtind Livsforsikring'!B126+'DNB Livsforsikring'!B126+'Eika Forsikring AS'!B126+'Frende Livsforsikring'!B126+'Frende Skadeforsikring'!B126+'Gjensidige Forsikring'!B126+'Gjensidige Pensjon'!B126+'If Skadeforsikring NUF'!B126+KLP!B126+'KLP Skadeforsikring AS'!B126+'Landkreditt Forsikring'!B126+'Nordea Liv '!B126+'Oslo Pensjonsforsikring'!B126+'Protector Forsikring'!B126+'Sparebank 1 Fors.'!B126+'Storebrand Livsforsikring'!B126+'Telenor Forsikring'!B126+'Tryg Forsikring'!B126+'WaterCircles F'!B126+'Euro Accident'!B126+'Ly Forsikring'!B126+'Youplus Livsforsikring'!B126+'Oslo Forsikring'!B126</f>
        <v>0</v>
      </c>
      <c r="C126" s="186">
        <f>'Fremtind Livsforsikring'!C126+'DNB Livsforsikring'!C126+'Eika Forsikring AS'!C126+'Frende Livsforsikring'!C126+'Frende Skadeforsikring'!C126+'Gjensidige Forsikring'!C126+'Gjensidige Pensjon'!C126+'If Skadeforsikring NUF'!C126+KLP!C126+'KLP Skadeforsikring AS'!C126+'Landkreditt Forsikring'!C126+'Nordea Liv '!C126+'Oslo Pensjonsforsikring'!C126+'Protector Forsikring'!C126+'Sparebank 1 Fors.'!C126+'Storebrand Livsforsikring'!C126+'Telenor Forsikring'!C126+'Tryg Forsikring'!C126+'WaterCircles F'!C126+'Euro Accident'!C126+'Ly Forsikring'!C126+'Youplus Livsforsikring'!C126+'Oslo Forsikring'!C126</f>
        <v>0</v>
      </c>
      <c r="D126" s="19"/>
      <c r="E126" s="37">
        <f>'Fremtind Livsforsikring'!F126+'DNB Livsforsikring'!F126+'Eika Forsikring AS'!F126+'Frende Livsforsikring'!F126+'Frende Skadeforsikring'!F126+'Gjensidige Forsikring'!F126+'Gjensidige Pensjon'!F126+'If Skadeforsikring NUF'!F126+KLP!F126+'KLP Skadeforsikring AS'!F126+'Landkreditt Forsikring'!F126+'Nordea Liv '!F126+'Oslo Pensjonsforsikring'!F126+'Protector Forsikring'!F126+'Sparebank 1 Fors.'!F126+'Storebrand Livsforsikring'!F126+'Telenor Forsikring'!F126+'Tryg Forsikring'!F126+'WaterCircles F'!F126+'Euro Accident'!F126+'Ly Forsikring'!F126+'Youplus Livsforsikring'!F126+'Oslo Forsikring'!F126</f>
        <v>0</v>
      </c>
      <c r="F126" s="37">
        <f>'Fremtind Livsforsikring'!G126+'DNB Livsforsikring'!G126+'Eika Forsikring AS'!G126+'Frende Livsforsikring'!G126+'Frende Skadeforsikring'!G126+'Gjensidige Forsikring'!G126+'Gjensidige Pensjon'!G126+'If Skadeforsikring NUF'!G126+KLP!G126+'KLP Skadeforsikring AS'!G126+'Landkreditt Forsikring'!G126+'Nordea Liv '!G126+'Oslo Pensjonsforsikring'!G126+'Protector Forsikring'!G126+'Sparebank 1 Fors.'!G126+'Storebrand Livsforsikring'!G126+'Telenor Forsikring'!G126+'Tryg Forsikring'!G126+'WaterCircles F'!G126+'Euro Accident'!G126+'Ly Forsikring'!G126+'Youplus Livsforsikring'!G126+'Oslo Forsikring'!G126</f>
        <v>0</v>
      </c>
      <c r="G126" s="124"/>
      <c r="H126" s="186">
        <f t="shared" si="39"/>
        <v>0</v>
      </c>
      <c r="I126" s="187">
        <f t="shared" si="40"/>
        <v>0</v>
      </c>
      <c r="J126" s="19"/>
    </row>
    <row r="127" spans="1:10" ht="15.75" customHeight="1" x14ac:dyDescent="0.2">
      <c r="A127" s="115"/>
    </row>
    <row r="128" spans="1:10" ht="15.75" customHeight="1" x14ac:dyDescent="0.2">
      <c r="A128" s="22"/>
    </row>
    <row r="129" spans="1:10" ht="15.75" customHeight="1" x14ac:dyDescent="0.25">
      <c r="A129" s="110" t="s">
        <v>27</v>
      </c>
    </row>
    <row r="130" spans="1:10" ht="15.75" customHeight="1" x14ac:dyDescent="0.25">
      <c r="A130" s="22"/>
      <c r="B130" s="576"/>
      <c r="C130" s="576"/>
      <c r="D130" s="576"/>
      <c r="E130" s="576"/>
      <c r="F130" s="576"/>
      <c r="G130" s="576"/>
      <c r="H130" s="576"/>
      <c r="I130" s="576"/>
      <c r="J130" s="576"/>
    </row>
    <row r="131" spans="1:10" ht="20.100000000000001" customHeight="1" x14ac:dyDescent="0.2">
      <c r="A131" s="108"/>
      <c r="B131" s="577" t="s">
        <v>0</v>
      </c>
      <c r="C131" s="578"/>
      <c r="D131" s="579"/>
      <c r="E131" s="578" t="s">
        <v>1</v>
      </c>
      <c r="F131" s="578"/>
      <c r="G131" s="578"/>
      <c r="H131" s="577" t="s">
        <v>2</v>
      </c>
      <c r="I131" s="578"/>
      <c r="J131" s="579"/>
    </row>
    <row r="132" spans="1:10" ht="15.75" customHeight="1" x14ac:dyDescent="0.2">
      <c r="A132" s="105"/>
      <c r="B132" s="201" t="s">
        <v>417</v>
      </c>
      <c r="C132" s="201" t="s">
        <v>418</v>
      </c>
      <c r="D132" s="16" t="s">
        <v>3</v>
      </c>
      <c r="E132" s="201" t="s">
        <v>417</v>
      </c>
      <c r="F132" s="201" t="s">
        <v>418</v>
      </c>
      <c r="G132" s="16" t="s">
        <v>3</v>
      </c>
      <c r="H132" s="201" t="s">
        <v>417</v>
      </c>
      <c r="I132" s="201" t="s">
        <v>418</v>
      </c>
      <c r="J132" s="16" t="s">
        <v>3</v>
      </c>
    </row>
    <row r="133" spans="1:10" ht="15.75" customHeight="1" x14ac:dyDescent="0.2">
      <c r="A133" s="546"/>
      <c r="B133" s="12"/>
      <c r="C133" s="12"/>
      <c r="D133" s="14" t="s">
        <v>4</v>
      </c>
      <c r="E133" s="13"/>
      <c r="F133" s="13"/>
      <c r="G133" s="12" t="s">
        <v>4</v>
      </c>
      <c r="H133" s="13"/>
      <c r="I133" s="13"/>
      <c r="J133" s="12" t="s">
        <v>4</v>
      </c>
    </row>
    <row r="134" spans="1:10" s="35" customFormat="1" ht="15.75" customHeight="1" x14ac:dyDescent="0.2">
      <c r="A134" s="11" t="s">
        <v>345</v>
      </c>
      <c r="B134" s="184">
        <f>'Fremtind Livsforsikring'!B134+'DNB Livsforsikring'!B134+'Eika Forsikring AS'!B134+'Frende Livsforsikring'!B134+'Frende Skadeforsikring'!B134+'Gjensidige Forsikring'!B134+'Gjensidige Pensjon'!B134+'If Skadeforsikring NUF'!B134+KLP!B134+'KLP Skadeforsikring AS'!B134+'Landkreditt Forsikring'!B134+'Nordea Liv '!B134+'Oslo Pensjonsforsikring'!B134+'Protector Forsikring'!B134+'Sparebank 1 Fors.'!B134+'Storebrand Livsforsikring'!B134+'Telenor Forsikring'!B134+'Tryg Forsikring'!B134+'WaterCircles F'!B134+'Euro Accident'!B134+'Ly Forsikring'!B134+'Youplus Livsforsikring'!B134+'Oslo Forsikring'!B134</f>
        <v>39874610.619670004</v>
      </c>
      <c r="C134" s="184">
        <f>'Fremtind Livsforsikring'!C134+'DNB Livsforsikring'!C134+'Eika Forsikring AS'!C134+'Frende Livsforsikring'!C134+'Frende Skadeforsikring'!C134+'Gjensidige Forsikring'!C134+'Gjensidige Pensjon'!C134+'If Skadeforsikring NUF'!C134+KLP!C134+'KLP Skadeforsikring AS'!C134+'Landkreditt Forsikring'!C134+'Nordea Liv '!C134+'Oslo Pensjonsforsikring'!C134+'Protector Forsikring'!C134+'Sparebank 1 Fors.'!C134+'Storebrand Livsforsikring'!C134+'Telenor Forsikring'!C134+'Tryg Forsikring'!C134+'WaterCircles F'!C134+'Euro Accident'!C134+'Ly Forsikring'!C134+'Youplus Livsforsikring'!C134+'Oslo Forsikring'!C134</f>
        <v>45825909.354320005</v>
      </c>
      <c r="D134" s="8">
        <f t="shared" ref="D134:D137" si="42">IF(B134=0, "    ---- ", IF(ABS(ROUND(100/B134*C134-100,1))&lt;999,ROUND(100/B134*C134-100,1),IF(ROUND(100/B134*C134-100,1)&gt;999,999,-999)))</f>
        <v>14.9</v>
      </c>
      <c r="E134" s="184">
        <f>'Fremtind Livsforsikring'!F134+'DNB Livsforsikring'!F134+'Eika Forsikring AS'!F134+'Frende Livsforsikring'!F134+'Frende Skadeforsikring'!F134+'Gjensidige Forsikring'!F134+'Gjensidige Pensjon'!F134+'If Skadeforsikring NUF'!F134+KLP!F134+'KLP Skadeforsikring AS'!F134+'Landkreditt Forsikring'!F134+'Nordea Liv '!F134+'Oslo Pensjonsforsikring'!F134+'Protector Forsikring'!F134+'Sparebank 1 Fors.'!F134+'Storebrand Livsforsikring'!F134+'Telenor Forsikring'!F134+'Tryg Forsikring'!F134+'WaterCircles F'!F134+'Euro Accident'!F134+'Ly Forsikring'!F134+'Youplus Livsforsikring'!F134+'Oslo Forsikring'!F134</f>
        <v>129541.768</v>
      </c>
      <c r="F134" s="184">
        <f>'Fremtind Livsforsikring'!G134+'DNB Livsforsikring'!G134+'Eika Forsikring AS'!G134+'Frende Livsforsikring'!G134+'Frende Skadeforsikring'!G134+'Gjensidige Forsikring'!G134+'Gjensidige Pensjon'!G134+'If Skadeforsikring NUF'!G134+KLP!G134+'KLP Skadeforsikring AS'!G134+'Landkreditt Forsikring'!G134+'Nordea Liv '!G134+'Oslo Pensjonsforsikring'!G134+'Protector Forsikring'!G134+'Sparebank 1 Fors.'!G134+'Storebrand Livsforsikring'!G134+'Telenor Forsikring'!G134+'Tryg Forsikring'!G134+'WaterCircles F'!G134+'Euro Accident'!G134+'Ly Forsikring'!G134+'Youplus Livsforsikring'!G134+'Oslo Forsikring'!G134</f>
        <v>141671.402</v>
      </c>
      <c r="G134" s="8">
        <f t="shared" ref="G134:G136" si="43">IF(E134=0, "    ---- ", IF(ABS(ROUND(100/E134*F134-100,1))&lt;999,ROUND(100/E134*F134-100,1),IF(ROUND(100/E134*F134-100,1)&gt;999,999,-999)))</f>
        <v>9.4</v>
      </c>
      <c r="H134" s="184">
        <f t="shared" ref="H134:I137" si="44">SUM(B134,E134)</f>
        <v>40004152.387670003</v>
      </c>
      <c r="I134" s="184">
        <f t="shared" si="44"/>
        <v>45967580.756320007</v>
      </c>
      <c r="J134" s="8">
        <f t="shared" ref="J134:J137" si="45">IF(H134=0, "    ---- ", IF(ABS(ROUND(100/H134*I134-100,1))&lt;999,ROUND(100/H134*I134-100,1),IF(ROUND(100/H134*I134-100,1)&gt;999,999,-999)))</f>
        <v>14.9</v>
      </c>
    </row>
    <row r="135" spans="1:10" s="35" customFormat="1" ht="15.75" customHeight="1" x14ac:dyDescent="0.2">
      <c r="A135" s="10" t="s">
        <v>346</v>
      </c>
      <c r="B135" s="184">
        <f>'Fremtind Livsforsikring'!B135+'DNB Livsforsikring'!B135+'Eika Forsikring AS'!B135+'Frende Livsforsikring'!B135+'Frende Skadeforsikring'!B135+'Gjensidige Forsikring'!B135+'Gjensidige Pensjon'!B135+'If Skadeforsikring NUF'!B135+KLP!B135+'KLP Skadeforsikring AS'!B135+'Landkreditt Forsikring'!B135+'Nordea Liv '!B135+'Oslo Pensjonsforsikring'!B135+'Protector Forsikring'!B135+'Sparebank 1 Fors.'!B135+'Storebrand Livsforsikring'!B135+'Telenor Forsikring'!B135+'Tryg Forsikring'!B135+'WaterCircles F'!B135+'Euro Accident'!B135+'Ly Forsikring'!B135+'Youplus Livsforsikring'!B135+'Oslo Forsikring'!B135</f>
        <v>890183698.16070008</v>
      </c>
      <c r="C135" s="184">
        <f>'Fremtind Livsforsikring'!C135+'DNB Livsforsikring'!C135+'Eika Forsikring AS'!C135+'Frende Livsforsikring'!C135+'Frende Skadeforsikring'!C135+'Gjensidige Forsikring'!C135+'Gjensidige Pensjon'!C135+'If Skadeforsikring NUF'!C135+KLP!C135+'KLP Skadeforsikring AS'!C135+'Landkreditt Forsikring'!C135+'Nordea Liv '!C135+'Oslo Pensjonsforsikring'!C135+'Protector Forsikring'!C135+'Sparebank 1 Fors.'!C135+'Storebrand Livsforsikring'!C135+'Telenor Forsikring'!C135+'Tryg Forsikring'!C135+'WaterCircles F'!C135+'Euro Accident'!C135+'Ly Forsikring'!C135+'Youplus Livsforsikring'!C135+'Oslo Forsikring'!C135</f>
        <v>971464378.85356998</v>
      </c>
      <c r="D135" s="8">
        <f t="shared" si="42"/>
        <v>9.1</v>
      </c>
      <c r="E135" s="184">
        <f>'Fremtind Livsforsikring'!F135+'DNB Livsforsikring'!F135+'Eika Forsikring AS'!F135+'Frende Livsforsikring'!F135+'Frende Skadeforsikring'!F135+'Gjensidige Forsikring'!F135+'Gjensidige Pensjon'!F135+'If Skadeforsikring NUF'!F135+KLP!F135+'KLP Skadeforsikring AS'!F135+'Landkreditt Forsikring'!F135+'Nordea Liv '!F135+'Oslo Pensjonsforsikring'!F135+'Protector Forsikring'!F135+'Sparebank 1 Fors.'!F135+'Storebrand Livsforsikring'!F135+'Telenor Forsikring'!F135+'Tryg Forsikring'!F135+'WaterCircles F'!F135+'Euro Accident'!F135+'Ly Forsikring'!F135+'Youplus Livsforsikring'!F135+'Oslo Forsikring'!F135</f>
        <v>2890424.3207899998</v>
      </c>
      <c r="F135" s="184">
        <f>'Fremtind Livsforsikring'!G135+'DNB Livsforsikring'!G135+'Eika Forsikring AS'!G135+'Frende Livsforsikring'!G135+'Frende Skadeforsikring'!G135+'Gjensidige Forsikring'!G135+'Gjensidige Pensjon'!G135+'If Skadeforsikring NUF'!G135+KLP!G135+'KLP Skadeforsikring AS'!G135+'Landkreditt Forsikring'!G135+'Nordea Liv '!G135+'Oslo Pensjonsforsikring'!G135+'Protector Forsikring'!G135+'Sparebank 1 Fors.'!G135+'Storebrand Livsforsikring'!G135+'Telenor Forsikring'!G135+'Tryg Forsikring'!G135+'WaterCircles F'!G135+'Euro Accident'!G135+'Ly Forsikring'!G135+'Youplus Livsforsikring'!G135+'Oslo Forsikring'!G135</f>
        <v>3055542.7277899999</v>
      </c>
      <c r="G135" s="8">
        <f t="shared" si="43"/>
        <v>5.7</v>
      </c>
      <c r="H135" s="184">
        <f t="shared" si="44"/>
        <v>893074122.48149014</v>
      </c>
      <c r="I135" s="184">
        <f t="shared" si="44"/>
        <v>974519921.58135998</v>
      </c>
      <c r="J135" s="8">
        <f t="shared" si="45"/>
        <v>9.1</v>
      </c>
    </row>
    <row r="136" spans="1:10" s="35" customFormat="1" ht="15.75" customHeight="1" x14ac:dyDescent="0.2">
      <c r="A136" s="10" t="s">
        <v>347</v>
      </c>
      <c r="B136" s="184">
        <f>'Fremtind Livsforsikring'!B136+'DNB Livsforsikring'!B136+'Eika Forsikring AS'!B136+'Frende Livsforsikring'!B136+'Frende Skadeforsikring'!B136+'Gjensidige Forsikring'!B136+'Gjensidige Pensjon'!B136+'If Skadeforsikring NUF'!B136+KLP!B136+'KLP Skadeforsikring AS'!B136+'Landkreditt Forsikring'!B136+'Nordea Liv '!B136+'Oslo Pensjonsforsikring'!B136+'Protector Forsikring'!B136+'Sparebank 1 Fors.'!B136+'Storebrand Livsforsikring'!B136+'Telenor Forsikring'!B136+'Tryg Forsikring'!B136+'WaterCircles F'!B136+'Euro Accident'!B136+'Ly Forsikring'!B136+'Youplus Livsforsikring'!B136+'Oslo Forsikring'!B136</f>
        <v>2285445.0349999997</v>
      </c>
      <c r="C136" s="184">
        <f>'Fremtind Livsforsikring'!C136+'DNB Livsforsikring'!C136+'Eika Forsikring AS'!C136+'Frende Livsforsikring'!C136+'Frende Skadeforsikring'!C136+'Gjensidige Forsikring'!C136+'Gjensidige Pensjon'!C136+'If Skadeforsikring NUF'!C136+KLP!C136+'KLP Skadeforsikring AS'!C136+'Landkreditt Forsikring'!C136+'Nordea Liv '!C136+'Oslo Pensjonsforsikring'!C136+'Protector Forsikring'!C136+'Sparebank 1 Fors.'!C136+'Storebrand Livsforsikring'!C136+'Telenor Forsikring'!C136+'Tryg Forsikring'!C136+'WaterCircles F'!C136+'Euro Accident'!C136+'Ly Forsikring'!C136+'Youplus Livsforsikring'!C136+'Oslo Forsikring'!C136</f>
        <v>3256939.8839999996</v>
      </c>
      <c r="D136" s="8">
        <f t="shared" si="42"/>
        <v>42.5</v>
      </c>
      <c r="E136" s="184">
        <f>'Fremtind Livsforsikring'!F136+'DNB Livsforsikring'!F136+'Eika Forsikring AS'!F136+'Frende Livsforsikring'!F136+'Frende Skadeforsikring'!F136+'Gjensidige Forsikring'!F136+'Gjensidige Pensjon'!F136+'If Skadeforsikring NUF'!F136+KLP!F136+'KLP Skadeforsikring AS'!F136+'Landkreditt Forsikring'!F136+'Nordea Liv '!F136+'Oslo Pensjonsforsikring'!F136+'Protector Forsikring'!F136+'Sparebank 1 Fors.'!F136+'Storebrand Livsforsikring'!F136+'Telenor Forsikring'!F136+'Tryg Forsikring'!F136+'WaterCircles F'!F136+'Euro Accident'!F136+'Ly Forsikring'!F136+'Youplus Livsforsikring'!F136+'Oslo Forsikring'!F136</f>
        <v>-182.05500000000001</v>
      </c>
      <c r="F136" s="184">
        <f>'Fremtind Livsforsikring'!G136+'DNB Livsforsikring'!G136+'Eika Forsikring AS'!G136+'Frende Livsforsikring'!G136+'Frende Skadeforsikring'!G136+'Gjensidige Forsikring'!G136+'Gjensidige Pensjon'!G136+'If Skadeforsikring NUF'!G136+KLP!G136+'KLP Skadeforsikring AS'!G136+'Landkreditt Forsikring'!G136+'Nordea Liv '!G136+'Oslo Pensjonsforsikring'!G136+'Protector Forsikring'!G136+'Sparebank 1 Fors.'!G136+'Storebrand Livsforsikring'!G136+'Telenor Forsikring'!G136+'Tryg Forsikring'!G136+'WaterCircles F'!G136+'Euro Accident'!G136+'Ly Forsikring'!G136+'Youplus Livsforsikring'!G136+'Oslo Forsikring'!G136</f>
        <v>0</v>
      </c>
      <c r="G136" s="8">
        <f t="shared" si="43"/>
        <v>-100</v>
      </c>
      <c r="H136" s="184">
        <f t="shared" si="44"/>
        <v>2285262.9799999995</v>
      </c>
      <c r="I136" s="184">
        <f t="shared" si="44"/>
        <v>3256939.8839999996</v>
      </c>
      <c r="J136" s="8">
        <f t="shared" si="45"/>
        <v>42.5</v>
      </c>
    </row>
    <row r="137" spans="1:10" s="35" customFormat="1" ht="15.75" customHeight="1" x14ac:dyDescent="0.2">
      <c r="A137" s="33" t="s">
        <v>348</v>
      </c>
      <c r="B137" s="224">
        <f>'Fremtind Livsforsikring'!B137+'DNB Livsforsikring'!B137+'Eika Forsikring AS'!B137+'Frende Livsforsikring'!B137+'Frende Skadeforsikring'!B137+'Gjensidige Forsikring'!B137+'Gjensidige Pensjon'!B137+'If Skadeforsikring NUF'!B137+KLP!B137+'KLP Skadeforsikring AS'!B137+'Landkreditt Forsikring'!B137+'Nordea Liv '!B137+'Oslo Pensjonsforsikring'!B137+'Protector Forsikring'!B137+'Sparebank 1 Fors.'!B137+'Storebrand Livsforsikring'!B137+'Telenor Forsikring'!B137+'Tryg Forsikring'!B137+'WaterCircles F'!B137+'Euro Accident'!B137+'Ly Forsikring'!B137+'Youplus Livsforsikring'!B137+'Oslo Forsikring'!B137</f>
        <v>2298166.9709999999</v>
      </c>
      <c r="C137" s="224">
        <f>'Fremtind Livsforsikring'!C137+'DNB Livsforsikring'!C137+'Eika Forsikring AS'!C137+'Frende Livsforsikring'!C137+'Frende Skadeforsikring'!C137+'Gjensidige Forsikring'!C137+'Gjensidige Pensjon'!C137+'If Skadeforsikring NUF'!C137+KLP!C137+'KLP Skadeforsikring AS'!C137+'Landkreditt Forsikring'!C137+'Nordea Liv '!C137+'Oslo Pensjonsforsikring'!C137+'Protector Forsikring'!C137+'Sparebank 1 Fors.'!C137+'Storebrand Livsforsikring'!C137+'Telenor Forsikring'!C137+'Tryg Forsikring'!C137+'WaterCircles F'!C137+'Euro Accident'!C137+'Ly Forsikring'!C137+'Youplus Livsforsikring'!C137+'Oslo Forsikring'!C137</f>
        <v>4132299.1660000002</v>
      </c>
      <c r="D137" s="6">
        <f t="shared" si="42"/>
        <v>79.8</v>
      </c>
      <c r="E137" s="224">
        <f>'Fremtind Livsforsikring'!F137+'DNB Livsforsikring'!F137+'Eika Forsikring AS'!F137+'Frende Livsforsikring'!F137+'Frende Skadeforsikring'!F137+'Gjensidige Forsikring'!F137+'Gjensidige Pensjon'!F137+'If Skadeforsikring NUF'!F137+KLP!F137+'KLP Skadeforsikring AS'!F137+'Landkreditt Forsikring'!F137+'Nordea Liv '!F137+'Oslo Pensjonsforsikring'!F137+'Protector Forsikring'!F137+'Sparebank 1 Fors.'!F137+'Storebrand Livsforsikring'!F137+'Telenor Forsikring'!F137+'Tryg Forsikring'!F137+'WaterCircles F'!F137+'Euro Accident'!F137+'Ly Forsikring'!F137+'Youplus Livsforsikring'!F137+'Oslo Forsikring'!F137</f>
        <v>0</v>
      </c>
      <c r="F137" s="224">
        <f>'Fremtind Livsforsikring'!G137+'DNB Livsforsikring'!G137+'Eika Forsikring AS'!G137+'Frende Livsforsikring'!G137+'Frende Skadeforsikring'!G137+'Gjensidige Forsikring'!G137+'Gjensidige Pensjon'!G137+'If Skadeforsikring NUF'!G137+KLP!G137+'KLP Skadeforsikring AS'!G137+'Landkreditt Forsikring'!G137+'Nordea Liv '!G137+'Oslo Pensjonsforsikring'!G137+'Protector Forsikring'!G137+'Sparebank 1 Fors.'!G137+'Storebrand Livsforsikring'!G137+'Telenor Forsikring'!G137+'Tryg Forsikring'!G137+'WaterCircles F'!G137+'Euro Accident'!G137+'Ly Forsikring'!G137+'Youplus Livsforsikring'!G137+'Oslo Forsikring'!G137</f>
        <v>0</v>
      </c>
      <c r="G137" s="6"/>
      <c r="H137" s="224">
        <f t="shared" si="44"/>
        <v>2298166.9709999999</v>
      </c>
      <c r="I137" s="224">
        <f t="shared" si="44"/>
        <v>4132299.1660000002</v>
      </c>
      <c r="J137" s="6">
        <f t="shared" si="45"/>
        <v>79.8</v>
      </c>
    </row>
    <row r="138" spans="1:10" ht="15.75" customHeight="1" x14ac:dyDescent="0.2">
      <c r="A138" s="5"/>
      <c r="G138" s="4"/>
      <c r="J138" s="4"/>
    </row>
    <row r="139" spans="1:10" ht="15.75" customHeight="1" x14ac:dyDescent="0.2"/>
    <row r="140" spans="1:10" ht="15.75" customHeight="1" x14ac:dyDescent="0.2"/>
    <row r="141" spans="1:10" ht="15.75" customHeight="1" x14ac:dyDescent="0.2"/>
    <row r="142" spans="1:10" ht="15.75" customHeight="1" x14ac:dyDescent="0.2"/>
    <row r="143" spans="1:10" ht="15.75" customHeight="1" x14ac:dyDescent="0.2"/>
    <row r="144" spans="1: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sheetData>
  <mergeCells count="27">
    <mergeCell ref="B131:D131"/>
    <mergeCell ref="E131:G131"/>
    <mergeCell ref="H131:J131"/>
    <mergeCell ref="B130:D130"/>
    <mergeCell ref="E130:G130"/>
    <mergeCell ref="H130:J130"/>
    <mergeCell ref="B63:D63"/>
    <mergeCell ref="E63:G63"/>
    <mergeCell ref="H63:J63"/>
    <mergeCell ref="B19:D19"/>
    <mergeCell ref="E19:G19"/>
    <mergeCell ref="H19:J19"/>
    <mergeCell ref="B62:D62"/>
    <mergeCell ref="E62:G62"/>
    <mergeCell ref="H62:J62"/>
    <mergeCell ref="B42:D42"/>
    <mergeCell ref="E42:G42"/>
    <mergeCell ref="H42:J42"/>
    <mergeCell ref="B18:D18"/>
    <mergeCell ref="E18:G18"/>
    <mergeCell ref="H18:J18"/>
    <mergeCell ref="B2:D2"/>
    <mergeCell ref="E2:G2"/>
    <mergeCell ref="H2:J2"/>
    <mergeCell ref="B4:D4"/>
    <mergeCell ref="E4:G4"/>
    <mergeCell ref="H4:J4"/>
  </mergeCells>
  <conditionalFormatting sqref="H115:I115">
    <cfRule type="expression" dxfId="508" priority="63">
      <formula>kvartal&lt;4</formula>
    </cfRule>
  </conditionalFormatting>
  <conditionalFormatting sqref="H123:I123">
    <cfRule type="expression" dxfId="507" priority="62">
      <formula>kvartal&lt;4</formula>
    </cfRule>
  </conditionalFormatting>
  <conditionalFormatting sqref="A50:A52">
    <cfRule type="expression" dxfId="506" priority="58">
      <formula>kvartal &lt; 4</formula>
    </cfRule>
  </conditionalFormatting>
  <conditionalFormatting sqref="A69:A74">
    <cfRule type="expression" dxfId="505" priority="56">
      <formula>kvartal &lt; 4</formula>
    </cfRule>
  </conditionalFormatting>
  <conditionalFormatting sqref="A80:A85">
    <cfRule type="expression" dxfId="504" priority="55">
      <formula>kvartal &lt; 4</formula>
    </cfRule>
  </conditionalFormatting>
  <conditionalFormatting sqref="A90:A95">
    <cfRule type="expression" dxfId="503" priority="52">
      <formula>kvartal &lt; 4</formula>
    </cfRule>
  </conditionalFormatting>
  <conditionalFormatting sqref="A101:A106">
    <cfRule type="expression" dxfId="502" priority="51">
      <formula>kvartal &lt; 4</formula>
    </cfRule>
  </conditionalFormatting>
  <conditionalFormatting sqref="A115">
    <cfRule type="expression" dxfId="501" priority="50">
      <formula>kvartal &lt; 4</formula>
    </cfRule>
  </conditionalFormatting>
  <conditionalFormatting sqref="A123">
    <cfRule type="expression" dxfId="500" priority="49">
      <formula>kvartal &lt; 4</formula>
    </cfRule>
  </conditionalFormatting>
  <conditionalFormatting sqref="B115">
    <cfRule type="expression" dxfId="499" priority="28">
      <formula>kvartal&lt;4</formula>
    </cfRule>
  </conditionalFormatting>
  <conditionalFormatting sqref="B123">
    <cfRule type="expression" dxfId="498" priority="27">
      <formula>kvartal&lt;4</formula>
    </cfRule>
  </conditionalFormatting>
  <conditionalFormatting sqref="E115">
    <cfRule type="expression" dxfId="497" priority="20">
      <formula>kvartal&lt;4</formula>
    </cfRule>
  </conditionalFormatting>
  <conditionalFormatting sqref="E123">
    <cfRule type="expression" dxfId="496" priority="19">
      <formula>kvartal&lt;4</formula>
    </cfRule>
  </conditionalFormatting>
  <conditionalFormatting sqref="F123">
    <cfRule type="expression" dxfId="495" priority="1">
      <formula>kvartal&lt;4</formula>
    </cfRule>
  </conditionalFormatting>
  <conditionalFormatting sqref="C115">
    <cfRule type="expression" dxfId="494" priority="8">
      <formula>kvartal&lt;4</formula>
    </cfRule>
  </conditionalFormatting>
  <conditionalFormatting sqref="C123">
    <cfRule type="expression" dxfId="493" priority="7">
      <formula>kvartal&lt;4</formula>
    </cfRule>
  </conditionalFormatting>
  <conditionalFormatting sqref="F115">
    <cfRule type="expression" dxfId="492" priority="2">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R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8" x14ac:dyDescent="0.2">
      <c r="A1" s="129" t="s">
        <v>125</v>
      </c>
      <c r="B1" s="544"/>
      <c r="C1" s="198" t="s">
        <v>117</v>
      </c>
      <c r="O1" s="547" t="e">
        <f>kvartal</f>
        <v>#REF!</v>
      </c>
    </row>
    <row r="2" spans="1:18" ht="15.75" x14ac:dyDescent="0.25">
      <c r="A2" s="110" t="s">
        <v>28</v>
      </c>
      <c r="B2" s="583"/>
      <c r="C2" s="583"/>
      <c r="D2" s="583"/>
      <c r="E2" s="243"/>
      <c r="F2" s="583"/>
      <c r="G2" s="583"/>
      <c r="H2" s="583"/>
      <c r="I2" s="243"/>
      <c r="J2" s="583"/>
      <c r="K2" s="583"/>
      <c r="L2" s="583"/>
      <c r="M2" s="243"/>
    </row>
    <row r="3" spans="1:18" ht="15.75" x14ac:dyDescent="0.25">
      <c r="A3" s="122"/>
      <c r="B3" s="243"/>
      <c r="C3" s="243"/>
      <c r="D3" s="243"/>
      <c r="E3" s="243"/>
      <c r="F3" s="243"/>
      <c r="G3" s="243"/>
      <c r="H3" s="243"/>
      <c r="I3" s="243"/>
      <c r="J3" s="243"/>
      <c r="K3" s="243"/>
      <c r="L3" s="243"/>
      <c r="M3" s="243"/>
    </row>
    <row r="4" spans="1:18" x14ac:dyDescent="0.2">
      <c r="A4" s="108"/>
      <c r="B4" s="581" t="s">
        <v>0</v>
      </c>
      <c r="C4" s="582"/>
      <c r="D4" s="582"/>
      <c r="E4" s="245"/>
      <c r="F4" s="581" t="s">
        <v>1</v>
      </c>
      <c r="G4" s="582"/>
      <c r="H4" s="582"/>
      <c r="I4" s="247"/>
      <c r="J4" s="581" t="s">
        <v>2</v>
      </c>
      <c r="K4" s="582"/>
      <c r="L4" s="582"/>
      <c r="M4" s="247"/>
    </row>
    <row r="5" spans="1:18"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8" x14ac:dyDescent="0.2">
      <c r="A6" s="545"/>
      <c r="B6" s="116"/>
      <c r="C6" s="116"/>
      <c r="D6" s="196" t="s">
        <v>4</v>
      </c>
      <c r="E6" s="116" t="s">
        <v>30</v>
      </c>
      <c r="F6" s="120"/>
      <c r="G6" s="120"/>
      <c r="H6" s="194" t="s">
        <v>4</v>
      </c>
      <c r="I6" s="116" t="s">
        <v>30</v>
      </c>
      <c r="J6" s="120"/>
      <c r="K6" s="120"/>
      <c r="L6" s="194" t="s">
        <v>4</v>
      </c>
      <c r="M6" s="116" t="s">
        <v>30</v>
      </c>
    </row>
    <row r="7" spans="1:18" ht="15.75" x14ac:dyDescent="0.2">
      <c r="A7" s="11" t="s">
        <v>23</v>
      </c>
      <c r="B7" s="249">
        <v>70096</v>
      </c>
      <c r="C7" s="250">
        <v>59602.574869999997</v>
      </c>
      <c r="D7" s="286">
        <f>IF(B7=0, "    ---- ", IF(ABS(ROUND(100/B7*C7-100,1))&lt;999,ROUND(100/B7*C7-100,1),IF(ROUND(100/B7*C7-100,1)&gt;999,999,-999)))</f>
        <v>-15</v>
      </c>
      <c r="E7" s="8">
        <f>IFERROR(100/'Skjema total MA'!C7*C7,0)</f>
        <v>1.7963833149025354</v>
      </c>
      <c r="F7" s="249">
        <v>239362</v>
      </c>
      <c r="G7" s="250">
        <v>254357.429</v>
      </c>
      <c r="H7" s="286">
        <f>IF(F7=0, "    ---- ", IF(ABS(ROUND(100/F7*G7-100,1))&lt;999,ROUND(100/F7*G7-100,1),IF(ROUND(100/F7*G7-100,1)&gt;999,999,-999)))</f>
        <v>6.3</v>
      </c>
      <c r="I7" s="119">
        <f>IFERROR(100/'Skjema total MA'!F7*G7,0)</f>
        <v>4.5806084375679079</v>
      </c>
      <c r="J7" s="251">
        <f t="shared" ref="J7:K12" si="0">SUM(B7,F7)</f>
        <v>309458</v>
      </c>
      <c r="K7" s="252">
        <f t="shared" si="0"/>
        <v>313960.00387000002</v>
      </c>
      <c r="L7" s="343">
        <f>IF(J7=0, "    ---- ", IF(ABS(ROUND(100/J7*K7-100,1))&lt;999,ROUND(100/J7*K7-100,1),IF(ROUND(100/J7*K7-100,1)&gt;999,999,-999)))</f>
        <v>1.5</v>
      </c>
      <c r="M7" s="8">
        <f>IFERROR(100/'Skjema total MA'!I7*K7,0)</f>
        <v>3.5392369718685561</v>
      </c>
    </row>
    <row r="8" spans="1:18" ht="15.75" x14ac:dyDescent="0.2">
      <c r="A8" s="18" t="s">
        <v>25</v>
      </c>
      <c r="B8" s="229">
        <v>12721</v>
      </c>
      <c r="C8" s="230">
        <v>11849.4635</v>
      </c>
      <c r="D8" s="123">
        <f t="shared" ref="D8:D12" si="1">IF(B8=0, "    ---- ", IF(ABS(ROUND(100/B8*C8-100,1))&lt;999,ROUND(100/B8*C8-100,1),IF(ROUND(100/B8*C8-100,1)&gt;999,999,-999)))</f>
        <v>-6.9</v>
      </c>
      <c r="E8" s="23">
        <f>IFERROR(100/'Skjema total MA'!C8*C8,0)</f>
        <v>0.53292911612387683</v>
      </c>
      <c r="F8" s="233"/>
      <c r="G8" s="234"/>
      <c r="H8" s="123"/>
      <c r="I8" s="133"/>
      <c r="J8" s="182">
        <f t="shared" si="0"/>
        <v>12721</v>
      </c>
      <c r="K8" s="235">
        <f t="shared" si="0"/>
        <v>11849.4635</v>
      </c>
      <c r="L8" s="123">
        <f t="shared" ref="L8:L9" si="2">IF(J8=0, "    ---- ", IF(ABS(ROUND(100/J8*K8-100,1))&lt;999,ROUND(100/J8*K8-100,1),IF(ROUND(100/J8*K8-100,1)&gt;999,999,-999)))</f>
        <v>-6.9</v>
      </c>
      <c r="M8" s="23">
        <f>IFERROR(100/'Skjema total MA'!I8*K8,0)</f>
        <v>0.53292911612387683</v>
      </c>
    </row>
    <row r="9" spans="1:18" ht="15.75" x14ac:dyDescent="0.2">
      <c r="A9" s="18" t="s">
        <v>24</v>
      </c>
      <c r="B9" s="229">
        <v>9266</v>
      </c>
      <c r="C9" s="230">
        <v>8363.7104999999992</v>
      </c>
      <c r="D9" s="123">
        <f t="shared" si="1"/>
        <v>-9.6999999999999993</v>
      </c>
      <c r="E9" s="23">
        <f>IFERROR(100/'Skjema total MA'!C9*C9,0)</f>
        <v>1.2581597849661075</v>
      </c>
      <c r="F9" s="233"/>
      <c r="G9" s="234"/>
      <c r="H9" s="123"/>
      <c r="I9" s="133"/>
      <c r="J9" s="182">
        <f t="shared" si="0"/>
        <v>9266</v>
      </c>
      <c r="K9" s="235">
        <f t="shared" si="0"/>
        <v>8363.7104999999992</v>
      </c>
      <c r="L9" s="123">
        <f t="shared" si="2"/>
        <v>-9.6999999999999993</v>
      </c>
      <c r="M9" s="23">
        <f>IFERROR(100/'Skjema total MA'!I9*K9,0)</f>
        <v>1.2581597849661075</v>
      </c>
    </row>
    <row r="10" spans="1:18" ht="15.75" x14ac:dyDescent="0.2">
      <c r="A10" s="10" t="s">
        <v>323</v>
      </c>
      <c r="B10" s="253">
        <v>6365591</v>
      </c>
      <c r="C10" s="254">
        <v>5314582.1032539802</v>
      </c>
      <c r="D10" s="127">
        <f t="shared" si="1"/>
        <v>-16.5</v>
      </c>
      <c r="E10" s="8">
        <f>IFERROR(100/'Skjema total MA'!C10*C10,0)</f>
        <v>42.017074083715734</v>
      </c>
      <c r="F10" s="253">
        <v>8789740</v>
      </c>
      <c r="G10" s="254">
        <v>9446257.0217569191</v>
      </c>
      <c r="H10" s="127">
        <f t="shared" ref="H10:H12" si="3">IF(F10=0, "    ---- ", IF(ABS(ROUND(100/F10*G10-100,1))&lt;999,ROUND(100/F10*G10-100,1),IF(ROUND(100/F10*G10-100,1)&gt;999,999,-999)))</f>
        <v>7.5</v>
      </c>
      <c r="I10" s="119">
        <f>IFERROR(100/'Skjema total MA'!F10*G10,0)</f>
        <v>9.4848356930096074</v>
      </c>
      <c r="J10" s="251">
        <f t="shared" si="0"/>
        <v>15155331</v>
      </c>
      <c r="K10" s="252">
        <f t="shared" si="0"/>
        <v>14760839.1250109</v>
      </c>
      <c r="L10" s="344">
        <f t="shared" ref="L10:L12" si="4">IF(J10=0, "    ---- ", IF(ABS(ROUND(100/J10*K10-100,1))&lt;999,ROUND(100/J10*K10-100,1),IF(ROUND(100/J10*K10-100,1)&gt;999,999,-999)))</f>
        <v>-2.6</v>
      </c>
      <c r="M10" s="8">
        <f>IFERROR(100/'Skjema total MA'!I10*K10,0)</f>
        <v>13.15091884425553</v>
      </c>
      <c r="R10" s="22"/>
    </row>
    <row r="11" spans="1:18" s="35" customFormat="1" ht="15.75" x14ac:dyDescent="0.2">
      <c r="A11" s="10" t="s">
        <v>324</v>
      </c>
      <c r="B11" s="253"/>
      <c r="C11" s="254">
        <v>333.04399999999998</v>
      </c>
      <c r="D11" s="127" t="str">
        <f t="shared" si="1"/>
        <v xml:space="preserve">    ---- </v>
      </c>
      <c r="E11" s="8">
        <f>IFERROR(100/'Skjema total MA'!C11*C11,0)</f>
        <v>100</v>
      </c>
      <c r="F11" s="253">
        <v>20242</v>
      </c>
      <c r="G11" s="254">
        <v>25299.847959999999</v>
      </c>
      <c r="H11" s="127">
        <f t="shared" si="3"/>
        <v>25</v>
      </c>
      <c r="I11" s="119">
        <f>IFERROR(100/'Skjema total MA'!F11*G11,0)</f>
        <v>6.4255010040752536</v>
      </c>
      <c r="J11" s="251">
        <f t="shared" si="0"/>
        <v>20242</v>
      </c>
      <c r="K11" s="252">
        <f t="shared" si="0"/>
        <v>25632.891960000001</v>
      </c>
      <c r="L11" s="344">
        <f t="shared" si="4"/>
        <v>26.6</v>
      </c>
      <c r="M11" s="8">
        <f>IFERROR(100/'Skjema total MA'!I11*K11,0)</f>
        <v>6.5045836185292289</v>
      </c>
      <c r="N11" s="107"/>
      <c r="O11" s="22"/>
    </row>
    <row r="12" spans="1:18" s="35" customFormat="1" ht="15.75" x14ac:dyDescent="0.2">
      <c r="A12" s="33" t="s">
        <v>325</v>
      </c>
      <c r="B12" s="255"/>
      <c r="C12" s="256">
        <v>341.79806000000002</v>
      </c>
      <c r="D12" s="125" t="str">
        <f t="shared" si="1"/>
        <v xml:space="preserve">    ---- </v>
      </c>
      <c r="E12" s="30">
        <f>IFERROR(100/'Skjema total MA'!C12*C12,0)</f>
        <v>100</v>
      </c>
      <c r="F12" s="255">
        <v>47072</v>
      </c>
      <c r="G12" s="256">
        <v>22766.68</v>
      </c>
      <c r="H12" s="125">
        <f t="shared" si="3"/>
        <v>-51.6</v>
      </c>
      <c r="I12" s="125">
        <f>IFERROR(100/'Skjema total MA'!F12*G12,0)</f>
        <v>5.8276762018638513</v>
      </c>
      <c r="J12" s="257">
        <f t="shared" si="0"/>
        <v>47072</v>
      </c>
      <c r="K12" s="258">
        <f t="shared" si="0"/>
        <v>23108.478060000001</v>
      </c>
      <c r="L12" s="345">
        <f t="shared" si="4"/>
        <v>-50.9</v>
      </c>
      <c r="M12" s="30">
        <f>IFERROR(100/'Skjema total MA'!I12*K12,0)</f>
        <v>5.9099968510406642</v>
      </c>
      <c r="N12" s="107"/>
      <c r="O12" s="22"/>
      <c r="R12" s="107"/>
    </row>
    <row r="13" spans="1:18" s="35" customFormat="1" x14ac:dyDescent="0.2">
      <c r="A13" s="107"/>
      <c r="B13" s="109"/>
      <c r="C13" s="27"/>
      <c r="D13" s="118"/>
      <c r="E13" s="118"/>
      <c r="F13" s="109"/>
      <c r="G13" s="27"/>
      <c r="H13" s="118"/>
      <c r="I13" s="118"/>
      <c r="J13" s="38"/>
      <c r="K13" s="38"/>
      <c r="L13" s="118"/>
      <c r="M13" s="118"/>
      <c r="N13" s="107"/>
      <c r="O13" s="107"/>
    </row>
    <row r="14" spans="1:18" x14ac:dyDescent="0.2">
      <c r="A14" s="114" t="s">
        <v>247</v>
      </c>
    </row>
    <row r="16" spans="1:18"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126305</v>
      </c>
      <c r="C22" s="253">
        <v>139542</v>
      </c>
      <c r="D22" s="286">
        <f t="shared" ref="D22:D39" si="5">IF(B22=0, "    ---- ", IF(ABS(ROUND(100/B22*C22-100,1))&lt;999,ROUND(100/B22*C22-100,1),IF(ROUND(100/B22*C22-100,1)&gt;999,999,-999)))</f>
        <v>10.5</v>
      </c>
      <c r="E22" s="8">
        <f>IFERROR(100/'Skjema total MA'!C22*C22,0)</f>
        <v>8.9379852863839098</v>
      </c>
      <c r="F22" s="261">
        <v>10178</v>
      </c>
      <c r="G22" s="261">
        <v>9426.3590000000004</v>
      </c>
      <c r="H22" s="286">
        <f t="shared" ref="H22:H35" si="6">IF(F22=0, "    ---- ", IF(ABS(ROUND(100/F22*G22-100,1))&lt;999,ROUND(100/F22*G22-100,1),IF(ROUND(100/F22*G22-100,1)&gt;999,999,-999)))</f>
        <v>-7.4</v>
      </c>
      <c r="I22" s="8">
        <f>IFERROR(100/'Skjema total MA'!F22*G22,0)</f>
        <v>1.7333332781492614</v>
      </c>
      <c r="J22" s="259">
        <f t="shared" ref="J22:K35" si="7">SUM(B22,F22)</f>
        <v>136483</v>
      </c>
      <c r="K22" s="259">
        <f t="shared" si="7"/>
        <v>148968.359</v>
      </c>
      <c r="L22" s="343">
        <f t="shared" ref="L22:L35" si="8">IF(J22=0, "    ---- ", IF(ABS(ROUND(100/J22*K22-100,1))&lt;999,ROUND(100/J22*K22-100,1),IF(ROUND(100/J22*K22-100,1)&gt;999,999,-999)))</f>
        <v>9.1</v>
      </c>
      <c r="M22" s="21">
        <f>IFERROR(100/'Skjema total MA'!I22*K22,0)</f>
        <v>7.076704354926207</v>
      </c>
    </row>
    <row r="23" spans="1:13" ht="15.75" x14ac:dyDescent="0.2">
      <c r="A23" s="385" t="s">
        <v>326</v>
      </c>
      <c r="B23" s="229">
        <v>111434.126631611</v>
      </c>
      <c r="C23" s="229">
        <v>121185.810858943</v>
      </c>
      <c r="D23" s="123">
        <f t="shared" si="5"/>
        <v>8.8000000000000007</v>
      </c>
      <c r="E23" s="8">
        <f>IFERROR(100/'Skjema total MA'!C23*C23,0)</f>
        <v>11.729873430069798</v>
      </c>
      <c r="F23" s="238">
        <v>6756</v>
      </c>
      <c r="G23" s="238">
        <v>6339.192</v>
      </c>
      <c r="H23" s="123">
        <f t="shared" si="6"/>
        <v>-6.2</v>
      </c>
      <c r="I23" s="336">
        <f>IFERROR(100/'Skjema total MA'!F23*G23,0)</f>
        <v>24.284418903098583</v>
      </c>
      <c r="J23" s="238">
        <f t="shared" ref="J23:J25" si="9">SUM(B23,F23)</f>
        <v>118190.126631611</v>
      </c>
      <c r="K23" s="238">
        <f t="shared" ref="K23:K25" si="10">SUM(C23,G23)</f>
        <v>127525.002858943</v>
      </c>
      <c r="L23" s="123">
        <f t="shared" si="8"/>
        <v>7.9</v>
      </c>
      <c r="M23" s="20">
        <f>IFERROR(100/'Skjema total MA'!I23*K23,0)</f>
        <v>12.039267442092477</v>
      </c>
    </row>
    <row r="24" spans="1:13" ht="15.75" x14ac:dyDescent="0.2">
      <c r="A24" s="385" t="s">
        <v>327</v>
      </c>
      <c r="B24" s="229">
        <v>4581.0712167330603</v>
      </c>
      <c r="C24" s="229">
        <v>7561.5508126406703</v>
      </c>
      <c r="D24" s="123">
        <f t="shared" si="5"/>
        <v>65.099999999999994</v>
      </c>
      <c r="E24" s="8">
        <f>IFERROR(100/'Skjema total MA'!C24*C24,0)</f>
        <v>81.996669175460667</v>
      </c>
      <c r="F24" s="238">
        <v>12</v>
      </c>
      <c r="G24" s="238">
        <v>25.4</v>
      </c>
      <c r="H24" s="123">
        <f t="shared" si="6"/>
        <v>111.7</v>
      </c>
      <c r="I24" s="336">
        <f>IFERROR(100/'Skjema total MA'!F24*G24,0)</f>
        <v>-26.80597329956203</v>
      </c>
      <c r="J24" s="238">
        <f t="shared" si="9"/>
        <v>4593.0712167330603</v>
      </c>
      <c r="K24" s="238">
        <f t="shared" si="10"/>
        <v>7586.9508126406699</v>
      </c>
      <c r="L24" s="123">
        <f t="shared" si="8"/>
        <v>65.2</v>
      </c>
      <c r="M24" s="20">
        <f>IFERROR(100/'Skjema total MA'!I24*K24,0)</f>
        <v>83.126237312693647</v>
      </c>
    </row>
    <row r="25" spans="1:13" ht="15.75" x14ac:dyDescent="0.2">
      <c r="A25" s="385" t="s">
        <v>328</v>
      </c>
      <c r="B25" s="229">
        <v>10289.802151656</v>
      </c>
      <c r="C25" s="229">
        <v>10794.6383284165</v>
      </c>
      <c r="D25" s="123">
        <f t="shared" si="5"/>
        <v>4.9000000000000004</v>
      </c>
      <c r="E25" s="8">
        <f>IFERROR(100/'Skjema total MA'!C25*C25,0)</f>
        <v>99.999999999999986</v>
      </c>
      <c r="F25" s="238">
        <v>3410</v>
      </c>
      <c r="G25" s="238">
        <v>3061.7669999999998</v>
      </c>
      <c r="H25" s="123">
        <f t="shared" si="6"/>
        <v>-10.199999999999999</v>
      </c>
      <c r="I25" s="336">
        <f>IFERROR(100/'Skjema total MA'!F25*G25,0)</f>
        <v>42.476354602167987</v>
      </c>
      <c r="J25" s="238">
        <f t="shared" si="9"/>
        <v>13699.802151656</v>
      </c>
      <c r="K25" s="238">
        <f t="shared" si="10"/>
        <v>13856.4053284165</v>
      </c>
      <c r="L25" s="123">
        <f t="shared" si="8"/>
        <v>1.1000000000000001</v>
      </c>
      <c r="M25" s="20">
        <f>IFERROR(100/'Skjema total MA'!I25*K25,0)</f>
        <v>76.968029737368667</v>
      </c>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51070</v>
      </c>
      <c r="C28" s="235">
        <v>49622.999000000003</v>
      </c>
      <c r="D28" s="123">
        <f t="shared" si="5"/>
        <v>-2.8</v>
      </c>
      <c r="E28" s="8">
        <f>IFERROR(100/'Skjema total MA'!C28*C28,0)</f>
        <v>2.6349400865356531</v>
      </c>
      <c r="F28" s="182"/>
      <c r="G28" s="235"/>
      <c r="H28" s="123"/>
      <c r="I28" s="23"/>
      <c r="J28" s="36">
        <f t="shared" si="7"/>
        <v>51070</v>
      </c>
      <c r="K28" s="36">
        <f t="shared" si="7"/>
        <v>49622.999000000003</v>
      </c>
      <c r="L28" s="207">
        <f t="shared" si="8"/>
        <v>-2.8</v>
      </c>
      <c r="M28" s="20">
        <f>IFERROR(100/'Skjema total MA'!I28*K28,0)</f>
        <v>2.6349400865356531</v>
      </c>
    </row>
    <row r="29" spans="1:13" ht="15.75" x14ac:dyDescent="0.2">
      <c r="A29" s="10" t="s">
        <v>323</v>
      </c>
      <c r="B29" s="184">
        <v>19642477</v>
      </c>
      <c r="C29" s="184">
        <v>18734546</v>
      </c>
      <c r="D29" s="127">
        <f t="shared" si="5"/>
        <v>-4.5999999999999996</v>
      </c>
      <c r="E29" s="8">
        <f>IFERROR(100/'Skjema total MA'!C29*C29,0)</f>
        <v>42.482853579193595</v>
      </c>
      <c r="F29" s="251">
        <v>4992308</v>
      </c>
      <c r="G29" s="251">
        <v>4794865.4740350004</v>
      </c>
      <c r="H29" s="127">
        <f t="shared" si="6"/>
        <v>-4</v>
      </c>
      <c r="I29" s="8">
        <f>IFERROR(100/'Skjema total MA'!F29*G29,0)</f>
        <v>15.959035203983902</v>
      </c>
      <c r="J29" s="184">
        <f t="shared" si="7"/>
        <v>24634785</v>
      </c>
      <c r="K29" s="184">
        <f t="shared" si="7"/>
        <v>23529411.474035002</v>
      </c>
      <c r="L29" s="344">
        <f t="shared" si="8"/>
        <v>-4.5</v>
      </c>
      <c r="M29" s="21">
        <f>IFERROR(100/'Skjema total MA'!I29*K29,0)</f>
        <v>31.73478672715687</v>
      </c>
    </row>
    <row r="30" spans="1:13" ht="15.75" x14ac:dyDescent="0.2">
      <c r="A30" s="385" t="s">
        <v>326</v>
      </c>
      <c r="B30" s="229">
        <v>4196989</v>
      </c>
      <c r="C30" s="229">
        <v>3543959</v>
      </c>
      <c r="D30" s="123">
        <f t="shared" si="5"/>
        <v>-15.6</v>
      </c>
      <c r="E30" s="8">
        <f>IFERROR(100/'Skjema total MA'!C30*C30,0)</f>
        <v>18.791156413468197</v>
      </c>
      <c r="F30" s="238">
        <v>1619112</v>
      </c>
      <c r="G30" s="238">
        <v>1554487.48664037</v>
      </c>
      <c r="H30" s="123">
        <f t="shared" si="6"/>
        <v>-4</v>
      </c>
      <c r="I30" s="336">
        <f>IFERROR(100/'Skjema total MA'!F30*G30,0)</f>
        <v>42.676832347583471</v>
      </c>
      <c r="J30" s="238">
        <f t="shared" ref="J30:J32" si="11">SUM(B30,F30)</f>
        <v>5816101</v>
      </c>
      <c r="K30" s="238">
        <f t="shared" ref="K30:K32" si="12">SUM(C30,G30)</f>
        <v>5098446.4866403695</v>
      </c>
      <c r="L30" s="123">
        <f t="shared" si="8"/>
        <v>-12.3</v>
      </c>
      <c r="M30" s="20">
        <f>IFERROR(100/'Skjema total MA'!I30*K30,0)</f>
        <v>22.657567275947425</v>
      </c>
    </row>
    <row r="31" spans="1:13" ht="15.75" x14ac:dyDescent="0.2">
      <c r="A31" s="385" t="s">
        <v>327</v>
      </c>
      <c r="B31" s="229">
        <v>14011936</v>
      </c>
      <c r="C31" s="229">
        <v>13702943</v>
      </c>
      <c r="D31" s="123">
        <f t="shared" si="5"/>
        <v>-2.2000000000000002</v>
      </c>
      <c r="E31" s="8">
        <f>IFERROR(100/'Skjema total MA'!C31*C31,0)</f>
        <v>60.807856907559845</v>
      </c>
      <c r="F31" s="238">
        <v>2791203</v>
      </c>
      <c r="G31" s="238">
        <v>2640127.2193667898</v>
      </c>
      <c r="H31" s="123">
        <f t="shared" si="6"/>
        <v>-5.4</v>
      </c>
      <c r="I31" s="336">
        <f>IFERROR(100/'Skjema total MA'!F31*G31,0)</f>
        <v>35.912523248397179</v>
      </c>
      <c r="J31" s="238">
        <f t="shared" si="11"/>
        <v>16803139</v>
      </c>
      <c r="K31" s="238">
        <f t="shared" si="12"/>
        <v>16343070.219366789</v>
      </c>
      <c r="L31" s="123">
        <f t="shared" si="8"/>
        <v>-2.7</v>
      </c>
      <c r="M31" s="20">
        <f>IFERROR(100/'Skjema total MA'!I31*K31,0)</f>
        <v>54.684019281354999</v>
      </c>
    </row>
    <row r="32" spans="1:13" ht="15.75" x14ac:dyDescent="0.2">
      <c r="A32" s="385" t="s">
        <v>328</v>
      </c>
      <c r="B32" s="229">
        <v>1433552</v>
      </c>
      <c r="C32" s="229">
        <v>1487644</v>
      </c>
      <c r="D32" s="123">
        <f t="shared" si="5"/>
        <v>3.8</v>
      </c>
      <c r="E32" s="8">
        <f>IFERROR(100/'Skjema total MA'!C32*C32,0)</f>
        <v>58.378661417063093</v>
      </c>
      <c r="F32" s="238">
        <v>581993</v>
      </c>
      <c r="G32" s="238">
        <v>600250.768027841</v>
      </c>
      <c r="H32" s="123">
        <f t="shared" si="6"/>
        <v>3.1</v>
      </c>
      <c r="I32" s="336">
        <f>IFERROR(100/'Skjema total MA'!F32*G32,0)</f>
        <v>8.6011028694515019</v>
      </c>
      <c r="J32" s="238">
        <f t="shared" si="11"/>
        <v>2015545</v>
      </c>
      <c r="K32" s="238">
        <f t="shared" si="12"/>
        <v>2087894.7680278411</v>
      </c>
      <c r="L32" s="123">
        <f t="shared" si="8"/>
        <v>3.6</v>
      </c>
      <c r="M32" s="20">
        <f>IFERROR(100/'Skjema total MA'!I32*K32,0)</f>
        <v>21.91548008468973</v>
      </c>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v>6782</v>
      </c>
      <c r="C34" s="252">
        <v>5482.0329700000002</v>
      </c>
      <c r="D34" s="127">
        <f t="shared" si="5"/>
        <v>-19.2</v>
      </c>
      <c r="E34" s="8">
        <f>IFERROR(100/'Skjema total MA'!C34*C34,0)</f>
        <v>31.013826289068955</v>
      </c>
      <c r="F34" s="251">
        <v>-195642</v>
      </c>
      <c r="G34" s="252">
        <v>-261440.81200000001</v>
      </c>
      <c r="H34" s="127">
        <f t="shared" si="6"/>
        <v>33.6</v>
      </c>
      <c r="I34" s="8">
        <f>IFERROR(100/'Skjema total MA'!F34*G34,0)</f>
        <v>179.65575755813987</v>
      </c>
      <c r="J34" s="184">
        <f t="shared" si="7"/>
        <v>-188860</v>
      </c>
      <c r="K34" s="184">
        <f t="shared" si="7"/>
        <v>-255958.77903000001</v>
      </c>
      <c r="L34" s="344">
        <f t="shared" si="8"/>
        <v>35.5</v>
      </c>
      <c r="M34" s="21">
        <f>IFERROR(100/'Skjema total MA'!I34*K34,0)</f>
        <v>200.20693555933551</v>
      </c>
    </row>
    <row r="35" spans="1:13" ht="15.75" x14ac:dyDescent="0.2">
      <c r="A35" s="10" t="s">
        <v>325</v>
      </c>
      <c r="B35" s="184">
        <v>-193241</v>
      </c>
      <c r="C35" s="252">
        <v>-255608.78086</v>
      </c>
      <c r="D35" s="127">
        <f t="shared" si="5"/>
        <v>32.299999999999997</v>
      </c>
      <c r="E35" s="8">
        <f>IFERROR(100/'Skjema total MA'!C35*C35,0)</f>
        <v>100.26555014160181</v>
      </c>
      <c r="F35" s="251">
        <v>4967</v>
      </c>
      <c r="G35" s="252">
        <v>-2281.04</v>
      </c>
      <c r="H35" s="127">
        <f t="shared" si="6"/>
        <v>-145.9</v>
      </c>
      <c r="I35" s="8">
        <f>IFERROR(100/'Skjema total MA'!F35*G35,0)</f>
        <v>-1.7623372446470689</v>
      </c>
      <c r="J35" s="184">
        <f t="shared" si="7"/>
        <v>-188274</v>
      </c>
      <c r="K35" s="184">
        <f t="shared" si="7"/>
        <v>-257889.82086000001</v>
      </c>
      <c r="L35" s="344">
        <f t="shared" si="8"/>
        <v>37</v>
      </c>
      <c r="M35" s="21">
        <f>IFERROR(100/'Skjema total MA'!I35*K35,0)</f>
        <v>205.49129280301182</v>
      </c>
    </row>
    <row r="36" spans="1:13" ht="15.75" x14ac:dyDescent="0.2">
      <c r="A36" s="9" t="s">
        <v>255</v>
      </c>
      <c r="B36" s="184">
        <v>998</v>
      </c>
      <c r="C36" s="252">
        <v>953</v>
      </c>
      <c r="D36" s="127">
        <f t="shared" si="5"/>
        <v>-4.5</v>
      </c>
      <c r="E36" s="8">
        <f>IFERROR(100/'Skjema total MA'!C36*C36,0)</f>
        <v>9.6146085552865213</v>
      </c>
      <c r="F36" s="262"/>
      <c r="G36" s="263"/>
      <c r="H36" s="127"/>
      <c r="I36" s="350"/>
      <c r="J36" s="184">
        <f t="shared" ref="J36:J39" si="13">SUM(B36,F36)</f>
        <v>998</v>
      </c>
      <c r="K36" s="184">
        <f t="shared" ref="K36:K39" si="14">SUM(C36,G36)</f>
        <v>953</v>
      </c>
      <c r="L36" s="344"/>
      <c r="M36" s="21">
        <f>IFERROR(100/'Skjema total MA'!I36*K36,0)</f>
        <v>9.6146085552865213</v>
      </c>
    </row>
    <row r="37" spans="1:13" ht="15.75" x14ac:dyDescent="0.2">
      <c r="A37" s="9" t="s">
        <v>331</v>
      </c>
      <c r="B37" s="184">
        <v>2191441.7312699999</v>
      </c>
      <c r="C37" s="252">
        <v>2022649.1010529799</v>
      </c>
      <c r="D37" s="127">
        <f t="shared" si="5"/>
        <v>-7.7</v>
      </c>
      <c r="E37" s="8">
        <f>IFERROR(100/'Skjema total MA'!C37*C37,0)</f>
        <v>83.811693853556747</v>
      </c>
      <c r="F37" s="262"/>
      <c r="G37" s="264"/>
      <c r="H37" s="127"/>
      <c r="I37" s="350"/>
      <c r="J37" s="184">
        <f t="shared" si="13"/>
        <v>2191441.7312699999</v>
      </c>
      <c r="K37" s="184">
        <f t="shared" si="14"/>
        <v>2022649.1010529799</v>
      </c>
      <c r="L37" s="344"/>
      <c r="M37" s="21">
        <f>IFERROR(100/'Skjema total MA'!I37*K37,0)</f>
        <v>83.811693853556747</v>
      </c>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v>1</v>
      </c>
      <c r="C39" s="258">
        <v>1.3109999999999999</v>
      </c>
      <c r="D39" s="125">
        <f t="shared" si="5"/>
        <v>31.1</v>
      </c>
      <c r="E39" s="30">
        <f>IFERROR(100/'Skjema total MA'!C38*C39,0)</f>
        <v>0</v>
      </c>
      <c r="F39" s="265"/>
      <c r="G39" s="266"/>
      <c r="H39" s="125"/>
      <c r="I39" s="30"/>
      <c r="J39" s="184">
        <f t="shared" si="13"/>
        <v>1</v>
      </c>
      <c r="K39" s="184">
        <f t="shared" si="14"/>
        <v>1.3109999999999999</v>
      </c>
      <c r="L39" s="345"/>
      <c r="M39" s="30">
        <f>IFERROR(100/'Skjema total MA'!I39*K39,0)</f>
        <v>100</v>
      </c>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511600</v>
      </c>
      <c r="C47" s="254">
        <v>530928</v>
      </c>
      <c r="D47" s="343">
        <f t="shared" ref="D47:D57" si="15">IF(B47=0, "    ---- ", IF(ABS(ROUND(100/B47*C47-100,1))&lt;999,ROUND(100/B47*C47-100,1),IF(ROUND(100/B47*C47-100,1)&gt;999,999,-999)))</f>
        <v>3.8</v>
      </c>
      <c r="E47" s="8">
        <f>IFERROR(100/'Skjema total MA'!C47*C47,0)</f>
        <v>9.5731951401221309</v>
      </c>
      <c r="F47" s="109"/>
      <c r="G47" s="27"/>
      <c r="H47" s="118"/>
      <c r="I47" s="118"/>
      <c r="J47" s="31"/>
      <c r="K47" s="31"/>
      <c r="L47" s="118"/>
      <c r="M47" s="118"/>
    </row>
    <row r="48" spans="1:13" ht="15.75" x14ac:dyDescent="0.2">
      <c r="A48" s="18" t="s">
        <v>334</v>
      </c>
      <c r="B48" s="229">
        <v>511600</v>
      </c>
      <c r="C48" s="230">
        <v>530928</v>
      </c>
      <c r="D48" s="207">
        <f t="shared" si="15"/>
        <v>3.8</v>
      </c>
      <c r="E48" s="23">
        <f>IFERROR(100/'Skjema total MA'!C48*C48,0)</f>
        <v>16.737710279655644</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24100</v>
      </c>
      <c r="C53" s="254">
        <v>19957</v>
      </c>
      <c r="D53" s="344">
        <f t="shared" si="15"/>
        <v>-17.2</v>
      </c>
      <c r="E53" s="8">
        <f>IFERROR(100/'Skjema total MA'!C53*C53,0)</f>
        <v>7.4353661415228673</v>
      </c>
      <c r="F53" s="109"/>
      <c r="G53" s="27"/>
      <c r="H53" s="109"/>
      <c r="I53" s="109"/>
      <c r="J53" s="27"/>
      <c r="K53" s="27"/>
      <c r="L53" s="118"/>
      <c r="M53" s="118"/>
    </row>
    <row r="54" spans="1:13" ht="15.75" x14ac:dyDescent="0.2">
      <c r="A54" s="18" t="s">
        <v>334</v>
      </c>
      <c r="B54" s="229">
        <v>24100</v>
      </c>
      <c r="C54" s="230">
        <v>19957</v>
      </c>
      <c r="D54" s="207">
        <f t="shared" si="15"/>
        <v>-17.2</v>
      </c>
      <c r="E54" s="23">
        <f>IFERROR(100/'Skjema total MA'!C54*C54,0)</f>
        <v>7.6339190880468317</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v>34600</v>
      </c>
      <c r="C56" s="254">
        <v>13708.35</v>
      </c>
      <c r="D56" s="344">
        <f t="shared" si="15"/>
        <v>-60.4</v>
      </c>
      <c r="E56" s="8">
        <f>IFERROR(100/'Skjema total MA'!C56*C56,0)</f>
        <v>21.123686071084538</v>
      </c>
      <c r="F56" s="109"/>
      <c r="G56" s="27"/>
      <c r="H56" s="109"/>
      <c r="I56" s="109"/>
      <c r="J56" s="27"/>
      <c r="K56" s="27"/>
      <c r="L56" s="118"/>
      <c r="M56" s="118"/>
    </row>
    <row r="57" spans="1:13" ht="15.75" x14ac:dyDescent="0.2">
      <c r="A57" s="18" t="s">
        <v>334</v>
      </c>
      <c r="B57" s="229">
        <v>34600</v>
      </c>
      <c r="C57" s="230">
        <v>13708.35</v>
      </c>
      <c r="D57" s="207">
        <f t="shared" si="15"/>
        <v>-60.4</v>
      </c>
      <c r="E57" s="23">
        <f>IFERROR(100/'Skjema total MA'!C57*C57,0)</f>
        <v>21.123686071084538</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1293338</v>
      </c>
      <c r="C66" s="289">
        <v>1336538.0003200001</v>
      </c>
      <c r="D66" s="286">
        <f t="shared" ref="D66:D111" si="16">IF(B66=0, "    ---- ", IF(ABS(ROUND(100/B66*C66-100,1))&lt;999,ROUND(100/B66*C66-100,1),IF(ROUND(100/B66*C66-100,1)&gt;999,999,-999)))</f>
        <v>3.3</v>
      </c>
      <c r="E66" s="8">
        <f>IFERROR(100/'Skjema total MA'!C66*C66,0)</f>
        <v>26.20849226450358</v>
      </c>
      <c r="F66" s="288">
        <v>7640884</v>
      </c>
      <c r="G66" s="288">
        <v>8401111</v>
      </c>
      <c r="H66" s="286">
        <f t="shared" ref="H66:H111" si="17">IF(F66=0, "    ---- ", IF(ABS(ROUND(100/F66*G66-100,1))&lt;999,ROUND(100/F66*G66-100,1),IF(ROUND(100/F66*G66-100,1)&gt;999,999,-999)))</f>
        <v>9.9</v>
      </c>
      <c r="I66" s="8">
        <f>IFERROR(100/'Skjema total MA'!F66*G66,0)</f>
        <v>29.152718932533663</v>
      </c>
      <c r="J66" s="252">
        <f t="shared" ref="J66:K86" si="18">SUM(B66,F66)</f>
        <v>8934222</v>
      </c>
      <c r="K66" s="259">
        <f t="shared" si="18"/>
        <v>9737649.0003200006</v>
      </c>
      <c r="L66" s="344">
        <f t="shared" ref="L66:L111" si="19">IF(J66=0, "    ---- ", IF(ABS(ROUND(100/J66*K66-100,1))&lt;999,ROUND(100/J66*K66-100,1),IF(ROUND(100/J66*K66-100,1)&gt;999,999,-999)))</f>
        <v>9</v>
      </c>
      <c r="M66" s="8">
        <f>IFERROR(100/'Skjema total MA'!I66*K66,0)</f>
        <v>28.710038651540405</v>
      </c>
    </row>
    <row r="67" spans="1:13" x14ac:dyDescent="0.2">
      <c r="A67" s="18" t="s">
        <v>9</v>
      </c>
      <c r="B67" s="36">
        <v>1045602</v>
      </c>
      <c r="C67" s="109">
        <v>1041579.687</v>
      </c>
      <c r="D67" s="123">
        <f t="shared" si="16"/>
        <v>-0.4</v>
      </c>
      <c r="E67" s="23">
        <f>IFERROR(100/'Skjema total MA'!C67*C67,0)</f>
        <v>37.448924454487283</v>
      </c>
      <c r="F67" s="182"/>
      <c r="G67" s="109"/>
      <c r="H67" s="123"/>
      <c r="I67" s="23"/>
      <c r="J67" s="235">
        <f t="shared" si="18"/>
        <v>1045602</v>
      </c>
      <c r="K67" s="36">
        <f t="shared" si="18"/>
        <v>1041579.687</v>
      </c>
      <c r="L67" s="207">
        <f t="shared" si="19"/>
        <v>-0.4</v>
      </c>
      <c r="M67" s="23">
        <f>IFERROR(100/'Skjema total MA'!I67*K67,0)</f>
        <v>37.448924454487283</v>
      </c>
    </row>
    <row r="68" spans="1:13" x14ac:dyDescent="0.2">
      <c r="A68" s="18" t="s">
        <v>10</v>
      </c>
      <c r="B68" s="239"/>
      <c r="C68" s="240"/>
      <c r="D68" s="123"/>
      <c r="E68" s="23"/>
      <c r="F68" s="239">
        <v>7640884</v>
      </c>
      <c r="G68" s="240">
        <v>8401111</v>
      </c>
      <c r="H68" s="123">
        <f t="shared" si="17"/>
        <v>9.9</v>
      </c>
      <c r="I68" s="23">
        <f>IFERROR(100/'Skjema total MA'!F68*G68,0)</f>
        <v>30.28162028694614</v>
      </c>
      <c r="J68" s="235">
        <f t="shared" si="18"/>
        <v>7640884</v>
      </c>
      <c r="K68" s="36">
        <f t="shared" si="18"/>
        <v>8401111</v>
      </c>
      <c r="L68" s="207">
        <f t="shared" si="19"/>
        <v>9.9</v>
      </c>
      <c r="M68" s="23">
        <f>IFERROR(100/'Skjema total MA'!I68*K68,0)</f>
        <v>30.266384309081559</v>
      </c>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23"/>
      <c r="F75" s="182"/>
      <c r="G75" s="109"/>
      <c r="H75" s="123"/>
      <c r="I75" s="23"/>
      <c r="J75" s="235"/>
      <c r="K75" s="36"/>
      <c r="L75" s="207"/>
      <c r="M75" s="23"/>
    </row>
    <row r="76" spans="1:13" x14ac:dyDescent="0.2">
      <c r="A76" s="18" t="s">
        <v>309</v>
      </c>
      <c r="B76" s="182">
        <v>247736</v>
      </c>
      <c r="C76" s="109">
        <v>294958.31332000002</v>
      </c>
      <c r="D76" s="123">
        <f t="shared" ref="D76" si="20">IF(B76=0, "    ---- ", IF(ABS(ROUND(100/B76*C76-100,1))&lt;999,ROUND(100/B76*C76-100,1),IF(ROUND(100/B76*C76-100,1)&gt;999,999,-999)))</f>
        <v>19.100000000000001</v>
      </c>
      <c r="E76" s="23">
        <f>IFERROR(100/'Skjema total MA'!C77*C76,0)</f>
        <v>10.813351330656156</v>
      </c>
      <c r="F76" s="182"/>
      <c r="G76" s="109"/>
      <c r="H76" s="123"/>
      <c r="I76" s="23"/>
      <c r="J76" s="235">
        <f t="shared" ref="J76" si="21">SUM(B76,F76)</f>
        <v>247736</v>
      </c>
      <c r="K76" s="36">
        <f t="shared" ref="K76" si="22">SUM(C76,G76)</f>
        <v>294958.31332000002</v>
      </c>
      <c r="L76" s="207">
        <f t="shared" ref="L76" si="23">IF(J76=0, "    ---- ", IF(ABS(ROUND(100/J76*K76-100,1))&lt;999,ROUND(100/J76*K76-100,1),IF(ROUND(100/J76*K76-100,1)&gt;999,999,-999)))</f>
        <v>19.100000000000001</v>
      </c>
      <c r="M76" s="23">
        <f>IFERROR(100/'Skjema total MA'!I77*K76,0)</f>
        <v>0.96821493000027559</v>
      </c>
    </row>
    <row r="77" spans="1:13" ht="15.75" x14ac:dyDescent="0.2">
      <c r="A77" s="18" t="s">
        <v>340</v>
      </c>
      <c r="B77" s="182">
        <v>1029828</v>
      </c>
      <c r="C77" s="182">
        <v>1025691.974</v>
      </c>
      <c r="D77" s="123">
        <f t="shared" si="16"/>
        <v>-0.4</v>
      </c>
      <c r="E77" s="23">
        <f>IFERROR(100/'Skjema total MA'!C77*C77,0)</f>
        <v>37.602492186288856</v>
      </c>
      <c r="F77" s="182">
        <v>7640884</v>
      </c>
      <c r="G77" s="109">
        <v>8401111</v>
      </c>
      <c r="H77" s="123">
        <f t="shared" si="17"/>
        <v>9.9</v>
      </c>
      <c r="I77" s="23">
        <f>IFERROR(100/'Skjema total MA'!F77*G77,0)</f>
        <v>30.289104467587947</v>
      </c>
      <c r="J77" s="235">
        <f t="shared" si="18"/>
        <v>8670712</v>
      </c>
      <c r="K77" s="36">
        <f t="shared" si="18"/>
        <v>9426802.9739999995</v>
      </c>
      <c r="L77" s="207">
        <f t="shared" si="19"/>
        <v>8.6999999999999993</v>
      </c>
      <c r="M77" s="23">
        <f>IFERROR(100/'Skjema total MA'!I77*K77,0)</f>
        <v>30.943936717239563</v>
      </c>
    </row>
    <row r="78" spans="1:13" x14ac:dyDescent="0.2">
      <c r="A78" s="18" t="s">
        <v>9</v>
      </c>
      <c r="B78" s="182">
        <v>1029828</v>
      </c>
      <c r="C78" s="109">
        <v>1025691.974</v>
      </c>
      <c r="D78" s="123">
        <f t="shared" si="16"/>
        <v>-0.4</v>
      </c>
      <c r="E78" s="23">
        <f>IFERROR(100/'Skjema total MA'!C78*C78,0)</f>
        <v>37.79600645418423</v>
      </c>
      <c r="F78" s="182"/>
      <c r="G78" s="109"/>
      <c r="H78" s="123"/>
      <c r="I78" s="23"/>
      <c r="J78" s="235">
        <f t="shared" si="18"/>
        <v>1029828</v>
      </c>
      <c r="K78" s="36">
        <f t="shared" si="18"/>
        <v>1025691.974</v>
      </c>
      <c r="L78" s="207">
        <f t="shared" si="19"/>
        <v>-0.4</v>
      </c>
      <c r="M78" s="23">
        <f>IFERROR(100/'Skjema total MA'!I78*K78,0)</f>
        <v>37.79600645418423</v>
      </c>
    </row>
    <row r="79" spans="1:13" x14ac:dyDescent="0.2">
      <c r="A79" s="18" t="s">
        <v>368</v>
      </c>
      <c r="B79" s="239"/>
      <c r="C79" s="240"/>
      <c r="D79" s="123"/>
      <c r="E79" s="23"/>
      <c r="F79" s="239">
        <v>7640884</v>
      </c>
      <c r="G79" s="240">
        <v>8401111</v>
      </c>
      <c r="H79" s="123">
        <f t="shared" si="17"/>
        <v>9.9</v>
      </c>
      <c r="I79" s="23">
        <f>IFERROR(100/'Skjema total MA'!F79*G79,0)</f>
        <v>30.289104467587947</v>
      </c>
      <c r="J79" s="235">
        <f t="shared" si="18"/>
        <v>7640884</v>
      </c>
      <c r="K79" s="36">
        <f t="shared" si="18"/>
        <v>8401111</v>
      </c>
      <c r="L79" s="207">
        <f t="shared" si="19"/>
        <v>9.9</v>
      </c>
      <c r="M79" s="23">
        <f>IFERROR(100/'Skjema total MA'!I79*K79,0)</f>
        <v>30.273860959465722</v>
      </c>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v>15774</v>
      </c>
      <c r="C86" s="109">
        <v>15887.713</v>
      </c>
      <c r="D86" s="123">
        <f t="shared" si="16"/>
        <v>0.7</v>
      </c>
      <c r="E86" s="23">
        <f>IFERROR(100/'Skjema total MA'!C86*C86,0)</f>
        <v>23.510702949569222</v>
      </c>
      <c r="F86" s="182"/>
      <c r="G86" s="109"/>
      <c r="H86" s="123"/>
      <c r="I86" s="23"/>
      <c r="J86" s="235">
        <f t="shared" si="18"/>
        <v>15774</v>
      </c>
      <c r="K86" s="36">
        <f t="shared" si="18"/>
        <v>15887.713</v>
      </c>
      <c r="L86" s="207">
        <f t="shared" si="19"/>
        <v>0.7</v>
      </c>
      <c r="M86" s="23">
        <f>IFERROR(100/'Skjema total MA'!I86*K86,0)</f>
        <v>21.345376007981979</v>
      </c>
    </row>
    <row r="87" spans="1:13" ht="15.75" x14ac:dyDescent="0.2">
      <c r="A87" s="10" t="s">
        <v>323</v>
      </c>
      <c r="B87" s="289">
        <v>153751466</v>
      </c>
      <c r="C87" s="289">
        <v>153729275.77000654</v>
      </c>
      <c r="D87" s="127">
        <f t="shared" si="16"/>
        <v>0</v>
      </c>
      <c r="E87" s="8">
        <f>IFERROR(100/'Skjema total MA'!C87*C87,0)</f>
        <v>37.356471475249549</v>
      </c>
      <c r="F87" s="288">
        <v>173225426</v>
      </c>
      <c r="G87" s="288">
        <v>203743092.66197801</v>
      </c>
      <c r="H87" s="127">
        <f t="shared" si="17"/>
        <v>17.600000000000001</v>
      </c>
      <c r="I87" s="8">
        <f>IFERROR(100/'Skjema total MA'!F87*G87,0)</f>
        <v>28.50121657403491</v>
      </c>
      <c r="J87" s="252">
        <f t="shared" ref="J87:K111" si="24">SUM(B87,F87)</f>
        <v>326976892</v>
      </c>
      <c r="K87" s="184">
        <f t="shared" si="24"/>
        <v>357472368.43198454</v>
      </c>
      <c r="L87" s="344">
        <f t="shared" si="19"/>
        <v>9.3000000000000007</v>
      </c>
      <c r="M87" s="8">
        <f>IFERROR(100/'Skjema total MA'!I87*K87,0)</f>
        <v>31.736466979582275</v>
      </c>
    </row>
    <row r="88" spans="1:13" x14ac:dyDescent="0.2">
      <c r="A88" s="18" t="s">
        <v>9</v>
      </c>
      <c r="B88" s="182">
        <v>153609711</v>
      </c>
      <c r="C88" s="109">
        <v>153593446.51903701</v>
      </c>
      <c r="D88" s="123">
        <f t="shared" si="16"/>
        <v>0</v>
      </c>
      <c r="E88" s="23">
        <f>IFERROR(100/'Skjema total MA'!C88*C88,0)</f>
        <v>39.762980243599266</v>
      </c>
      <c r="F88" s="182"/>
      <c r="G88" s="109"/>
      <c r="H88" s="123"/>
      <c r="I88" s="23"/>
      <c r="J88" s="235">
        <f t="shared" si="24"/>
        <v>153609711</v>
      </c>
      <c r="K88" s="36">
        <f t="shared" si="24"/>
        <v>153593446.51903701</v>
      </c>
      <c r="L88" s="207">
        <f t="shared" si="19"/>
        <v>0</v>
      </c>
      <c r="M88" s="23">
        <f>IFERROR(100/'Skjema total MA'!I88*K88,0)</f>
        <v>39.762980243599266</v>
      </c>
    </row>
    <row r="89" spans="1:13" x14ac:dyDescent="0.2">
      <c r="A89" s="18" t="s">
        <v>10</v>
      </c>
      <c r="B89" s="182">
        <v>84646</v>
      </c>
      <c r="C89" s="109">
        <v>79952.686399514103</v>
      </c>
      <c r="D89" s="123">
        <f t="shared" si="16"/>
        <v>-5.5</v>
      </c>
      <c r="E89" s="23">
        <f>IFERROR(100/'Skjema total MA'!C89*C89,0)</f>
        <v>1.9501253675105443</v>
      </c>
      <c r="F89" s="182">
        <v>173225426</v>
      </c>
      <c r="G89" s="109">
        <v>203743092.66197801</v>
      </c>
      <c r="H89" s="123">
        <f t="shared" si="17"/>
        <v>17.600000000000001</v>
      </c>
      <c r="I89" s="23">
        <f>IFERROR(100/'Skjema total MA'!F89*G89,0)</f>
        <v>28.958294973017715</v>
      </c>
      <c r="J89" s="235">
        <f t="shared" si="24"/>
        <v>173310072</v>
      </c>
      <c r="K89" s="36">
        <f t="shared" si="24"/>
        <v>203823045.34837753</v>
      </c>
      <c r="L89" s="207">
        <f t="shared" si="19"/>
        <v>17.600000000000001</v>
      </c>
      <c r="M89" s="23">
        <f>IFERROR(100/'Skjema total MA'!I89*K89,0)</f>
        <v>28.801824500279952</v>
      </c>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23"/>
      <c r="F96" s="182"/>
      <c r="G96" s="109"/>
      <c r="H96" s="123"/>
      <c r="I96" s="23"/>
      <c r="J96" s="235"/>
      <c r="K96" s="36"/>
      <c r="L96" s="207"/>
      <c r="M96" s="23"/>
    </row>
    <row r="97" spans="1:13" x14ac:dyDescent="0.2">
      <c r="A97" s="18" t="s">
        <v>307</v>
      </c>
      <c r="B97" s="182">
        <v>57109</v>
      </c>
      <c r="C97" s="109">
        <v>55876.564570000002</v>
      </c>
      <c r="D97" s="123">
        <f t="shared" ref="D97" si="25">IF(B97=0, "    ---- ", IF(ABS(ROUND(100/B97*C97-100,1))&lt;999,ROUND(100/B97*C97-100,1),IF(ROUND(100/B97*C97-100,1)&gt;999,999,-999)))</f>
        <v>-2.2000000000000002</v>
      </c>
      <c r="E97" s="23">
        <f>IFERROR(100/'Skjema total MA'!C98*C97,0)</f>
        <v>1.446626207946616E-2</v>
      </c>
      <c r="F97" s="182"/>
      <c r="G97" s="109"/>
      <c r="H97" s="123"/>
      <c r="I97" s="23"/>
      <c r="J97" s="235">
        <f t="shared" ref="J97" si="26">SUM(B97,F97)</f>
        <v>57109</v>
      </c>
      <c r="K97" s="36">
        <f t="shared" ref="K97" si="27">SUM(C97,G97)</f>
        <v>55876.564570000002</v>
      </c>
      <c r="L97" s="207">
        <f t="shared" ref="L97" si="28">IF(J97=0, "    ---- ", IF(ABS(ROUND(100/J97*K97-100,1))&lt;999,ROUND(100/J97*K97-100,1),IF(ROUND(100/J97*K97-100,1)&gt;999,999,-999)))</f>
        <v>-2.2000000000000002</v>
      </c>
      <c r="M97" s="23">
        <f>IFERROR(100/'Skjema total MA'!I98*K97,0)</f>
        <v>5.1290121213053794E-3</v>
      </c>
    </row>
    <row r="98" spans="1:13" ht="15.75" x14ac:dyDescent="0.2">
      <c r="A98" s="18" t="s">
        <v>340</v>
      </c>
      <c r="B98" s="182">
        <v>152569901</v>
      </c>
      <c r="C98" s="182">
        <v>152586167.1794365</v>
      </c>
      <c r="D98" s="123">
        <f t="shared" si="16"/>
        <v>0</v>
      </c>
      <c r="E98" s="23">
        <f>IFERROR(100/'Skjema total MA'!C98*C98,0)</f>
        <v>39.50406581195022</v>
      </c>
      <c r="F98" s="239">
        <v>172927727</v>
      </c>
      <c r="G98" s="239">
        <v>203446524.94624001</v>
      </c>
      <c r="H98" s="123">
        <f t="shared" si="17"/>
        <v>17.600000000000001</v>
      </c>
      <c r="I98" s="23">
        <f>IFERROR(100/'Skjema total MA'!F98*G98,0)</f>
        <v>28.932878849378049</v>
      </c>
      <c r="J98" s="235">
        <f t="shared" si="24"/>
        <v>325497628</v>
      </c>
      <c r="K98" s="36">
        <f t="shared" si="24"/>
        <v>356032692.12567651</v>
      </c>
      <c r="L98" s="207">
        <f t="shared" si="19"/>
        <v>9.4</v>
      </c>
      <c r="M98" s="23">
        <f>IFERROR(100/'Skjema total MA'!I98*K98,0)</f>
        <v>32.680892383888754</v>
      </c>
    </row>
    <row r="99" spans="1:13" x14ac:dyDescent="0.2">
      <c r="A99" s="18" t="s">
        <v>9</v>
      </c>
      <c r="B99" s="239">
        <v>152485255</v>
      </c>
      <c r="C99" s="240">
        <v>152506214.49303699</v>
      </c>
      <c r="D99" s="123">
        <f t="shared" si="16"/>
        <v>0</v>
      </c>
      <c r="E99" s="23">
        <f>IFERROR(100/'Skjema total MA'!C99*C99,0)</f>
        <v>39.906956386420397</v>
      </c>
      <c r="F99" s="182"/>
      <c r="G99" s="109"/>
      <c r="H99" s="123"/>
      <c r="I99" s="23"/>
      <c r="J99" s="235">
        <f t="shared" si="24"/>
        <v>152485255</v>
      </c>
      <c r="K99" s="36">
        <f t="shared" si="24"/>
        <v>152506214.49303699</v>
      </c>
      <c r="L99" s="207">
        <f t="shared" si="19"/>
        <v>0</v>
      </c>
      <c r="M99" s="23">
        <f>IFERROR(100/'Skjema total MA'!I99*K99,0)</f>
        <v>39.906956386420397</v>
      </c>
    </row>
    <row r="100" spans="1:13" x14ac:dyDescent="0.2">
      <c r="A100" s="18" t="s">
        <v>368</v>
      </c>
      <c r="B100" s="239">
        <v>84646</v>
      </c>
      <c r="C100" s="240">
        <v>79952.686399514103</v>
      </c>
      <c r="D100" s="123">
        <f t="shared" si="16"/>
        <v>-5.5</v>
      </c>
      <c r="E100" s="23">
        <f>IFERROR(100/'Skjema total MA'!C100*C100,0)</f>
        <v>1.9501253675105443</v>
      </c>
      <c r="F100" s="182">
        <v>172927727</v>
      </c>
      <c r="G100" s="182">
        <v>203446524.94624001</v>
      </c>
      <c r="H100" s="123">
        <f t="shared" si="17"/>
        <v>17.600000000000001</v>
      </c>
      <c r="I100" s="23">
        <f>IFERROR(100/'Skjema total MA'!F100*G100,0)</f>
        <v>28.932878849378049</v>
      </c>
      <c r="J100" s="235">
        <f t="shared" si="24"/>
        <v>173012373</v>
      </c>
      <c r="K100" s="36">
        <f t="shared" si="24"/>
        <v>203526477.63263953</v>
      </c>
      <c r="L100" s="207">
        <f t="shared" si="19"/>
        <v>17.600000000000001</v>
      </c>
      <c r="M100" s="23">
        <f>IFERROR(100/'Skjema total MA'!I100*K100,0)</f>
        <v>28.776465674717652</v>
      </c>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v>1124456.416</v>
      </c>
      <c r="C107" s="109">
        <v>1087232.0260000001</v>
      </c>
      <c r="D107" s="123">
        <f t="shared" si="16"/>
        <v>-3.3</v>
      </c>
      <c r="E107" s="23">
        <f>IFERROR(100/'Skjema total MA'!C107*C107,0)</f>
        <v>26.401882798986495</v>
      </c>
      <c r="F107" s="182">
        <v>297699.25254999998</v>
      </c>
      <c r="G107" s="109">
        <v>296567.71573830402</v>
      </c>
      <c r="H107" s="123">
        <f t="shared" si="17"/>
        <v>-0.4</v>
      </c>
      <c r="I107" s="23">
        <f>IFERROR(100/'Skjema total MA'!F107*G107,0)</f>
        <v>72.873190700062509</v>
      </c>
      <c r="J107" s="235">
        <f t="shared" si="24"/>
        <v>1422155.6685500001</v>
      </c>
      <c r="K107" s="36">
        <f t="shared" si="24"/>
        <v>1383799.741738304</v>
      </c>
      <c r="L107" s="207">
        <f t="shared" si="19"/>
        <v>-2.7</v>
      </c>
      <c r="M107" s="23">
        <f>IFERROR(100/'Skjema total MA'!I107*K107,0)</f>
        <v>30.581388670133549</v>
      </c>
    </row>
    <row r="108" spans="1:13" ht="15.75" x14ac:dyDescent="0.2">
      <c r="A108" s="18" t="s">
        <v>342</v>
      </c>
      <c r="B108" s="182">
        <v>133977522</v>
      </c>
      <c r="C108" s="182">
        <v>132780792.411505</v>
      </c>
      <c r="D108" s="123">
        <f t="shared" si="16"/>
        <v>-0.9</v>
      </c>
      <c r="E108" s="23">
        <f>IFERROR(100/'Skjema total MA'!C108*C108,0)</f>
        <v>40.040602677566675</v>
      </c>
      <c r="F108" s="182">
        <v>1535340.50765</v>
      </c>
      <c r="G108" s="182">
        <v>2432598.8780997698</v>
      </c>
      <c r="H108" s="123">
        <f t="shared" si="17"/>
        <v>58.4</v>
      </c>
      <c r="I108" s="23">
        <f>IFERROR(100/'Skjema total MA'!F108*G108,0)</f>
        <v>9.9107448625007599</v>
      </c>
      <c r="J108" s="235">
        <f t="shared" si="24"/>
        <v>135512862.50764999</v>
      </c>
      <c r="K108" s="36">
        <f t="shared" si="24"/>
        <v>135213391.28960478</v>
      </c>
      <c r="L108" s="207">
        <f t="shared" si="19"/>
        <v>-0.2</v>
      </c>
      <c r="M108" s="23">
        <f>IFERROR(100/'Skjema total MA'!I108*K108,0)</f>
        <v>37.964180710213377</v>
      </c>
    </row>
    <row r="109" spans="1:13" ht="15.75" x14ac:dyDescent="0.2">
      <c r="A109" s="18" t="s">
        <v>382</v>
      </c>
      <c r="B109" s="182">
        <v>84646</v>
      </c>
      <c r="C109" s="182">
        <v>79952.686399514103</v>
      </c>
      <c r="D109" s="123">
        <f t="shared" si="16"/>
        <v>-5.5</v>
      </c>
      <c r="E109" s="23">
        <f>IFERROR(100/'Skjema total MA'!C109*C109,0)</f>
        <v>3.1010625323409524</v>
      </c>
      <c r="F109" s="182">
        <v>64689039</v>
      </c>
      <c r="G109" s="182">
        <v>76826939</v>
      </c>
      <c r="H109" s="123">
        <f t="shared" si="17"/>
        <v>18.8</v>
      </c>
      <c r="I109" s="23">
        <f>IFERROR(100/'Skjema total MA'!F109*G109,0)</f>
        <v>28.049285463923731</v>
      </c>
      <c r="J109" s="235">
        <f t="shared" si="24"/>
        <v>64773685</v>
      </c>
      <c r="K109" s="36">
        <f t="shared" si="24"/>
        <v>76906891.686399519</v>
      </c>
      <c r="L109" s="207">
        <f t="shared" si="19"/>
        <v>18.7</v>
      </c>
      <c r="M109" s="23">
        <f>IFERROR(100/'Skjema total MA'!I109*K109,0)</f>
        <v>27.816636294707831</v>
      </c>
    </row>
    <row r="110" spans="1:13" ht="15.75" x14ac:dyDescent="0.2">
      <c r="A110" s="18" t="s">
        <v>343</v>
      </c>
      <c r="B110" s="182"/>
      <c r="C110" s="182"/>
      <c r="D110" s="123"/>
      <c r="E110" s="23"/>
      <c r="F110" s="182"/>
      <c r="G110" s="182"/>
      <c r="H110" s="123"/>
      <c r="I110" s="23"/>
      <c r="J110" s="235"/>
      <c r="K110" s="36"/>
      <c r="L110" s="207"/>
      <c r="M110" s="23"/>
    </row>
    <row r="111" spans="1:13" ht="15.75" x14ac:dyDescent="0.2">
      <c r="A111" s="10" t="s">
        <v>324</v>
      </c>
      <c r="B111" s="251">
        <v>127937</v>
      </c>
      <c r="C111" s="118">
        <v>120644.1955</v>
      </c>
      <c r="D111" s="127">
        <f t="shared" si="16"/>
        <v>-5.7</v>
      </c>
      <c r="E111" s="8">
        <f>IFERROR(100/'Skjema total MA'!C111*C111,0)</f>
        <v>9.1324146385412863</v>
      </c>
      <c r="F111" s="251">
        <v>7238640</v>
      </c>
      <c r="G111" s="118">
        <v>10408138.3431</v>
      </c>
      <c r="H111" s="127">
        <f t="shared" si="17"/>
        <v>43.8</v>
      </c>
      <c r="I111" s="8">
        <f>IFERROR(100/'Skjema total MA'!F111*G111,0)</f>
        <v>29.529260546350233</v>
      </c>
      <c r="J111" s="252">
        <f t="shared" si="24"/>
        <v>7366577</v>
      </c>
      <c r="K111" s="184">
        <f t="shared" si="24"/>
        <v>10528782.5386</v>
      </c>
      <c r="L111" s="344">
        <f t="shared" si="19"/>
        <v>42.9</v>
      </c>
      <c r="M111" s="8">
        <f>IFERROR(100/'Skjema total MA'!I111*K111,0)</f>
        <v>28.792402923755258</v>
      </c>
    </row>
    <row r="112" spans="1:13" x14ac:dyDescent="0.2">
      <c r="A112" s="18" t="s">
        <v>9</v>
      </c>
      <c r="B112" s="182">
        <v>127937</v>
      </c>
      <c r="C112" s="109">
        <v>120644.1955</v>
      </c>
      <c r="D112" s="123">
        <f t="shared" ref="D112:D124" si="29">IF(B112=0, "    ---- ", IF(ABS(ROUND(100/B112*C112-100,1))&lt;999,ROUND(100/B112*C112-100,1),IF(ROUND(100/B112*C112-100,1)&gt;999,999,-999)))</f>
        <v>-5.7</v>
      </c>
      <c r="E112" s="23">
        <f>IFERROR(100/'Skjema total MA'!C112*C112,0)</f>
        <v>10.076454784684996</v>
      </c>
      <c r="F112" s="182"/>
      <c r="G112" s="109"/>
      <c r="H112" s="123"/>
      <c r="I112" s="23"/>
      <c r="J112" s="235">
        <f t="shared" ref="J112:K125" si="30">SUM(B112,F112)</f>
        <v>127937</v>
      </c>
      <c r="K112" s="36">
        <f t="shared" si="30"/>
        <v>120644.1955</v>
      </c>
      <c r="L112" s="207">
        <f t="shared" ref="L112:L125" si="31">IF(J112=0, "    ---- ", IF(ABS(ROUND(100/J112*K112-100,1))&lt;999,ROUND(100/J112*K112-100,1),IF(ROUND(100/J112*K112-100,1)&gt;999,999,-999)))</f>
        <v>-5.7</v>
      </c>
      <c r="M112" s="23">
        <f>IFERROR(100/'Skjema total MA'!I112*K112,0)</f>
        <v>10.068988655977396</v>
      </c>
    </row>
    <row r="113" spans="1:13" x14ac:dyDescent="0.2">
      <c r="A113" s="18" t="s">
        <v>10</v>
      </c>
      <c r="B113" s="182"/>
      <c r="C113" s="109"/>
      <c r="D113" s="123"/>
      <c r="E113" s="23"/>
      <c r="F113" s="182">
        <v>7238640</v>
      </c>
      <c r="G113" s="109">
        <v>10408138.3431</v>
      </c>
      <c r="H113" s="123">
        <f t="shared" ref="H113:H125" si="32">IF(F113=0, "    ---- ", IF(ABS(ROUND(100/F113*G113-100,1))&lt;999,ROUND(100/F113*G113-100,1),IF(ROUND(100/F113*G113-100,1)&gt;999,999,-999)))</f>
        <v>43.8</v>
      </c>
      <c r="I113" s="23">
        <f>IFERROR(100/'Skjema total MA'!F113*G113,0)</f>
        <v>29.530004338034374</v>
      </c>
      <c r="J113" s="235">
        <f t="shared" si="30"/>
        <v>7238640</v>
      </c>
      <c r="K113" s="36">
        <f t="shared" si="30"/>
        <v>10408138.3431</v>
      </c>
      <c r="L113" s="207">
        <f t="shared" si="31"/>
        <v>43.8</v>
      </c>
      <c r="M113" s="23">
        <f>IFERROR(100/'Skjema total MA'!I113*K113,0)</f>
        <v>29.512016301549465</v>
      </c>
    </row>
    <row r="114" spans="1:13" x14ac:dyDescent="0.2">
      <c r="A114" s="18" t="s">
        <v>26</v>
      </c>
      <c r="B114" s="182"/>
      <c r="C114" s="109"/>
      <c r="D114" s="123"/>
      <c r="E114" s="23"/>
      <c r="F114" s="182"/>
      <c r="G114" s="109"/>
      <c r="H114" s="123"/>
      <c r="I114" s="23"/>
      <c r="J114" s="235"/>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v>19230</v>
      </c>
      <c r="C116" s="182">
        <v>23971.306410000001</v>
      </c>
      <c r="D116" s="123">
        <f t="shared" si="29"/>
        <v>24.7</v>
      </c>
      <c r="E116" s="23">
        <f>IFERROR(100/'Skjema total MA'!C116*C116,0)</f>
        <v>2.6064551919310026</v>
      </c>
      <c r="F116" s="182"/>
      <c r="G116" s="182"/>
      <c r="H116" s="123"/>
      <c r="I116" s="23"/>
      <c r="J116" s="235">
        <f t="shared" si="30"/>
        <v>19230</v>
      </c>
      <c r="K116" s="36">
        <f t="shared" si="30"/>
        <v>23971.306410000001</v>
      </c>
      <c r="L116" s="207">
        <f t="shared" si="31"/>
        <v>24.7</v>
      </c>
      <c r="M116" s="23">
        <f>IFERROR(100/'Skjema total MA'!I116*K116,0)</f>
        <v>2.6039415808121036</v>
      </c>
    </row>
    <row r="117" spans="1:13" ht="15.75" x14ac:dyDescent="0.2">
      <c r="A117" s="18" t="s">
        <v>382</v>
      </c>
      <c r="B117" s="182"/>
      <c r="C117" s="182"/>
      <c r="D117" s="123"/>
      <c r="E117" s="23"/>
      <c r="F117" s="182">
        <v>5656132</v>
      </c>
      <c r="G117" s="182">
        <v>7490096.5560100004</v>
      </c>
      <c r="H117" s="123">
        <f t="shared" si="32"/>
        <v>32.4</v>
      </c>
      <c r="I117" s="23">
        <f>IFERROR(100/'Skjema total MA'!F117*G117,0)</f>
        <v>35.044833462581586</v>
      </c>
      <c r="J117" s="235">
        <f t="shared" si="30"/>
        <v>5656132</v>
      </c>
      <c r="K117" s="36">
        <f t="shared" si="30"/>
        <v>7490096.5560100004</v>
      </c>
      <c r="L117" s="207">
        <f t="shared" si="31"/>
        <v>32.4</v>
      </c>
      <c r="M117" s="23">
        <f>IFERROR(100/'Skjema total MA'!I117*K117,0)</f>
        <v>35.044833462581586</v>
      </c>
    </row>
    <row r="118" spans="1:13" ht="15.75" x14ac:dyDescent="0.2">
      <c r="A118" s="18" t="s">
        <v>343</v>
      </c>
      <c r="B118" s="182"/>
      <c r="C118" s="182"/>
      <c r="D118" s="123"/>
      <c r="E118" s="23"/>
      <c r="F118" s="182"/>
      <c r="G118" s="182"/>
      <c r="H118" s="123"/>
      <c r="I118" s="23"/>
      <c r="J118" s="235"/>
      <c r="K118" s="36"/>
      <c r="L118" s="207"/>
      <c r="M118" s="23"/>
    </row>
    <row r="119" spans="1:13" ht="15.75" x14ac:dyDescent="0.2">
      <c r="A119" s="10" t="s">
        <v>325</v>
      </c>
      <c r="B119" s="251">
        <v>53586</v>
      </c>
      <c r="C119" s="118">
        <v>61065.637600000002</v>
      </c>
      <c r="D119" s="127">
        <f t="shared" si="29"/>
        <v>14</v>
      </c>
      <c r="E119" s="8">
        <f>IFERROR(100/'Skjema total MA'!C119*C119,0)</f>
        <v>16.596664251835321</v>
      </c>
      <c r="F119" s="251">
        <v>9273856</v>
      </c>
      <c r="G119" s="118">
        <v>10777671.859999999</v>
      </c>
      <c r="H119" s="127">
        <f t="shared" si="32"/>
        <v>16.2</v>
      </c>
      <c r="I119" s="8">
        <f>IFERROR(100/'Skjema total MA'!F119*G119,0)</f>
        <v>29.13201217189987</v>
      </c>
      <c r="J119" s="252">
        <f t="shared" si="30"/>
        <v>9327442</v>
      </c>
      <c r="K119" s="184">
        <f t="shared" si="30"/>
        <v>10838737.497599998</v>
      </c>
      <c r="L119" s="344">
        <f t="shared" si="31"/>
        <v>16.2</v>
      </c>
      <c r="M119" s="8">
        <f>IFERROR(100/'Skjema total MA'!I119*K119,0)</f>
        <v>29.008570977055292</v>
      </c>
    </row>
    <row r="120" spans="1:13" x14ac:dyDescent="0.2">
      <c r="A120" s="18" t="s">
        <v>9</v>
      </c>
      <c r="B120" s="182">
        <v>53586</v>
      </c>
      <c r="C120" s="109">
        <v>61065.637600000002</v>
      </c>
      <c r="D120" s="123">
        <f t="shared" si="29"/>
        <v>14</v>
      </c>
      <c r="E120" s="23">
        <f>IFERROR(100/'Skjema total MA'!C120*C120,0)</f>
        <v>57.563319108894127</v>
      </c>
      <c r="F120" s="182"/>
      <c r="G120" s="109"/>
      <c r="H120" s="123"/>
      <c r="I120" s="23"/>
      <c r="J120" s="235">
        <f t="shared" si="30"/>
        <v>53586</v>
      </c>
      <c r="K120" s="36">
        <f t="shared" si="30"/>
        <v>61065.637600000002</v>
      </c>
      <c r="L120" s="207">
        <f t="shared" si="31"/>
        <v>14</v>
      </c>
      <c r="M120" s="23">
        <f>IFERROR(100/'Skjema total MA'!I120*K120,0)</f>
        <v>57.563319108894127</v>
      </c>
    </row>
    <row r="121" spans="1:13" x14ac:dyDescent="0.2">
      <c r="A121" s="18" t="s">
        <v>10</v>
      </c>
      <c r="B121" s="182"/>
      <c r="C121" s="109"/>
      <c r="D121" s="123"/>
      <c r="E121" s="23"/>
      <c r="F121" s="182">
        <v>9273856</v>
      </c>
      <c r="G121" s="109">
        <v>10777671.859999999</v>
      </c>
      <c r="H121" s="123">
        <f t="shared" si="32"/>
        <v>16.2</v>
      </c>
      <c r="I121" s="23">
        <f>IFERROR(100/'Skjema total MA'!F121*G121,0)</f>
        <v>29.13201217189987</v>
      </c>
      <c r="J121" s="235">
        <f t="shared" si="30"/>
        <v>9273856</v>
      </c>
      <c r="K121" s="36">
        <f t="shared" si="30"/>
        <v>10777671.859999999</v>
      </c>
      <c r="L121" s="207">
        <f t="shared" si="31"/>
        <v>16.2</v>
      </c>
      <c r="M121" s="23">
        <f>IFERROR(100/'Skjema total MA'!I121*K121,0)</f>
        <v>29.104486516529558</v>
      </c>
    </row>
    <row r="122" spans="1:13" x14ac:dyDescent="0.2">
      <c r="A122" s="18" t="s">
        <v>26</v>
      </c>
      <c r="B122" s="182"/>
      <c r="C122" s="109"/>
      <c r="D122" s="123"/>
      <c r="E122" s="23"/>
      <c r="F122" s="182"/>
      <c r="G122" s="109"/>
      <c r="H122" s="123"/>
      <c r="I122" s="23"/>
      <c r="J122" s="235"/>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v>14252</v>
      </c>
      <c r="C124" s="182">
        <v>14846.371999999999</v>
      </c>
      <c r="D124" s="123">
        <f t="shared" si="29"/>
        <v>4.2</v>
      </c>
      <c r="E124" s="23">
        <f>IFERROR(100/'Skjema total MA'!C124*C124,0)</f>
        <v>81.364522175715877</v>
      </c>
      <c r="F124" s="182"/>
      <c r="G124" s="182"/>
      <c r="H124" s="123"/>
      <c r="I124" s="23"/>
      <c r="J124" s="235">
        <f t="shared" si="30"/>
        <v>14252</v>
      </c>
      <c r="K124" s="36">
        <f t="shared" si="30"/>
        <v>14846.371999999999</v>
      </c>
      <c r="L124" s="207">
        <f t="shared" si="31"/>
        <v>4.2</v>
      </c>
      <c r="M124" s="23">
        <f>IFERROR(100/'Skjema total MA'!I124*K124,0)</f>
        <v>28.702263889920779</v>
      </c>
    </row>
    <row r="125" spans="1:13" ht="15.75" x14ac:dyDescent="0.2">
      <c r="A125" s="18" t="s">
        <v>382</v>
      </c>
      <c r="B125" s="182"/>
      <c r="C125" s="182"/>
      <c r="D125" s="123"/>
      <c r="E125" s="23"/>
      <c r="F125" s="182">
        <v>6211823</v>
      </c>
      <c r="G125" s="182">
        <v>7353146.5985700004</v>
      </c>
      <c r="H125" s="123">
        <f t="shared" si="32"/>
        <v>18.399999999999999</v>
      </c>
      <c r="I125" s="23">
        <f>IFERROR(100/'Skjema total MA'!F125*G125,0)</f>
        <v>35.333139282721959</v>
      </c>
      <c r="J125" s="235">
        <f t="shared" si="30"/>
        <v>6211823</v>
      </c>
      <c r="K125" s="36">
        <f t="shared" si="30"/>
        <v>7353146.5985700004</v>
      </c>
      <c r="L125" s="207">
        <f t="shared" si="31"/>
        <v>18.399999999999999</v>
      </c>
      <c r="M125" s="23">
        <f>IFERROR(100/'Skjema total MA'!I125*K125,0)</f>
        <v>35.330772456669926</v>
      </c>
    </row>
    <row r="126" spans="1:13" ht="15.75" x14ac:dyDescent="0.2">
      <c r="A126" s="7" t="s">
        <v>343</v>
      </c>
      <c r="B126" s="37"/>
      <c r="C126" s="37"/>
      <c r="D126" s="124"/>
      <c r="E126" s="337"/>
      <c r="F126" s="37"/>
      <c r="G126" s="37"/>
      <c r="H126" s="124"/>
      <c r="I126" s="19"/>
      <c r="J126" s="236"/>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91" priority="76">
      <formula>kvartal &lt; 4</formula>
    </cfRule>
  </conditionalFormatting>
  <conditionalFormatting sqref="C115">
    <cfRule type="expression" dxfId="490" priority="75">
      <formula>kvartal &lt; 4</formula>
    </cfRule>
  </conditionalFormatting>
  <conditionalFormatting sqref="F115">
    <cfRule type="expression" dxfId="489" priority="58">
      <formula>kvartal &lt; 4</formula>
    </cfRule>
  </conditionalFormatting>
  <conditionalFormatting sqref="G115">
    <cfRule type="expression" dxfId="488" priority="57">
      <formula>kvartal &lt; 4</formula>
    </cfRule>
  </conditionalFormatting>
  <conditionalFormatting sqref="J115:K115">
    <cfRule type="expression" dxfId="487" priority="32">
      <formula>kvartal &lt; 4</formula>
    </cfRule>
  </conditionalFormatting>
  <conditionalFormatting sqref="J123:K123">
    <cfRule type="expression" dxfId="486" priority="31">
      <formula>kvartal &lt; 4</formula>
    </cfRule>
  </conditionalFormatting>
  <conditionalFormatting sqref="A50:A52">
    <cfRule type="expression" dxfId="485" priority="12">
      <formula>kvartal &lt; 4</formula>
    </cfRule>
  </conditionalFormatting>
  <conditionalFormatting sqref="A69:A74">
    <cfRule type="expression" dxfId="484" priority="10">
      <formula>kvartal &lt; 4</formula>
    </cfRule>
  </conditionalFormatting>
  <conditionalFormatting sqref="A80:A85">
    <cfRule type="expression" dxfId="483" priority="9">
      <formula>kvartal &lt; 4</formula>
    </cfRule>
  </conditionalFormatting>
  <conditionalFormatting sqref="A90:A95">
    <cfRule type="expression" dxfId="482" priority="6">
      <formula>kvartal &lt; 4</formula>
    </cfRule>
  </conditionalFormatting>
  <conditionalFormatting sqref="A101:A106">
    <cfRule type="expression" dxfId="481" priority="5">
      <formula>kvartal &lt; 4</formula>
    </cfRule>
  </conditionalFormatting>
  <conditionalFormatting sqref="A115">
    <cfRule type="expression" dxfId="480" priority="4">
      <formula>kvartal &lt; 4</formula>
    </cfRule>
  </conditionalFormatting>
  <conditionalFormatting sqref="A123">
    <cfRule type="expression" dxfId="479" priority="3">
      <formula>kvartal &lt; 4</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55</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249881</v>
      </c>
      <c r="C7" s="250"/>
      <c r="D7" s="286">
        <f>IF(B7=0, "    ---- ", IF(ABS(ROUND(100/B7*C7-100,1))&lt;999,ROUND(100/B7*C7-100,1),IF(ROUND(100/B7*C7-100,1)&gt;999,999,-999)))</f>
        <v>-100</v>
      </c>
      <c r="E7" s="8">
        <f>IFERROR(100/'Skjema total MA'!C7*C7,0)</f>
        <v>0</v>
      </c>
      <c r="F7" s="249"/>
      <c r="G7" s="250"/>
      <c r="H7" s="286"/>
      <c r="I7" s="119"/>
      <c r="J7" s="251">
        <f t="shared" ref="J7:K9" si="0">SUM(B7,F7)</f>
        <v>249881</v>
      </c>
      <c r="K7" s="252">
        <f t="shared" si="0"/>
        <v>0</v>
      </c>
      <c r="L7" s="343">
        <f>IF(J7=0, "    ---- ", IF(ABS(ROUND(100/J7*K7-100,1))&lt;999,ROUND(100/J7*K7-100,1),IF(ROUND(100/J7*K7-100,1)&gt;999,999,-999)))</f>
        <v>-100</v>
      </c>
      <c r="M7" s="8">
        <f>IFERROR(100/'Skjema total MA'!I7*K7,0)</f>
        <v>0</v>
      </c>
    </row>
    <row r="8" spans="1:15" ht="15.75" x14ac:dyDescent="0.2">
      <c r="A8" s="18" t="s">
        <v>25</v>
      </c>
      <c r="B8" s="229">
        <v>124849</v>
      </c>
      <c r="C8" s="230"/>
      <c r="D8" s="123">
        <f t="shared" ref="D8:D9" si="1">IF(B8=0, "    ---- ", IF(ABS(ROUND(100/B8*C8-100,1))&lt;999,ROUND(100/B8*C8-100,1),IF(ROUND(100/B8*C8-100,1)&gt;999,999,-999)))</f>
        <v>-100</v>
      </c>
      <c r="E8" s="23">
        <f>IFERROR(100/'Skjema total MA'!C8*C8,0)</f>
        <v>0</v>
      </c>
      <c r="F8" s="233"/>
      <c r="G8" s="234"/>
      <c r="H8" s="123"/>
      <c r="I8" s="133"/>
      <c r="J8" s="182">
        <f t="shared" si="0"/>
        <v>124849</v>
      </c>
      <c r="K8" s="235">
        <f t="shared" si="0"/>
        <v>0</v>
      </c>
      <c r="L8" s="123">
        <f t="shared" ref="L8:L9" si="2">IF(J8=0, "    ---- ", IF(ABS(ROUND(100/J8*K8-100,1))&lt;999,ROUND(100/J8*K8-100,1),IF(ROUND(100/J8*K8-100,1)&gt;999,999,-999)))</f>
        <v>-100</v>
      </c>
      <c r="M8" s="23">
        <f>IFERROR(100/'Skjema total MA'!I8*K8,0)</f>
        <v>0</v>
      </c>
    </row>
    <row r="9" spans="1:15" ht="15.75" x14ac:dyDescent="0.2">
      <c r="A9" s="18" t="s">
        <v>24</v>
      </c>
      <c r="B9" s="229">
        <v>125032</v>
      </c>
      <c r="C9" s="230"/>
      <c r="D9" s="123">
        <f t="shared" si="1"/>
        <v>-100</v>
      </c>
      <c r="E9" s="23">
        <f>IFERROR(100/'Skjema total MA'!C9*C9,0)</f>
        <v>0</v>
      </c>
      <c r="F9" s="233"/>
      <c r="G9" s="234"/>
      <c r="H9" s="123"/>
      <c r="I9" s="133"/>
      <c r="J9" s="182">
        <f t="shared" si="0"/>
        <v>125032</v>
      </c>
      <c r="K9" s="235">
        <f t="shared" si="0"/>
        <v>0</v>
      </c>
      <c r="L9" s="123">
        <f t="shared" si="2"/>
        <v>-100</v>
      </c>
      <c r="M9" s="23">
        <f>IFERROR(100/'Skjema total MA'!I9*K9,0)</f>
        <v>0</v>
      </c>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375</v>
      </c>
      <c r="C28" s="235"/>
      <c r="D28" s="123">
        <f t="shared" ref="D28" si="3">IF(B28=0, "    ---- ", IF(ABS(ROUND(100/B28*C28-100,1))&lt;999,ROUND(100/B28*C28-100,1),IF(ROUND(100/B28*C28-100,1)&gt;999,999,-999)))</f>
        <v>-100</v>
      </c>
      <c r="E28" s="8">
        <f>IFERROR(100/'Skjema total MA'!C28*C28,0)</f>
        <v>0</v>
      </c>
      <c r="F28" s="182"/>
      <c r="G28" s="235"/>
      <c r="H28" s="123"/>
      <c r="I28" s="23"/>
      <c r="J28" s="36">
        <f t="shared" ref="J28:K28" si="4">SUM(B28,F28)</f>
        <v>375</v>
      </c>
      <c r="K28" s="36">
        <f t="shared" si="4"/>
        <v>0</v>
      </c>
      <c r="L28" s="207">
        <f t="shared" ref="L28" si="5">IF(J28=0, "    ---- ", IF(ABS(ROUND(100/J28*K28-100,1))&lt;999,ROUND(100/J28*K28-100,1),IF(ROUND(100/J28*K28-100,1)&gt;999,999,-999)))</f>
        <v>-100</v>
      </c>
      <c r="M28" s="20">
        <f>IFERROR(100/'Skjema total MA'!I28*K28,0)</f>
        <v>0</v>
      </c>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104617</v>
      </c>
      <c r="C47" s="254"/>
      <c r="D47" s="343">
        <f t="shared" ref="D47:D48" si="6">IF(B47=0, "    ---- ", IF(ABS(ROUND(100/B47*C47-100,1))&lt;999,ROUND(100/B47*C47-100,1),IF(ROUND(100/B47*C47-100,1)&gt;999,999,-999)))</f>
        <v>-100</v>
      </c>
      <c r="E47" s="8">
        <f>IFERROR(100/'Skjema total MA'!C47*C47,0)</f>
        <v>0</v>
      </c>
      <c r="F47" s="109"/>
      <c r="G47" s="27"/>
      <c r="H47" s="118"/>
      <c r="I47" s="118"/>
      <c r="J47" s="31"/>
      <c r="K47" s="31"/>
      <c r="L47" s="118"/>
      <c r="M47" s="118"/>
    </row>
    <row r="48" spans="1:13" ht="15.75" x14ac:dyDescent="0.2">
      <c r="A48" s="18" t="s">
        <v>334</v>
      </c>
      <c r="B48" s="229">
        <v>34548</v>
      </c>
      <c r="C48" s="230"/>
      <c r="D48" s="207">
        <f t="shared" si="6"/>
        <v>-100</v>
      </c>
      <c r="E48" s="23">
        <f>IFERROR(100/'Skjema total MA'!C48*C48,0)</f>
        <v>0</v>
      </c>
      <c r="F48" s="109"/>
      <c r="G48" s="27"/>
      <c r="H48" s="109"/>
      <c r="I48" s="109"/>
      <c r="J48" s="27"/>
      <c r="K48" s="27"/>
      <c r="L48" s="118"/>
      <c r="M48" s="118"/>
    </row>
    <row r="49" spans="1:13" ht="15.75" x14ac:dyDescent="0.2">
      <c r="A49" s="18" t="s">
        <v>335</v>
      </c>
      <c r="B49" s="36">
        <v>70069</v>
      </c>
      <c r="C49" s="235"/>
      <c r="D49" s="207">
        <f>IF(B49=0, "    ---- ", IF(ABS(ROUND(100/B49*C49-100,1))&lt;999,ROUND(100/B49*C49-100,1),IF(ROUND(100/B49*C49-100,1)&gt;999,999,-999)))</f>
        <v>-100</v>
      </c>
      <c r="E49" s="23">
        <f>IFERROR(100/'Skjema total MA'!C49*C49,0)</f>
        <v>0</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23"/>
      <c r="F113" s="182"/>
      <c r="G113" s="109"/>
      <c r="H113" s="123"/>
      <c r="I113" s="23"/>
      <c r="J113" s="235"/>
      <c r="K113" s="36"/>
      <c r="L113" s="207"/>
      <c r="M113" s="23"/>
    </row>
    <row r="114" spans="1:13" x14ac:dyDescent="0.2">
      <c r="A114" s="18" t="s">
        <v>26</v>
      </c>
      <c r="B114" s="182"/>
      <c r="C114" s="109"/>
      <c r="D114" s="123"/>
      <c r="E114" s="23"/>
      <c r="F114" s="182"/>
      <c r="G114" s="109"/>
      <c r="H114" s="123"/>
      <c r="I114" s="23"/>
      <c r="J114" s="235"/>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23"/>
      <c r="F116" s="182"/>
      <c r="G116" s="182"/>
      <c r="H116" s="123"/>
      <c r="I116" s="23"/>
      <c r="J116" s="235"/>
      <c r="K116" s="36"/>
      <c r="L116" s="207"/>
      <c r="M116" s="23"/>
    </row>
    <row r="117" spans="1:13" ht="15.75" x14ac:dyDescent="0.2">
      <c r="A117" s="18" t="s">
        <v>382</v>
      </c>
      <c r="B117" s="182"/>
      <c r="C117" s="182"/>
      <c r="D117" s="123"/>
      <c r="E117" s="23"/>
      <c r="F117" s="182"/>
      <c r="G117" s="182"/>
      <c r="H117" s="123"/>
      <c r="I117" s="23"/>
      <c r="J117" s="235"/>
      <c r="K117" s="36"/>
      <c r="L117" s="207"/>
      <c r="M117" s="23"/>
    </row>
    <row r="118" spans="1:13" ht="15.75" x14ac:dyDescent="0.2">
      <c r="A118" s="18" t="s">
        <v>343</v>
      </c>
      <c r="B118" s="182"/>
      <c r="C118" s="182"/>
      <c r="D118" s="123"/>
      <c r="E118" s="23"/>
      <c r="F118" s="182"/>
      <c r="G118" s="182"/>
      <c r="H118" s="123"/>
      <c r="I118" s="23"/>
      <c r="J118" s="235"/>
      <c r="K118" s="36"/>
      <c r="L118" s="207"/>
      <c r="M118" s="23"/>
    </row>
    <row r="119" spans="1:13" ht="15.75" x14ac:dyDescent="0.2">
      <c r="A119" s="10" t="s">
        <v>325</v>
      </c>
      <c r="B119" s="251"/>
      <c r="C119" s="118"/>
      <c r="D119" s="127"/>
      <c r="E119" s="8"/>
      <c r="F119" s="251"/>
      <c r="G119" s="118"/>
      <c r="H119" s="127"/>
      <c r="I119" s="8"/>
      <c r="J119" s="252"/>
      <c r="K119" s="184"/>
      <c r="L119" s="344"/>
      <c r="M119" s="8"/>
    </row>
    <row r="120" spans="1:13" x14ac:dyDescent="0.2">
      <c r="A120" s="18" t="s">
        <v>9</v>
      </c>
      <c r="B120" s="182"/>
      <c r="C120" s="109"/>
      <c r="D120" s="123"/>
      <c r="E120" s="23"/>
      <c r="F120" s="182"/>
      <c r="G120" s="109"/>
      <c r="H120" s="123"/>
      <c r="I120" s="23"/>
      <c r="J120" s="235"/>
      <c r="K120" s="36"/>
      <c r="L120" s="207"/>
      <c r="M120" s="23"/>
    </row>
    <row r="121" spans="1:13" x14ac:dyDescent="0.2">
      <c r="A121" s="18" t="s">
        <v>10</v>
      </c>
      <c r="B121" s="182"/>
      <c r="C121" s="109"/>
      <c r="D121" s="123"/>
      <c r="E121" s="23"/>
      <c r="F121" s="182"/>
      <c r="G121" s="109"/>
      <c r="H121" s="123"/>
      <c r="I121" s="23"/>
      <c r="J121" s="235"/>
      <c r="K121" s="36"/>
      <c r="L121" s="207"/>
      <c r="M121" s="23"/>
    </row>
    <row r="122" spans="1:13" x14ac:dyDescent="0.2">
      <c r="A122" s="18" t="s">
        <v>26</v>
      </c>
      <c r="B122" s="182"/>
      <c r="C122" s="109"/>
      <c r="D122" s="123"/>
      <c r="E122" s="23"/>
      <c r="F122" s="182"/>
      <c r="G122" s="109"/>
      <c r="H122" s="123"/>
      <c r="I122" s="23"/>
      <c r="J122" s="235"/>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23"/>
      <c r="F124" s="182"/>
      <c r="G124" s="182"/>
      <c r="H124" s="123"/>
      <c r="I124" s="23"/>
      <c r="J124" s="235"/>
      <c r="K124" s="36"/>
      <c r="L124" s="207"/>
      <c r="M124" s="23"/>
    </row>
    <row r="125" spans="1:13" ht="15.75" x14ac:dyDescent="0.2">
      <c r="A125" s="18" t="s">
        <v>382</v>
      </c>
      <c r="B125" s="182"/>
      <c r="C125" s="182"/>
      <c r="D125" s="123"/>
      <c r="E125" s="23"/>
      <c r="F125" s="182"/>
      <c r="G125" s="182"/>
      <c r="H125" s="123"/>
      <c r="I125" s="23"/>
      <c r="J125" s="235"/>
      <c r="K125" s="36"/>
      <c r="L125" s="207"/>
      <c r="M125" s="23"/>
    </row>
    <row r="126" spans="1:13" ht="15.75" x14ac:dyDescent="0.2">
      <c r="A126" s="7" t="s">
        <v>343</v>
      </c>
      <c r="B126" s="37"/>
      <c r="C126" s="37"/>
      <c r="D126" s="124"/>
      <c r="E126" s="337"/>
      <c r="F126" s="37"/>
      <c r="G126" s="37"/>
      <c r="H126" s="124"/>
      <c r="I126" s="19"/>
      <c r="J126" s="236"/>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78" priority="76">
      <formula>kvartal &lt; 4</formula>
    </cfRule>
  </conditionalFormatting>
  <conditionalFormatting sqref="C115">
    <cfRule type="expression" dxfId="477" priority="75">
      <formula>kvartal &lt; 4</formula>
    </cfRule>
  </conditionalFormatting>
  <conditionalFormatting sqref="F115">
    <cfRule type="expression" dxfId="476" priority="58">
      <formula>kvartal &lt; 4</formula>
    </cfRule>
  </conditionalFormatting>
  <conditionalFormatting sqref="G115">
    <cfRule type="expression" dxfId="475" priority="57">
      <formula>kvartal &lt; 4</formula>
    </cfRule>
  </conditionalFormatting>
  <conditionalFormatting sqref="J115:K115">
    <cfRule type="expression" dxfId="474" priority="32">
      <formula>kvartal &lt; 4</formula>
    </cfRule>
  </conditionalFormatting>
  <conditionalFormatting sqref="J123:K123">
    <cfRule type="expression" dxfId="473" priority="31">
      <formula>kvartal &lt; 4</formula>
    </cfRule>
  </conditionalFormatting>
  <conditionalFormatting sqref="A50:A52">
    <cfRule type="expression" dxfId="472" priority="12">
      <formula>kvartal &lt; 4</formula>
    </cfRule>
  </conditionalFormatting>
  <conditionalFormatting sqref="A69:A74">
    <cfRule type="expression" dxfId="471" priority="10">
      <formula>kvartal &lt; 4</formula>
    </cfRule>
  </conditionalFormatting>
  <conditionalFormatting sqref="A80:A85">
    <cfRule type="expression" dxfId="470" priority="9">
      <formula>kvartal &lt; 4</formula>
    </cfRule>
  </conditionalFormatting>
  <conditionalFormatting sqref="A90:A95">
    <cfRule type="expression" dxfId="469" priority="6">
      <formula>kvartal &lt; 4</formula>
    </cfRule>
  </conditionalFormatting>
  <conditionalFormatting sqref="A101:A106">
    <cfRule type="expression" dxfId="468" priority="5">
      <formula>kvartal &lt; 4</formula>
    </cfRule>
  </conditionalFormatting>
  <conditionalFormatting sqref="A115">
    <cfRule type="expression" dxfId="467" priority="4">
      <formula>kvartal &lt; 4</formula>
    </cfRule>
  </conditionalFormatting>
  <conditionalFormatting sqref="A123">
    <cfRule type="expression" dxfId="466" priority="3">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1DA9-89CE-4218-BAD2-ABC9A5D34523}">
  <dimension ref="A1:O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367</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335"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119"/>
      <c r="J22" s="259"/>
      <c r="K22" s="259"/>
      <c r="L22" s="343"/>
      <c r="M22" s="21"/>
    </row>
    <row r="23" spans="1:13" ht="15.75" x14ac:dyDescent="0.2">
      <c r="A23" s="385" t="s">
        <v>326</v>
      </c>
      <c r="B23" s="229"/>
      <c r="C23" s="229"/>
      <c r="D23" s="123"/>
      <c r="E23" s="8"/>
      <c r="F23" s="238"/>
      <c r="G23" s="238"/>
      <c r="H23" s="123"/>
      <c r="I23" s="188"/>
      <c r="J23" s="238"/>
      <c r="K23" s="238"/>
      <c r="L23" s="123"/>
      <c r="M23" s="20"/>
    </row>
    <row r="24" spans="1:13" ht="15.75" x14ac:dyDescent="0.2">
      <c r="A24" s="385" t="s">
        <v>327</v>
      </c>
      <c r="B24" s="229"/>
      <c r="C24" s="229"/>
      <c r="D24" s="123"/>
      <c r="E24" s="8"/>
      <c r="F24" s="238"/>
      <c r="G24" s="238"/>
      <c r="H24" s="123"/>
      <c r="I24" s="188"/>
      <c r="J24" s="238"/>
      <c r="K24" s="238"/>
      <c r="L24" s="123"/>
      <c r="M24" s="20"/>
    </row>
    <row r="25" spans="1:13" ht="15.75" x14ac:dyDescent="0.2">
      <c r="A25" s="385" t="s">
        <v>328</v>
      </c>
      <c r="B25" s="229"/>
      <c r="C25" s="229"/>
      <c r="D25" s="123"/>
      <c r="E25" s="8"/>
      <c r="F25" s="238"/>
      <c r="G25" s="238"/>
      <c r="H25" s="123"/>
      <c r="I25" s="188"/>
      <c r="J25" s="238"/>
      <c r="K25" s="238"/>
      <c r="L25" s="123"/>
      <c r="M25" s="20"/>
    </row>
    <row r="26" spans="1:13" ht="15.75" x14ac:dyDescent="0.2">
      <c r="A26" s="385" t="s">
        <v>329</v>
      </c>
      <c r="B26" s="229"/>
      <c r="C26" s="229"/>
      <c r="D26" s="123"/>
      <c r="E26" s="8"/>
      <c r="F26" s="238"/>
      <c r="G26" s="238"/>
      <c r="H26" s="123"/>
      <c r="I26" s="188"/>
      <c r="J26" s="238"/>
      <c r="K26" s="238"/>
      <c r="L26" s="123"/>
      <c r="M26" s="20"/>
    </row>
    <row r="27" spans="1:13" x14ac:dyDescent="0.2">
      <c r="A27" s="385" t="s">
        <v>11</v>
      </c>
      <c r="B27" s="229"/>
      <c r="C27" s="229"/>
      <c r="D27" s="123"/>
      <c r="E27" s="8"/>
      <c r="F27" s="238"/>
      <c r="G27" s="238"/>
      <c r="H27" s="123"/>
      <c r="I27" s="188"/>
      <c r="J27" s="238"/>
      <c r="K27" s="238"/>
      <c r="L27" s="123"/>
      <c r="M27" s="20"/>
    </row>
    <row r="28" spans="1:13" ht="15.75" x14ac:dyDescent="0.2">
      <c r="A28" s="39" t="s">
        <v>248</v>
      </c>
      <c r="B28" s="36"/>
      <c r="C28" s="235"/>
      <c r="D28" s="123"/>
      <c r="E28" s="8"/>
      <c r="F28" s="182"/>
      <c r="G28" s="235"/>
      <c r="H28" s="123"/>
      <c r="I28" s="133"/>
      <c r="J28" s="36"/>
      <c r="K28" s="36"/>
      <c r="L28" s="207"/>
      <c r="M28" s="20"/>
    </row>
    <row r="29" spans="1:13" ht="15.75" x14ac:dyDescent="0.2">
      <c r="A29" s="10" t="s">
        <v>323</v>
      </c>
      <c r="B29" s="184"/>
      <c r="C29" s="184"/>
      <c r="D29" s="127"/>
      <c r="E29" s="8"/>
      <c r="F29" s="251"/>
      <c r="G29" s="251"/>
      <c r="H29" s="127"/>
      <c r="I29" s="119"/>
      <c r="J29" s="184"/>
      <c r="K29" s="184"/>
      <c r="L29" s="344"/>
      <c r="M29" s="21"/>
    </row>
    <row r="30" spans="1:13" ht="15.75" x14ac:dyDescent="0.2">
      <c r="A30" s="385" t="s">
        <v>326</v>
      </c>
      <c r="B30" s="229"/>
      <c r="C30" s="229"/>
      <c r="D30" s="123"/>
      <c r="E30" s="8"/>
      <c r="F30" s="238"/>
      <c r="G30" s="238"/>
      <c r="H30" s="123"/>
      <c r="I30" s="188"/>
      <c r="J30" s="238"/>
      <c r="K30" s="238"/>
      <c r="L30" s="123"/>
      <c r="M30" s="20"/>
    </row>
    <row r="31" spans="1:13" ht="15.75" x14ac:dyDescent="0.2">
      <c r="A31" s="385" t="s">
        <v>327</v>
      </c>
      <c r="B31" s="229"/>
      <c r="C31" s="229"/>
      <c r="D31" s="123"/>
      <c r="E31" s="8"/>
      <c r="F31" s="238"/>
      <c r="G31" s="238"/>
      <c r="H31" s="123"/>
      <c r="I31" s="188"/>
      <c r="J31" s="238"/>
      <c r="K31" s="238"/>
      <c r="L31" s="123"/>
      <c r="M31" s="20"/>
    </row>
    <row r="32" spans="1:13" ht="15.75" x14ac:dyDescent="0.2">
      <c r="A32" s="385" t="s">
        <v>328</v>
      </c>
      <c r="B32" s="229"/>
      <c r="C32" s="229"/>
      <c r="D32" s="123"/>
      <c r="E32" s="8"/>
      <c r="F32" s="238"/>
      <c r="G32" s="238"/>
      <c r="H32" s="123"/>
      <c r="I32" s="188"/>
      <c r="J32" s="238"/>
      <c r="K32" s="238"/>
      <c r="L32" s="123"/>
      <c r="M32" s="20"/>
    </row>
    <row r="33" spans="1:13" ht="15.75" x14ac:dyDescent="0.2">
      <c r="A33" s="385" t="s">
        <v>329</v>
      </c>
      <c r="B33" s="229"/>
      <c r="C33" s="229"/>
      <c r="D33" s="123"/>
      <c r="E33" s="8"/>
      <c r="F33" s="238"/>
      <c r="G33" s="238"/>
      <c r="H33" s="123"/>
      <c r="I33" s="188"/>
      <c r="J33" s="238"/>
      <c r="K33" s="238"/>
      <c r="L33" s="123"/>
      <c r="M33" s="20"/>
    </row>
    <row r="34" spans="1:13" ht="15.75" x14ac:dyDescent="0.2">
      <c r="A34" s="10" t="s">
        <v>324</v>
      </c>
      <c r="B34" s="184"/>
      <c r="C34" s="252"/>
      <c r="D34" s="127"/>
      <c r="E34" s="8"/>
      <c r="F34" s="251"/>
      <c r="G34" s="252"/>
      <c r="H34" s="127"/>
      <c r="I34" s="119"/>
      <c r="J34" s="184"/>
      <c r="K34" s="184"/>
      <c r="L34" s="344"/>
      <c r="M34" s="21"/>
    </row>
    <row r="35" spans="1:13" ht="15.75" x14ac:dyDescent="0.2">
      <c r="A35" s="10" t="s">
        <v>325</v>
      </c>
      <c r="B35" s="184"/>
      <c r="C35" s="252"/>
      <c r="D35" s="127"/>
      <c r="E35" s="8"/>
      <c r="F35" s="251"/>
      <c r="G35" s="252"/>
      <c r="H35" s="127"/>
      <c r="I35" s="119"/>
      <c r="J35" s="184"/>
      <c r="K35" s="184"/>
      <c r="L35" s="344"/>
      <c r="M35" s="21"/>
    </row>
    <row r="36" spans="1:13" ht="15.75" x14ac:dyDescent="0.2">
      <c r="A36" s="9" t="s">
        <v>255</v>
      </c>
      <c r="B36" s="184"/>
      <c r="C36" s="252"/>
      <c r="D36" s="127"/>
      <c r="E36" s="8"/>
      <c r="F36" s="262"/>
      <c r="G36" s="263"/>
      <c r="H36" s="127"/>
      <c r="I36" s="346"/>
      <c r="J36" s="184"/>
      <c r="K36" s="184"/>
      <c r="L36" s="344"/>
      <c r="M36" s="21"/>
    </row>
    <row r="37" spans="1:13" ht="15.75" x14ac:dyDescent="0.2">
      <c r="A37" s="9" t="s">
        <v>331</v>
      </c>
      <c r="B37" s="184"/>
      <c r="C37" s="252"/>
      <c r="D37" s="127"/>
      <c r="E37" s="8"/>
      <c r="F37" s="262"/>
      <c r="G37" s="264"/>
      <c r="H37" s="127"/>
      <c r="I37" s="346"/>
      <c r="J37" s="184"/>
      <c r="K37" s="184"/>
      <c r="L37" s="344"/>
      <c r="M37" s="21"/>
    </row>
    <row r="38" spans="1:13" ht="15.75" x14ac:dyDescent="0.2">
      <c r="A38" s="9" t="s">
        <v>332</v>
      </c>
      <c r="B38" s="184"/>
      <c r="C38" s="252"/>
      <c r="D38" s="127"/>
      <c r="E38" s="21"/>
      <c r="F38" s="262"/>
      <c r="G38" s="263"/>
      <c r="H38" s="127"/>
      <c r="I38" s="346"/>
      <c r="J38" s="184"/>
      <c r="K38" s="184"/>
      <c r="L38" s="344"/>
      <c r="M38" s="21"/>
    </row>
    <row r="39" spans="1:13" ht="15.75" x14ac:dyDescent="0.2">
      <c r="A39" s="15" t="s">
        <v>333</v>
      </c>
      <c r="B39" s="224"/>
      <c r="C39" s="258"/>
      <c r="D39" s="125"/>
      <c r="E39" s="30"/>
      <c r="F39" s="265"/>
      <c r="G39" s="266"/>
      <c r="H39" s="125"/>
      <c r="I39" s="125"/>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70533</v>
      </c>
      <c r="C47" s="254">
        <v>98235</v>
      </c>
      <c r="D47" s="343">
        <f t="shared" ref="D47:D55" si="0">IF(B47=0, "    ---- ", IF(ABS(ROUND(100/B47*C47-100,1))&lt;999,ROUND(100/B47*C47-100,1),IF(ROUND(100/B47*C47-100,1)&gt;999,999,-999)))</f>
        <v>39.299999999999997</v>
      </c>
      <c r="E47" s="8">
        <f>IFERROR(100/'Skjema total MA'!C47*C47,0)</f>
        <v>1.7712812746547508</v>
      </c>
      <c r="F47" s="109"/>
      <c r="G47" s="27"/>
      <c r="H47" s="118"/>
      <c r="I47" s="118"/>
      <c r="J47" s="31"/>
      <c r="K47" s="31"/>
      <c r="L47" s="118"/>
      <c r="M47" s="118"/>
    </row>
    <row r="48" spans="1:13" ht="15.75" x14ac:dyDescent="0.2">
      <c r="A48" s="18" t="s">
        <v>334</v>
      </c>
      <c r="B48" s="229">
        <v>69544</v>
      </c>
      <c r="C48" s="230">
        <v>97143</v>
      </c>
      <c r="D48" s="207">
        <f t="shared" si="0"/>
        <v>39.700000000000003</v>
      </c>
      <c r="E48" s="23">
        <f>IFERROR(100/'Skjema total MA'!C48*C48,0)</f>
        <v>3.0624705980784364</v>
      </c>
      <c r="F48" s="109"/>
      <c r="G48" s="27"/>
      <c r="H48" s="109"/>
      <c r="I48" s="109"/>
      <c r="J48" s="27"/>
      <c r="K48" s="27"/>
      <c r="L48" s="118"/>
      <c r="M48" s="118"/>
    </row>
    <row r="49" spans="1:13" ht="15.75" x14ac:dyDescent="0.2">
      <c r="A49" s="18" t="s">
        <v>335</v>
      </c>
      <c r="B49" s="36">
        <v>989</v>
      </c>
      <c r="C49" s="235">
        <v>1092</v>
      </c>
      <c r="D49" s="207">
        <f>IF(B49=0, "    ---- ", IF(ABS(ROUND(100/B49*C49-100,1))&lt;999,ROUND(100/B49*C49-100,1),IF(ROUND(100/B49*C49-100,1)&gt;999,999,-999)))</f>
        <v>10.4</v>
      </c>
      <c r="E49" s="23">
        <f>IFERROR(100/'Skjema total MA'!C49*C49,0)</f>
        <v>4.5999505373426716E-2</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70533</v>
      </c>
      <c r="C53" s="254">
        <v>98235</v>
      </c>
      <c r="D53" s="344">
        <f t="shared" si="0"/>
        <v>39.299999999999997</v>
      </c>
      <c r="E53" s="8">
        <f>IFERROR(100/'Skjema total MA'!C53*C53,0)</f>
        <v>36.599348244350296</v>
      </c>
      <c r="F53" s="109"/>
      <c r="G53" s="27"/>
      <c r="H53" s="109"/>
      <c r="I53" s="109"/>
      <c r="J53" s="27"/>
      <c r="K53" s="27"/>
      <c r="L53" s="118"/>
      <c r="M53" s="118"/>
    </row>
    <row r="54" spans="1:13" ht="15.75" x14ac:dyDescent="0.2">
      <c r="A54" s="18" t="s">
        <v>334</v>
      </c>
      <c r="B54" s="229">
        <v>69544</v>
      </c>
      <c r="C54" s="230">
        <v>97143</v>
      </c>
      <c r="D54" s="207">
        <f t="shared" si="0"/>
        <v>39.700000000000003</v>
      </c>
      <c r="E54" s="23">
        <f>IFERROR(100/'Skjema total MA'!C54*C54,0)</f>
        <v>37.158981909612336</v>
      </c>
      <c r="F54" s="109"/>
      <c r="G54" s="27"/>
      <c r="H54" s="109"/>
      <c r="I54" s="109"/>
      <c r="J54" s="27"/>
      <c r="K54" s="27"/>
      <c r="L54" s="118"/>
      <c r="M54" s="118"/>
    </row>
    <row r="55" spans="1:13" ht="15.75" x14ac:dyDescent="0.2">
      <c r="A55" s="18" t="s">
        <v>335</v>
      </c>
      <c r="B55" s="229">
        <v>989</v>
      </c>
      <c r="C55" s="230">
        <v>1092</v>
      </c>
      <c r="D55" s="207">
        <f t="shared" si="0"/>
        <v>10.4</v>
      </c>
      <c r="E55" s="23">
        <f>IFERROR(100/'Skjema total MA'!C55*C55,0)</f>
        <v>15.642312455191293</v>
      </c>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18"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465" priority="42">
      <formula>kvartal &lt; 4</formula>
    </cfRule>
  </conditionalFormatting>
  <conditionalFormatting sqref="C115">
    <cfRule type="expression" dxfId="464" priority="41">
      <formula>kvartal &lt; 4</formula>
    </cfRule>
  </conditionalFormatting>
  <conditionalFormatting sqref="F115">
    <cfRule type="expression" dxfId="463" priority="28">
      <formula>kvartal &lt; 4</formula>
    </cfRule>
  </conditionalFormatting>
  <conditionalFormatting sqref="G115">
    <cfRule type="expression" dxfId="462" priority="27">
      <formula>kvartal &lt; 4</formula>
    </cfRule>
  </conditionalFormatting>
  <conditionalFormatting sqref="J115:K115">
    <cfRule type="expression" dxfId="461" priority="9">
      <formula>kvartal &lt; 4</formula>
    </cfRule>
  </conditionalFormatting>
  <conditionalFormatting sqref="J123:K123">
    <cfRule type="expression" dxfId="460" priority="8">
      <formula>kvartal &lt; 4</formula>
    </cfRule>
  </conditionalFormatting>
  <conditionalFormatting sqref="A50:A52">
    <cfRule type="expression" dxfId="459" priority="7">
      <formula>kvartal &lt; 4</formula>
    </cfRule>
  </conditionalFormatting>
  <conditionalFormatting sqref="A69:A74">
    <cfRule type="expression" dxfId="458" priority="6">
      <formula>kvartal &lt; 4</formula>
    </cfRule>
  </conditionalFormatting>
  <conditionalFormatting sqref="A80:A85">
    <cfRule type="expression" dxfId="457" priority="5">
      <formula>kvartal &lt; 4</formula>
    </cfRule>
  </conditionalFormatting>
  <conditionalFormatting sqref="A90:A95">
    <cfRule type="expression" dxfId="456" priority="4">
      <formula>kvartal &lt; 4</formula>
    </cfRule>
  </conditionalFormatting>
  <conditionalFormatting sqref="A101:A106">
    <cfRule type="expression" dxfId="455" priority="3">
      <formula>kvartal &lt; 4</formula>
    </cfRule>
  </conditionalFormatting>
  <conditionalFormatting sqref="A115">
    <cfRule type="expression" dxfId="454" priority="2">
      <formula>kvartal &lt; 4</formula>
    </cfRule>
  </conditionalFormatting>
  <conditionalFormatting sqref="A123">
    <cfRule type="expression" dxfId="453" priority="1">
      <formula>kvartal &lt; 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2"/>
  <dimension ref="A1:O144"/>
  <sheetViews>
    <sheetView showGridLines="0" zoomScaleNormal="100" workbookViewId="0">
      <pane xSplit="1" topLeftCell="B1" activePane="topRight" state="frozen"/>
      <selection pane="topRight"/>
    </sheetView>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527" t="s">
        <v>354</v>
      </c>
      <c r="O1" s="547"/>
    </row>
    <row r="2" spans="1:15" ht="15.75" x14ac:dyDescent="0.25">
      <c r="A2" s="110" t="s">
        <v>28</v>
      </c>
      <c r="B2" s="243"/>
      <c r="C2" s="243"/>
      <c r="D2" s="243"/>
      <c r="E2" s="525"/>
      <c r="F2" s="243"/>
      <c r="G2" s="243"/>
      <c r="H2" s="243"/>
      <c r="I2" s="243"/>
      <c r="J2" s="243"/>
      <c r="K2" s="243"/>
      <c r="L2" s="243"/>
      <c r="M2" s="243"/>
    </row>
    <row r="3" spans="1:15" ht="15.75" x14ac:dyDescent="0.25">
      <c r="A3" s="122"/>
      <c r="B3" s="243"/>
      <c r="C3" s="243"/>
      <c r="D3" s="243"/>
      <c r="E3" s="525"/>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248"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91">
        <v>718578.99788000004</v>
      </c>
      <c r="C7" s="292">
        <v>1024890.6733199999</v>
      </c>
      <c r="D7" s="300">
        <f t="shared" ref="D7:D10" si="0">IF(AND(_xlfn.NUMBERVALUE(B7)=0,_xlfn.NUMBERVALUE(C7)=0),,IF(B7=0, "    ---- ", IF(ABS(ROUND(100/B7*C7-100,1))&lt;999,IF(ROUND(100/B7*C7-100,1)=0,"    ---- ",ROUND(100/B7*C7-100,1)),IF(ROUND(100/B7*C7-100,1)&gt;999,999,-999))))</f>
        <v>42.6</v>
      </c>
      <c r="E7" s="301">
        <f>IFERROR(100/'Skjema total MA'!C7*C7,0)</f>
        <v>30.889546452765074</v>
      </c>
      <c r="F7" s="291"/>
      <c r="G7" s="292"/>
      <c r="H7" s="300"/>
      <c r="I7" s="301"/>
      <c r="J7" s="302">
        <f t="shared" ref="J7:K10" si="1">SUM(B7,F7)</f>
        <v>718578.99788000004</v>
      </c>
      <c r="K7" s="297">
        <f t="shared" si="1"/>
        <v>1024890.6733199999</v>
      </c>
      <c r="L7" s="300">
        <f t="shared" ref="L7:L10" si="2">IF(AND(_xlfn.NUMBERVALUE(J7)=0,_xlfn.NUMBERVALUE(K7)=0),,IF(J7=0, "    ---- ", IF(ABS(ROUND(100/J7*K7-100,1))&lt;999,IF(ROUND(100/J7*K7-100,1)=0,"    ---- ",ROUND(100/J7*K7-100,1)),IF(ROUND(100/J7*K7-100,1)&gt;999,999,-999))))</f>
        <v>42.6</v>
      </c>
      <c r="M7" s="301">
        <f>IFERROR(100/'Skjema total MA'!I7*K7,0)</f>
        <v>11.553481075377215</v>
      </c>
    </row>
    <row r="8" spans="1:15" ht="15.75" x14ac:dyDescent="0.2">
      <c r="A8" s="18" t="s">
        <v>25</v>
      </c>
      <c r="B8" s="294">
        <v>640058.10397000005</v>
      </c>
      <c r="C8" s="295">
        <v>809372.2219</v>
      </c>
      <c r="D8" s="303">
        <f t="shared" si="0"/>
        <v>26.5</v>
      </c>
      <c r="E8" s="301">
        <f>IFERROR(100/'Skjema total MA'!C8*C8,0)</f>
        <v>36.401481200594887</v>
      </c>
      <c r="F8" s="304"/>
      <c r="G8" s="305"/>
      <c r="H8" s="303"/>
      <c r="I8" s="301"/>
      <c r="J8" s="306">
        <f t="shared" si="1"/>
        <v>640058.10397000005</v>
      </c>
      <c r="K8" s="295">
        <f t="shared" si="1"/>
        <v>809372.2219</v>
      </c>
      <c r="L8" s="303">
        <f t="shared" si="2"/>
        <v>26.5</v>
      </c>
      <c r="M8" s="301">
        <f>IFERROR(100/'Skjema total MA'!I8*K8,0)</f>
        <v>36.401481200594887</v>
      </c>
    </row>
    <row r="9" spans="1:15" ht="15.75" x14ac:dyDescent="0.2">
      <c r="A9" s="18" t="s">
        <v>24</v>
      </c>
      <c r="B9" s="294">
        <v>78416.876799999998</v>
      </c>
      <c r="C9" s="295">
        <v>215518.45142</v>
      </c>
      <c r="D9" s="303">
        <f t="shared" si="0"/>
        <v>174.8</v>
      </c>
      <c r="E9" s="301">
        <f>IFERROR(100/'Skjema total MA'!C9*C9,0)</f>
        <v>32.420616243808979</v>
      </c>
      <c r="F9" s="304"/>
      <c r="G9" s="305"/>
      <c r="H9" s="303"/>
      <c r="I9" s="301"/>
      <c r="J9" s="306">
        <f t="shared" si="1"/>
        <v>78416.876799999998</v>
      </c>
      <c r="K9" s="295">
        <f t="shared" si="1"/>
        <v>215518.45142</v>
      </c>
      <c r="L9" s="303">
        <f t="shared" si="2"/>
        <v>174.8</v>
      </c>
      <c r="M9" s="301">
        <f>IFERROR(100/'Skjema total MA'!I9*K9,0)</f>
        <v>32.420616243808979</v>
      </c>
    </row>
    <row r="10" spans="1:15" ht="15.75" x14ac:dyDescent="0.2">
      <c r="A10" s="10" t="s">
        <v>323</v>
      </c>
      <c r="B10" s="296">
        <v>696896.34658000001</v>
      </c>
      <c r="C10" s="297">
        <v>717348.66185999999</v>
      </c>
      <c r="D10" s="303">
        <f t="shared" si="0"/>
        <v>2.9</v>
      </c>
      <c r="E10" s="301">
        <f>IFERROR(100/'Skjema total MA'!C10*C10,0)</f>
        <v>5.6713568976141104</v>
      </c>
      <c r="F10" s="296"/>
      <c r="G10" s="297"/>
      <c r="H10" s="303"/>
      <c r="I10" s="301"/>
      <c r="J10" s="302">
        <f t="shared" si="1"/>
        <v>696896.34658000001</v>
      </c>
      <c r="K10" s="297">
        <f t="shared" si="1"/>
        <v>717348.66185999999</v>
      </c>
      <c r="L10" s="303">
        <f t="shared" si="2"/>
        <v>2.9</v>
      </c>
      <c r="M10" s="301">
        <f>IFERROR(100/'Skjema total MA'!I10*K10,0)</f>
        <v>0.63910960313709098</v>
      </c>
    </row>
    <row r="11" spans="1:15" s="35" customFormat="1" ht="15.75" x14ac:dyDescent="0.2">
      <c r="A11" s="10" t="s">
        <v>324</v>
      </c>
      <c r="B11" s="296"/>
      <c r="C11" s="297"/>
      <c r="D11" s="303"/>
      <c r="E11" s="301"/>
      <c r="F11" s="296"/>
      <c r="G11" s="297"/>
      <c r="H11" s="303"/>
      <c r="I11" s="301"/>
      <c r="J11" s="302"/>
      <c r="K11" s="297"/>
      <c r="L11" s="303"/>
      <c r="M11" s="301"/>
      <c r="N11" s="107"/>
      <c r="O11" s="22"/>
    </row>
    <row r="12" spans="1:15" s="35" customFormat="1" ht="15.75" x14ac:dyDescent="0.2">
      <c r="A12" s="33" t="s">
        <v>325</v>
      </c>
      <c r="B12" s="298"/>
      <c r="C12" s="299"/>
      <c r="D12" s="307"/>
      <c r="E12" s="307"/>
      <c r="F12" s="298"/>
      <c r="G12" s="299"/>
      <c r="H12" s="307"/>
      <c r="I12" s="307"/>
      <c r="J12" s="308"/>
      <c r="K12" s="299"/>
      <c r="L12" s="307"/>
      <c r="M12" s="307"/>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246"/>
      <c r="C18" s="246"/>
      <c r="D18" s="246"/>
      <c r="E18" s="243"/>
      <c r="F18" s="246"/>
      <c r="G18" s="246"/>
      <c r="H18" s="246"/>
      <c r="I18" s="243"/>
      <c r="J18" s="246"/>
      <c r="K18" s="246"/>
      <c r="L18" s="246"/>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248"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396">
        <v>460491.17494</v>
      </c>
      <c r="C22" s="396">
        <v>485921.82941000001</v>
      </c>
      <c r="D22" s="300">
        <f t="shared" ref="D22:D30" si="3">IF(AND(_xlfn.NUMBERVALUE(B22)=0,_xlfn.NUMBERVALUE(C22)=0),,IF(B22=0, "    ---- ", IF(ABS(ROUND(100/B22*C22-100,1))&lt;999,IF(ROUND(100/B22*C22-100,1)=0,"    ---- ",ROUND(100/B22*C22-100,1)),IF(ROUND(100/B22*C22-100,1)&gt;999,999,-999))))</f>
        <v>5.5</v>
      </c>
      <c r="E22" s="301">
        <f>IFERROR(100/'Skjema total MA'!C22*C22,0)</f>
        <v>31.124408146646399</v>
      </c>
      <c r="F22" s="309"/>
      <c r="G22" s="309"/>
      <c r="H22" s="300"/>
      <c r="I22" s="301"/>
      <c r="J22" s="291">
        <f t="shared" ref="J22:K29" si="4">SUM(B22,F22)</f>
        <v>460491.17494</v>
      </c>
      <c r="K22" s="291">
        <f t="shared" si="4"/>
        <v>485921.82941000001</v>
      </c>
      <c r="L22" s="300">
        <f t="shared" ref="L22:L30" si="5">IF(AND(_xlfn.NUMBERVALUE(J22)=0,_xlfn.NUMBERVALUE(K22)=0),,IF(J22=0, "    ---- ", IF(ABS(ROUND(100/J22*K22-100,1))&lt;999,IF(ROUND(100/J22*K22-100,1)=0,"    ---- ",ROUND(100/J22*K22-100,1)),IF(ROUND(100/J22*K22-100,1)&gt;999,999,-999))))</f>
        <v>5.5</v>
      </c>
      <c r="M22" s="301">
        <f>IFERROR(100/'Skjema total MA'!I22*K22,0)</f>
        <v>23.083594055966316</v>
      </c>
    </row>
    <row r="23" spans="1:13" ht="15.75" x14ac:dyDescent="0.2">
      <c r="A23" s="385" t="s">
        <v>326</v>
      </c>
      <c r="B23" s="293"/>
      <c r="C23" s="293"/>
      <c r="D23" s="303"/>
      <c r="E23" s="301"/>
      <c r="F23" s="293"/>
      <c r="G23" s="293"/>
      <c r="H23" s="303"/>
      <c r="I23" s="301"/>
      <c r="J23" s="293"/>
      <c r="K23" s="293"/>
      <c r="L23" s="303"/>
      <c r="M23" s="301"/>
    </row>
    <row r="24" spans="1:13" ht="15.75" x14ac:dyDescent="0.2">
      <c r="A24" s="385" t="s">
        <v>327</v>
      </c>
      <c r="B24" s="293"/>
      <c r="C24" s="293"/>
      <c r="D24" s="303"/>
      <c r="E24" s="301"/>
      <c r="F24" s="293"/>
      <c r="G24" s="293"/>
      <c r="H24" s="303"/>
      <c r="I24" s="301"/>
      <c r="J24" s="293"/>
      <c r="K24" s="293"/>
      <c r="L24" s="303"/>
      <c r="M24" s="301"/>
    </row>
    <row r="25" spans="1:13" ht="15.75" x14ac:dyDescent="0.2">
      <c r="A25" s="385" t="s">
        <v>328</v>
      </c>
      <c r="B25" s="293"/>
      <c r="C25" s="293"/>
      <c r="D25" s="303"/>
      <c r="E25" s="301"/>
      <c r="F25" s="293"/>
      <c r="G25" s="293"/>
      <c r="H25" s="303"/>
      <c r="I25" s="301"/>
      <c r="J25" s="293"/>
      <c r="K25" s="293"/>
      <c r="L25" s="303"/>
      <c r="M25" s="301"/>
    </row>
    <row r="26" spans="1:13" ht="15.75" x14ac:dyDescent="0.2">
      <c r="A26" s="385" t="s">
        <v>329</v>
      </c>
      <c r="B26" s="293"/>
      <c r="C26" s="293"/>
      <c r="D26" s="303"/>
      <c r="E26" s="301"/>
      <c r="F26" s="293"/>
      <c r="G26" s="293"/>
      <c r="H26" s="303"/>
      <c r="I26" s="301"/>
      <c r="J26" s="293"/>
      <c r="K26" s="293"/>
      <c r="L26" s="303"/>
      <c r="M26" s="301"/>
    </row>
    <row r="27" spans="1:13" x14ac:dyDescent="0.2">
      <c r="A27" s="385" t="s">
        <v>11</v>
      </c>
      <c r="B27" s="293"/>
      <c r="C27" s="293"/>
      <c r="D27" s="303"/>
      <c r="E27" s="301"/>
      <c r="F27" s="293"/>
      <c r="G27" s="293"/>
      <c r="H27" s="303"/>
      <c r="I27" s="301"/>
      <c r="J27" s="293"/>
      <c r="K27" s="293"/>
      <c r="L27" s="303"/>
      <c r="M27" s="301"/>
    </row>
    <row r="28" spans="1:13" ht="15.75" x14ac:dyDescent="0.2">
      <c r="A28" s="39" t="s">
        <v>248</v>
      </c>
      <c r="B28" s="293">
        <v>460491.17494</v>
      </c>
      <c r="C28" s="293">
        <v>486320.82941000001</v>
      </c>
      <c r="D28" s="303">
        <f t="shared" si="3"/>
        <v>5.6</v>
      </c>
      <c r="E28" s="301">
        <f>IFERROR(100/'Skjema total MA'!C28*C28,0)</f>
        <v>25.82323265729417</v>
      </c>
      <c r="F28" s="306"/>
      <c r="G28" s="295"/>
      <c r="H28" s="303"/>
      <c r="I28" s="301"/>
      <c r="J28" s="294">
        <f t="shared" si="4"/>
        <v>460491.17494</v>
      </c>
      <c r="K28" s="294">
        <f t="shared" si="4"/>
        <v>486320.82941000001</v>
      </c>
      <c r="L28" s="303">
        <f t="shared" si="5"/>
        <v>5.6</v>
      </c>
      <c r="M28" s="301">
        <f>IFERROR(100/'Skjema total MA'!I28*K28,0)</f>
        <v>25.82323265729417</v>
      </c>
    </row>
    <row r="29" spans="1:13" ht="15.75" x14ac:dyDescent="0.2">
      <c r="A29" s="10" t="s">
        <v>323</v>
      </c>
      <c r="B29" s="296">
        <v>4932227.6222299999</v>
      </c>
      <c r="C29" s="296">
        <v>5435112.6600400005</v>
      </c>
      <c r="D29" s="303">
        <f t="shared" si="3"/>
        <v>10.199999999999999</v>
      </c>
      <c r="E29" s="301">
        <f>IFERROR(100/'Skjema total MA'!C29*C29,0)</f>
        <v>12.324776662476943</v>
      </c>
      <c r="F29" s="302"/>
      <c r="G29" s="302"/>
      <c r="H29" s="303"/>
      <c r="I29" s="301"/>
      <c r="J29" s="296">
        <f t="shared" si="4"/>
        <v>4932227.6222299999</v>
      </c>
      <c r="K29" s="296">
        <f t="shared" si="4"/>
        <v>5435112.6600400005</v>
      </c>
      <c r="L29" s="303">
        <f t="shared" si="5"/>
        <v>10.199999999999999</v>
      </c>
      <c r="M29" s="301">
        <f>IFERROR(100/'Skjema total MA'!I29*K29,0)</f>
        <v>7.3304910874959992</v>
      </c>
    </row>
    <row r="30" spans="1:13" ht="15.75" x14ac:dyDescent="0.2">
      <c r="A30" s="385" t="s">
        <v>326</v>
      </c>
      <c r="B30" s="293">
        <v>4932227.6222299999</v>
      </c>
      <c r="C30" s="293">
        <v>5435112.6600400005</v>
      </c>
      <c r="D30" s="303">
        <f t="shared" si="3"/>
        <v>10.199999999999999</v>
      </c>
      <c r="E30" s="301">
        <f>IFERROR(100/'Skjema total MA'!C30*C30,0)</f>
        <v>28.818632529223066</v>
      </c>
      <c r="F30" s="293"/>
      <c r="G30" s="293"/>
      <c r="H30" s="303"/>
      <c r="I30" s="301"/>
      <c r="J30" s="293">
        <f t="shared" ref="J30" si="6">SUM(B30,F30)</f>
        <v>4932227.6222299999</v>
      </c>
      <c r="K30" s="293">
        <f t="shared" ref="K30" si="7">SUM(C30,G30)</f>
        <v>5435112.6600400005</v>
      </c>
      <c r="L30" s="303">
        <f t="shared" si="5"/>
        <v>10.199999999999999</v>
      </c>
      <c r="M30" s="301">
        <f>IFERROR(100/'Skjema total MA'!I30*K30,0)</f>
        <v>24.153716444782663</v>
      </c>
    </row>
    <row r="31" spans="1:13" ht="15.75" x14ac:dyDescent="0.2">
      <c r="A31" s="385" t="s">
        <v>327</v>
      </c>
      <c r="B31" s="293"/>
      <c r="C31" s="293"/>
      <c r="D31" s="303"/>
      <c r="E31" s="301"/>
      <c r="F31" s="293"/>
      <c r="G31" s="293"/>
      <c r="H31" s="303"/>
      <c r="I31" s="301"/>
      <c r="J31" s="293"/>
      <c r="K31" s="293"/>
      <c r="L31" s="303"/>
      <c r="M31" s="301"/>
    </row>
    <row r="32" spans="1:13" ht="15.75" x14ac:dyDescent="0.2">
      <c r="A32" s="385" t="s">
        <v>328</v>
      </c>
      <c r="B32" s="293"/>
      <c r="C32" s="293"/>
      <c r="D32" s="303"/>
      <c r="E32" s="301"/>
      <c r="F32" s="293"/>
      <c r="G32" s="293"/>
      <c r="H32" s="303"/>
      <c r="I32" s="301"/>
      <c r="J32" s="293"/>
      <c r="K32" s="293"/>
      <c r="L32" s="303"/>
      <c r="M32" s="301"/>
    </row>
    <row r="33" spans="1:15" ht="15.75" x14ac:dyDescent="0.2">
      <c r="A33" s="385" t="s">
        <v>329</v>
      </c>
      <c r="B33" s="293"/>
      <c r="C33" s="293"/>
      <c r="D33" s="303"/>
      <c r="E33" s="301"/>
      <c r="F33" s="293"/>
      <c r="G33" s="293"/>
      <c r="H33" s="303"/>
      <c r="I33" s="301"/>
      <c r="J33" s="293"/>
      <c r="K33" s="293"/>
      <c r="L33" s="303"/>
      <c r="M33" s="301"/>
    </row>
    <row r="34" spans="1:15" ht="15.75" x14ac:dyDescent="0.2">
      <c r="A34" s="10" t="s">
        <v>324</v>
      </c>
      <c r="B34" s="296"/>
      <c r="C34" s="297"/>
      <c r="D34" s="303"/>
      <c r="E34" s="301"/>
      <c r="F34" s="302"/>
      <c r="G34" s="297"/>
      <c r="H34" s="303"/>
      <c r="I34" s="301"/>
      <c r="J34" s="296"/>
      <c r="K34" s="296"/>
      <c r="L34" s="303"/>
      <c r="M34" s="301"/>
    </row>
    <row r="35" spans="1:15" ht="15.75" x14ac:dyDescent="0.2">
      <c r="A35" s="10" t="s">
        <v>325</v>
      </c>
      <c r="B35" s="296"/>
      <c r="C35" s="297"/>
      <c r="D35" s="303"/>
      <c r="E35" s="301"/>
      <c r="F35" s="302"/>
      <c r="G35" s="297"/>
      <c r="H35" s="303"/>
      <c r="I35" s="301"/>
      <c r="J35" s="296"/>
      <c r="K35" s="296"/>
      <c r="L35" s="303"/>
      <c r="M35" s="301"/>
    </row>
    <row r="36" spans="1:15" ht="15.75" x14ac:dyDescent="0.2">
      <c r="A36" s="9" t="s">
        <v>255</v>
      </c>
      <c r="B36" s="296"/>
      <c r="C36" s="297"/>
      <c r="D36" s="303"/>
      <c r="E36" s="301"/>
      <c r="F36" s="310"/>
      <c r="G36" s="311"/>
      <c r="H36" s="303"/>
      <c r="I36" s="301"/>
      <c r="J36" s="296"/>
      <c r="K36" s="296"/>
      <c r="L36" s="303"/>
      <c r="M36" s="301"/>
    </row>
    <row r="37" spans="1:15" ht="15.75" x14ac:dyDescent="0.2">
      <c r="A37" s="9" t="s">
        <v>331</v>
      </c>
      <c r="B37" s="296"/>
      <c r="C37" s="297"/>
      <c r="D37" s="303"/>
      <c r="E37" s="301"/>
      <c r="F37" s="310"/>
      <c r="G37" s="312"/>
      <c r="H37" s="303"/>
      <c r="I37" s="301"/>
      <c r="J37" s="296"/>
      <c r="K37" s="296"/>
      <c r="L37" s="303"/>
      <c r="M37" s="301"/>
    </row>
    <row r="38" spans="1:15" ht="15.75" x14ac:dyDescent="0.2">
      <c r="A38" s="9" t="s">
        <v>332</v>
      </c>
      <c r="B38" s="296"/>
      <c r="C38" s="297"/>
      <c r="D38" s="303"/>
      <c r="E38" s="123"/>
      <c r="F38" s="310"/>
      <c r="G38" s="311"/>
      <c r="H38" s="303"/>
      <c r="I38" s="301"/>
      <c r="J38" s="296"/>
      <c r="K38" s="296"/>
      <c r="L38" s="303"/>
      <c r="M38" s="301"/>
    </row>
    <row r="39" spans="1:15" ht="15.75" x14ac:dyDescent="0.2">
      <c r="A39" s="15" t="s">
        <v>333</v>
      </c>
      <c r="B39" s="298"/>
      <c r="C39" s="299"/>
      <c r="D39" s="307"/>
      <c r="E39" s="124"/>
      <c r="F39" s="313"/>
      <c r="G39" s="314"/>
      <c r="H39" s="307"/>
      <c r="I39" s="301"/>
      <c r="J39" s="296"/>
      <c r="K39" s="296"/>
      <c r="L39" s="307"/>
      <c r="M39" s="307"/>
    </row>
    <row r="40" spans="1:15" ht="15.75" x14ac:dyDescent="0.25">
      <c r="A40" s="35"/>
      <c r="B40" s="206"/>
      <c r="C40" s="206"/>
      <c r="D40" s="290"/>
      <c r="E40" s="290"/>
      <c r="F40" s="290"/>
      <c r="G40" s="290"/>
      <c r="H40" s="290"/>
      <c r="I40" s="290"/>
      <c r="J40" s="290"/>
      <c r="K40" s="290"/>
      <c r="L40" s="290"/>
      <c r="M40" s="243"/>
    </row>
    <row r="41" spans="1:15" x14ac:dyDescent="0.2">
      <c r="A41" s="115"/>
    </row>
    <row r="42" spans="1:15" ht="15.75" x14ac:dyDescent="0.25">
      <c r="A42" s="110" t="s">
        <v>245</v>
      </c>
      <c r="B42" s="243"/>
      <c r="C42" s="243"/>
      <c r="D42" s="243"/>
      <c r="E42" s="243"/>
      <c r="F42" s="243"/>
      <c r="G42" s="243"/>
      <c r="H42" s="243"/>
      <c r="I42" s="243"/>
      <c r="J42" s="243"/>
      <c r="K42" s="243"/>
      <c r="L42" s="243"/>
      <c r="M42" s="243"/>
    </row>
    <row r="43" spans="1:15" ht="15.75" x14ac:dyDescent="0.25">
      <c r="A43" s="122"/>
      <c r="B43" s="246"/>
      <c r="C43" s="246"/>
      <c r="D43" s="246"/>
      <c r="E43" s="246"/>
      <c r="F43" s="243"/>
      <c r="G43" s="243"/>
      <c r="H43" s="243"/>
      <c r="I43" s="243"/>
      <c r="J43" s="243"/>
      <c r="K43" s="243"/>
      <c r="L43" s="243"/>
      <c r="M43" s="243"/>
    </row>
    <row r="44" spans="1:15" ht="15.75" x14ac:dyDescent="0.25">
      <c r="A44" s="197"/>
      <c r="B44" s="581" t="s">
        <v>0</v>
      </c>
      <c r="C44" s="582"/>
      <c r="D44" s="582"/>
      <c r="E44" s="192"/>
      <c r="F44" s="243"/>
      <c r="G44" s="243"/>
      <c r="H44" s="243"/>
      <c r="I44" s="243"/>
      <c r="J44" s="243"/>
      <c r="K44" s="243"/>
      <c r="L44" s="243"/>
      <c r="M44" s="243"/>
    </row>
    <row r="45" spans="1:15" x14ac:dyDescent="0.2">
      <c r="A45" s="105"/>
      <c r="B45" s="130" t="s">
        <v>417</v>
      </c>
      <c r="C45" s="130" t="s">
        <v>418</v>
      </c>
      <c r="D45" s="121" t="s">
        <v>3</v>
      </c>
      <c r="E45" s="121" t="s">
        <v>29</v>
      </c>
      <c r="F45" s="132"/>
      <c r="G45" s="132"/>
      <c r="H45" s="131"/>
      <c r="I45" s="131"/>
      <c r="J45" s="132"/>
      <c r="K45" s="132"/>
      <c r="L45" s="131"/>
      <c r="M45" s="131"/>
    </row>
    <row r="46" spans="1:15" x14ac:dyDescent="0.2">
      <c r="A46" s="546"/>
      <c r="B46" s="193"/>
      <c r="C46" s="193"/>
      <c r="D46" s="194" t="s">
        <v>4</v>
      </c>
      <c r="E46" s="116" t="s">
        <v>30</v>
      </c>
      <c r="F46" s="131"/>
      <c r="G46" s="131"/>
      <c r="H46" s="131"/>
      <c r="I46" s="131"/>
      <c r="J46" s="131"/>
      <c r="K46" s="131"/>
      <c r="L46" s="131"/>
      <c r="M46" s="131"/>
    </row>
    <row r="47" spans="1:15" s="35" customFormat="1" ht="15.75" x14ac:dyDescent="0.2">
      <c r="A47" s="11" t="s">
        <v>23</v>
      </c>
      <c r="B47" s="296">
        <v>725395.67229999998</v>
      </c>
      <c r="C47" s="297">
        <v>879277.6936</v>
      </c>
      <c r="D47" s="341">
        <f>IF(AND(_xlfn.NUMBERVALUE(B47)=0,_xlfn.NUMBERVALUE(C47)=0),,IF(B47=0, "    ---- ", IF(ABS(ROUND(100/B47*C47-100,1))&lt;999,IF(ROUND(100/B47*C47-100,1)=0,"    ---- ",ROUND(100/B47*C47-100,1)),IF(ROUND(100/B47*C47-100,1)&gt;999,999,-999))))</f>
        <v>21.2</v>
      </c>
      <c r="E47" s="342">
        <f>IFERROR(100/'Skjema total MA'!C47*C47,0)</f>
        <v>15.854309705250648</v>
      </c>
      <c r="F47" s="118"/>
      <c r="G47" s="131"/>
      <c r="H47" s="118"/>
      <c r="I47" s="118"/>
      <c r="J47" s="340"/>
      <c r="K47" s="340"/>
      <c r="L47" s="118"/>
      <c r="M47" s="118"/>
      <c r="N47" s="107"/>
      <c r="O47" s="107"/>
    </row>
    <row r="48" spans="1:15" ht="15.75" x14ac:dyDescent="0.2">
      <c r="A48" s="18" t="s">
        <v>334</v>
      </c>
      <c r="B48" s="294">
        <v>106283.22612000001</v>
      </c>
      <c r="C48" s="295">
        <v>139892.13647</v>
      </c>
      <c r="D48" s="303">
        <f t="shared" ref="D48:D57" si="8">IF(AND(_xlfn.NUMBERVALUE(B48)=0,_xlfn.NUMBERVALUE(C48)=0),,IF(B48=0, "    ---- ", IF(ABS(ROUND(100/B48*C48-100,1))&lt;999,IF(ROUND(100/B48*C48-100,1)=0,"    ---- ",ROUND(100/B48*C48-100,1)),IF(ROUND(100/B48*C48-100,1)&gt;999,999,-999))))</f>
        <v>31.6</v>
      </c>
      <c r="E48" s="332">
        <f>IFERROR(100/'Skjema total MA'!C48*C48,0)</f>
        <v>4.4101536378509119</v>
      </c>
      <c r="F48" s="109"/>
      <c r="G48" s="27"/>
      <c r="H48" s="109"/>
      <c r="I48" s="109"/>
      <c r="J48" s="27"/>
      <c r="K48" s="27"/>
      <c r="L48" s="118"/>
      <c r="M48" s="118"/>
    </row>
    <row r="49" spans="1:13" ht="15.75" x14ac:dyDescent="0.2">
      <c r="A49" s="18" t="s">
        <v>335</v>
      </c>
      <c r="B49" s="294">
        <v>619112.44617999997</v>
      </c>
      <c r="C49" s="295">
        <v>739385.55712999997</v>
      </c>
      <c r="D49" s="303">
        <f t="shared" si="8"/>
        <v>19.399999999999999</v>
      </c>
      <c r="E49" s="332">
        <f>IFERROR(100/'Skjema total MA'!C49*C49,0)</f>
        <v>31.145943139409834</v>
      </c>
      <c r="F49" s="109"/>
      <c r="G49" s="27"/>
      <c r="H49" s="109"/>
      <c r="I49" s="109"/>
      <c r="J49" s="31"/>
      <c r="K49" s="31"/>
      <c r="L49" s="118"/>
      <c r="M49" s="118"/>
    </row>
    <row r="50" spans="1:13" x14ac:dyDescent="0.2">
      <c r="A50" s="241" t="s">
        <v>6</v>
      </c>
      <c r="B50" s="310"/>
      <c r="C50" s="310"/>
      <c r="D50" s="303"/>
      <c r="E50" s="333"/>
      <c r="F50" s="109"/>
      <c r="G50" s="27"/>
      <c r="H50" s="109"/>
      <c r="I50" s="109"/>
      <c r="J50" s="27"/>
      <c r="K50" s="27"/>
      <c r="L50" s="118"/>
      <c r="M50" s="118"/>
    </row>
    <row r="51" spans="1:13" x14ac:dyDescent="0.2">
      <c r="A51" s="241" t="s">
        <v>7</v>
      </c>
      <c r="B51" s="310"/>
      <c r="C51" s="310"/>
      <c r="D51" s="303"/>
      <c r="E51" s="333"/>
      <c r="F51" s="109"/>
      <c r="G51" s="27"/>
      <c r="H51" s="109"/>
      <c r="I51" s="109"/>
      <c r="J51" s="27"/>
      <c r="K51" s="27"/>
      <c r="L51" s="118"/>
      <c r="M51" s="118"/>
    </row>
    <row r="52" spans="1:13" x14ac:dyDescent="0.2">
      <c r="A52" s="241" t="s">
        <v>8</v>
      </c>
      <c r="B52" s="310"/>
      <c r="C52" s="310"/>
      <c r="D52" s="303"/>
      <c r="E52" s="333"/>
      <c r="F52" s="109"/>
      <c r="G52" s="27"/>
      <c r="H52" s="109"/>
      <c r="I52" s="109"/>
      <c r="J52" s="27"/>
      <c r="K52" s="27"/>
      <c r="L52" s="118"/>
      <c r="M52" s="118"/>
    </row>
    <row r="53" spans="1:13" ht="15.75" x14ac:dyDescent="0.2">
      <c r="A53" s="10" t="s">
        <v>336</v>
      </c>
      <c r="B53" s="296">
        <v>1054</v>
      </c>
      <c r="C53" s="297">
        <v>1084</v>
      </c>
      <c r="D53" s="303">
        <f t="shared" si="8"/>
        <v>2.8</v>
      </c>
      <c r="E53" s="332">
        <f>IFERROR(100/'Skjema total MA'!C53*C53,0)</f>
        <v>0.40386515495368985</v>
      </c>
      <c r="F53" s="109"/>
      <c r="G53" s="27"/>
      <c r="H53" s="109"/>
      <c r="I53" s="109"/>
      <c r="J53" s="27"/>
      <c r="K53" s="27"/>
      <c r="L53" s="118"/>
      <c r="M53" s="118"/>
    </row>
    <row r="54" spans="1:13" ht="15.75" x14ac:dyDescent="0.2">
      <c r="A54" s="18" t="s">
        <v>334</v>
      </c>
      <c r="B54" s="294">
        <v>1054</v>
      </c>
      <c r="C54" s="295">
        <v>1084</v>
      </c>
      <c r="D54" s="303">
        <f t="shared" si="8"/>
        <v>2.8</v>
      </c>
      <c r="E54" s="332">
        <f>IFERROR(100/'Skjema total MA'!C54*C54,0)</f>
        <v>0.41464991188268607</v>
      </c>
      <c r="F54" s="109"/>
      <c r="G54" s="27"/>
      <c r="H54" s="109"/>
      <c r="I54" s="109"/>
      <c r="J54" s="27"/>
      <c r="K54" s="27"/>
      <c r="L54" s="118"/>
      <c r="M54" s="118"/>
    </row>
    <row r="55" spans="1:13" ht="15.75" x14ac:dyDescent="0.2">
      <c r="A55" s="18" t="s">
        <v>335</v>
      </c>
      <c r="B55" s="294"/>
      <c r="C55" s="295"/>
      <c r="D55" s="303"/>
      <c r="E55" s="332"/>
      <c r="F55" s="109"/>
      <c r="G55" s="27"/>
      <c r="H55" s="109"/>
      <c r="I55" s="109"/>
      <c r="J55" s="27"/>
      <c r="K55" s="27"/>
      <c r="L55" s="118"/>
      <c r="M55" s="118"/>
    </row>
    <row r="56" spans="1:13" ht="15.75" x14ac:dyDescent="0.2">
      <c r="A56" s="10" t="s">
        <v>337</v>
      </c>
      <c r="B56" s="296">
        <v>2243</v>
      </c>
      <c r="C56" s="297">
        <v>1654</v>
      </c>
      <c r="D56" s="303">
        <f t="shared" si="8"/>
        <v>-26.3</v>
      </c>
      <c r="E56" s="332">
        <f>IFERROR(100/'Skjema total MA'!C56*C56,0)</f>
        <v>2.5487076680690106</v>
      </c>
      <c r="F56" s="109"/>
      <c r="G56" s="27"/>
      <c r="H56" s="109"/>
      <c r="I56" s="109"/>
      <c r="J56" s="27"/>
      <c r="K56" s="27"/>
      <c r="L56" s="118"/>
      <c r="M56" s="118"/>
    </row>
    <row r="57" spans="1:13" ht="15.75" x14ac:dyDescent="0.2">
      <c r="A57" s="18" t="s">
        <v>334</v>
      </c>
      <c r="B57" s="294">
        <v>2243</v>
      </c>
      <c r="C57" s="295">
        <v>1654</v>
      </c>
      <c r="D57" s="303">
        <f t="shared" si="8"/>
        <v>-26.3</v>
      </c>
      <c r="E57" s="332">
        <f>IFERROR(100/'Skjema total MA'!C57*C57,0)</f>
        <v>2.5487076680690106</v>
      </c>
      <c r="F57" s="109"/>
      <c r="G57" s="27"/>
      <c r="H57" s="109"/>
      <c r="I57" s="109"/>
      <c r="J57" s="27"/>
      <c r="K57" s="27"/>
      <c r="L57" s="118"/>
      <c r="M57" s="118"/>
    </row>
    <row r="58" spans="1:13" ht="15.75" x14ac:dyDescent="0.2">
      <c r="A58" s="7" t="s">
        <v>335</v>
      </c>
      <c r="B58" s="315"/>
      <c r="C58" s="316"/>
      <c r="D58" s="307"/>
      <c r="E58" s="334"/>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246"/>
      <c r="C62" s="246"/>
      <c r="D62" s="246"/>
      <c r="E62" s="243"/>
      <c r="F62" s="246"/>
      <c r="G62" s="246"/>
      <c r="H62" s="246"/>
      <c r="I62" s="243"/>
      <c r="J62" s="246"/>
      <c r="K62" s="246"/>
      <c r="L62" s="246"/>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317"/>
      <c r="C66" s="317"/>
      <c r="D66" s="300"/>
      <c r="E66" s="301"/>
      <c r="F66" s="317"/>
      <c r="G66" s="317"/>
      <c r="H66" s="300"/>
      <c r="I66" s="325"/>
      <c r="J66" s="296"/>
      <c r="K66" s="291"/>
      <c r="L66" s="303"/>
      <c r="M66" s="301"/>
    </row>
    <row r="67" spans="1:13" x14ac:dyDescent="0.2">
      <c r="A67" s="18" t="s">
        <v>9</v>
      </c>
      <c r="B67" s="294"/>
      <c r="C67" s="318"/>
      <c r="D67" s="303"/>
      <c r="E67" s="301"/>
      <c r="F67" s="306"/>
      <c r="G67" s="318"/>
      <c r="H67" s="303"/>
      <c r="I67" s="325"/>
      <c r="J67" s="294"/>
      <c r="K67" s="294"/>
      <c r="L67" s="303"/>
      <c r="M67" s="301"/>
    </row>
    <row r="68" spans="1:13" x14ac:dyDescent="0.2">
      <c r="A68" s="18" t="s">
        <v>10</v>
      </c>
      <c r="B68" s="319"/>
      <c r="C68" s="320"/>
      <c r="D68" s="303"/>
      <c r="E68" s="301"/>
      <c r="F68" s="319"/>
      <c r="G68" s="320"/>
      <c r="H68" s="303"/>
      <c r="I68" s="325"/>
      <c r="J68" s="294"/>
      <c r="K68" s="294"/>
      <c r="L68" s="303"/>
      <c r="M68" s="301"/>
    </row>
    <row r="69" spans="1:13" ht="15.75" x14ac:dyDescent="0.2">
      <c r="A69" s="241" t="s">
        <v>338</v>
      </c>
      <c r="B69" s="310"/>
      <c r="C69" s="310"/>
      <c r="D69" s="303"/>
      <c r="E69" s="325"/>
      <c r="F69" s="555"/>
      <c r="G69" s="310"/>
      <c r="H69" s="303"/>
      <c r="I69" s="325"/>
      <c r="J69" s="555"/>
      <c r="K69" s="310"/>
      <c r="L69" s="303"/>
      <c r="M69" s="301"/>
    </row>
    <row r="70" spans="1:13" x14ac:dyDescent="0.2">
      <c r="A70" s="241" t="s">
        <v>12</v>
      </c>
      <c r="B70" s="310"/>
      <c r="C70" s="310"/>
      <c r="D70" s="303"/>
      <c r="E70" s="325"/>
      <c r="F70" s="555"/>
      <c r="G70" s="310"/>
      <c r="H70" s="303"/>
      <c r="I70" s="325"/>
      <c r="J70" s="555"/>
      <c r="K70" s="310"/>
      <c r="L70" s="303"/>
      <c r="M70" s="301"/>
    </row>
    <row r="71" spans="1:13" x14ac:dyDescent="0.2">
      <c r="A71" s="241" t="s">
        <v>13</v>
      </c>
      <c r="B71" s="310"/>
      <c r="C71" s="310"/>
      <c r="D71" s="303"/>
      <c r="E71" s="325"/>
      <c r="F71" s="555"/>
      <c r="G71" s="310"/>
      <c r="H71" s="303"/>
      <c r="I71" s="325"/>
      <c r="J71" s="555"/>
      <c r="K71" s="310"/>
      <c r="L71" s="303"/>
      <c r="M71" s="301"/>
    </row>
    <row r="72" spans="1:13" ht="15.75" x14ac:dyDescent="0.2">
      <c r="A72" s="241" t="s">
        <v>339</v>
      </c>
      <c r="B72" s="310"/>
      <c r="C72" s="310"/>
      <c r="D72" s="303"/>
      <c r="E72" s="325"/>
      <c r="F72" s="555"/>
      <c r="G72" s="310"/>
      <c r="H72" s="303"/>
      <c r="I72" s="325"/>
      <c r="J72" s="555"/>
      <c r="K72" s="310"/>
      <c r="L72" s="303"/>
      <c r="M72" s="301"/>
    </row>
    <row r="73" spans="1:13" x14ac:dyDescent="0.2">
      <c r="A73" s="241" t="s">
        <v>12</v>
      </c>
      <c r="B73" s="321"/>
      <c r="C73" s="322"/>
      <c r="D73" s="303"/>
      <c r="E73" s="325"/>
      <c r="F73" s="555"/>
      <c r="G73" s="310"/>
      <c r="H73" s="303"/>
      <c r="I73" s="325"/>
      <c r="J73" s="555"/>
      <c r="K73" s="310"/>
      <c r="L73" s="303"/>
      <c r="M73" s="301"/>
    </row>
    <row r="74" spans="1:13" x14ac:dyDescent="0.2">
      <c r="A74" s="241" t="s">
        <v>13</v>
      </c>
      <c r="B74" s="321"/>
      <c r="C74" s="322"/>
      <c r="D74" s="303"/>
      <c r="E74" s="325"/>
      <c r="F74" s="555"/>
      <c r="G74" s="310"/>
      <c r="H74" s="303"/>
      <c r="I74" s="325"/>
      <c r="J74" s="555"/>
      <c r="K74" s="310"/>
      <c r="L74" s="303"/>
      <c r="M74" s="301"/>
    </row>
    <row r="75" spans="1:13" x14ac:dyDescent="0.2">
      <c r="A75" s="18" t="s">
        <v>310</v>
      </c>
      <c r="B75" s="306"/>
      <c r="C75" s="318"/>
      <c r="D75" s="303"/>
      <c r="E75" s="325"/>
      <c r="F75" s="294"/>
      <c r="G75" s="318"/>
      <c r="H75" s="303"/>
      <c r="I75" s="325"/>
      <c r="J75" s="294"/>
      <c r="K75" s="294"/>
      <c r="L75" s="303"/>
      <c r="M75" s="301"/>
    </row>
    <row r="76" spans="1:13" x14ac:dyDescent="0.2">
      <c r="A76" s="18" t="s">
        <v>309</v>
      </c>
      <c r="B76" s="306"/>
      <c r="C76" s="318"/>
      <c r="D76" s="303"/>
      <c r="E76" s="325"/>
      <c r="F76" s="294"/>
      <c r="G76" s="318"/>
      <c r="H76" s="303"/>
      <c r="I76" s="325"/>
      <c r="J76" s="294"/>
      <c r="K76" s="294"/>
      <c r="L76" s="303"/>
      <c r="M76" s="301"/>
    </row>
    <row r="77" spans="1:13" ht="15.75" x14ac:dyDescent="0.2">
      <c r="A77" s="18" t="s">
        <v>340</v>
      </c>
      <c r="B77" s="306"/>
      <c r="C77" s="306"/>
      <c r="D77" s="303"/>
      <c r="E77" s="325"/>
      <c r="F77" s="294"/>
      <c r="G77" s="318"/>
      <c r="H77" s="303"/>
      <c r="I77" s="325"/>
      <c r="J77" s="294"/>
      <c r="K77" s="294"/>
      <c r="L77" s="303"/>
      <c r="M77" s="301"/>
    </row>
    <row r="78" spans="1:13" x14ac:dyDescent="0.2">
      <c r="A78" s="18" t="s">
        <v>9</v>
      </c>
      <c r="B78" s="306"/>
      <c r="C78" s="318"/>
      <c r="D78" s="303"/>
      <c r="E78" s="325"/>
      <c r="F78" s="294"/>
      <c r="G78" s="318"/>
      <c r="H78" s="303"/>
      <c r="I78" s="325"/>
      <c r="J78" s="294"/>
      <c r="K78" s="294"/>
      <c r="L78" s="303"/>
      <c r="M78" s="301"/>
    </row>
    <row r="79" spans="1:13" x14ac:dyDescent="0.2">
      <c r="A79" s="18" t="s">
        <v>368</v>
      </c>
      <c r="B79" s="319"/>
      <c r="C79" s="320"/>
      <c r="D79" s="303"/>
      <c r="E79" s="325"/>
      <c r="F79" s="556"/>
      <c r="G79" s="320"/>
      <c r="H79" s="303"/>
      <c r="I79" s="325"/>
      <c r="J79" s="294"/>
      <c r="K79" s="294"/>
      <c r="L79" s="303"/>
      <c r="M79" s="301"/>
    </row>
    <row r="80" spans="1:13" ht="15.75" x14ac:dyDescent="0.2">
      <c r="A80" s="241" t="s">
        <v>338</v>
      </c>
      <c r="B80" s="310"/>
      <c r="C80" s="310"/>
      <c r="D80" s="303"/>
      <c r="E80" s="325"/>
      <c r="F80" s="555"/>
      <c r="G80" s="310"/>
      <c r="H80" s="303"/>
      <c r="I80" s="325"/>
      <c r="J80" s="555"/>
      <c r="K80" s="310"/>
      <c r="L80" s="303"/>
      <c r="M80" s="301"/>
    </row>
    <row r="81" spans="1:13" x14ac:dyDescent="0.2">
      <c r="A81" s="241" t="s">
        <v>12</v>
      </c>
      <c r="B81" s="310"/>
      <c r="C81" s="310"/>
      <c r="D81" s="303"/>
      <c r="E81" s="325"/>
      <c r="F81" s="555"/>
      <c r="G81" s="310"/>
      <c r="H81" s="303"/>
      <c r="I81" s="325"/>
      <c r="J81" s="555"/>
      <c r="K81" s="310"/>
      <c r="L81" s="303"/>
      <c r="M81" s="301"/>
    </row>
    <row r="82" spans="1:13" x14ac:dyDescent="0.2">
      <c r="A82" s="241" t="s">
        <v>13</v>
      </c>
      <c r="B82" s="310"/>
      <c r="C82" s="310"/>
      <c r="D82" s="303"/>
      <c r="E82" s="325"/>
      <c r="F82" s="555"/>
      <c r="G82" s="310"/>
      <c r="H82" s="303"/>
      <c r="I82" s="325"/>
      <c r="J82" s="555"/>
      <c r="K82" s="310"/>
      <c r="L82" s="303"/>
      <c r="M82" s="301"/>
    </row>
    <row r="83" spans="1:13" ht="15.75" x14ac:dyDescent="0.2">
      <c r="A83" s="241" t="s">
        <v>339</v>
      </c>
      <c r="B83" s="310"/>
      <c r="C83" s="310"/>
      <c r="D83" s="303"/>
      <c r="E83" s="325"/>
      <c r="F83" s="555"/>
      <c r="G83" s="310"/>
      <c r="H83" s="303"/>
      <c r="I83" s="325"/>
      <c r="J83" s="555"/>
      <c r="K83" s="310"/>
      <c r="L83" s="303"/>
      <c r="M83" s="301"/>
    </row>
    <row r="84" spans="1:13" x14ac:dyDescent="0.2">
      <c r="A84" s="241" t="s">
        <v>12</v>
      </c>
      <c r="B84" s="321"/>
      <c r="C84" s="322"/>
      <c r="D84" s="303"/>
      <c r="E84" s="325"/>
      <c r="F84" s="555"/>
      <c r="G84" s="310"/>
      <c r="H84" s="303"/>
      <c r="I84" s="325"/>
      <c r="J84" s="555"/>
      <c r="K84" s="310"/>
      <c r="L84" s="303"/>
      <c r="M84" s="301"/>
    </row>
    <row r="85" spans="1:13" x14ac:dyDescent="0.2">
      <c r="A85" s="241" t="s">
        <v>13</v>
      </c>
      <c r="B85" s="321"/>
      <c r="C85" s="322"/>
      <c r="D85" s="303"/>
      <c r="E85" s="325"/>
      <c r="F85" s="555"/>
      <c r="G85" s="310"/>
      <c r="H85" s="303"/>
      <c r="I85" s="325"/>
      <c r="J85" s="555"/>
      <c r="K85" s="310"/>
      <c r="L85" s="303"/>
      <c r="M85" s="301"/>
    </row>
    <row r="86" spans="1:13" ht="15.75" x14ac:dyDescent="0.2">
      <c r="A86" s="18" t="s">
        <v>341</v>
      </c>
      <c r="B86" s="306"/>
      <c r="C86" s="318"/>
      <c r="D86" s="303"/>
      <c r="E86" s="325"/>
      <c r="F86" s="294"/>
      <c r="G86" s="318"/>
      <c r="H86" s="303"/>
      <c r="I86" s="325"/>
      <c r="J86" s="294"/>
      <c r="K86" s="294"/>
      <c r="L86" s="303"/>
      <c r="M86" s="301"/>
    </row>
    <row r="87" spans="1:13" ht="15.75" x14ac:dyDescent="0.2">
      <c r="A87" s="10" t="s">
        <v>323</v>
      </c>
      <c r="B87" s="317"/>
      <c r="C87" s="317"/>
      <c r="D87" s="303"/>
      <c r="E87" s="325"/>
      <c r="F87" s="557"/>
      <c r="G87" s="317"/>
      <c r="H87" s="303"/>
      <c r="I87" s="325"/>
      <c r="J87" s="296"/>
      <c r="K87" s="296"/>
      <c r="L87" s="303"/>
      <c r="M87" s="301"/>
    </row>
    <row r="88" spans="1:13" x14ac:dyDescent="0.2">
      <c r="A88" s="18" t="s">
        <v>9</v>
      </c>
      <c r="B88" s="306"/>
      <c r="C88" s="318"/>
      <c r="D88" s="303"/>
      <c r="E88" s="325"/>
      <c r="F88" s="294"/>
      <c r="G88" s="318"/>
      <c r="H88" s="303"/>
      <c r="I88" s="325"/>
      <c r="J88" s="294"/>
      <c r="K88" s="294"/>
      <c r="L88" s="303"/>
      <c r="M88" s="301"/>
    </row>
    <row r="89" spans="1:13" x14ac:dyDescent="0.2">
      <c r="A89" s="18" t="s">
        <v>10</v>
      </c>
      <c r="B89" s="306"/>
      <c r="C89" s="318"/>
      <c r="D89" s="303"/>
      <c r="E89" s="325"/>
      <c r="F89" s="294"/>
      <c r="G89" s="318"/>
      <c r="H89" s="303"/>
      <c r="I89" s="325"/>
      <c r="J89" s="294"/>
      <c r="K89" s="294"/>
      <c r="L89" s="303"/>
      <c r="M89" s="301"/>
    </row>
    <row r="90" spans="1:13" ht="15.75" x14ac:dyDescent="0.2">
      <c r="A90" s="241" t="s">
        <v>338</v>
      </c>
      <c r="B90" s="310"/>
      <c r="C90" s="310"/>
      <c r="D90" s="303"/>
      <c r="E90" s="325"/>
      <c r="F90" s="555"/>
      <c r="G90" s="310"/>
      <c r="H90" s="303"/>
      <c r="I90" s="325"/>
      <c r="J90" s="555"/>
      <c r="K90" s="310"/>
      <c r="L90" s="303"/>
      <c r="M90" s="301"/>
    </row>
    <row r="91" spans="1:13" x14ac:dyDescent="0.2">
      <c r="A91" s="241" t="s">
        <v>12</v>
      </c>
      <c r="B91" s="310"/>
      <c r="C91" s="310"/>
      <c r="D91" s="303"/>
      <c r="E91" s="325"/>
      <c r="F91" s="555"/>
      <c r="G91" s="310"/>
      <c r="H91" s="303"/>
      <c r="I91" s="325"/>
      <c r="J91" s="555"/>
      <c r="K91" s="310"/>
      <c r="L91" s="303"/>
      <c r="M91" s="301"/>
    </row>
    <row r="92" spans="1:13" x14ac:dyDescent="0.2">
      <c r="A92" s="241" t="s">
        <v>13</v>
      </c>
      <c r="B92" s="310"/>
      <c r="C92" s="310"/>
      <c r="D92" s="303"/>
      <c r="E92" s="325"/>
      <c r="F92" s="555"/>
      <c r="G92" s="310"/>
      <c r="H92" s="303"/>
      <c r="I92" s="325"/>
      <c r="J92" s="555"/>
      <c r="K92" s="310"/>
      <c r="L92" s="303"/>
      <c r="M92" s="301"/>
    </row>
    <row r="93" spans="1:13" ht="15.75" x14ac:dyDescent="0.2">
      <c r="A93" s="241" t="s">
        <v>339</v>
      </c>
      <c r="B93" s="310"/>
      <c r="C93" s="310"/>
      <c r="D93" s="303"/>
      <c r="E93" s="325"/>
      <c r="F93" s="555"/>
      <c r="G93" s="310"/>
      <c r="H93" s="303"/>
      <c r="I93" s="325"/>
      <c r="J93" s="555"/>
      <c r="K93" s="310"/>
      <c r="L93" s="303"/>
      <c r="M93" s="301"/>
    </row>
    <row r="94" spans="1:13" x14ac:dyDescent="0.2">
      <c r="A94" s="241" t="s">
        <v>12</v>
      </c>
      <c r="B94" s="321"/>
      <c r="C94" s="322"/>
      <c r="D94" s="303"/>
      <c r="E94" s="325"/>
      <c r="F94" s="555"/>
      <c r="G94" s="310"/>
      <c r="H94" s="303"/>
      <c r="I94" s="325"/>
      <c r="J94" s="555"/>
      <c r="K94" s="310"/>
      <c r="L94" s="303"/>
      <c r="M94" s="301"/>
    </row>
    <row r="95" spans="1:13" x14ac:dyDescent="0.2">
      <c r="A95" s="241" t="s">
        <v>13</v>
      </c>
      <c r="B95" s="321"/>
      <c r="C95" s="322"/>
      <c r="D95" s="303"/>
      <c r="E95" s="325"/>
      <c r="F95" s="555"/>
      <c r="G95" s="310"/>
      <c r="H95" s="303"/>
      <c r="I95" s="325"/>
      <c r="J95" s="555"/>
      <c r="K95" s="310"/>
      <c r="L95" s="303"/>
      <c r="M95" s="301"/>
    </row>
    <row r="96" spans="1:13" x14ac:dyDescent="0.2">
      <c r="A96" s="18" t="s">
        <v>308</v>
      </c>
      <c r="B96" s="306"/>
      <c r="C96" s="318"/>
      <c r="D96" s="303"/>
      <c r="E96" s="325"/>
      <c r="F96" s="294"/>
      <c r="G96" s="318"/>
      <c r="H96" s="303"/>
      <c r="I96" s="325"/>
      <c r="J96" s="294"/>
      <c r="K96" s="294"/>
      <c r="L96" s="303"/>
      <c r="M96" s="301"/>
    </row>
    <row r="97" spans="1:13" x14ac:dyDescent="0.2">
      <c r="A97" s="18" t="s">
        <v>307</v>
      </c>
      <c r="B97" s="306"/>
      <c r="C97" s="318"/>
      <c r="D97" s="303"/>
      <c r="E97" s="325"/>
      <c r="F97" s="294"/>
      <c r="G97" s="318"/>
      <c r="H97" s="303"/>
      <c r="I97" s="325"/>
      <c r="J97" s="294"/>
      <c r="K97" s="294"/>
      <c r="L97" s="303"/>
      <c r="M97" s="301"/>
    </row>
    <row r="98" spans="1:13" ht="15.75" x14ac:dyDescent="0.2">
      <c r="A98" s="18" t="s">
        <v>340</v>
      </c>
      <c r="B98" s="306"/>
      <c r="C98" s="306"/>
      <c r="D98" s="303"/>
      <c r="E98" s="325"/>
      <c r="F98" s="556"/>
      <c r="G98" s="319"/>
      <c r="H98" s="303"/>
      <c r="I98" s="325"/>
      <c r="J98" s="294"/>
      <c r="K98" s="294"/>
      <c r="L98" s="303"/>
      <c r="M98" s="301"/>
    </row>
    <row r="99" spans="1:13" x14ac:dyDescent="0.2">
      <c r="A99" s="18" t="s">
        <v>9</v>
      </c>
      <c r="B99" s="319"/>
      <c r="C99" s="320"/>
      <c r="D99" s="303"/>
      <c r="E99" s="325"/>
      <c r="F99" s="294"/>
      <c r="G99" s="318"/>
      <c r="H99" s="303"/>
      <c r="I99" s="325"/>
      <c r="J99" s="294"/>
      <c r="K99" s="294"/>
      <c r="L99" s="303"/>
      <c r="M99" s="301"/>
    </row>
    <row r="100" spans="1:13" x14ac:dyDescent="0.2">
      <c r="A100" s="18" t="s">
        <v>368</v>
      </c>
      <c r="B100" s="319"/>
      <c r="C100" s="320"/>
      <c r="D100" s="303"/>
      <c r="E100" s="325"/>
      <c r="F100" s="294"/>
      <c r="G100" s="306"/>
      <c r="H100" s="303"/>
      <c r="I100" s="325"/>
      <c r="J100" s="294"/>
      <c r="K100" s="294"/>
      <c r="L100" s="303"/>
      <c r="M100" s="301"/>
    </row>
    <row r="101" spans="1:13" ht="15.75" x14ac:dyDescent="0.2">
      <c r="A101" s="241" t="s">
        <v>338</v>
      </c>
      <c r="B101" s="310"/>
      <c r="C101" s="310"/>
      <c r="D101" s="303"/>
      <c r="E101" s="325"/>
      <c r="F101" s="555"/>
      <c r="G101" s="310"/>
      <c r="H101" s="303"/>
      <c r="I101" s="325"/>
      <c r="J101" s="555"/>
      <c r="K101" s="310"/>
      <c r="L101" s="303"/>
      <c r="M101" s="301"/>
    </row>
    <row r="102" spans="1:13" x14ac:dyDescent="0.2">
      <c r="A102" s="241" t="s">
        <v>12</v>
      </c>
      <c r="B102" s="310"/>
      <c r="C102" s="310"/>
      <c r="D102" s="303"/>
      <c r="E102" s="325"/>
      <c r="F102" s="555"/>
      <c r="G102" s="310"/>
      <c r="H102" s="303"/>
      <c r="I102" s="325"/>
      <c r="J102" s="555"/>
      <c r="K102" s="310"/>
      <c r="L102" s="303"/>
      <c r="M102" s="301"/>
    </row>
    <row r="103" spans="1:13" x14ac:dyDescent="0.2">
      <c r="A103" s="241" t="s">
        <v>13</v>
      </c>
      <c r="B103" s="310"/>
      <c r="C103" s="310"/>
      <c r="D103" s="303"/>
      <c r="E103" s="325"/>
      <c r="F103" s="555"/>
      <c r="G103" s="310"/>
      <c r="H103" s="303"/>
      <c r="I103" s="325"/>
      <c r="J103" s="555"/>
      <c r="K103" s="310"/>
      <c r="L103" s="303"/>
      <c r="M103" s="301"/>
    </row>
    <row r="104" spans="1:13" ht="15.75" x14ac:dyDescent="0.2">
      <c r="A104" s="241" t="s">
        <v>339</v>
      </c>
      <c r="B104" s="310"/>
      <c r="C104" s="310"/>
      <c r="D104" s="303"/>
      <c r="E104" s="325"/>
      <c r="F104" s="555"/>
      <c r="G104" s="310"/>
      <c r="H104" s="303"/>
      <c r="I104" s="325"/>
      <c r="J104" s="555"/>
      <c r="K104" s="310"/>
      <c r="L104" s="303"/>
      <c r="M104" s="301"/>
    </row>
    <row r="105" spans="1:13" x14ac:dyDescent="0.2">
      <c r="A105" s="241" t="s">
        <v>12</v>
      </c>
      <c r="B105" s="321"/>
      <c r="C105" s="322"/>
      <c r="D105" s="303"/>
      <c r="E105" s="325"/>
      <c r="F105" s="555"/>
      <c r="G105" s="310"/>
      <c r="H105" s="303"/>
      <c r="I105" s="325"/>
      <c r="J105" s="555"/>
      <c r="K105" s="310"/>
      <c r="L105" s="303"/>
      <c r="M105" s="301"/>
    </row>
    <row r="106" spans="1:13" x14ac:dyDescent="0.2">
      <c r="A106" s="241" t="s">
        <v>13</v>
      </c>
      <c r="B106" s="321"/>
      <c r="C106" s="322"/>
      <c r="D106" s="303"/>
      <c r="E106" s="325"/>
      <c r="F106" s="555"/>
      <c r="G106" s="310"/>
      <c r="H106" s="303"/>
      <c r="I106" s="325"/>
      <c r="J106" s="555"/>
      <c r="K106" s="310"/>
      <c r="L106" s="303"/>
      <c r="M106" s="301"/>
    </row>
    <row r="107" spans="1:13" ht="15.75" x14ac:dyDescent="0.2">
      <c r="A107" s="18" t="s">
        <v>341</v>
      </c>
      <c r="B107" s="306"/>
      <c r="C107" s="318"/>
      <c r="D107" s="303"/>
      <c r="E107" s="325"/>
      <c r="F107" s="294"/>
      <c r="G107" s="318"/>
      <c r="H107" s="303"/>
      <c r="I107" s="325"/>
      <c r="J107" s="294"/>
      <c r="K107" s="294"/>
      <c r="L107" s="303"/>
      <c r="M107" s="301"/>
    </row>
    <row r="108" spans="1:13" ht="15.75" x14ac:dyDescent="0.2">
      <c r="A108" s="18" t="s">
        <v>342</v>
      </c>
      <c r="B108" s="306"/>
      <c r="C108" s="306"/>
      <c r="D108" s="303"/>
      <c r="E108" s="325"/>
      <c r="F108" s="294"/>
      <c r="G108" s="306"/>
      <c r="H108" s="303"/>
      <c r="I108" s="325"/>
      <c r="J108" s="294"/>
      <c r="K108" s="294"/>
      <c r="L108" s="303"/>
      <c r="M108" s="301"/>
    </row>
    <row r="109" spans="1:13" ht="15.75" x14ac:dyDescent="0.2">
      <c r="A109" s="18" t="s">
        <v>382</v>
      </c>
      <c r="B109" s="306"/>
      <c r="C109" s="306"/>
      <c r="D109" s="303"/>
      <c r="E109" s="325"/>
      <c r="F109" s="294"/>
      <c r="G109" s="306"/>
      <c r="H109" s="303"/>
      <c r="I109" s="325"/>
      <c r="J109" s="294"/>
      <c r="K109" s="294"/>
      <c r="L109" s="303"/>
      <c r="M109" s="301"/>
    </row>
    <row r="110" spans="1:13" ht="15.75" x14ac:dyDescent="0.2">
      <c r="A110" s="18" t="s">
        <v>343</v>
      </c>
      <c r="B110" s="306"/>
      <c r="C110" s="306"/>
      <c r="D110" s="303"/>
      <c r="E110" s="325"/>
      <c r="F110" s="294"/>
      <c r="G110" s="306"/>
      <c r="H110" s="303"/>
      <c r="I110" s="325"/>
      <c r="J110" s="294"/>
      <c r="K110" s="294"/>
      <c r="L110" s="303"/>
      <c r="M110" s="301"/>
    </row>
    <row r="111" spans="1:13" ht="15.75" x14ac:dyDescent="0.2">
      <c r="A111" s="10" t="s">
        <v>324</v>
      </c>
      <c r="B111" s="302"/>
      <c r="C111" s="323"/>
      <c r="D111" s="303"/>
      <c r="E111" s="325"/>
      <c r="F111" s="296"/>
      <c r="G111" s="323"/>
      <c r="H111" s="303"/>
      <c r="I111" s="325"/>
      <c r="J111" s="296"/>
      <c r="K111" s="296"/>
      <c r="L111" s="303"/>
      <c r="M111" s="301"/>
    </row>
    <row r="112" spans="1:13" x14ac:dyDescent="0.2">
      <c r="A112" s="18" t="s">
        <v>9</v>
      </c>
      <c r="B112" s="306"/>
      <c r="C112" s="318"/>
      <c r="D112" s="303"/>
      <c r="E112" s="325"/>
      <c r="F112" s="294"/>
      <c r="G112" s="318"/>
      <c r="H112" s="303"/>
      <c r="I112" s="325"/>
      <c r="J112" s="294"/>
      <c r="K112" s="294"/>
      <c r="L112" s="303"/>
      <c r="M112" s="301"/>
    </row>
    <row r="113" spans="1:13" x14ac:dyDescent="0.2">
      <c r="A113" s="18" t="s">
        <v>10</v>
      </c>
      <c r="B113" s="306"/>
      <c r="C113" s="318"/>
      <c r="D113" s="303"/>
      <c r="E113" s="325"/>
      <c r="F113" s="294"/>
      <c r="G113" s="318"/>
      <c r="H113" s="303"/>
      <c r="I113" s="325"/>
      <c r="J113" s="294"/>
      <c r="K113" s="294"/>
      <c r="L113" s="303"/>
      <c r="M113" s="301"/>
    </row>
    <row r="114" spans="1:13" x14ac:dyDescent="0.2">
      <c r="A114" s="18" t="s">
        <v>26</v>
      </c>
      <c r="B114" s="306"/>
      <c r="C114" s="318"/>
      <c r="D114" s="303"/>
      <c r="E114" s="325"/>
      <c r="F114" s="294"/>
      <c r="G114" s="318"/>
      <c r="H114" s="303"/>
      <c r="I114" s="325"/>
      <c r="J114" s="294"/>
      <c r="K114" s="294"/>
      <c r="L114" s="303"/>
      <c r="M114" s="301"/>
    </row>
    <row r="115" spans="1:13" x14ac:dyDescent="0.2">
      <c r="A115" s="241" t="s">
        <v>15</v>
      </c>
      <c r="B115" s="294"/>
      <c r="C115" s="294"/>
      <c r="D115" s="303"/>
      <c r="E115" s="325"/>
      <c r="F115" s="294"/>
      <c r="G115" s="294"/>
      <c r="H115" s="303"/>
      <c r="I115" s="325"/>
      <c r="J115" s="293"/>
      <c r="K115" s="293"/>
      <c r="L115" s="303"/>
      <c r="M115" s="301"/>
    </row>
    <row r="116" spans="1:13" ht="15.75" x14ac:dyDescent="0.2">
      <c r="A116" s="18" t="s">
        <v>344</v>
      </c>
      <c r="B116" s="306"/>
      <c r="C116" s="306"/>
      <c r="D116" s="303"/>
      <c r="E116" s="325"/>
      <c r="F116" s="294"/>
      <c r="G116" s="306"/>
      <c r="H116" s="303"/>
      <c r="I116" s="325"/>
      <c r="J116" s="294"/>
      <c r="K116" s="294"/>
      <c r="L116" s="303"/>
      <c r="M116" s="301"/>
    </row>
    <row r="117" spans="1:13" ht="15.75" x14ac:dyDescent="0.2">
      <c r="A117" s="18" t="s">
        <v>382</v>
      </c>
      <c r="B117" s="306"/>
      <c r="C117" s="306"/>
      <c r="D117" s="303"/>
      <c r="E117" s="325"/>
      <c r="F117" s="294"/>
      <c r="G117" s="306"/>
      <c r="H117" s="303"/>
      <c r="I117" s="325"/>
      <c r="J117" s="294"/>
      <c r="K117" s="294"/>
      <c r="L117" s="303"/>
      <c r="M117" s="301"/>
    </row>
    <row r="118" spans="1:13" ht="15.75" x14ac:dyDescent="0.2">
      <c r="A118" s="18" t="s">
        <v>343</v>
      </c>
      <c r="B118" s="306"/>
      <c r="C118" s="306"/>
      <c r="D118" s="303"/>
      <c r="E118" s="325"/>
      <c r="F118" s="294"/>
      <c r="G118" s="306"/>
      <c r="H118" s="303"/>
      <c r="I118" s="325"/>
      <c r="J118" s="294"/>
      <c r="K118" s="294"/>
      <c r="L118" s="303"/>
      <c r="M118" s="301"/>
    </row>
    <row r="119" spans="1:13" ht="15.75" x14ac:dyDescent="0.2">
      <c r="A119" s="10" t="s">
        <v>325</v>
      </c>
      <c r="B119" s="302"/>
      <c r="C119" s="323"/>
      <c r="D119" s="303"/>
      <c r="E119" s="325"/>
      <c r="F119" s="296"/>
      <c r="G119" s="323"/>
      <c r="H119" s="303"/>
      <c r="I119" s="325"/>
      <c r="J119" s="296"/>
      <c r="K119" s="296"/>
      <c r="L119" s="303"/>
      <c r="M119" s="301"/>
    </row>
    <row r="120" spans="1:13" x14ac:dyDescent="0.2">
      <c r="A120" s="18" t="s">
        <v>9</v>
      </c>
      <c r="B120" s="306"/>
      <c r="C120" s="318"/>
      <c r="D120" s="303"/>
      <c r="E120" s="325"/>
      <c r="F120" s="294"/>
      <c r="G120" s="318"/>
      <c r="H120" s="303"/>
      <c r="I120" s="325"/>
      <c r="J120" s="294"/>
      <c r="K120" s="294"/>
      <c r="L120" s="303"/>
      <c r="M120" s="301"/>
    </row>
    <row r="121" spans="1:13" x14ac:dyDescent="0.2">
      <c r="A121" s="18" t="s">
        <v>10</v>
      </c>
      <c r="B121" s="306"/>
      <c r="C121" s="318"/>
      <c r="D121" s="303"/>
      <c r="E121" s="325"/>
      <c r="F121" s="294"/>
      <c r="G121" s="318"/>
      <c r="H121" s="303"/>
      <c r="I121" s="325"/>
      <c r="J121" s="294"/>
      <c r="K121" s="294"/>
      <c r="L121" s="303"/>
      <c r="M121" s="301"/>
    </row>
    <row r="122" spans="1:13" x14ac:dyDescent="0.2">
      <c r="A122" s="18" t="s">
        <v>26</v>
      </c>
      <c r="B122" s="306"/>
      <c r="C122" s="318"/>
      <c r="D122" s="303"/>
      <c r="E122" s="325"/>
      <c r="F122" s="294"/>
      <c r="G122" s="318"/>
      <c r="H122" s="303"/>
      <c r="I122" s="325"/>
      <c r="J122" s="294"/>
      <c r="K122" s="294"/>
      <c r="L122" s="303"/>
      <c r="M122" s="301"/>
    </row>
    <row r="123" spans="1:13" x14ac:dyDescent="0.2">
      <c r="A123" s="241" t="s">
        <v>14</v>
      </c>
      <c r="B123" s="302"/>
      <c r="C123" s="302"/>
      <c r="D123" s="303"/>
      <c r="E123" s="325"/>
      <c r="F123" s="296"/>
      <c r="G123" s="302"/>
      <c r="H123" s="303"/>
      <c r="I123" s="325"/>
      <c r="J123" s="293"/>
      <c r="K123" s="293"/>
      <c r="L123" s="303"/>
      <c r="M123" s="301"/>
    </row>
    <row r="124" spans="1:13" ht="15.75" x14ac:dyDescent="0.2">
      <c r="A124" s="18" t="s">
        <v>349</v>
      </c>
      <c r="B124" s="306"/>
      <c r="C124" s="306"/>
      <c r="D124" s="303"/>
      <c r="E124" s="325"/>
      <c r="F124" s="294"/>
      <c r="G124" s="306"/>
      <c r="H124" s="303"/>
      <c r="I124" s="325"/>
      <c r="J124" s="294"/>
      <c r="K124" s="294"/>
      <c r="L124" s="303"/>
      <c r="M124" s="301"/>
    </row>
    <row r="125" spans="1:13" ht="15.75" x14ac:dyDescent="0.2">
      <c r="A125" s="18" t="s">
        <v>382</v>
      </c>
      <c r="B125" s="306"/>
      <c r="C125" s="306"/>
      <c r="D125" s="303"/>
      <c r="E125" s="325"/>
      <c r="F125" s="294"/>
      <c r="G125" s="306"/>
      <c r="H125" s="303"/>
      <c r="I125" s="325"/>
      <c r="J125" s="294"/>
      <c r="K125" s="294"/>
      <c r="L125" s="303"/>
      <c r="M125" s="301"/>
    </row>
    <row r="126" spans="1:13" ht="15.75" x14ac:dyDescent="0.2">
      <c r="A126" s="7" t="s">
        <v>343</v>
      </c>
      <c r="B126" s="315"/>
      <c r="C126" s="315"/>
      <c r="D126" s="307"/>
      <c r="E126" s="554"/>
      <c r="F126" s="315"/>
      <c r="G126" s="315"/>
      <c r="H126" s="307"/>
      <c r="I126" s="328"/>
      <c r="J126" s="315"/>
      <c r="K126" s="315"/>
      <c r="L126" s="307"/>
      <c r="M126" s="307"/>
    </row>
    <row r="127" spans="1:13" x14ac:dyDescent="0.2">
      <c r="A127" s="115"/>
    </row>
    <row r="129" spans="1:15" ht="15.75" x14ac:dyDescent="0.25">
      <c r="A129" s="110" t="s">
        <v>27</v>
      </c>
    </row>
    <row r="130" spans="1:15" ht="15.75" x14ac:dyDescent="0.25">
      <c r="B130" s="246"/>
      <c r="C130" s="246"/>
      <c r="D130" s="246"/>
      <c r="E130" s="243"/>
      <c r="F130" s="246"/>
      <c r="G130" s="246"/>
      <c r="H130" s="246"/>
      <c r="I130" s="243"/>
      <c r="J130" s="246"/>
      <c r="K130" s="246"/>
      <c r="L130" s="246"/>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248"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296"/>
      <c r="C134" s="297"/>
      <c r="D134" s="300"/>
      <c r="E134" s="301"/>
      <c r="F134" s="291"/>
      <c r="G134" s="292"/>
      <c r="H134" s="326"/>
      <c r="I134" s="301"/>
      <c r="J134" s="309"/>
      <c r="K134" s="309"/>
      <c r="L134" s="300"/>
      <c r="M134" s="301"/>
    </row>
    <row r="135" spans="1:15" ht="15.75" x14ac:dyDescent="0.2">
      <c r="A135" s="10" t="s">
        <v>350</v>
      </c>
      <c r="B135" s="296"/>
      <c r="C135" s="297"/>
      <c r="D135" s="303"/>
      <c r="E135" s="301"/>
      <c r="F135" s="296"/>
      <c r="G135" s="297"/>
      <c r="H135" s="327"/>
      <c r="I135" s="301"/>
      <c r="J135" s="302"/>
      <c r="K135" s="302"/>
      <c r="L135" s="303"/>
      <c r="M135" s="301"/>
    </row>
    <row r="136" spans="1:15" ht="15.75" x14ac:dyDescent="0.2">
      <c r="A136" s="10" t="s">
        <v>347</v>
      </c>
      <c r="B136" s="296"/>
      <c r="C136" s="297"/>
      <c r="D136" s="303"/>
      <c r="E136" s="301"/>
      <c r="F136" s="296"/>
      <c r="G136" s="297"/>
      <c r="H136" s="327"/>
      <c r="I136" s="301"/>
      <c r="J136" s="302"/>
      <c r="K136" s="302"/>
      <c r="L136" s="303"/>
      <c r="M136" s="301"/>
    </row>
    <row r="137" spans="1:15" ht="15.75" x14ac:dyDescent="0.2">
      <c r="A137" s="33" t="s">
        <v>348</v>
      </c>
      <c r="B137" s="298"/>
      <c r="C137" s="299"/>
      <c r="D137" s="307"/>
      <c r="E137" s="324"/>
      <c r="F137" s="298"/>
      <c r="G137" s="299"/>
      <c r="H137" s="328"/>
      <c r="I137" s="324"/>
      <c r="J137" s="308"/>
      <c r="K137" s="308"/>
      <c r="L137" s="307"/>
      <c r="M137" s="307"/>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13">
    <mergeCell ref="B44:D44"/>
    <mergeCell ref="J19:L19"/>
    <mergeCell ref="F19:H19"/>
    <mergeCell ref="B19:D19"/>
    <mergeCell ref="J4:L4"/>
    <mergeCell ref="F4:H4"/>
    <mergeCell ref="B4:D4"/>
    <mergeCell ref="J131:L131"/>
    <mergeCell ref="F131:H131"/>
    <mergeCell ref="B131:D131"/>
    <mergeCell ref="J63:L63"/>
    <mergeCell ref="F63:H63"/>
    <mergeCell ref="B63:D63"/>
  </mergeCells>
  <conditionalFormatting sqref="B115">
    <cfRule type="expression" dxfId="452" priority="76">
      <formula>kvartal &lt; 4</formula>
    </cfRule>
  </conditionalFormatting>
  <conditionalFormatting sqref="C115">
    <cfRule type="expression" dxfId="451" priority="75">
      <formula>kvartal &lt; 4</formula>
    </cfRule>
  </conditionalFormatting>
  <conditionalFormatting sqref="F115">
    <cfRule type="expression" dxfId="450" priority="58">
      <formula>kvartal &lt; 4</formula>
    </cfRule>
  </conditionalFormatting>
  <conditionalFormatting sqref="G115">
    <cfRule type="expression" dxfId="449" priority="57">
      <formula>kvartal &lt; 4</formula>
    </cfRule>
  </conditionalFormatting>
  <conditionalFormatting sqref="J115:K115">
    <cfRule type="expression" dxfId="448" priority="32">
      <formula>kvartal &lt; 4</formula>
    </cfRule>
  </conditionalFormatting>
  <conditionalFormatting sqref="J123:K123">
    <cfRule type="expression" dxfId="447" priority="31">
      <formula>kvartal &lt; 4</formula>
    </cfRule>
  </conditionalFormatting>
  <conditionalFormatting sqref="A50:A52">
    <cfRule type="expression" dxfId="446" priority="12">
      <formula>kvartal &lt; 4</formula>
    </cfRule>
  </conditionalFormatting>
  <conditionalFormatting sqref="A69:A74">
    <cfRule type="expression" dxfId="445" priority="10">
      <formula>kvartal &lt; 4</formula>
    </cfRule>
  </conditionalFormatting>
  <conditionalFormatting sqref="A80:A85">
    <cfRule type="expression" dxfId="444" priority="9">
      <formula>kvartal &lt; 4</formula>
    </cfRule>
  </conditionalFormatting>
  <conditionalFormatting sqref="A90:A95">
    <cfRule type="expression" dxfId="443" priority="6">
      <formula>kvartal &lt; 4</formula>
    </cfRule>
  </conditionalFormatting>
  <conditionalFormatting sqref="A101:A106">
    <cfRule type="expression" dxfId="442" priority="5">
      <formula>kvartal &lt; 4</formula>
    </cfRule>
  </conditionalFormatting>
  <conditionalFormatting sqref="A115">
    <cfRule type="expression" dxfId="441" priority="4">
      <formula>kvartal &lt; 4</formula>
    </cfRule>
  </conditionalFormatting>
  <conditionalFormatting sqref="A123">
    <cfRule type="expression" dxfId="440" priority="3">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59"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R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8" x14ac:dyDescent="0.2">
      <c r="A1" s="129" t="s">
        <v>125</v>
      </c>
      <c r="B1" s="544"/>
      <c r="C1" s="198" t="s">
        <v>118</v>
      </c>
      <c r="O1" s="547" t="e">
        <f>kvartal</f>
        <v>#REF!</v>
      </c>
    </row>
    <row r="2" spans="1:18" ht="15.75" x14ac:dyDescent="0.25">
      <c r="A2" s="110" t="s">
        <v>28</v>
      </c>
      <c r="B2" s="583"/>
      <c r="C2" s="583"/>
      <c r="D2" s="583"/>
      <c r="E2" s="243"/>
      <c r="F2" s="583"/>
      <c r="G2" s="583"/>
      <c r="H2" s="583"/>
      <c r="I2" s="243"/>
      <c r="J2" s="583"/>
      <c r="K2" s="583"/>
      <c r="L2" s="583"/>
      <c r="M2" s="243"/>
    </row>
    <row r="3" spans="1:18" ht="15.75" x14ac:dyDescent="0.25">
      <c r="A3" s="122"/>
      <c r="B3" s="243"/>
      <c r="C3" s="243"/>
      <c r="D3" s="243"/>
      <c r="E3" s="243"/>
      <c r="F3" s="243"/>
      <c r="G3" s="243"/>
      <c r="H3" s="243"/>
      <c r="I3" s="243"/>
      <c r="J3" s="243"/>
      <c r="K3" s="243"/>
      <c r="L3" s="243"/>
      <c r="M3" s="243"/>
    </row>
    <row r="4" spans="1:18" x14ac:dyDescent="0.2">
      <c r="A4" s="108"/>
      <c r="B4" s="581" t="s">
        <v>0</v>
      </c>
      <c r="C4" s="582"/>
      <c r="D4" s="582"/>
      <c r="E4" s="245"/>
      <c r="F4" s="581" t="s">
        <v>1</v>
      </c>
      <c r="G4" s="582"/>
      <c r="H4" s="582"/>
      <c r="I4" s="247"/>
      <c r="J4" s="581" t="s">
        <v>2</v>
      </c>
      <c r="K4" s="582"/>
      <c r="L4" s="582"/>
      <c r="M4" s="247"/>
    </row>
    <row r="5" spans="1:18"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8" x14ac:dyDescent="0.2">
      <c r="A6" s="545"/>
      <c r="B6" s="116"/>
      <c r="C6" s="116"/>
      <c r="D6" s="196" t="s">
        <v>4</v>
      </c>
      <c r="E6" s="116" t="s">
        <v>30</v>
      </c>
      <c r="F6" s="120"/>
      <c r="G6" s="120"/>
      <c r="H6" s="194" t="s">
        <v>4</v>
      </c>
      <c r="I6" s="116" t="s">
        <v>30</v>
      </c>
      <c r="J6" s="120"/>
      <c r="K6" s="120"/>
      <c r="L6" s="194" t="s">
        <v>4</v>
      </c>
      <c r="M6" s="116" t="s">
        <v>30</v>
      </c>
    </row>
    <row r="7" spans="1:18" ht="15.75" x14ac:dyDescent="0.2">
      <c r="A7" s="11" t="s">
        <v>23</v>
      </c>
      <c r="B7" s="249">
        <v>280673</v>
      </c>
      <c r="C7" s="250">
        <v>303118</v>
      </c>
      <c r="D7" s="286">
        <f>IF(B7=0, "    ---- ", IF(ABS(ROUND(100/B7*C7-100,1))&lt;999,ROUND(100/B7*C7-100,1),IF(ROUND(100/B7*C7-100,1)&gt;999,999,-999)))</f>
        <v>8</v>
      </c>
      <c r="E7" s="8">
        <f>IFERROR(100/'Skjema total MA'!C7*C7,0)</f>
        <v>9.1357817818152718</v>
      </c>
      <c r="F7" s="249"/>
      <c r="G7" s="250"/>
      <c r="H7" s="286"/>
      <c r="I7" s="119"/>
      <c r="J7" s="251">
        <f t="shared" ref="J7:K10" si="0">SUM(B7,F7)</f>
        <v>280673</v>
      </c>
      <c r="K7" s="252">
        <f t="shared" si="0"/>
        <v>303118</v>
      </c>
      <c r="L7" s="343">
        <f>IF(J7=0, "    ---- ", IF(ABS(ROUND(100/J7*K7-100,1))&lt;999,ROUND(100/J7*K7-100,1),IF(ROUND(100/J7*K7-100,1)&gt;999,999,-999)))</f>
        <v>8</v>
      </c>
      <c r="M7" s="8">
        <f>IFERROR(100/'Skjema total MA'!I7*K7,0)</f>
        <v>3.4170162416072114</v>
      </c>
    </row>
    <row r="8" spans="1:18" ht="15.75" x14ac:dyDescent="0.2">
      <c r="A8" s="18" t="s">
        <v>25</v>
      </c>
      <c r="B8" s="229">
        <v>248598</v>
      </c>
      <c r="C8" s="230">
        <v>269739</v>
      </c>
      <c r="D8" s="123">
        <f t="shared" ref="D8:D10" si="1">IF(B8=0, "    ---- ", IF(ABS(ROUND(100/B8*C8-100,1))&lt;999,ROUND(100/B8*C8-100,1),IF(ROUND(100/B8*C8-100,1)&gt;999,999,-999)))</f>
        <v>8.5</v>
      </c>
      <c r="E8" s="23">
        <f>IFERROR(100/'Skjema total MA'!C8*C8,0)</f>
        <v>12.131500034084953</v>
      </c>
      <c r="F8" s="233"/>
      <c r="G8" s="234"/>
      <c r="H8" s="123"/>
      <c r="I8" s="133"/>
      <c r="J8" s="182">
        <f t="shared" si="0"/>
        <v>248598</v>
      </c>
      <c r="K8" s="235">
        <f t="shared" si="0"/>
        <v>269739</v>
      </c>
      <c r="L8" s="123">
        <f t="shared" ref="L8:L9" si="2">IF(J8=0, "    ---- ", IF(ABS(ROUND(100/J8*K8-100,1))&lt;999,ROUND(100/J8*K8-100,1),IF(ROUND(100/J8*K8-100,1)&gt;999,999,-999)))</f>
        <v>8.5</v>
      </c>
      <c r="M8" s="23">
        <f>IFERROR(100/'Skjema total MA'!I8*K8,0)</f>
        <v>12.131500034084953</v>
      </c>
    </row>
    <row r="9" spans="1:18" ht="15.75" x14ac:dyDescent="0.2">
      <c r="A9" s="18" t="s">
        <v>24</v>
      </c>
      <c r="B9" s="229">
        <v>32075</v>
      </c>
      <c r="C9" s="230">
        <v>33379</v>
      </c>
      <c r="D9" s="123">
        <f t="shared" si="1"/>
        <v>4.0999999999999996</v>
      </c>
      <c r="E9" s="23">
        <f>IFERROR(100/'Skjema total MA'!C9*C9,0)</f>
        <v>5.0212301660110912</v>
      </c>
      <c r="F9" s="233"/>
      <c r="G9" s="234"/>
      <c r="H9" s="123"/>
      <c r="I9" s="133"/>
      <c r="J9" s="182">
        <f t="shared" si="0"/>
        <v>32075</v>
      </c>
      <c r="K9" s="235">
        <f t="shared" si="0"/>
        <v>33379</v>
      </c>
      <c r="L9" s="123">
        <f t="shared" si="2"/>
        <v>4.0999999999999996</v>
      </c>
      <c r="M9" s="23">
        <f>IFERROR(100/'Skjema total MA'!I9*K9,0)</f>
        <v>5.0212301660110912</v>
      </c>
    </row>
    <row r="10" spans="1:18" ht="15.75" x14ac:dyDescent="0.2">
      <c r="A10" s="10" t="s">
        <v>323</v>
      </c>
      <c r="B10" s="253">
        <v>224937</v>
      </c>
      <c r="C10" s="254">
        <v>258706</v>
      </c>
      <c r="D10" s="127">
        <f t="shared" si="1"/>
        <v>15</v>
      </c>
      <c r="E10" s="8">
        <f>IFERROR(100/'Skjema total MA'!C10*C10,0)</f>
        <v>2.0453290506597503</v>
      </c>
      <c r="F10" s="253"/>
      <c r="G10" s="254"/>
      <c r="H10" s="127"/>
      <c r="I10" s="119"/>
      <c r="J10" s="251">
        <f t="shared" si="0"/>
        <v>224937</v>
      </c>
      <c r="K10" s="252">
        <f t="shared" si="0"/>
        <v>258706</v>
      </c>
      <c r="L10" s="344">
        <f t="shared" ref="L10" si="3">IF(J10=0, "    ---- ", IF(ABS(ROUND(100/J10*K10-100,1))&lt;999,ROUND(100/J10*K10-100,1),IF(ROUND(100/J10*K10-100,1)&gt;999,999,-999)))</f>
        <v>15</v>
      </c>
      <c r="M10" s="8">
        <f>IFERROR(100/'Skjema total MA'!I10*K10,0)</f>
        <v>0.2304897155038575</v>
      </c>
    </row>
    <row r="11" spans="1:18" s="35" customFormat="1" ht="15.75" x14ac:dyDescent="0.2">
      <c r="A11" s="10" t="s">
        <v>324</v>
      </c>
      <c r="B11" s="253"/>
      <c r="C11" s="254"/>
      <c r="D11" s="127"/>
      <c r="E11" s="8"/>
      <c r="F11" s="253"/>
      <c r="G11" s="254"/>
      <c r="H11" s="127"/>
      <c r="I11" s="119"/>
      <c r="J11" s="251"/>
      <c r="K11" s="252"/>
      <c r="L11" s="344"/>
      <c r="M11" s="8"/>
      <c r="N11" s="107"/>
      <c r="O11" s="22"/>
      <c r="R11" s="107"/>
    </row>
    <row r="12" spans="1:18" s="35" customFormat="1" ht="15.75" x14ac:dyDescent="0.2">
      <c r="A12" s="33" t="s">
        <v>325</v>
      </c>
      <c r="B12" s="255"/>
      <c r="C12" s="256"/>
      <c r="D12" s="125"/>
      <c r="E12" s="30"/>
      <c r="F12" s="255"/>
      <c r="G12" s="256"/>
      <c r="H12" s="125"/>
      <c r="I12" s="125"/>
      <c r="J12" s="257"/>
      <c r="K12" s="258"/>
      <c r="L12" s="345"/>
      <c r="M12" s="30"/>
      <c r="N12" s="107"/>
      <c r="O12" s="22"/>
    </row>
    <row r="13" spans="1:18" s="35" customFormat="1" x14ac:dyDescent="0.2">
      <c r="A13" s="107"/>
      <c r="B13" s="109"/>
      <c r="C13" s="27"/>
      <c r="D13" s="118"/>
      <c r="E13" s="118"/>
      <c r="F13" s="109"/>
      <c r="G13" s="27"/>
      <c r="H13" s="118"/>
      <c r="I13" s="118"/>
      <c r="J13" s="38"/>
      <c r="K13" s="38"/>
      <c r="L13" s="118"/>
      <c r="M13" s="118"/>
      <c r="N13" s="107"/>
      <c r="O13" s="107"/>
    </row>
    <row r="14" spans="1:18" x14ac:dyDescent="0.2">
      <c r="A14" s="114" t="s">
        <v>247</v>
      </c>
    </row>
    <row r="16" spans="1:18"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312673</v>
      </c>
      <c r="C22" s="253">
        <v>347613</v>
      </c>
      <c r="D22" s="286">
        <f t="shared" ref="D22:D30" si="4">IF(B22=0, "    ---- ", IF(ABS(ROUND(100/B22*C22-100,1))&lt;999,ROUND(100/B22*C22-100,1),IF(ROUND(100/B22*C22-100,1)&gt;999,999,-999)))</f>
        <v>11.2</v>
      </c>
      <c r="E22" s="8">
        <f>IFERROR(100/'Skjema total MA'!C22*C22,0)</f>
        <v>22.265410266126111</v>
      </c>
      <c r="F22" s="261"/>
      <c r="G22" s="261"/>
      <c r="H22" s="286"/>
      <c r="I22" s="8"/>
      <c r="J22" s="259">
        <f t="shared" ref="J22:K29" si="5">SUM(B22,F22)</f>
        <v>312673</v>
      </c>
      <c r="K22" s="259">
        <f t="shared" si="5"/>
        <v>347613</v>
      </c>
      <c r="L22" s="343">
        <f t="shared" ref="L22:L30" si="6">IF(J22=0, "    ---- ", IF(ABS(ROUND(100/J22*K22-100,1))&lt;999,ROUND(100/J22*K22-100,1),IF(ROUND(100/J22*K22-100,1)&gt;999,999,-999)))</f>
        <v>11.2</v>
      </c>
      <c r="M22" s="21">
        <f>IFERROR(100/'Skjema total MA'!I22*K22,0)</f>
        <v>16.513267968058663</v>
      </c>
    </row>
    <row r="23" spans="1:13" ht="15.75" x14ac:dyDescent="0.2">
      <c r="A23" s="385" t="s">
        <v>326</v>
      </c>
      <c r="B23" s="229">
        <v>312673</v>
      </c>
      <c r="C23" s="229">
        <v>347613</v>
      </c>
      <c r="D23" s="123">
        <f t="shared" si="4"/>
        <v>11.2</v>
      </c>
      <c r="E23" s="8">
        <f>IFERROR(100/'Skjema total MA'!C23*C23,0)</f>
        <v>33.646319348334451</v>
      </c>
      <c r="F23" s="238"/>
      <c r="G23" s="238"/>
      <c r="H23" s="123"/>
      <c r="I23" s="336"/>
      <c r="J23" s="238">
        <f t="shared" ref="J23" si="7">SUM(B23,F23)</f>
        <v>312673</v>
      </c>
      <c r="K23" s="238">
        <f t="shared" ref="K23" si="8">SUM(C23,G23)</f>
        <v>347613</v>
      </c>
      <c r="L23" s="123">
        <f t="shared" si="6"/>
        <v>11.2</v>
      </c>
      <c r="M23" s="20">
        <f>IFERROR(100/'Skjema total MA'!I23*K23,0)</f>
        <v>32.817140008043594</v>
      </c>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312673</v>
      </c>
      <c r="C28" s="235">
        <v>347613</v>
      </c>
      <c r="D28" s="123">
        <f t="shared" si="4"/>
        <v>11.2</v>
      </c>
      <c r="E28" s="8">
        <f>IFERROR(100/'Skjema total MA'!C28*C28,0)</f>
        <v>18.457961968419482</v>
      </c>
      <c r="F28" s="182"/>
      <c r="G28" s="235"/>
      <c r="H28" s="123"/>
      <c r="I28" s="23"/>
      <c r="J28" s="36">
        <f t="shared" si="5"/>
        <v>312673</v>
      </c>
      <c r="K28" s="36">
        <f t="shared" si="5"/>
        <v>347613</v>
      </c>
      <c r="L28" s="207">
        <f t="shared" si="6"/>
        <v>11.2</v>
      </c>
      <c r="M28" s="20">
        <f>IFERROR(100/'Skjema total MA'!I28*K28,0)</f>
        <v>18.457961968419482</v>
      </c>
    </row>
    <row r="29" spans="1:13" ht="15.75" x14ac:dyDescent="0.2">
      <c r="A29" s="10" t="s">
        <v>323</v>
      </c>
      <c r="B29" s="184">
        <v>1755655</v>
      </c>
      <c r="C29" s="184">
        <v>2142093</v>
      </c>
      <c r="D29" s="127">
        <f t="shared" si="4"/>
        <v>22</v>
      </c>
      <c r="E29" s="8">
        <f>IFERROR(100/'Skjema total MA'!C29*C29,0)</f>
        <v>4.8574554874196334</v>
      </c>
      <c r="F29" s="251"/>
      <c r="G29" s="251"/>
      <c r="H29" s="127"/>
      <c r="I29" s="8"/>
      <c r="J29" s="184">
        <f t="shared" si="5"/>
        <v>1755655</v>
      </c>
      <c r="K29" s="184">
        <f t="shared" si="5"/>
        <v>2142093</v>
      </c>
      <c r="L29" s="344">
        <f t="shared" si="6"/>
        <v>22</v>
      </c>
      <c r="M29" s="21">
        <f>IFERROR(100/'Skjema total MA'!I29*K29,0)</f>
        <v>2.8891017771418195</v>
      </c>
    </row>
    <row r="30" spans="1:13" ht="15.75" x14ac:dyDescent="0.2">
      <c r="A30" s="385" t="s">
        <v>326</v>
      </c>
      <c r="B30" s="229">
        <v>1755655</v>
      </c>
      <c r="C30" s="229">
        <v>2142093</v>
      </c>
      <c r="D30" s="123">
        <f t="shared" si="4"/>
        <v>22</v>
      </c>
      <c r="E30" s="8">
        <f>IFERROR(100/'Skjema total MA'!C30*C30,0)</f>
        <v>11.358033378827276</v>
      </c>
      <c r="F30" s="238"/>
      <c r="G30" s="238"/>
      <c r="H30" s="123"/>
      <c r="I30" s="336"/>
      <c r="J30" s="238">
        <f t="shared" ref="J30" si="9">SUM(B30,F30)</f>
        <v>1755655</v>
      </c>
      <c r="K30" s="238">
        <f t="shared" ref="K30" si="10">SUM(C30,G30)</f>
        <v>2142093</v>
      </c>
      <c r="L30" s="123">
        <f t="shared" si="6"/>
        <v>22</v>
      </c>
      <c r="M30" s="20">
        <f>IFERROR(100/'Skjema total MA'!I30*K30,0)</f>
        <v>9.5194911599078136</v>
      </c>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35770</v>
      </c>
      <c r="C47" s="254">
        <v>63121</v>
      </c>
      <c r="D47" s="343">
        <f t="shared" ref="D47:D54" si="11">IF(B47=0, "    ---- ", IF(ABS(ROUND(100/B47*C47-100,1))&lt;999,ROUND(100/B47*C47-100,1),IF(ROUND(100/B47*C47-100,1)&gt;999,999,-999)))</f>
        <v>76.5</v>
      </c>
      <c r="E47" s="8">
        <f>IFERROR(100/'Skjema total MA'!C47*C47,0)</f>
        <v>1.1381385996588032</v>
      </c>
      <c r="F47" s="109"/>
      <c r="G47" s="27"/>
      <c r="H47" s="118"/>
      <c r="I47" s="118"/>
      <c r="J47" s="31"/>
      <c r="K47" s="31"/>
      <c r="L47" s="118"/>
      <c r="M47" s="118"/>
    </row>
    <row r="48" spans="1:13" ht="15.75" x14ac:dyDescent="0.2">
      <c r="A48" s="18" t="s">
        <v>334</v>
      </c>
      <c r="B48" s="229">
        <v>35770</v>
      </c>
      <c r="C48" s="230">
        <v>63121</v>
      </c>
      <c r="D48" s="207">
        <f t="shared" si="11"/>
        <v>76.5</v>
      </c>
      <c r="E48" s="23">
        <f>IFERROR(100/'Skjema total MA'!C48*C48,0)</f>
        <v>1.9899139065224358</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v>1063</v>
      </c>
      <c r="D53" s="344" t="str">
        <f t="shared" si="11"/>
        <v xml:space="preserve">    ---- </v>
      </c>
      <c r="E53" s="8">
        <f>IFERROR(100/'Skjema total MA'!C53*C53,0)</f>
        <v>0.39604119899978996</v>
      </c>
      <c r="F53" s="109"/>
      <c r="G53" s="27"/>
      <c r="H53" s="109"/>
      <c r="I53" s="109"/>
      <c r="J53" s="27"/>
      <c r="K53" s="27"/>
      <c r="L53" s="118"/>
      <c r="M53" s="118"/>
    </row>
    <row r="54" spans="1:13" ht="15.75" x14ac:dyDescent="0.2">
      <c r="A54" s="18" t="s">
        <v>334</v>
      </c>
      <c r="B54" s="229"/>
      <c r="C54" s="230">
        <v>1063</v>
      </c>
      <c r="D54" s="207" t="str">
        <f t="shared" si="11"/>
        <v xml:space="preserve">    ---- </v>
      </c>
      <c r="E54" s="23">
        <f>IFERROR(100/'Skjema total MA'!C54*C54,0)</f>
        <v>0.40661702613588124</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39" priority="76">
      <formula>kvartal &lt; 4</formula>
    </cfRule>
  </conditionalFormatting>
  <conditionalFormatting sqref="C115">
    <cfRule type="expression" dxfId="438" priority="75">
      <formula>kvartal &lt; 4</formula>
    </cfRule>
  </conditionalFormatting>
  <conditionalFormatting sqref="F115">
    <cfRule type="expression" dxfId="437" priority="58">
      <formula>kvartal &lt; 4</formula>
    </cfRule>
  </conditionalFormatting>
  <conditionalFormatting sqref="G115">
    <cfRule type="expression" dxfId="436" priority="57">
      <formula>kvartal &lt; 4</formula>
    </cfRule>
  </conditionalFormatting>
  <conditionalFormatting sqref="J115:K115">
    <cfRule type="expression" dxfId="435" priority="32">
      <formula>kvartal &lt; 4</formula>
    </cfRule>
  </conditionalFormatting>
  <conditionalFormatting sqref="J123:K123">
    <cfRule type="expression" dxfId="434" priority="31">
      <formula>kvartal &lt; 4</formula>
    </cfRule>
  </conditionalFormatting>
  <conditionalFormatting sqref="A50:A52">
    <cfRule type="expression" dxfId="433" priority="12">
      <formula>kvartal &lt; 4</formula>
    </cfRule>
  </conditionalFormatting>
  <conditionalFormatting sqref="A69:A74">
    <cfRule type="expression" dxfId="432" priority="10">
      <formula>kvartal &lt; 4</formula>
    </cfRule>
  </conditionalFormatting>
  <conditionalFormatting sqref="A80:A85">
    <cfRule type="expression" dxfId="431" priority="9">
      <formula>kvartal &lt; 4</formula>
    </cfRule>
  </conditionalFormatting>
  <conditionalFormatting sqref="A90:A95">
    <cfRule type="expression" dxfId="430" priority="6">
      <formula>kvartal &lt; 4</formula>
    </cfRule>
  </conditionalFormatting>
  <conditionalFormatting sqref="A101:A106">
    <cfRule type="expression" dxfId="429" priority="5">
      <formula>kvartal &lt; 4</formula>
    </cfRule>
  </conditionalFormatting>
  <conditionalFormatting sqref="A115">
    <cfRule type="expression" dxfId="428" priority="4">
      <formula>kvartal &lt; 4</formula>
    </cfRule>
  </conditionalFormatting>
  <conditionalFormatting sqref="A123">
    <cfRule type="expression" dxfId="427" priority="3">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119</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4207.2179999999998</v>
      </c>
      <c r="C47" s="254">
        <v>285.51499999999999</v>
      </c>
      <c r="D47" s="343">
        <f t="shared" ref="D47:D57" si="0">IF(B47=0, "    ---- ", IF(ABS(ROUND(100/B47*C47-100,1))&lt;999,ROUND(100/B47*C47-100,1),IF(ROUND(100/B47*C47-100,1)&gt;999,999,-999)))</f>
        <v>-93.2</v>
      </c>
      <c r="E47" s="8">
        <f>IFERROR(100/'Skjema total MA'!C47*C47,0)</f>
        <v>5.1481383736249929E-3</v>
      </c>
      <c r="F47" s="109"/>
      <c r="G47" s="27"/>
      <c r="H47" s="118"/>
      <c r="I47" s="118"/>
      <c r="J47" s="31"/>
      <c r="K47" s="31"/>
      <c r="L47" s="118"/>
      <c r="M47" s="118"/>
    </row>
    <row r="48" spans="1:13" ht="15.75" x14ac:dyDescent="0.2">
      <c r="A48" s="18" t="s">
        <v>334</v>
      </c>
      <c r="B48" s="229">
        <v>4207.2179999999998</v>
      </c>
      <c r="C48" s="230">
        <v>285.51499999999999</v>
      </c>
      <c r="D48" s="207">
        <f t="shared" si="0"/>
        <v>-93.2</v>
      </c>
      <c r="E48" s="23">
        <f>IFERROR(100/'Skjema total MA'!C48*C48,0)</f>
        <v>9.0009706598557261E-3</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v>1063.0060000000001</v>
      </c>
      <c r="D56" s="344" t="str">
        <f t="shared" si="0"/>
        <v xml:space="preserve">    ---- </v>
      </c>
      <c r="E56" s="8">
        <f>IFERROR(100/'Skjema total MA'!C56*C56,0)</f>
        <v>1.6380239077408507</v>
      </c>
      <c r="F56" s="109"/>
      <c r="G56" s="27"/>
      <c r="H56" s="109"/>
      <c r="I56" s="109"/>
      <c r="J56" s="27"/>
      <c r="K56" s="27"/>
      <c r="L56" s="118"/>
      <c r="M56" s="118"/>
    </row>
    <row r="57" spans="1:13" ht="15.75" x14ac:dyDescent="0.2">
      <c r="A57" s="18" t="s">
        <v>334</v>
      </c>
      <c r="B57" s="229"/>
      <c r="C57" s="230">
        <v>1063.0060000000001</v>
      </c>
      <c r="D57" s="207" t="str">
        <f t="shared" si="0"/>
        <v xml:space="preserve">    ---- </v>
      </c>
      <c r="E57" s="23">
        <f>IFERROR(100/'Skjema total MA'!C57*C57,0)</f>
        <v>1.6380239077408507</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26" priority="76">
      <formula>kvartal &lt; 4</formula>
    </cfRule>
  </conditionalFormatting>
  <conditionalFormatting sqref="C115">
    <cfRule type="expression" dxfId="425" priority="75">
      <formula>kvartal &lt; 4</formula>
    </cfRule>
  </conditionalFormatting>
  <conditionalFormatting sqref="F115">
    <cfRule type="expression" dxfId="424" priority="58">
      <formula>kvartal &lt; 4</formula>
    </cfRule>
  </conditionalFormatting>
  <conditionalFormatting sqref="G115">
    <cfRule type="expression" dxfId="423" priority="57">
      <formula>kvartal &lt; 4</formula>
    </cfRule>
  </conditionalFormatting>
  <conditionalFormatting sqref="J115:K115">
    <cfRule type="expression" dxfId="422" priority="32">
      <formula>kvartal &lt; 4</formula>
    </cfRule>
  </conditionalFormatting>
  <conditionalFormatting sqref="J123:K123">
    <cfRule type="expression" dxfId="421" priority="31">
      <formula>kvartal &lt; 4</formula>
    </cfRule>
  </conditionalFormatting>
  <conditionalFormatting sqref="A50:A52">
    <cfRule type="expression" dxfId="420" priority="12">
      <formula>kvartal &lt; 4</formula>
    </cfRule>
  </conditionalFormatting>
  <conditionalFormatting sqref="A69:A74">
    <cfRule type="expression" dxfId="419" priority="10">
      <formula>kvartal &lt; 4</formula>
    </cfRule>
  </conditionalFormatting>
  <conditionalFormatting sqref="A80:A85">
    <cfRule type="expression" dxfId="418" priority="9">
      <formula>kvartal &lt; 4</formula>
    </cfRule>
  </conditionalFormatting>
  <conditionalFormatting sqref="A90:A95">
    <cfRule type="expression" dxfId="417" priority="6">
      <formula>kvartal &lt; 4</formula>
    </cfRule>
  </conditionalFormatting>
  <conditionalFormatting sqref="A101:A106">
    <cfRule type="expression" dxfId="416" priority="5">
      <formula>kvartal &lt; 4</formula>
    </cfRule>
  </conditionalFormatting>
  <conditionalFormatting sqref="A115">
    <cfRule type="expression" dxfId="415" priority="4">
      <formula>kvartal &lt; 4</formula>
    </cfRule>
  </conditionalFormatting>
  <conditionalFormatting sqref="A123">
    <cfRule type="expression" dxfId="414" priority="3">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O144"/>
  <sheetViews>
    <sheetView showGridLines="0" zoomScaleNormal="100" zoomScaleSheetLayoutView="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120</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657314.321</v>
      </c>
      <c r="C7" s="250">
        <v>659923.56499999994</v>
      </c>
      <c r="D7" s="286">
        <f>IF(B7=0, "    ---- ", IF(ABS(ROUND(100/B7*C7-100,1))&lt;999,ROUND(100/B7*C7-100,1),IF(ROUND(100/B7*C7-100,1)&gt;999,999,-999)))</f>
        <v>0.4</v>
      </c>
      <c r="E7" s="8">
        <f>IFERROR(100/'Skjema total MA'!C7*C7,0)</f>
        <v>19.889672281149871</v>
      </c>
      <c r="F7" s="249"/>
      <c r="G7" s="250"/>
      <c r="H7" s="286"/>
      <c r="I7" s="119"/>
      <c r="J7" s="251">
        <f t="shared" ref="J7:K9" si="0">SUM(B7,F7)</f>
        <v>657314.321</v>
      </c>
      <c r="K7" s="252">
        <f t="shared" si="0"/>
        <v>659923.56499999994</v>
      </c>
      <c r="L7" s="343">
        <f>IF(J7=0, "    ---- ", IF(ABS(ROUND(100/J7*K7-100,1))&lt;999,ROUND(100/J7*K7-100,1),IF(ROUND(100/J7*K7-100,1)&gt;999,999,-999)))</f>
        <v>0.4</v>
      </c>
      <c r="M7" s="8">
        <f>IFERROR(100/'Skjema total MA'!I7*K7,0)</f>
        <v>7.4392465634648293</v>
      </c>
    </row>
    <row r="8" spans="1:15" ht="15.75" x14ac:dyDescent="0.2">
      <c r="A8" s="18" t="s">
        <v>25</v>
      </c>
      <c r="B8" s="229">
        <v>412643.08</v>
      </c>
      <c r="C8" s="230">
        <v>426230.11499999999</v>
      </c>
      <c r="D8" s="123">
        <f t="shared" ref="D8:D9" si="1">IF(B8=0, "    ---- ", IF(ABS(ROUND(100/B8*C8-100,1))&lt;999,ROUND(100/B8*C8-100,1),IF(ROUND(100/B8*C8-100,1)&gt;999,999,-999)))</f>
        <v>3.3</v>
      </c>
      <c r="E8" s="23">
        <f>IFERROR(100/'Skjema total MA'!C8*C8,0)</f>
        <v>19.169681264668931</v>
      </c>
      <c r="F8" s="233"/>
      <c r="G8" s="234"/>
      <c r="H8" s="123"/>
      <c r="I8" s="133"/>
      <c r="J8" s="182">
        <f t="shared" si="0"/>
        <v>412643.08</v>
      </c>
      <c r="K8" s="235">
        <f t="shared" si="0"/>
        <v>426230.11499999999</v>
      </c>
      <c r="L8" s="123">
        <f t="shared" ref="L8:L9" si="2">IF(J8=0, "    ---- ", IF(ABS(ROUND(100/J8*K8-100,1))&lt;999,ROUND(100/J8*K8-100,1),IF(ROUND(100/J8*K8-100,1)&gt;999,999,-999)))</f>
        <v>3.3</v>
      </c>
      <c r="M8" s="23">
        <f>IFERROR(100/'Skjema total MA'!I8*K8,0)</f>
        <v>19.169681264668931</v>
      </c>
    </row>
    <row r="9" spans="1:15" ht="15.75" x14ac:dyDescent="0.2">
      <c r="A9" s="18" t="s">
        <v>24</v>
      </c>
      <c r="B9" s="229">
        <v>244671.24100000001</v>
      </c>
      <c r="C9" s="230">
        <v>233693.45</v>
      </c>
      <c r="D9" s="123">
        <f t="shared" si="1"/>
        <v>-4.5</v>
      </c>
      <c r="E9" s="23">
        <f>IFERROR(100/'Skjema total MA'!C9*C9,0)</f>
        <v>35.154696088534848</v>
      </c>
      <c r="F9" s="233"/>
      <c r="G9" s="234"/>
      <c r="H9" s="123"/>
      <c r="I9" s="133"/>
      <c r="J9" s="182">
        <f t="shared" si="0"/>
        <v>244671.24100000001</v>
      </c>
      <c r="K9" s="235">
        <f t="shared" si="0"/>
        <v>233693.45</v>
      </c>
      <c r="L9" s="123">
        <f t="shared" si="2"/>
        <v>-4.5</v>
      </c>
      <c r="M9" s="23">
        <f>IFERROR(100/'Skjema total MA'!I9*K9,0)</f>
        <v>35.154696088534848</v>
      </c>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1120291.044</v>
      </c>
      <c r="C47" s="254">
        <v>1206403.0959999999</v>
      </c>
      <c r="D47" s="343">
        <f t="shared" ref="D47:D57" si="3">IF(B47=0, "    ---- ", IF(ABS(ROUND(100/B47*C47-100,1))&lt;999,ROUND(100/B47*C47-100,1),IF(ROUND(100/B47*C47-100,1)&gt;999,999,-999)))</f>
        <v>7.7</v>
      </c>
      <c r="E47" s="8">
        <f>IFERROR(100/'Skjema total MA'!C47*C47,0)</f>
        <v>21.752727781649284</v>
      </c>
      <c r="F47" s="109"/>
      <c r="G47" s="27"/>
      <c r="H47" s="118"/>
      <c r="I47" s="118"/>
      <c r="J47" s="31"/>
      <c r="K47" s="31"/>
      <c r="L47" s="118"/>
      <c r="M47" s="118"/>
    </row>
    <row r="48" spans="1:13" ht="15.75" x14ac:dyDescent="0.2">
      <c r="A48" s="18" t="s">
        <v>334</v>
      </c>
      <c r="B48" s="229">
        <v>736759.15099999995</v>
      </c>
      <c r="C48" s="230">
        <v>765040.076</v>
      </c>
      <c r="D48" s="207">
        <f t="shared" si="3"/>
        <v>3.8</v>
      </c>
      <c r="E48" s="23">
        <f>IFERROR(100/'Skjema total MA'!C48*C48,0)</f>
        <v>24.11818390518815</v>
      </c>
      <c r="F48" s="109"/>
      <c r="G48" s="27"/>
      <c r="H48" s="109"/>
      <c r="I48" s="109"/>
      <c r="J48" s="27"/>
      <c r="K48" s="27"/>
      <c r="L48" s="118"/>
      <c r="M48" s="118"/>
    </row>
    <row r="49" spans="1:13" ht="15.75" x14ac:dyDescent="0.2">
      <c r="A49" s="18" t="s">
        <v>335</v>
      </c>
      <c r="B49" s="36">
        <v>383531.89299999998</v>
      </c>
      <c r="C49" s="235">
        <v>441363.02</v>
      </c>
      <c r="D49" s="207">
        <f>IF(B49=0, "    ---- ", IF(ABS(ROUND(100/B49*C49-100,1))&lt;999,ROUND(100/B49*C49-100,1),IF(ROUND(100/B49*C49-100,1)&gt;999,999,-999)))</f>
        <v>15.1</v>
      </c>
      <c r="E49" s="23">
        <f>IFERROR(100/'Skjema total MA'!C49*C49,0)</f>
        <v>18.592015210734289</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16085.653</v>
      </c>
      <c r="C53" s="254">
        <v>17908.116000000002</v>
      </c>
      <c r="D53" s="344">
        <f t="shared" si="3"/>
        <v>11.3</v>
      </c>
      <c r="E53" s="8">
        <f>IFERROR(100/'Skjema total MA'!C53*C53,0)</f>
        <v>6.6720148000633328</v>
      </c>
      <c r="F53" s="109"/>
      <c r="G53" s="27"/>
      <c r="H53" s="109"/>
      <c r="I53" s="109"/>
      <c r="J53" s="27"/>
      <c r="K53" s="27"/>
      <c r="L53" s="118"/>
      <c r="M53" s="118"/>
    </row>
    <row r="54" spans="1:13" ht="15.75" x14ac:dyDescent="0.2">
      <c r="A54" s="18" t="s">
        <v>334</v>
      </c>
      <c r="B54" s="229">
        <v>16085.653</v>
      </c>
      <c r="C54" s="230">
        <v>17908.116000000002</v>
      </c>
      <c r="D54" s="207">
        <f t="shared" si="3"/>
        <v>11.3</v>
      </c>
      <c r="E54" s="23">
        <f>IFERROR(100/'Skjema total MA'!C54*C54,0)</f>
        <v>6.8501833223108131</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v>92800.607000000004</v>
      </c>
      <c r="C56" s="254">
        <v>13093.537</v>
      </c>
      <c r="D56" s="344">
        <f t="shared" si="3"/>
        <v>-85.9</v>
      </c>
      <c r="E56" s="8">
        <f>IFERROR(100/'Skjema total MA'!C56*C56,0)</f>
        <v>20.176298763026185</v>
      </c>
      <c r="F56" s="109"/>
      <c r="G56" s="27"/>
      <c r="H56" s="109"/>
      <c r="I56" s="109"/>
      <c r="J56" s="27"/>
      <c r="K56" s="27"/>
      <c r="L56" s="118"/>
      <c r="M56" s="118"/>
    </row>
    <row r="57" spans="1:13" ht="15.75" x14ac:dyDescent="0.2">
      <c r="A57" s="18" t="s">
        <v>334</v>
      </c>
      <c r="B57" s="229">
        <v>92800.607000000004</v>
      </c>
      <c r="C57" s="230">
        <v>13093.537</v>
      </c>
      <c r="D57" s="207">
        <f t="shared" si="3"/>
        <v>-85.9</v>
      </c>
      <c r="E57" s="23">
        <f>IFERROR(100/'Skjema total MA'!C57*C57,0)</f>
        <v>20.176298763026185</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13" priority="76">
      <formula>kvartal &lt; 4</formula>
    </cfRule>
  </conditionalFormatting>
  <conditionalFormatting sqref="C115">
    <cfRule type="expression" dxfId="412" priority="75">
      <formula>kvartal &lt; 4</formula>
    </cfRule>
  </conditionalFormatting>
  <conditionalFormatting sqref="F115">
    <cfRule type="expression" dxfId="411" priority="58">
      <formula>kvartal &lt; 4</formula>
    </cfRule>
  </conditionalFormatting>
  <conditionalFormatting sqref="G115">
    <cfRule type="expression" dxfId="410" priority="57">
      <formula>kvartal &lt; 4</formula>
    </cfRule>
  </conditionalFormatting>
  <conditionalFormatting sqref="J115:K115">
    <cfRule type="expression" dxfId="409" priority="32">
      <formula>kvartal &lt; 4</formula>
    </cfRule>
  </conditionalFormatting>
  <conditionalFormatting sqref="J123:K123">
    <cfRule type="expression" dxfId="408" priority="31">
      <formula>kvartal &lt; 4</formula>
    </cfRule>
  </conditionalFormatting>
  <conditionalFormatting sqref="A50:A52">
    <cfRule type="expression" dxfId="407" priority="12">
      <formula>kvartal &lt; 4</formula>
    </cfRule>
  </conditionalFormatting>
  <conditionalFormatting sqref="A69:A74">
    <cfRule type="expression" dxfId="406" priority="10">
      <formula>kvartal &lt; 4</formula>
    </cfRule>
  </conditionalFormatting>
  <conditionalFormatting sqref="A80:A85">
    <cfRule type="expression" dxfId="405" priority="9">
      <formula>kvartal &lt; 4</formula>
    </cfRule>
  </conditionalFormatting>
  <conditionalFormatting sqref="A90:A95">
    <cfRule type="expression" dxfId="404" priority="6">
      <formula>kvartal &lt; 4</formula>
    </cfRule>
  </conditionalFormatting>
  <conditionalFormatting sqref="A101:A106">
    <cfRule type="expression" dxfId="403" priority="5">
      <formula>kvartal &lt; 4</formula>
    </cfRule>
  </conditionalFormatting>
  <conditionalFormatting sqref="A115">
    <cfRule type="expression" dxfId="402" priority="4">
      <formula>kvartal &lt; 4</formula>
    </cfRule>
  </conditionalFormatting>
  <conditionalFormatting sqref="A123">
    <cfRule type="expression" dxfId="401" priority="3">
      <formula>kvartal &lt; 4</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84</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v>142192</v>
      </c>
      <c r="G7" s="250">
        <v>135333</v>
      </c>
      <c r="H7" s="286">
        <f>IF(F7=0, "    ---- ", IF(ABS(ROUND(100/F7*G7-100,1))&lt;999,ROUND(100/F7*G7-100,1),IF(ROUND(100/F7*G7-100,1)&gt;999,999,-999)))</f>
        <v>-4.8</v>
      </c>
      <c r="I7" s="119">
        <f>IFERROR(100/'Skjema total MA'!F7*G7,0)</f>
        <v>2.4371510756282162</v>
      </c>
      <c r="J7" s="251">
        <f t="shared" ref="J7:K12" si="0">SUM(B7,F7)</f>
        <v>142192</v>
      </c>
      <c r="K7" s="252">
        <f t="shared" si="0"/>
        <v>135333</v>
      </c>
      <c r="L7" s="343">
        <f>IF(J7=0, "    ---- ", IF(ABS(ROUND(100/J7*K7-100,1))&lt;999,ROUND(100/J7*K7-100,1),IF(ROUND(100/J7*K7-100,1)&gt;999,999,-999)))</f>
        <v>-4.8</v>
      </c>
      <c r="M7" s="8">
        <f>IFERROR(100/'Skjema total MA'!I7*K7,0)</f>
        <v>1.525594187825958</v>
      </c>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v>2639774</v>
      </c>
      <c r="G10" s="254">
        <v>2959473</v>
      </c>
      <c r="H10" s="127">
        <f t="shared" ref="H10:H12" si="1">IF(F10=0, "    ---- ", IF(ABS(ROUND(100/F10*G10-100,1))&lt;999,ROUND(100/F10*G10-100,1),IF(ROUND(100/F10*G10-100,1)&gt;999,999,-999)))</f>
        <v>12.1</v>
      </c>
      <c r="I10" s="119">
        <f>IFERROR(100/'Skjema total MA'!F10*G10,0)</f>
        <v>2.9715595370998527</v>
      </c>
      <c r="J10" s="251">
        <f t="shared" si="0"/>
        <v>2639774</v>
      </c>
      <c r="K10" s="252">
        <f t="shared" si="0"/>
        <v>2959473</v>
      </c>
      <c r="L10" s="344">
        <f t="shared" ref="L10:L12" si="2">IF(J10=0, "    ---- ", IF(ABS(ROUND(100/J10*K10-100,1))&lt;999,ROUND(100/J10*K10-100,1),IF(ROUND(100/J10*K10-100,1)&gt;999,999,-999)))</f>
        <v>12.1</v>
      </c>
      <c r="M10" s="8">
        <f>IFERROR(100/'Skjema total MA'!I10*K10,0)</f>
        <v>2.6366921904066687</v>
      </c>
    </row>
    <row r="11" spans="1:15" s="35" customFormat="1" ht="15.75" x14ac:dyDescent="0.2">
      <c r="A11" s="10" t="s">
        <v>324</v>
      </c>
      <c r="B11" s="253"/>
      <c r="C11" s="254"/>
      <c r="D11" s="127"/>
      <c r="E11" s="8"/>
      <c r="F11" s="253">
        <v>33901</v>
      </c>
      <c r="G11" s="254">
        <v>36941</v>
      </c>
      <c r="H11" s="127">
        <f t="shared" si="1"/>
        <v>9</v>
      </c>
      <c r="I11" s="119">
        <f>IFERROR(100/'Skjema total MA'!F11*G11,0)</f>
        <v>9.382049764363245</v>
      </c>
      <c r="J11" s="251">
        <f t="shared" si="0"/>
        <v>33901</v>
      </c>
      <c r="K11" s="252">
        <f t="shared" si="0"/>
        <v>36941</v>
      </c>
      <c r="L11" s="344">
        <f t="shared" si="2"/>
        <v>9</v>
      </c>
      <c r="M11" s="8">
        <f>IFERROR(100/'Skjema total MA'!I11*K11,0)</f>
        <v>9.3741207128346282</v>
      </c>
      <c r="N11" s="107"/>
      <c r="O11" s="22"/>
    </row>
    <row r="12" spans="1:15" s="35" customFormat="1" ht="15.75" x14ac:dyDescent="0.2">
      <c r="A12" s="33" t="s">
        <v>325</v>
      </c>
      <c r="B12" s="255"/>
      <c r="C12" s="256"/>
      <c r="D12" s="125"/>
      <c r="E12" s="30"/>
      <c r="F12" s="255">
        <v>6943</v>
      </c>
      <c r="G12" s="256">
        <v>6986</v>
      </c>
      <c r="H12" s="125">
        <f t="shared" si="1"/>
        <v>0.6</v>
      </c>
      <c r="I12" s="125">
        <f>IFERROR(100/'Skjema total MA'!F12*G12,0)</f>
        <v>1.7882337673398521</v>
      </c>
      <c r="J12" s="257">
        <f t="shared" si="0"/>
        <v>6943</v>
      </c>
      <c r="K12" s="258">
        <f t="shared" si="0"/>
        <v>6986</v>
      </c>
      <c r="L12" s="345">
        <f t="shared" si="2"/>
        <v>0.6</v>
      </c>
      <c r="M12" s="30">
        <f>IFERROR(100/'Skjema total MA'!I12*K12,0)</f>
        <v>1.7866705844569186</v>
      </c>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346462</v>
      </c>
      <c r="C22" s="253">
        <v>403008</v>
      </c>
      <c r="D22" s="286">
        <f t="shared" ref="D22:D30" si="3">IF(B22=0, "    ---- ", IF(ABS(ROUND(100/B22*C22-100,1))&lt;999,ROUND(100/B22*C22-100,1),IF(ROUND(100/B22*C22-100,1)&gt;999,999,-999)))</f>
        <v>16.3</v>
      </c>
      <c r="E22" s="8">
        <f>IFERROR(100/'Skjema total MA'!C22*C22,0)</f>
        <v>25.813587122837614</v>
      </c>
      <c r="F22" s="261">
        <v>34403</v>
      </c>
      <c r="G22" s="261">
        <v>38250</v>
      </c>
      <c r="H22" s="286">
        <f t="shared" ref="H22:H35" si="4">IF(F22=0, "    ---- ", IF(ABS(ROUND(100/F22*G22-100,1))&lt;999,ROUND(100/F22*G22-100,1),IF(ROUND(100/F22*G22-100,1)&gt;999,999,-999)))</f>
        <v>11.2</v>
      </c>
      <c r="I22" s="8">
        <f>IFERROR(100/'Skjema total MA'!F22*G22,0)</f>
        <v>7.0334683719566851</v>
      </c>
      <c r="J22" s="259">
        <f t="shared" ref="J22:K35" si="5">SUM(B22,F22)</f>
        <v>380865</v>
      </c>
      <c r="K22" s="259">
        <f t="shared" si="5"/>
        <v>441258</v>
      </c>
      <c r="L22" s="343">
        <f t="shared" ref="L22:L35" si="6">IF(J22=0, "    ---- ", IF(ABS(ROUND(100/J22*K22-100,1))&lt;999,ROUND(100/J22*K22-100,1),IF(ROUND(100/J22*K22-100,1)&gt;999,999,-999)))</f>
        <v>15.9</v>
      </c>
      <c r="M22" s="21">
        <f>IFERROR(100/'Skjema total MA'!I22*K22,0)</f>
        <v>20.961850094932093</v>
      </c>
    </row>
    <row r="23" spans="1:13" ht="15.75" x14ac:dyDescent="0.2">
      <c r="A23" s="385" t="s">
        <v>326</v>
      </c>
      <c r="B23" s="229">
        <v>346462</v>
      </c>
      <c r="C23" s="229">
        <v>403008</v>
      </c>
      <c r="D23" s="123">
        <f t="shared" si="3"/>
        <v>16.3</v>
      </c>
      <c r="E23" s="8">
        <f>IFERROR(100/'Skjema total MA'!C23*C23,0)</f>
        <v>39.008137980839521</v>
      </c>
      <c r="F23" s="238"/>
      <c r="G23" s="238"/>
      <c r="H23" s="123"/>
      <c r="I23" s="336"/>
      <c r="J23" s="238">
        <f t="shared" ref="J23:J26" si="7">SUM(B23,F23)</f>
        <v>346462</v>
      </c>
      <c r="K23" s="238">
        <f t="shared" ref="K23:K26" si="8">SUM(C23,G23)</f>
        <v>403008</v>
      </c>
      <c r="L23" s="123">
        <f t="shared" si="6"/>
        <v>16.3</v>
      </c>
      <c r="M23" s="20">
        <f>IFERROR(100/'Skjema total MA'!I23*K23,0)</f>
        <v>38.046822070410578</v>
      </c>
    </row>
    <row r="24" spans="1:13" ht="15.75" x14ac:dyDescent="0.2">
      <c r="A24" s="385" t="s">
        <v>327</v>
      </c>
      <c r="B24" s="229"/>
      <c r="C24" s="229"/>
      <c r="D24" s="123"/>
      <c r="E24" s="8"/>
      <c r="F24" s="238">
        <v>21</v>
      </c>
      <c r="G24" s="238">
        <v>0</v>
      </c>
      <c r="H24" s="123">
        <f t="shared" si="4"/>
        <v>-100</v>
      </c>
      <c r="I24" s="336">
        <f>IFERROR(100/'Skjema total MA'!F24*G24,0)</f>
        <v>0</v>
      </c>
      <c r="J24" s="238">
        <f t="shared" si="7"/>
        <v>21</v>
      </c>
      <c r="K24" s="238">
        <f t="shared" si="8"/>
        <v>0</v>
      </c>
      <c r="L24" s="123">
        <f t="shared" si="6"/>
        <v>-100</v>
      </c>
      <c r="M24" s="20">
        <f>IFERROR(100/'Skjema total MA'!I24*K24,0)</f>
        <v>0</v>
      </c>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v>34382</v>
      </c>
      <c r="G26" s="238">
        <v>38250</v>
      </c>
      <c r="H26" s="123">
        <f t="shared" si="4"/>
        <v>11.3</v>
      </c>
      <c r="I26" s="336">
        <f>IFERROR(100/'Skjema total MA'!F26*G26,0)</f>
        <v>7.4910245701581326</v>
      </c>
      <c r="J26" s="238">
        <f t="shared" si="7"/>
        <v>34382</v>
      </c>
      <c r="K26" s="238">
        <f t="shared" si="8"/>
        <v>38250</v>
      </c>
      <c r="L26" s="123">
        <f t="shared" si="6"/>
        <v>11.3</v>
      </c>
      <c r="M26" s="20">
        <f>IFERROR(100/'Skjema total MA'!I26*K26,0)</f>
        <v>7.4910245701581326</v>
      </c>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346462</v>
      </c>
      <c r="C28" s="235">
        <v>403008</v>
      </c>
      <c r="D28" s="123">
        <f t="shared" si="3"/>
        <v>16.3</v>
      </c>
      <c r="E28" s="8">
        <f>IFERROR(100/'Skjema total MA'!C28*C28,0)</f>
        <v>21.399390520402857</v>
      </c>
      <c r="F28" s="182"/>
      <c r="G28" s="235"/>
      <c r="H28" s="123"/>
      <c r="I28" s="23"/>
      <c r="J28" s="36">
        <f t="shared" si="5"/>
        <v>346462</v>
      </c>
      <c r="K28" s="36">
        <f t="shared" si="5"/>
        <v>403008</v>
      </c>
      <c r="L28" s="207">
        <f t="shared" si="6"/>
        <v>16.3</v>
      </c>
      <c r="M28" s="20">
        <f>IFERROR(100/'Skjema total MA'!I28*K28,0)</f>
        <v>21.399390520402857</v>
      </c>
    </row>
    <row r="29" spans="1:13" ht="15.75" x14ac:dyDescent="0.2">
      <c r="A29" s="10" t="s">
        <v>323</v>
      </c>
      <c r="B29" s="184">
        <v>4145932</v>
      </c>
      <c r="C29" s="184">
        <v>4823117</v>
      </c>
      <c r="D29" s="127">
        <f t="shared" si="3"/>
        <v>16.3</v>
      </c>
      <c r="E29" s="8">
        <f>IFERROR(100/'Skjema total MA'!C29*C29,0)</f>
        <v>10.93700233281978</v>
      </c>
      <c r="F29" s="251">
        <v>2462326</v>
      </c>
      <c r="G29" s="251">
        <v>2568104</v>
      </c>
      <c r="H29" s="127">
        <f t="shared" si="4"/>
        <v>4.3</v>
      </c>
      <c r="I29" s="8">
        <f>IFERROR(100/'Skjema total MA'!F29*G29,0)</f>
        <v>8.5475728913417068</v>
      </c>
      <c r="J29" s="184">
        <f t="shared" si="5"/>
        <v>6608258</v>
      </c>
      <c r="K29" s="184">
        <f t="shared" si="5"/>
        <v>7391221</v>
      </c>
      <c r="L29" s="344">
        <f t="shared" si="6"/>
        <v>11.8</v>
      </c>
      <c r="M29" s="21">
        <f>IFERROR(100/'Skjema total MA'!I29*K29,0)</f>
        <v>9.96875006190111</v>
      </c>
    </row>
    <row r="30" spans="1:13" ht="15.75" x14ac:dyDescent="0.2">
      <c r="A30" s="385" t="s">
        <v>326</v>
      </c>
      <c r="B30" s="229">
        <v>4145932</v>
      </c>
      <c r="C30" s="229">
        <v>4823117</v>
      </c>
      <c r="D30" s="123">
        <f t="shared" si="3"/>
        <v>16.3</v>
      </c>
      <c r="E30" s="8">
        <f>IFERROR(100/'Skjema total MA'!C30*C30,0)</f>
        <v>25.573644036925227</v>
      </c>
      <c r="F30" s="238">
        <v>18210</v>
      </c>
      <c r="G30" s="238">
        <v>17108</v>
      </c>
      <c r="H30" s="123">
        <f t="shared" si="4"/>
        <v>-6.1</v>
      </c>
      <c r="I30" s="336">
        <f>IFERROR(100/'Skjema total MA'!F30*G30,0)</f>
        <v>0.46968229341004003</v>
      </c>
      <c r="J30" s="238">
        <f t="shared" ref="J30:J33" si="9">SUM(B30,F30)</f>
        <v>4164142</v>
      </c>
      <c r="K30" s="238">
        <f t="shared" ref="K30:K33" si="10">SUM(C30,G30)</f>
        <v>4840225</v>
      </c>
      <c r="L30" s="123">
        <f t="shared" si="6"/>
        <v>16.2</v>
      </c>
      <c r="M30" s="20">
        <f>IFERROR(100/'Skjema total MA'!I30*K30,0)</f>
        <v>21.510027388850435</v>
      </c>
    </row>
    <row r="31" spans="1:13" ht="15.75" x14ac:dyDescent="0.2">
      <c r="A31" s="385" t="s">
        <v>327</v>
      </c>
      <c r="B31" s="229"/>
      <c r="C31" s="229"/>
      <c r="D31" s="123"/>
      <c r="E31" s="8"/>
      <c r="F31" s="238">
        <v>1150908</v>
      </c>
      <c r="G31" s="238">
        <v>1083877</v>
      </c>
      <c r="H31" s="123">
        <f t="shared" si="4"/>
        <v>-5.8</v>
      </c>
      <c r="I31" s="336">
        <f>IFERROR(100/'Skjema total MA'!F31*G31,0)</f>
        <v>14.743516022776635</v>
      </c>
      <c r="J31" s="238">
        <f t="shared" si="9"/>
        <v>1150908</v>
      </c>
      <c r="K31" s="238">
        <f t="shared" si="10"/>
        <v>1083877</v>
      </c>
      <c r="L31" s="123">
        <f t="shared" si="6"/>
        <v>-5.8</v>
      </c>
      <c r="M31" s="20">
        <f>IFERROR(100/'Skjema total MA'!I31*K31,0)</f>
        <v>3.6266594936599161</v>
      </c>
    </row>
    <row r="32" spans="1:13" ht="15.75" x14ac:dyDescent="0.2">
      <c r="A32" s="385" t="s">
        <v>328</v>
      </c>
      <c r="B32" s="229"/>
      <c r="C32" s="229"/>
      <c r="D32" s="123"/>
      <c r="E32" s="8"/>
      <c r="F32" s="238">
        <v>120628</v>
      </c>
      <c r="G32" s="238">
        <v>121975</v>
      </c>
      <c r="H32" s="123">
        <f t="shared" si="4"/>
        <v>1.1000000000000001</v>
      </c>
      <c r="I32" s="336">
        <f>IFERROR(100/'Skjema total MA'!F32*G32,0)</f>
        <v>1.7478020493806123</v>
      </c>
      <c r="J32" s="238">
        <f t="shared" si="9"/>
        <v>120628</v>
      </c>
      <c r="K32" s="238">
        <f t="shared" si="10"/>
        <v>121975</v>
      </c>
      <c r="L32" s="123">
        <f t="shared" si="6"/>
        <v>1.1000000000000001</v>
      </c>
      <c r="M32" s="20">
        <f>IFERROR(100/'Skjema total MA'!I32*K32,0)</f>
        <v>1.2803043162251866</v>
      </c>
    </row>
    <row r="33" spans="1:13" ht="15.75" x14ac:dyDescent="0.2">
      <c r="A33" s="385" t="s">
        <v>329</v>
      </c>
      <c r="B33" s="229"/>
      <c r="C33" s="229"/>
      <c r="D33" s="123"/>
      <c r="E33" s="8"/>
      <c r="F33" s="238">
        <v>1172580</v>
      </c>
      <c r="G33" s="238">
        <v>1345144</v>
      </c>
      <c r="H33" s="123">
        <f t="shared" si="4"/>
        <v>14.7</v>
      </c>
      <c r="I33" s="336">
        <f>IFERROR(100/'Skjema total MA'!F34*G33,0)</f>
        <v>-924.35019037802897</v>
      </c>
      <c r="J33" s="238">
        <f t="shared" si="9"/>
        <v>1172580</v>
      </c>
      <c r="K33" s="238">
        <f t="shared" si="10"/>
        <v>1345144</v>
      </c>
      <c r="L33" s="123">
        <f t="shared" si="6"/>
        <v>14.7</v>
      </c>
      <c r="M33" s="20">
        <f>IFERROR(100/'Skjema total MA'!I34*K33,0)</f>
        <v>-1052.1505030873047</v>
      </c>
    </row>
    <row r="34" spans="1:13" ht="15.75" x14ac:dyDescent="0.2">
      <c r="A34" s="10" t="s">
        <v>324</v>
      </c>
      <c r="B34" s="184"/>
      <c r="C34" s="252"/>
      <c r="D34" s="127"/>
      <c r="E34" s="8"/>
      <c r="F34" s="251">
        <v>16427</v>
      </c>
      <c r="G34" s="252">
        <v>18771</v>
      </c>
      <c r="H34" s="127">
        <f t="shared" si="4"/>
        <v>14.3</v>
      </c>
      <c r="I34" s="8">
        <f>IFERROR(100/'Skjema total MA'!F34*G34,0)</f>
        <v>-12.898973956383839</v>
      </c>
      <c r="J34" s="184">
        <f t="shared" si="5"/>
        <v>16427</v>
      </c>
      <c r="K34" s="184">
        <f t="shared" si="5"/>
        <v>18771</v>
      </c>
      <c r="L34" s="344">
        <f t="shared" si="6"/>
        <v>14.3</v>
      </c>
      <c r="M34" s="21">
        <f>IFERROR(100/'Skjema total MA'!I34*K34,0)</f>
        <v>-14.682381286651689</v>
      </c>
    </row>
    <row r="35" spans="1:13" ht="15.75" x14ac:dyDescent="0.2">
      <c r="A35" s="10" t="s">
        <v>325</v>
      </c>
      <c r="B35" s="184"/>
      <c r="C35" s="252"/>
      <c r="D35" s="127"/>
      <c r="E35" s="8"/>
      <c r="F35" s="251">
        <v>13556</v>
      </c>
      <c r="G35" s="252">
        <v>16637</v>
      </c>
      <c r="H35" s="127">
        <f t="shared" si="4"/>
        <v>22.7</v>
      </c>
      <c r="I35" s="8">
        <f>IFERROR(100/'Skjema total MA'!F35*G35,0)</f>
        <v>12.853788070000213</v>
      </c>
      <c r="J35" s="184">
        <f t="shared" si="5"/>
        <v>13556</v>
      </c>
      <c r="K35" s="184">
        <f t="shared" si="5"/>
        <v>16637</v>
      </c>
      <c r="L35" s="344">
        <f t="shared" si="6"/>
        <v>22.7</v>
      </c>
      <c r="M35" s="21">
        <f>IFERROR(100/'Skjema total MA'!I35*K35,0)</f>
        <v>-13.25666374486196</v>
      </c>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c r="C47" s="254"/>
      <c r="D47" s="343"/>
      <c r="E47" s="8"/>
      <c r="F47" s="109"/>
      <c r="G47" s="27"/>
      <c r="H47" s="118"/>
      <c r="I47" s="118"/>
      <c r="J47" s="31"/>
      <c r="K47" s="31"/>
      <c r="L47" s="118"/>
      <c r="M47" s="118"/>
    </row>
    <row r="48" spans="1:13" ht="15.75" x14ac:dyDescent="0.2">
      <c r="A48" s="18" t="s">
        <v>334</v>
      </c>
      <c r="B48" s="229"/>
      <c r="C48" s="230"/>
      <c r="D48" s="207"/>
      <c r="E48" s="23"/>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209057</v>
      </c>
      <c r="C66" s="289">
        <v>238756</v>
      </c>
      <c r="D66" s="286">
        <f t="shared" ref="D66:D111" si="11">IF(B66=0, "    ---- ", IF(ABS(ROUND(100/B66*C66-100,1))&lt;999,ROUND(100/B66*C66-100,1),IF(ROUND(100/B66*C66-100,1)&gt;999,999,-999)))</f>
        <v>14.2</v>
      </c>
      <c r="E66" s="8">
        <f>IFERROR(100/'Skjema total MA'!C66*C66,0)</f>
        <v>4.6818233208525548</v>
      </c>
      <c r="F66" s="288">
        <v>3038142</v>
      </c>
      <c r="G66" s="288">
        <v>3344222</v>
      </c>
      <c r="H66" s="286">
        <f t="shared" ref="H66:H111" si="12">IF(F66=0, "    ---- ", IF(ABS(ROUND(100/F66*G66-100,1))&lt;999,ROUND(100/F66*G66-100,1),IF(ROUND(100/F66*G66-100,1)&gt;999,999,-999)))</f>
        <v>10.1</v>
      </c>
      <c r="I66" s="350">
        <f>IFERROR(100/'Skjema total MA'!F66*G66,0)</f>
        <v>11.604794177102955</v>
      </c>
      <c r="J66" s="184">
        <f t="shared" ref="J66:K86" si="13">SUM(B66,F66)</f>
        <v>3247199</v>
      </c>
      <c r="K66" s="259">
        <f t="shared" si="13"/>
        <v>3582978</v>
      </c>
      <c r="L66" s="344">
        <f t="shared" ref="L66:L111" si="14">IF(J66=0, "    ---- ", IF(ABS(ROUND(100/J66*K66-100,1))&lt;999,ROUND(100/J66*K66-100,1),IF(ROUND(100/J66*K66-100,1)&gt;999,999,-999)))</f>
        <v>10.3</v>
      </c>
      <c r="M66" s="8">
        <f>IFERROR(100/'Skjema total MA'!I66*K66,0)</f>
        <v>10.563888353773944</v>
      </c>
    </row>
    <row r="67" spans="1:13" x14ac:dyDescent="0.2">
      <c r="A67" s="39" t="s">
        <v>9</v>
      </c>
      <c r="B67" s="36">
        <v>209057</v>
      </c>
      <c r="C67" s="109">
        <v>238756</v>
      </c>
      <c r="D67" s="123">
        <f t="shared" si="11"/>
        <v>14.2</v>
      </c>
      <c r="E67" s="23">
        <f>IFERROR(100/'Skjema total MA'!C67*C67,0)</f>
        <v>8.5842259777629142</v>
      </c>
      <c r="F67" s="182"/>
      <c r="G67" s="109"/>
      <c r="H67" s="123"/>
      <c r="I67" s="336"/>
      <c r="J67" s="36">
        <f t="shared" si="13"/>
        <v>209057</v>
      </c>
      <c r="K67" s="36">
        <f t="shared" si="13"/>
        <v>238756</v>
      </c>
      <c r="L67" s="207">
        <f t="shared" si="14"/>
        <v>14.2</v>
      </c>
      <c r="M67" s="23">
        <f>IFERROR(100/'Skjema total MA'!I67*K67,0)</f>
        <v>8.5842259777629142</v>
      </c>
    </row>
    <row r="68" spans="1:13" x14ac:dyDescent="0.2">
      <c r="A68" s="18" t="s">
        <v>10</v>
      </c>
      <c r="B68" s="239"/>
      <c r="C68" s="240"/>
      <c r="D68" s="123"/>
      <c r="E68" s="23"/>
      <c r="F68" s="239">
        <v>3038142</v>
      </c>
      <c r="G68" s="239">
        <v>3344222</v>
      </c>
      <c r="H68" s="123">
        <f t="shared" si="12"/>
        <v>10.1</v>
      </c>
      <c r="I68" s="336">
        <f>IFERROR(100/'Skjema total MA'!F68*G68,0)</f>
        <v>12.054174829882808</v>
      </c>
      <c r="J68" s="36">
        <f t="shared" si="13"/>
        <v>3038142</v>
      </c>
      <c r="K68" s="36">
        <f t="shared" si="13"/>
        <v>3344222</v>
      </c>
      <c r="L68" s="207">
        <f t="shared" si="14"/>
        <v>10.1</v>
      </c>
      <c r="M68" s="23">
        <f>IFERROR(100/'Skjema total MA'!I68*K68,0)</f>
        <v>12.048109859146647</v>
      </c>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v>208245</v>
      </c>
      <c r="C77" s="182">
        <v>237906</v>
      </c>
      <c r="D77" s="123">
        <f t="shared" si="11"/>
        <v>14.2</v>
      </c>
      <c r="E77" s="336">
        <f>IFERROR(100/'Skjema total MA'!C77*C77,0)</f>
        <v>8.7217787921105785</v>
      </c>
      <c r="F77" s="36">
        <v>3038139</v>
      </c>
      <c r="G77" s="109">
        <v>3344220</v>
      </c>
      <c r="H77" s="123">
        <f t="shared" si="12"/>
        <v>10.1</v>
      </c>
      <c r="I77" s="336">
        <f>IFERROR(100/'Skjema total MA'!F77*G77,0)</f>
        <v>12.057146839578355</v>
      </c>
      <c r="J77" s="36">
        <f t="shared" si="13"/>
        <v>3246384</v>
      </c>
      <c r="K77" s="36">
        <f t="shared" si="13"/>
        <v>3582126</v>
      </c>
      <c r="L77" s="207">
        <f t="shared" si="14"/>
        <v>10.3</v>
      </c>
      <c r="M77" s="23">
        <f>IFERROR(100/'Skjema total MA'!I77*K77,0)</f>
        <v>11.758501855072131</v>
      </c>
    </row>
    <row r="78" spans="1:13" x14ac:dyDescent="0.2">
      <c r="A78" s="18" t="s">
        <v>9</v>
      </c>
      <c r="B78" s="182">
        <v>208245</v>
      </c>
      <c r="C78" s="109">
        <v>237906</v>
      </c>
      <c r="D78" s="123">
        <f t="shared" si="11"/>
        <v>14.2</v>
      </c>
      <c r="E78" s="336">
        <f>IFERROR(100/'Skjema total MA'!C78*C78,0)</f>
        <v>8.7666638127453584</v>
      </c>
      <c r="F78" s="36"/>
      <c r="G78" s="109"/>
      <c r="H78" s="123"/>
      <c r="I78" s="336"/>
      <c r="J78" s="36">
        <f t="shared" si="13"/>
        <v>208245</v>
      </c>
      <c r="K78" s="36">
        <f t="shared" si="13"/>
        <v>237906</v>
      </c>
      <c r="L78" s="207">
        <f t="shared" si="14"/>
        <v>14.2</v>
      </c>
      <c r="M78" s="23">
        <f>IFERROR(100/'Skjema total MA'!I78*K78,0)</f>
        <v>8.7666638127453584</v>
      </c>
    </row>
    <row r="79" spans="1:13" x14ac:dyDescent="0.2">
      <c r="A79" s="18" t="s">
        <v>368</v>
      </c>
      <c r="B79" s="239"/>
      <c r="C79" s="240"/>
      <c r="D79" s="123"/>
      <c r="E79" s="336"/>
      <c r="F79" s="143">
        <v>3038139</v>
      </c>
      <c r="G79" s="240">
        <v>3344220</v>
      </c>
      <c r="H79" s="123">
        <f t="shared" si="12"/>
        <v>10.1</v>
      </c>
      <c r="I79" s="336">
        <f>IFERROR(100/'Skjema total MA'!F79*G79,0)</f>
        <v>12.057146839578355</v>
      </c>
      <c r="J79" s="36">
        <f t="shared" si="13"/>
        <v>3038139</v>
      </c>
      <c r="K79" s="36">
        <f t="shared" si="13"/>
        <v>3344220</v>
      </c>
      <c r="L79" s="207">
        <f t="shared" si="14"/>
        <v>10.1</v>
      </c>
      <c r="M79" s="23">
        <f>IFERROR(100/'Skjema total MA'!I79*K79,0)</f>
        <v>12.05107887490886</v>
      </c>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v>812</v>
      </c>
      <c r="C86" s="109">
        <v>850</v>
      </c>
      <c r="D86" s="123">
        <f t="shared" si="11"/>
        <v>4.7</v>
      </c>
      <c r="E86" s="336">
        <f>IFERROR(100/'Skjema total MA'!C86*C86,0)</f>
        <v>1.257833491021259</v>
      </c>
      <c r="F86" s="36">
        <v>3</v>
      </c>
      <c r="G86" s="109">
        <v>2</v>
      </c>
      <c r="H86" s="123">
        <f t="shared" si="12"/>
        <v>-33.299999999999997</v>
      </c>
      <c r="I86" s="336">
        <f>IFERROR(100/'Skjema total MA'!F86*G86,0)</f>
        <v>2.9175247836436557E-2</v>
      </c>
      <c r="J86" s="36">
        <f t="shared" si="13"/>
        <v>815</v>
      </c>
      <c r="K86" s="36">
        <f t="shared" si="13"/>
        <v>852</v>
      </c>
      <c r="L86" s="207">
        <f t="shared" si="14"/>
        <v>4.5</v>
      </c>
      <c r="M86" s="23">
        <f>IFERROR(100/'Skjema total MA'!I86*K86,0)</f>
        <v>1.1446745267113427</v>
      </c>
    </row>
    <row r="87" spans="1:13" ht="15.75" x14ac:dyDescent="0.2">
      <c r="A87" s="10" t="s">
        <v>323</v>
      </c>
      <c r="B87" s="289">
        <v>6227904</v>
      </c>
      <c r="C87" s="289">
        <v>6680989</v>
      </c>
      <c r="D87" s="127">
        <f t="shared" si="11"/>
        <v>7.3</v>
      </c>
      <c r="E87" s="350">
        <f>IFERROR(100/'Skjema total MA'!C87*C87,0)</f>
        <v>1.6234915162050749</v>
      </c>
      <c r="F87" s="226">
        <v>64371179</v>
      </c>
      <c r="G87" s="288">
        <v>78522510</v>
      </c>
      <c r="H87" s="127">
        <f t="shared" si="12"/>
        <v>22</v>
      </c>
      <c r="I87" s="350">
        <f>IFERROR(100/'Skjema total MA'!F87*G87,0)</f>
        <v>10.984357968688423</v>
      </c>
      <c r="J87" s="184">
        <f t="shared" ref="J87:K111" si="15">SUM(B87,F87)</f>
        <v>70599083</v>
      </c>
      <c r="K87" s="184">
        <f t="shared" si="15"/>
        <v>85203499</v>
      </c>
      <c r="L87" s="344">
        <f t="shared" si="14"/>
        <v>20.7</v>
      </c>
      <c r="M87" s="8">
        <f>IFERROR(100/'Skjema total MA'!I87*K87,0)</f>
        <v>7.5643833519761019</v>
      </c>
    </row>
    <row r="88" spans="1:13" x14ac:dyDescent="0.2">
      <c r="A88" s="18" t="s">
        <v>9</v>
      </c>
      <c r="B88" s="182">
        <v>6227904</v>
      </c>
      <c r="C88" s="109">
        <v>6680989</v>
      </c>
      <c r="D88" s="123">
        <f t="shared" si="11"/>
        <v>7.3</v>
      </c>
      <c r="E88" s="336">
        <f>IFERROR(100/'Skjema total MA'!C88*C88,0)</f>
        <v>1.7296052639965829</v>
      </c>
      <c r="F88" s="36"/>
      <c r="G88" s="109"/>
      <c r="H88" s="123"/>
      <c r="I88" s="336"/>
      <c r="J88" s="36">
        <f t="shared" si="15"/>
        <v>6227904</v>
      </c>
      <c r="K88" s="36">
        <f t="shared" si="15"/>
        <v>6680989</v>
      </c>
      <c r="L88" s="207">
        <f t="shared" si="14"/>
        <v>7.3</v>
      </c>
      <c r="M88" s="23">
        <f>IFERROR(100/'Skjema total MA'!I88*K88,0)</f>
        <v>1.7296052639965829</v>
      </c>
    </row>
    <row r="89" spans="1:13" x14ac:dyDescent="0.2">
      <c r="A89" s="18" t="s">
        <v>10</v>
      </c>
      <c r="B89" s="182"/>
      <c r="C89" s="109"/>
      <c r="D89" s="123"/>
      <c r="E89" s="336"/>
      <c r="F89" s="36">
        <v>64371179</v>
      </c>
      <c r="G89" s="109">
        <v>78522510</v>
      </c>
      <c r="H89" s="123">
        <f t="shared" si="12"/>
        <v>22</v>
      </c>
      <c r="I89" s="336">
        <f>IFERROR(100/'Skjema total MA'!F89*G89,0)</f>
        <v>11.160515808868343</v>
      </c>
      <c r="J89" s="36">
        <f t="shared" si="15"/>
        <v>64371179</v>
      </c>
      <c r="K89" s="36">
        <f t="shared" si="15"/>
        <v>78522510</v>
      </c>
      <c r="L89" s="207">
        <f t="shared" si="14"/>
        <v>22</v>
      </c>
      <c r="M89" s="23">
        <f>IFERROR(100/'Skjema total MA'!I89*K89,0)</f>
        <v>11.095857921639478</v>
      </c>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v>6223136</v>
      </c>
      <c r="C98" s="182">
        <v>6674904</v>
      </c>
      <c r="D98" s="123">
        <f t="shared" si="11"/>
        <v>7.3</v>
      </c>
      <c r="E98" s="336">
        <f>IFERROR(100/'Skjema total MA'!C98*C98,0)</f>
        <v>1.7281110848951569</v>
      </c>
      <c r="F98" s="143">
        <v>64371093</v>
      </c>
      <c r="G98" s="239">
        <v>78522409</v>
      </c>
      <c r="H98" s="123">
        <f t="shared" si="12"/>
        <v>22</v>
      </c>
      <c r="I98" s="336">
        <f>IFERROR(100/'Skjema total MA'!F98*G98,0)</f>
        <v>11.166960689835564</v>
      </c>
      <c r="J98" s="36">
        <f t="shared" si="15"/>
        <v>70594229</v>
      </c>
      <c r="K98" s="36">
        <f t="shared" si="15"/>
        <v>85197313</v>
      </c>
      <c r="L98" s="207">
        <f t="shared" si="14"/>
        <v>20.7</v>
      </c>
      <c r="M98" s="23">
        <f>IFERROR(100/'Skjema total MA'!I98*K98,0)</f>
        <v>7.820417279452089</v>
      </c>
    </row>
    <row r="99" spans="1:13" x14ac:dyDescent="0.2">
      <c r="A99" s="18" t="s">
        <v>9</v>
      </c>
      <c r="B99" s="239">
        <v>6223136</v>
      </c>
      <c r="C99" s="240">
        <v>6674904</v>
      </c>
      <c r="D99" s="123">
        <f t="shared" si="11"/>
        <v>7.3</v>
      </c>
      <c r="E99" s="336">
        <f>IFERROR(100/'Skjema total MA'!C99*C99,0)</f>
        <v>1.7466508082770948</v>
      </c>
      <c r="F99" s="36"/>
      <c r="G99" s="109"/>
      <c r="H99" s="123"/>
      <c r="I99" s="336"/>
      <c r="J99" s="36">
        <f t="shared" si="15"/>
        <v>6223136</v>
      </c>
      <c r="K99" s="36">
        <f t="shared" si="15"/>
        <v>6674904</v>
      </c>
      <c r="L99" s="207">
        <f t="shared" si="14"/>
        <v>7.3</v>
      </c>
      <c r="M99" s="23">
        <f>IFERROR(100/'Skjema total MA'!I99*K99,0)</f>
        <v>1.7466508082770948</v>
      </c>
    </row>
    <row r="100" spans="1:13" x14ac:dyDescent="0.2">
      <c r="A100" s="18" t="s">
        <v>368</v>
      </c>
      <c r="B100" s="239"/>
      <c r="C100" s="240"/>
      <c r="D100" s="123"/>
      <c r="E100" s="336"/>
      <c r="F100" s="36">
        <v>64371093</v>
      </c>
      <c r="G100" s="182">
        <v>78522409</v>
      </c>
      <c r="H100" s="123">
        <f t="shared" si="12"/>
        <v>22</v>
      </c>
      <c r="I100" s="336">
        <f>IFERROR(100/'Skjema total MA'!F100*G100,0)</f>
        <v>11.166960689835564</v>
      </c>
      <c r="J100" s="36">
        <f t="shared" si="15"/>
        <v>64371093</v>
      </c>
      <c r="K100" s="36">
        <f t="shared" si="15"/>
        <v>78522409</v>
      </c>
      <c r="L100" s="207">
        <f t="shared" si="14"/>
        <v>22</v>
      </c>
      <c r="M100" s="23">
        <f>IFERROR(100/'Skjema total MA'!I100*K100,0)</f>
        <v>11.102228238643034</v>
      </c>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v>4768</v>
      </c>
      <c r="C107" s="109">
        <v>6085</v>
      </c>
      <c r="D107" s="123">
        <f t="shared" si="11"/>
        <v>27.6</v>
      </c>
      <c r="E107" s="336">
        <f>IFERROR(100/'Skjema total MA'!C107*C107,0)</f>
        <v>0.14776556704542185</v>
      </c>
      <c r="F107" s="36">
        <v>86</v>
      </c>
      <c r="G107" s="109">
        <v>101</v>
      </c>
      <c r="H107" s="123">
        <f t="shared" si="12"/>
        <v>17.399999999999999</v>
      </c>
      <c r="I107" s="336">
        <f>IFERROR(100/'Skjema total MA'!F107*G107,0)</f>
        <v>2.4817914662029709E-2</v>
      </c>
      <c r="J107" s="36">
        <f t="shared" si="15"/>
        <v>4854</v>
      </c>
      <c r="K107" s="36">
        <f t="shared" si="15"/>
        <v>6186</v>
      </c>
      <c r="L107" s="207">
        <f t="shared" si="14"/>
        <v>27.4</v>
      </c>
      <c r="M107" s="23">
        <f>IFERROR(100/'Skjema total MA'!I107*K107,0)</f>
        <v>0.1367079820927023</v>
      </c>
    </row>
    <row r="108" spans="1:13" ht="15.75" x14ac:dyDescent="0.2">
      <c r="A108" s="18" t="s">
        <v>342</v>
      </c>
      <c r="B108" s="182">
        <v>3989858</v>
      </c>
      <c r="C108" s="182">
        <v>3951030</v>
      </c>
      <c r="D108" s="123">
        <f t="shared" si="11"/>
        <v>-1</v>
      </c>
      <c r="E108" s="336">
        <f>IFERROR(100/'Skjema total MA'!C108*C108,0)</f>
        <v>1.1914496029430128</v>
      </c>
      <c r="F108" s="36"/>
      <c r="G108" s="182"/>
      <c r="H108" s="123"/>
      <c r="I108" s="336"/>
      <c r="J108" s="36">
        <f t="shared" si="15"/>
        <v>3989858</v>
      </c>
      <c r="K108" s="36">
        <f t="shared" si="15"/>
        <v>3951030</v>
      </c>
      <c r="L108" s="207">
        <f t="shared" si="14"/>
        <v>-1</v>
      </c>
      <c r="M108" s="23">
        <f>IFERROR(100/'Skjema total MA'!I108*K108,0)</f>
        <v>1.1093399513233435</v>
      </c>
    </row>
    <row r="109" spans="1:13" ht="15.75" x14ac:dyDescent="0.2">
      <c r="A109" s="18" t="s">
        <v>382</v>
      </c>
      <c r="B109" s="182"/>
      <c r="C109" s="182"/>
      <c r="D109" s="123"/>
      <c r="E109" s="336"/>
      <c r="F109" s="36">
        <v>27673127</v>
      </c>
      <c r="G109" s="182">
        <v>34488050</v>
      </c>
      <c r="H109" s="123">
        <f t="shared" si="12"/>
        <v>24.6</v>
      </c>
      <c r="I109" s="336">
        <f>IFERROR(100/'Skjema total MA'!F109*G109,0)</f>
        <v>12.591483822413839</v>
      </c>
      <c r="J109" s="36">
        <f t="shared" si="15"/>
        <v>27673127</v>
      </c>
      <c r="K109" s="36">
        <f t="shared" si="15"/>
        <v>34488050</v>
      </c>
      <c r="L109" s="207">
        <f t="shared" si="14"/>
        <v>24.6</v>
      </c>
      <c r="M109" s="23">
        <f>IFERROR(100/'Skjema total MA'!I109*K109,0)</f>
        <v>12.474064707693181</v>
      </c>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v>83289</v>
      </c>
      <c r="C111" s="118">
        <v>156241</v>
      </c>
      <c r="D111" s="127">
        <f t="shared" si="11"/>
        <v>87.6</v>
      </c>
      <c r="E111" s="350">
        <f>IFERROR(100/'Skjema total MA'!C111*C111,0)</f>
        <v>11.826989186067632</v>
      </c>
      <c r="F111" s="184">
        <v>5088454</v>
      </c>
      <c r="G111" s="118">
        <v>7391171</v>
      </c>
      <c r="H111" s="127">
        <f t="shared" si="12"/>
        <v>45.3</v>
      </c>
      <c r="I111" s="350">
        <f>IFERROR(100/'Skjema total MA'!F111*G111,0)</f>
        <v>20.96972647815727</v>
      </c>
      <c r="J111" s="184">
        <f t="shared" si="15"/>
        <v>5171743</v>
      </c>
      <c r="K111" s="184">
        <f t="shared" si="15"/>
        <v>7547412</v>
      </c>
      <c r="L111" s="344">
        <f t="shared" si="14"/>
        <v>45.9</v>
      </c>
      <c r="M111" s="8">
        <f>IFERROR(100/'Skjema total MA'!I111*K111,0)</f>
        <v>20.639435427496327</v>
      </c>
    </row>
    <row r="112" spans="1:13" x14ac:dyDescent="0.2">
      <c r="A112" s="18" t="s">
        <v>9</v>
      </c>
      <c r="B112" s="182">
        <v>83289</v>
      </c>
      <c r="C112" s="109">
        <v>156241</v>
      </c>
      <c r="D112" s="123">
        <f t="shared" ref="D112:D120" si="16">IF(B112=0, "    ---- ", IF(ABS(ROUND(100/B112*C112-100,1))&lt;999,ROUND(100/B112*C112-100,1),IF(ROUND(100/B112*C112-100,1)&gt;999,999,-999)))</f>
        <v>87.6</v>
      </c>
      <c r="E112" s="336">
        <f>IFERROR(100/'Skjema total MA'!C112*C112,0)</f>
        <v>13.049574125710576</v>
      </c>
      <c r="F112" s="36"/>
      <c r="G112" s="109"/>
      <c r="H112" s="123"/>
      <c r="I112" s="336"/>
      <c r="J112" s="36">
        <f t="shared" ref="J112:K125" si="17">SUM(B112,F112)</f>
        <v>83289</v>
      </c>
      <c r="K112" s="36">
        <f t="shared" si="17"/>
        <v>156241</v>
      </c>
      <c r="L112" s="207">
        <f t="shared" ref="L112:L125" si="18">IF(J112=0, "    ---- ", IF(ABS(ROUND(100/J112*K112-100,1))&lt;999,ROUND(100/J112*K112-100,1),IF(ROUND(100/J112*K112-100,1)&gt;999,999,-999)))</f>
        <v>87.6</v>
      </c>
      <c r="M112" s="23">
        <f>IFERROR(100/'Skjema total MA'!I112*K112,0)</f>
        <v>13.039905070265601</v>
      </c>
    </row>
    <row r="113" spans="1:13" x14ac:dyDescent="0.2">
      <c r="A113" s="18" t="s">
        <v>10</v>
      </c>
      <c r="B113" s="182"/>
      <c r="C113" s="109"/>
      <c r="D113" s="123"/>
      <c r="E113" s="336"/>
      <c r="F113" s="36">
        <v>5088454</v>
      </c>
      <c r="G113" s="109">
        <v>7391171</v>
      </c>
      <c r="H113" s="123">
        <f t="shared" ref="H113:H125" si="19">IF(F113=0, "    ---- ", IF(ABS(ROUND(100/F113*G113-100,1))&lt;999,ROUND(100/F113*G113-100,1),IF(ROUND(100/F113*G113-100,1)&gt;999,999,-999)))</f>
        <v>45.3</v>
      </c>
      <c r="I113" s="336">
        <f>IFERROR(100/'Skjema total MA'!F113*G113,0)</f>
        <v>20.970254669784307</v>
      </c>
      <c r="J113" s="36">
        <f t="shared" si="17"/>
        <v>5088454</v>
      </c>
      <c r="K113" s="36">
        <f t="shared" si="17"/>
        <v>7391171</v>
      </c>
      <c r="L113" s="207">
        <f t="shared" si="18"/>
        <v>45.3</v>
      </c>
      <c r="M113" s="23">
        <f>IFERROR(100/'Skjema total MA'!I113*K113,0)</f>
        <v>20.957480756791274</v>
      </c>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v>11662</v>
      </c>
      <c r="C116" s="182">
        <v>0</v>
      </c>
      <c r="D116" s="123">
        <f t="shared" si="16"/>
        <v>-100</v>
      </c>
      <c r="E116" s="336">
        <f>IFERROR(100/'Skjema total MA'!C116*C116,0)</f>
        <v>0</v>
      </c>
      <c r="F116" s="36"/>
      <c r="G116" s="182"/>
      <c r="H116" s="123"/>
      <c r="I116" s="336"/>
      <c r="J116" s="36">
        <f t="shared" si="17"/>
        <v>11662</v>
      </c>
      <c r="K116" s="36">
        <f t="shared" si="17"/>
        <v>0</v>
      </c>
      <c r="L116" s="207">
        <f t="shared" si="18"/>
        <v>-100</v>
      </c>
      <c r="M116" s="23">
        <f>IFERROR(100/'Skjema total MA'!I116*K116,0)</f>
        <v>0</v>
      </c>
    </row>
    <row r="117" spans="1:13" ht="15.75" x14ac:dyDescent="0.2">
      <c r="A117" s="18" t="s">
        <v>382</v>
      </c>
      <c r="B117" s="182"/>
      <c r="C117" s="182"/>
      <c r="D117" s="123"/>
      <c r="E117" s="336"/>
      <c r="F117" s="36">
        <v>2356479</v>
      </c>
      <c r="G117" s="182">
        <v>3085633</v>
      </c>
      <c r="H117" s="123">
        <f t="shared" si="19"/>
        <v>30.9</v>
      </c>
      <c r="I117" s="336">
        <f>IFERROR(100/'Skjema total MA'!F117*G117,0)</f>
        <v>14.437129588787323</v>
      </c>
      <c r="J117" s="36">
        <f t="shared" si="17"/>
        <v>2356479</v>
      </c>
      <c r="K117" s="36">
        <f t="shared" si="17"/>
        <v>3085633</v>
      </c>
      <c r="L117" s="207">
        <f t="shared" si="18"/>
        <v>30.9</v>
      </c>
      <c r="M117" s="23">
        <f>IFERROR(100/'Skjema total MA'!I117*K117,0)</f>
        <v>14.437129588787323</v>
      </c>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v>19854</v>
      </c>
      <c r="C119" s="118">
        <v>34367</v>
      </c>
      <c r="D119" s="127">
        <f t="shared" si="16"/>
        <v>73.099999999999994</v>
      </c>
      <c r="E119" s="350">
        <f>IFERROR(100/'Skjema total MA'!C119*C119,0)</f>
        <v>9.3404012921143149</v>
      </c>
      <c r="F119" s="184">
        <v>3908015</v>
      </c>
      <c r="G119" s="118">
        <v>5357188</v>
      </c>
      <c r="H119" s="127">
        <f t="shared" si="19"/>
        <v>37.1</v>
      </c>
      <c r="I119" s="350">
        <f>IFERROR(100/'Skjema total MA'!F119*G119,0)</f>
        <v>14.48046183354073</v>
      </c>
      <c r="J119" s="184">
        <f t="shared" si="17"/>
        <v>3927869</v>
      </c>
      <c r="K119" s="184">
        <f t="shared" si="17"/>
        <v>5391555</v>
      </c>
      <c r="L119" s="344">
        <f t="shared" si="18"/>
        <v>37.299999999999997</v>
      </c>
      <c r="M119" s="8">
        <f>IFERROR(100/'Skjema total MA'!I119*K119,0)</f>
        <v>14.429845351345486</v>
      </c>
    </row>
    <row r="120" spans="1:13" x14ac:dyDescent="0.2">
      <c r="A120" s="18" t="s">
        <v>9</v>
      </c>
      <c r="B120" s="182">
        <v>19854</v>
      </c>
      <c r="C120" s="109">
        <v>34367</v>
      </c>
      <c r="D120" s="123">
        <f t="shared" si="16"/>
        <v>73.099999999999994</v>
      </c>
      <c r="E120" s="336">
        <f>IFERROR(100/'Skjema total MA'!C120*C120,0)</f>
        <v>32.395937642930051</v>
      </c>
      <c r="F120" s="36"/>
      <c r="G120" s="109"/>
      <c r="H120" s="123"/>
      <c r="I120" s="336"/>
      <c r="J120" s="36">
        <f t="shared" si="17"/>
        <v>19854</v>
      </c>
      <c r="K120" s="36">
        <f t="shared" si="17"/>
        <v>34367</v>
      </c>
      <c r="L120" s="207">
        <f t="shared" si="18"/>
        <v>73.099999999999994</v>
      </c>
      <c r="M120" s="23">
        <f>IFERROR(100/'Skjema total MA'!I120*K120,0)</f>
        <v>32.395937642930051</v>
      </c>
    </row>
    <row r="121" spans="1:13" x14ac:dyDescent="0.2">
      <c r="A121" s="18" t="s">
        <v>10</v>
      </c>
      <c r="B121" s="182"/>
      <c r="C121" s="109"/>
      <c r="D121" s="123"/>
      <c r="E121" s="336"/>
      <c r="F121" s="36">
        <v>3908015</v>
      </c>
      <c r="G121" s="109">
        <v>5357188</v>
      </c>
      <c r="H121" s="123">
        <f t="shared" si="19"/>
        <v>37.1</v>
      </c>
      <c r="I121" s="336">
        <f>IFERROR(100/'Skjema total MA'!F121*G121,0)</f>
        <v>14.48046183354073</v>
      </c>
      <c r="J121" s="36">
        <f t="shared" si="17"/>
        <v>3908015</v>
      </c>
      <c r="K121" s="36">
        <f t="shared" si="17"/>
        <v>5357188</v>
      </c>
      <c r="L121" s="207">
        <f t="shared" si="18"/>
        <v>37.1</v>
      </c>
      <c r="M121" s="23">
        <f>IFERROR(100/'Skjema total MA'!I121*K121,0)</f>
        <v>14.466779833146076</v>
      </c>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v>1736154</v>
      </c>
      <c r="G125" s="182">
        <v>2111374</v>
      </c>
      <c r="H125" s="123">
        <f t="shared" si="19"/>
        <v>21.6</v>
      </c>
      <c r="I125" s="336">
        <f>IFERROR(100/'Skjema total MA'!F125*G125,0)</f>
        <v>10.145516700894536</v>
      </c>
      <c r="J125" s="36">
        <f t="shared" si="17"/>
        <v>1736154</v>
      </c>
      <c r="K125" s="36">
        <f t="shared" si="17"/>
        <v>2111374</v>
      </c>
      <c r="L125" s="207">
        <f t="shared" si="18"/>
        <v>21.6</v>
      </c>
      <c r="M125" s="23">
        <f>IFERROR(100/'Skjema total MA'!I125*K125,0)</f>
        <v>10.144837093202536</v>
      </c>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400" priority="77">
      <formula>kvartal &lt; 4</formula>
    </cfRule>
  </conditionalFormatting>
  <conditionalFormatting sqref="C115">
    <cfRule type="expression" dxfId="399" priority="76">
      <formula>kvartal &lt; 4</formula>
    </cfRule>
  </conditionalFormatting>
  <conditionalFormatting sqref="F115">
    <cfRule type="expression" dxfId="398" priority="59">
      <formula>kvartal &lt; 4</formula>
    </cfRule>
  </conditionalFormatting>
  <conditionalFormatting sqref="G115">
    <cfRule type="expression" dxfId="397" priority="58">
      <formula>kvartal &lt; 4</formula>
    </cfRule>
  </conditionalFormatting>
  <conditionalFormatting sqref="J115:K115">
    <cfRule type="expression" dxfId="396" priority="33">
      <formula>kvartal &lt; 4</formula>
    </cfRule>
  </conditionalFormatting>
  <conditionalFormatting sqref="J123:K123">
    <cfRule type="expression" dxfId="395" priority="32">
      <formula>kvartal &lt; 4</formula>
    </cfRule>
  </conditionalFormatting>
  <conditionalFormatting sqref="A50:A52">
    <cfRule type="expression" dxfId="394" priority="13">
      <formula>kvartal &lt; 4</formula>
    </cfRule>
  </conditionalFormatting>
  <conditionalFormatting sqref="A69:A74">
    <cfRule type="expression" dxfId="393" priority="11">
      <formula>kvartal &lt; 4</formula>
    </cfRule>
  </conditionalFormatting>
  <conditionalFormatting sqref="A80:A85">
    <cfRule type="expression" dxfId="392" priority="10">
      <formula>kvartal &lt; 4</formula>
    </cfRule>
  </conditionalFormatting>
  <conditionalFormatting sqref="A90:A95">
    <cfRule type="expression" dxfId="391" priority="7">
      <formula>kvartal &lt; 4</formula>
    </cfRule>
  </conditionalFormatting>
  <conditionalFormatting sqref="A101:A106">
    <cfRule type="expression" dxfId="390" priority="6">
      <formula>kvartal &lt; 4</formula>
    </cfRule>
  </conditionalFormatting>
  <conditionalFormatting sqref="A115">
    <cfRule type="expression" dxfId="389" priority="5">
      <formula>kvartal &lt; 4</formula>
    </cfRule>
  </conditionalFormatting>
  <conditionalFormatting sqref="A123">
    <cfRule type="expression" dxfId="388" priority="4">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121</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258844.42776496999</v>
      </c>
      <c r="C7" s="250">
        <v>287555.11676058499</v>
      </c>
      <c r="D7" s="286">
        <f>IF(B7=0, "    ---- ", IF(ABS(ROUND(100/B7*C7-100,1))&lt;999,ROUND(100/B7*C7-100,1),IF(ROUND(100/B7*C7-100,1)&gt;999,999,-999)))</f>
        <v>11.1</v>
      </c>
      <c r="E7" s="8">
        <f>IFERROR(100/'Skjema total MA'!C7*C7,0)</f>
        <v>8.6667264793549563</v>
      </c>
      <c r="F7" s="249"/>
      <c r="G7" s="250"/>
      <c r="H7" s="286"/>
      <c r="I7" s="119"/>
      <c r="J7" s="251">
        <f t="shared" ref="J7:K9" si="0">SUM(B7,F7)</f>
        <v>258844.42776496999</v>
      </c>
      <c r="K7" s="252">
        <f t="shared" si="0"/>
        <v>287555.11676058499</v>
      </c>
      <c r="L7" s="343">
        <f>IF(J7=0, "    ---- ", IF(ABS(ROUND(100/J7*K7-100,1))&lt;999,ROUND(100/J7*K7-100,1),IF(ROUND(100/J7*K7-100,1)&gt;999,999,-999)))</f>
        <v>11.1</v>
      </c>
      <c r="M7" s="8">
        <f>IFERROR(100/'Skjema total MA'!I7*K7,0)</f>
        <v>3.2415775517395109</v>
      </c>
    </row>
    <row r="8" spans="1:15" ht="15.75" x14ac:dyDescent="0.2">
      <c r="A8" s="18" t="s">
        <v>25</v>
      </c>
      <c r="B8" s="229">
        <v>200123.80732628601</v>
      </c>
      <c r="C8" s="230">
        <v>227777.57287740899</v>
      </c>
      <c r="D8" s="123">
        <f t="shared" ref="D8:D9" si="1">IF(B8=0, "    ---- ", IF(ABS(ROUND(100/B8*C8-100,1))&lt;999,ROUND(100/B8*C8-100,1),IF(ROUND(100/B8*C8-100,1)&gt;999,999,-999)))</f>
        <v>13.8</v>
      </c>
      <c r="E8" s="23">
        <f>IFERROR(100/'Skjema total MA'!C8*C8,0)</f>
        <v>10.244286636808452</v>
      </c>
      <c r="F8" s="233"/>
      <c r="G8" s="234"/>
      <c r="H8" s="123"/>
      <c r="I8" s="133"/>
      <c r="J8" s="182">
        <f t="shared" si="0"/>
        <v>200123.80732628601</v>
      </c>
      <c r="K8" s="235">
        <f t="shared" si="0"/>
        <v>227777.57287740899</v>
      </c>
      <c r="L8" s="123">
        <f t="shared" ref="L8:L9" si="2">IF(J8=0, "    ---- ", IF(ABS(ROUND(100/J8*K8-100,1))&lt;999,ROUND(100/J8*K8-100,1),IF(ROUND(100/J8*K8-100,1)&gt;999,999,-999)))</f>
        <v>13.8</v>
      </c>
      <c r="M8" s="23">
        <f>IFERROR(100/'Skjema total MA'!I8*K8,0)</f>
        <v>10.244286636808452</v>
      </c>
    </row>
    <row r="9" spans="1:15" ht="15.75" x14ac:dyDescent="0.2">
      <c r="A9" s="18" t="s">
        <v>24</v>
      </c>
      <c r="B9" s="229">
        <v>58720.6204386838</v>
      </c>
      <c r="C9" s="230">
        <v>59777.543883175997</v>
      </c>
      <c r="D9" s="123">
        <f t="shared" si="1"/>
        <v>1.8</v>
      </c>
      <c r="E9" s="23">
        <f>IFERROR(100/'Skjema total MA'!C9*C9,0)</f>
        <v>8.9923846309432598</v>
      </c>
      <c r="F9" s="233"/>
      <c r="G9" s="234"/>
      <c r="H9" s="123"/>
      <c r="I9" s="133"/>
      <c r="J9" s="182">
        <f t="shared" si="0"/>
        <v>58720.6204386838</v>
      </c>
      <c r="K9" s="235">
        <f t="shared" si="0"/>
        <v>59777.543883175997</v>
      </c>
      <c r="L9" s="123">
        <f t="shared" si="2"/>
        <v>1.8</v>
      </c>
      <c r="M9" s="23">
        <f>IFERROR(100/'Skjema total MA'!I9*K9,0)</f>
        <v>8.9923846309432598</v>
      </c>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172423.47870005399</v>
      </c>
      <c r="C28" s="235">
        <v>205746.56387893399</v>
      </c>
      <c r="D28" s="123">
        <f t="shared" ref="D28" si="3">IF(B28=0, "    ---- ", IF(ABS(ROUND(100/B28*C28-100,1))&lt;999,ROUND(100/B28*C28-100,1),IF(ROUND(100/B28*C28-100,1)&gt;999,999,-999)))</f>
        <v>19.3</v>
      </c>
      <c r="E28" s="23">
        <f>IFERROR(100/'Skjema total MA'!C28*C28,0)</f>
        <v>10.924971883129668</v>
      </c>
      <c r="F28" s="182"/>
      <c r="G28" s="235"/>
      <c r="H28" s="123"/>
      <c r="I28" s="23"/>
      <c r="J28" s="36">
        <f t="shared" ref="J28:K28" si="4">SUM(B28,F28)</f>
        <v>172423.47870005399</v>
      </c>
      <c r="K28" s="36">
        <f t="shared" si="4"/>
        <v>205746.56387893399</v>
      </c>
      <c r="L28" s="207">
        <f t="shared" ref="L28" si="5">IF(J28=0, "    ---- ", IF(ABS(ROUND(100/J28*K28-100,1))&lt;999,ROUND(100/J28*K28-100,1),IF(ROUND(100/J28*K28-100,1)&gt;999,999,-999)))</f>
        <v>19.3</v>
      </c>
      <c r="M28" s="20">
        <f>IFERROR(100/'Skjema total MA'!I28*K28,0)</f>
        <v>10.924971883129668</v>
      </c>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171368.97171000001</v>
      </c>
      <c r="C47" s="254">
        <v>104063.5407</v>
      </c>
      <c r="D47" s="343">
        <f t="shared" ref="D47:D57" si="6">IF(B47=0, "    ---- ", IF(ABS(ROUND(100/B47*C47-100,1))&lt;999,ROUND(100/B47*C47-100,1),IF(ROUND(100/B47*C47-100,1)&gt;999,999,-999)))</f>
        <v>-39.299999999999997</v>
      </c>
      <c r="E47" s="8">
        <f>IFERROR(100/'Skjema total MA'!C47*C47,0)</f>
        <v>1.8763760473984072</v>
      </c>
      <c r="F47" s="109"/>
      <c r="G47" s="27"/>
      <c r="H47" s="118"/>
      <c r="I47" s="118"/>
      <c r="J47" s="31"/>
      <c r="K47" s="31"/>
      <c r="L47" s="118"/>
      <c r="M47" s="118"/>
    </row>
    <row r="48" spans="1:13" ht="15.75" x14ac:dyDescent="0.2">
      <c r="A48" s="18" t="s">
        <v>334</v>
      </c>
      <c r="B48" s="229">
        <v>171368.97171000001</v>
      </c>
      <c r="C48" s="230">
        <v>104063.5407</v>
      </c>
      <c r="D48" s="207">
        <f t="shared" si="6"/>
        <v>-39.299999999999997</v>
      </c>
      <c r="E48" s="23">
        <f>IFERROR(100/'Skjema total MA'!C48*C48,0)</f>
        <v>3.2806433168183884</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6347.3136778481403</v>
      </c>
      <c r="C53" s="254">
        <v>731.178</v>
      </c>
      <c r="D53" s="344">
        <f t="shared" si="6"/>
        <v>-88.5</v>
      </c>
      <c r="E53" s="8">
        <f>IFERROR(100/'Skjema total MA'!C53*C53,0)</f>
        <v>0.27241449840288656</v>
      </c>
      <c r="F53" s="109"/>
      <c r="G53" s="27"/>
      <c r="H53" s="109"/>
      <c r="I53" s="109"/>
      <c r="J53" s="27"/>
      <c r="K53" s="27"/>
      <c r="L53" s="118"/>
      <c r="M53" s="118"/>
    </row>
    <row r="54" spans="1:13" ht="15.75" x14ac:dyDescent="0.2">
      <c r="A54" s="18" t="s">
        <v>334</v>
      </c>
      <c r="B54" s="229">
        <v>6347.3136778481403</v>
      </c>
      <c r="C54" s="230">
        <v>731.178</v>
      </c>
      <c r="D54" s="207">
        <f t="shared" si="6"/>
        <v>-88.5</v>
      </c>
      <c r="E54" s="23">
        <f>IFERROR(100/'Skjema total MA'!C54*C54,0)</f>
        <v>0.27968901593224965</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v>465.17200000000003</v>
      </c>
      <c r="D56" s="344" t="str">
        <f t="shared" si="6"/>
        <v xml:space="preserve">    ---- </v>
      </c>
      <c r="E56" s="8">
        <f>IFERROR(100/'Skjema total MA'!C56*C56,0)</f>
        <v>0.71680014714086937</v>
      </c>
      <c r="F56" s="109"/>
      <c r="G56" s="27"/>
      <c r="H56" s="109"/>
      <c r="I56" s="109"/>
      <c r="J56" s="27"/>
      <c r="K56" s="27"/>
      <c r="L56" s="118"/>
      <c r="M56" s="118"/>
    </row>
    <row r="57" spans="1:13" ht="15.75" x14ac:dyDescent="0.2">
      <c r="A57" s="18" t="s">
        <v>334</v>
      </c>
      <c r="B57" s="229"/>
      <c r="C57" s="230">
        <v>465.17200000000003</v>
      </c>
      <c r="D57" s="207" t="str">
        <f t="shared" si="6"/>
        <v xml:space="preserve">    ---- </v>
      </c>
      <c r="E57" s="23">
        <f>IFERROR(100/'Skjema total MA'!C57*C57,0)</f>
        <v>0.71680014714086937</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87" priority="76">
      <formula>kvartal &lt; 4</formula>
    </cfRule>
  </conditionalFormatting>
  <conditionalFormatting sqref="C115">
    <cfRule type="expression" dxfId="386" priority="75">
      <formula>kvartal &lt; 4</formula>
    </cfRule>
  </conditionalFormatting>
  <conditionalFormatting sqref="F115">
    <cfRule type="expression" dxfId="385" priority="58">
      <formula>kvartal &lt; 4</formula>
    </cfRule>
  </conditionalFormatting>
  <conditionalFormatting sqref="G115">
    <cfRule type="expression" dxfId="384" priority="57">
      <formula>kvartal &lt; 4</formula>
    </cfRule>
  </conditionalFormatting>
  <conditionalFormatting sqref="J115:K115">
    <cfRule type="expression" dxfId="383" priority="32">
      <formula>kvartal &lt; 4</formula>
    </cfRule>
  </conditionalFormatting>
  <conditionalFormatting sqref="J123:K123">
    <cfRule type="expression" dxfId="382" priority="31">
      <formula>kvartal &lt; 4</formula>
    </cfRule>
  </conditionalFormatting>
  <conditionalFormatting sqref="A50:A52">
    <cfRule type="expression" dxfId="381" priority="12">
      <formula>kvartal &lt; 4</formula>
    </cfRule>
  </conditionalFormatting>
  <conditionalFormatting sqref="A69:A74">
    <cfRule type="expression" dxfId="380" priority="10">
      <formula>kvartal &lt; 4</formula>
    </cfRule>
  </conditionalFormatting>
  <conditionalFormatting sqref="A80:A85">
    <cfRule type="expression" dxfId="379" priority="9">
      <formula>kvartal &lt; 4</formula>
    </cfRule>
  </conditionalFormatting>
  <conditionalFormatting sqref="A90:A95">
    <cfRule type="expression" dxfId="378" priority="6">
      <formula>kvartal &lt; 4</formula>
    </cfRule>
  </conditionalFormatting>
  <conditionalFormatting sqref="A101:A106">
    <cfRule type="expression" dxfId="377" priority="5">
      <formula>kvartal &lt; 4</formula>
    </cfRule>
  </conditionalFormatting>
  <conditionalFormatting sqref="A115">
    <cfRule type="expression" dxfId="376" priority="4">
      <formula>kvartal &lt; 4</formula>
    </cfRule>
  </conditionalFormatting>
  <conditionalFormatting sqref="A123">
    <cfRule type="expression" dxfId="375" priority="3">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61</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521"/>
      <c r="H45" s="131"/>
      <c r="I45" s="131"/>
      <c r="J45" s="132"/>
      <c r="K45" s="132"/>
      <c r="L45" s="131"/>
      <c r="M45" s="131"/>
    </row>
    <row r="46" spans="1:13" x14ac:dyDescent="0.2">
      <c r="A46" s="546"/>
      <c r="B46" s="193"/>
      <c r="C46" s="193"/>
      <c r="D46" s="194" t="s">
        <v>4</v>
      </c>
      <c r="E46" s="116" t="s">
        <v>30</v>
      </c>
      <c r="F46" s="131"/>
      <c r="G46" s="522"/>
      <c r="H46" s="131"/>
      <c r="I46" s="131"/>
      <c r="J46" s="131"/>
      <c r="K46" s="131"/>
      <c r="L46" s="131"/>
      <c r="M46" s="131"/>
    </row>
    <row r="47" spans="1:13" ht="15.75" x14ac:dyDescent="0.2">
      <c r="A47" s="11" t="s">
        <v>23</v>
      </c>
      <c r="B47" s="253"/>
      <c r="C47" s="254">
        <v>-76.770560000000003</v>
      </c>
      <c r="D47" s="343" t="str">
        <f t="shared" ref="D47" si="0">IF(B47=0, "    ---- ", IF(ABS(ROUND(100/B47*C47-100,1))&lt;999,ROUND(100/B47*C47-100,1),IF(ROUND(100/B47*C47-100,1)&gt;999,999,-999)))</f>
        <v xml:space="preserve">    ---- </v>
      </c>
      <c r="E47" s="8">
        <f>IFERROR(100/'Skjema total MA'!C47*C47,0)</f>
        <v>-1.3842546482695478E-3</v>
      </c>
      <c r="F47" s="109"/>
      <c r="G47" s="115"/>
      <c r="H47" s="118"/>
      <c r="I47" s="118"/>
      <c r="J47" s="31"/>
      <c r="K47" s="31"/>
      <c r="L47" s="118"/>
      <c r="M47" s="118"/>
    </row>
    <row r="48" spans="1:13" ht="15.75" x14ac:dyDescent="0.2">
      <c r="A48" s="18" t="s">
        <v>334</v>
      </c>
      <c r="B48" s="230"/>
      <c r="C48" s="230"/>
      <c r="D48" s="207"/>
      <c r="E48" s="23"/>
      <c r="F48" s="109"/>
      <c r="G48" s="523"/>
      <c r="H48" s="109"/>
      <c r="I48" s="109"/>
      <c r="J48" s="27"/>
      <c r="K48" s="27"/>
      <c r="L48" s="118"/>
      <c r="M48" s="118"/>
    </row>
    <row r="49" spans="1:13" ht="15.75" x14ac:dyDescent="0.2">
      <c r="A49" s="18" t="s">
        <v>335</v>
      </c>
      <c r="B49" s="36"/>
      <c r="C49" s="235">
        <v>-76.770560000000003</v>
      </c>
      <c r="D49" s="207" t="str">
        <f>IF(B49=0, "    ---- ", IF(ABS(ROUND(100/B49*C49-100,1))&lt;999,ROUND(100/B49*C49-100,1),IF(ROUND(100/B49*C49-100,1)&gt;999,999,-999)))</f>
        <v xml:space="preserve">    ---- </v>
      </c>
      <c r="E49" s="23">
        <f>IFERROR(100/'Skjema total MA'!C49*C49,0)</f>
        <v>-3.2338899150558408E-3</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v>37126670.17317</v>
      </c>
      <c r="C134" s="252">
        <v>42529370.698820002</v>
      </c>
      <c r="D134" s="286">
        <f t="shared" ref="D134:D137" si="1">IF(B134=0, "    ---- ", IF(ABS(ROUND(100/B134*C134-100,1))&lt;999,ROUND(100/B134*C134-100,1),IF(ROUND(100/B134*C134-100,1)&gt;999,999,-999)))</f>
        <v>14.6</v>
      </c>
      <c r="E134" s="8">
        <f>IFERROR(100/'Skjema total MA'!C134*C134,0)</f>
        <v>92.806386819273811</v>
      </c>
      <c r="F134" s="259">
        <v>129541.768</v>
      </c>
      <c r="G134" s="260">
        <v>141671.402</v>
      </c>
      <c r="H134" s="347">
        <f t="shared" ref="H134:H136" si="2">IF(F134=0, "    ---- ", IF(ABS(ROUND(100/F134*G134-100,1))&lt;999,ROUND(100/F134*G134-100,1),IF(ROUND(100/F134*G134-100,1)&gt;999,999,-999)))</f>
        <v>9.4</v>
      </c>
      <c r="I134" s="21">
        <f>IFERROR(100/'Skjema total MA'!F134*G134,0)</f>
        <v>100</v>
      </c>
      <c r="J134" s="261">
        <f t="shared" ref="J134:K137" si="3">SUM(B134,F134)</f>
        <v>37256211.94117</v>
      </c>
      <c r="K134" s="261">
        <f t="shared" si="3"/>
        <v>42671042.100820005</v>
      </c>
      <c r="L134" s="343">
        <f t="shared" ref="L134:L137" si="4">IF(J134=0, "    ---- ", IF(ABS(ROUND(100/J134*K134-100,1))&lt;999,ROUND(100/J134*K134-100,1),IF(ROUND(100/J134*K134-100,1)&gt;999,999,-999)))</f>
        <v>14.5</v>
      </c>
      <c r="M134" s="8">
        <f>IFERROR(100/'Skjema total MA'!I134*K134,0)</f>
        <v>92.828557428385508</v>
      </c>
    </row>
    <row r="135" spans="1:15" ht="15.75" x14ac:dyDescent="0.2">
      <c r="A135" s="10" t="s">
        <v>350</v>
      </c>
      <c r="B135" s="184">
        <v>775383061.84458005</v>
      </c>
      <c r="C135" s="252">
        <v>844010013.91703999</v>
      </c>
      <c r="D135" s="127">
        <f t="shared" si="1"/>
        <v>8.9</v>
      </c>
      <c r="E135" s="8">
        <f>IFERROR(100/'Skjema total MA'!C135*C135,0)</f>
        <v>86.880181331307327</v>
      </c>
      <c r="F135" s="184">
        <v>2890424.3207899998</v>
      </c>
      <c r="G135" s="252">
        <v>3055542.7277899999</v>
      </c>
      <c r="H135" s="348">
        <f t="shared" si="2"/>
        <v>5.7</v>
      </c>
      <c r="I135" s="21">
        <f>IFERROR(100/'Skjema total MA'!F135*G135,0)</f>
        <v>100</v>
      </c>
      <c r="J135" s="251">
        <f t="shared" si="3"/>
        <v>778273486.16537011</v>
      </c>
      <c r="K135" s="251">
        <f t="shared" si="3"/>
        <v>847065556.64482999</v>
      </c>
      <c r="L135" s="344">
        <f t="shared" si="4"/>
        <v>8.8000000000000007</v>
      </c>
      <c r="M135" s="8">
        <f>IFERROR(100/'Skjema total MA'!I135*K135,0)</f>
        <v>86.921317654573031</v>
      </c>
    </row>
    <row r="136" spans="1:15" ht="15.75" x14ac:dyDescent="0.2">
      <c r="A136" s="10" t="s">
        <v>347</v>
      </c>
      <c r="B136" s="184">
        <v>1396.6179999999999</v>
      </c>
      <c r="C136" s="252">
        <v>40408.749000000003</v>
      </c>
      <c r="D136" s="127">
        <f t="shared" si="1"/>
        <v>999</v>
      </c>
      <c r="E136" s="8">
        <f>IFERROR(100/'Skjema total MA'!C136*C136,0)</f>
        <v>1.2406968024958489</v>
      </c>
      <c r="F136" s="184">
        <v>-182.05500000000001</v>
      </c>
      <c r="G136" s="252">
        <v>0</v>
      </c>
      <c r="H136" s="348">
        <f t="shared" si="2"/>
        <v>-100</v>
      </c>
      <c r="I136" s="21">
        <f>IFERROR(100/'Skjema total MA'!F136*G136,0)</f>
        <v>0</v>
      </c>
      <c r="J136" s="251">
        <f t="shared" si="3"/>
        <v>1214.5629999999999</v>
      </c>
      <c r="K136" s="251">
        <f t="shared" si="3"/>
        <v>40408.749000000003</v>
      </c>
      <c r="L136" s="344">
        <f t="shared" si="4"/>
        <v>999</v>
      </c>
      <c r="M136" s="8">
        <f>IFERROR(100/'Skjema total MA'!I136*K136,0)</f>
        <v>1.2406968024958489</v>
      </c>
    </row>
    <row r="137" spans="1:15" ht="15.75" x14ac:dyDescent="0.2">
      <c r="A137" s="33" t="s">
        <v>348</v>
      </c>
      <c r="B137" s="224">
        <v>2418813.69</v>
      </c>
      <c r="C137" s="258">
        <v>4132299.1660000002</v>
      </c>
      <c r="D137" s="125">
        <f t="shared" si="1"/>
        <v>70.8</v>
      </c>
      <c r="E137" s="6">
        <f>IFERROR(100/'Skjema total MA'!C137*C137,0)</f>
        <v>100</v>
      </c>
      <c r="F137" s="224"/>
      <c r="G137" s="258"/>
      <c r="H137" s="349"/>
      <c r="I137" s="30"/>
      <c r="J137" s="257">
        <f t="shared" si="3"/>
        <v>2418813.69</v>
      </c>
      <c r="K137" s="257">
        <f t="shared" si="3"/>
        <v>4132299.1660000002</v>
      </c>
      <c r="L137" s="345">
        <f t="shared" si="4"/>
        <v>70.8</v>
      </c>
      <c r="M137" s="30">
        <f>IFERROR(100/'Skjema total MA'!I137*K137,0)</f>
        <v>100</v>
      </c>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74" priority="76">
      <formula>kvartal &lt; 4</formula>
    </cfRule>
  </conditionalFormatting>
  <conditionalFormatting sqref="C115">
    <cfRule type="expression" dxfId="373" priority="75">
      <formula>kvartal &lt; 4</formula>
    </cfRule>
  </conditionalFormatting>
  <conditionalFormatting sqref="F115">
    <cfRule type="expression" dxfId="372" priority="58">
      <formula>kvartal &lt; 4</formula>
    </cfRule>
  </conditionalFormatting>
  <conditionalFormatting sqref="G115">
    <cfRule type="expression" dxfId="371" priority="57">
      <formula>kvartal &lt; 4</formula>
    </cfRule>
  </conditionalFormatting>
  <conditionalFormatting sqref="J115:K115">
    <cfRule type="expression" dxfId="370" priority="32">
      <formula>kvartal &lt; 4</formula>
    </cfRule>
  </conditionalFormatting>
  <conditionalFormatting sqref="J123:K123">
    <cfRule type="expression" dxfId="369" priority="31">
      <formula>kvartal &lt; 4</formula>
    </cfRule>
  </conditionalFormatting>
  <conditionalFormatting sqref="A50:A52">
    <cfRule type="expression" dxfId="368" priority="12">
      <formula>kvartal &lt; 4</formula>
    </cfRule>
  </conditionalFormatting>
  <conditionalFormatting sqref="A69:A74">
    <cfRule type="expression" dxfId="367" priority="10">
      <formula>kvartal &lt; 4</formula>
    </cfRule>
  </conditionalFormatting>
  <conditionalFormatting sqref="A80:A85">
    <cfRule type="expression" dxfId="366" priority="9">
      <formula>kvartal &lt; 4</formula>
    </cfRule>
  </conditionalFormatting>
  <conditionalFormatting sqref="A90:A95">
    <cfRule type="expression" dxfId="365" priority="6">
      <formula>kvartal &lt; 4</formula>
    </cfRule>
  </conditionalFormatting>
  <conditionalFormatting sqref="A101:A106">
    <cfRule type="expression" dxfId="364" priority="5">
      <formula>kvartal &lt; 4</formula>
    </cfRule>
  </conditionalFormatting>
  <conditionalFormatting sqref="A115">
    <cfRule type="expression" dxfId="363" priority="4">
      <formula>kvartal &lt; 4</formula>
    </cfRule>
  </conditionalFormatting>
  <conditionalFormatting sqref="A123">
    <cfRule type="expression" dxfId="362" priority="3">
      <formula>kvartal &lt; 4</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124</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19579.03</v>
      </c>
      <c r="C7" s="250">
        <v>22529.901000000002</v>
      </c>
      <c r="D7" s="286">
        <f>IF(B7=0, "    ---- ", IF(ABS(ROUND(100/B7*C7-100,1))&lt;999,ROUND(100/B7*C7-100,1),IF(ROUND(100/B7*C7-100,1)&gt;999,999,-999)))</f>
        <v>15.1</v>
      </c>
      <c r="E7" s="8">
        <f>IFERROR(100/'Skjema total MA'!C7*C7,0)</f>
        <v>0.67903674180319773</v>
      </c>
      <c r="F7" s="249"/>
      <c r="G7" s="250"/>
      <c r="H7" s="286"/>
      <c r="I7" s="119"/>
      <c r="J7" s="251">
        <f t="shared" ref="J7:K10" si="0">SUM(B7,F7)</f>
        <v>19579.03</v>
      </c>
      <c r="K7" s="252">
        <f t="shared" si="0"/>
        <v>22529.901000000002</v>
      </c>
      <c r="L7" s="343">
        <f>IF(J7=0, "    ---- ", IF(ABS(ROUND(100/J7*K7-100,1))&lt;999,ROUND(100/J7*K7-100,1),IF(ROUND(100/J7*K7-100,1)&gt;999,999,-999)))</f>
        <v>15.1</v>
      </c>
      <c r="M7" s="8">
        <f>IFERROR(100/'Skjema total MA'!I7*K7,0)</f>
        <v>0.25397712322858612</v>
      </c>
    </row>
    <row r="8" spans="1:15" ht="15.75" x14ac:dyDescent="0.2">
      <c r="A8" s="18" t="s">
        <v>25</v>
      </c>
      <c r="B8" s="229">
        <v>18714.978999999999</v>
      </c>
      <c r="C8" s="230">
        <v>21591.936000000002</v>
      </c>
      <c r="D8" s="123">
        <f t="shared" ref="D8:D10" si="1">IF(B8=0, "    ---- ", IF(ABS(ROUND(100/B8*C8-100,1))&lt;999,ROUND(100/B8*C8-100,1),IF(ROUND(100/B8*C8-100,1)&gt;999,999,-999)))</f>
        <v>15.4</v>
      </c>
      <c r="E8" s="23">
        <f>IFERROR(100/'Skjema total MA'!C8*C8,0)</f>
        <v>0.97109640178083312</v>
      </c>
      <c r="F8" s="233"/>
      <c r="G8" s="234"/>
      <c r="H8" s="123"/>
      <c r="I8" s="133"/>
      <c r="J8" s="182">
        <f t="shared" si="0"/>
        <v>18714.978999999999</v>
      </c>
      <c r="K8" s="235">
        <f t="shared" si="0"/>
        <v>21591.936000000002</v>
      </c>
      <c r="L8" s="123">
        <f t="shared" ref="L8:L9" si="2">IF(J8=0, "    ---- ", IF(ABS(ROUND(100/J8*K8-100,1))&lt;999,ROUND(100/J8*K8-100,1),IF(ROUND(100/J8*K8-100,1)&gt;999,999,-999)))</f>
        <v>15.4</v>
      </c>
      <c r="M8" s="23">
        <f>IFERROR(100/'Skjema total MA'!I8*K8,0)</f>
        <v>0.97109640178083312</v>
      </c>
    </row>
    <row r="9" spans="1:15" ht="15.75" x14ac:dyDescent="0.2">
      <c r="A9" s="18" t="s">
        <v>24</v>
      </c>
      <c r="B9" s="229">
        <v>864.05100000000004</v>
      </c>
      <c r="C9" s="230">
        <v>937.96500000000003</v>
      </c>
      <c r="D9" s="123">
        <f t="shared" si="1"/>
        <v>8.6</v>
      </c>
      <c r="E9" s="23">
        <f>IFERROR(100/'Skjema total MA'!C9*C9,0)</f>
        <v>0.1410988391702146</v>
      </c>
      <c r="F9" s="233"/>
      <c r="G9" s="234"/>
      <c r="H9" s="123"/>
      <c r="I9" s="133"/>
      <c r="J9" s="182">
        <f t="shared" si="0"/>
        <v>864.05100000000004</v>
      </c>
      <c r="K9" s="235">
        <f t="shared" si="0"/>
        <v>937.96500000000003</v>
      </c>
      <c r="L9" s="123">
        <f t="shared" si="2"/>
        <v>8.6</v>
      </c>
      <c r="M9" s="23">
        <f>IFERROR(100/'Skjema total MA'!I9*K9,0)</f>
        <v>0.1410988391702146</v>
      </c>
    </row>
    <row r="10" spans="1:15" ht="15.75" x14ac:dyDescent="0.2">
      <c r="A10" s="10" t="s">
        <v>323</v>
      </c>
      <c r="B10" s="253">
        <v>31312.559000000001</v>
      </c>
      <c r="C10" s="254">
        <v>44036</v>
      </c>
      <c r="D10" s="127">
        <f t="shared" si="1"/>
        <v>40.6</v>
      </c>
      <c r="E10" s="8">
        <f>IFERROR(100/'Skjema total MA'!C10*C10,0)</f>
        <v>0.34814851636549893</v>
      </c>
      <c r="F10" s="253"/>
      <c r="G10" s="254"/>
      <c r="H10" s="127"/>
      <c r="I10" s="119"/>
      <c r="J10" s="251">
        <f t="shared" si="0"/>
        <v>31312.559000000001</v>
      </c>
      <c r="K10" s="252">
        <f t="shared" si="0"/>
        <v>44036</v>
      </c>
      <c r="L10" s="344">
        <f t="shared" ref="L10" si="3">IF(J10=0, "    ---- ", IF(ABS(ROUND(100/J10*K10-100,1))&lt;999,ROUND(100/J10*K10-100,1),IF(ROUND(100/J10*K10-100,1)&gt;999,999,-999)))</f>
        <v>40.6</v>
      </c>
      <c r="M10" s="8">
        <f>IFERROR(100/'Skjema total MA'!I10*K10,0)</f>
        <v>3.9233126065602919E-2</v>
      </c>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17885.642</v>
      </c>
      <c r="C22" s="253">
        <v>22147.809000000001</v>
      </c>
      <c r="D22" s="286">
        <f t="shared" ref="D22:D29" si="4">IF(B22=0, "    ---- ", IF(ABS(ROUND(100/B22*C22-100,1))&lt;999,ROUND(100/B22*C22-100,1),IF(ROUND(100/B22*C22-100,1)&gt;999,999,-999)))</f>
        <v>23.8</v>
      </c>
      <c r="E22" s="8">
        <f>IFERROR(100/'Skjema total MA'!C22*C22,0)</f>
        <v>1.4186179857508214</v>
      </c>
      <c r="F22" s="261"/>
      <c r="G22" s="261"/>
      <c r="H22" s="286"/>
      <c r="I22" s="8"/>
      <c r="J22" s="259">
        <f t="shared" ref="J22:K29" si="5">SUM(B22,F22)</f>
        <v>17885.642</v>
      </c>
      <c r="K22" s="259">
        <f t="shared" si="5"/>
        <v>22147.809000000001</v>
      </c>
      <c r="L22" s="343">
        <f t="shared" ref="L22:L29" si="6">IF(J22=0, "    ---- ", IF(ABS(ROUND(100/J22*K22-100,1))&lt;999,ROUND(100/J22*K22-100,1),IF(ROUND(100/J22*K22-100,1)&gt;999,999,-999)))</f>
        <v>23.8</v>
      </c>
      <c r="M22" s="21">
        <f>IFERROR(100/'Skjema total MA'!I22*K22,0)</f>
        <v>1.0521260853949115</v>
      </c>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17885.642</v>
      </c>
      <c r="C28" s="235">
        <v>22147.809000000001</v>
      </c>
      <c r="D28" s="123">
        <f t="shared" si="4"/>
        <v>23.8</v>
      </c>
      <c r="E28" s="8">
        <f>IFERROR(100/'Skjema total MA'!C28*C28,0)</f>
        <v>1.1760302871463919</v>
      </c>
      <c r="F28" s="182"/>
      <c r="G28" s="235"/>
      <c r="H28" s="123"/>
      <c r="I28" s="23"/>
      <c r="J28" s="36">
        <f t="shared" si="5"/>
        <v>17885.642</v>
      </c>
      <c r="K28" s="36">
        <f t="shared" si="5"/>
        <v>22147.809000000001</v>
      </c>
      <c r="L28" s="207">
        <f t="shared" si="6"/>
        <v>23.8</v>
      </c>
      <c r="M28" s="20">
        <f>IFERROR(100/'Skjema total MA'!I28*K28,0)</f>
        <v>1.1760302871463919</v>
      </c>
    </row>
    <row r="29" spans="1:13" ht="15.75" x14ac:dyDescent="0.2">
      <c r="A29" s="10" t="s">
        <v>323</v>
      </c>
      <c r="B29" s="184">
        <v>112845.91899999999</v>
      </c>
      <c r="C29" s="184">
        <v>156269</v>
      </c>
      <c r="D29" s="127">
        <f t="shared" si="4"/>
        <v>38.5</v>
      </c>
      <c r="E29" s="8">
        <f>IFERROR(100/'Skjema total MA'!C29*C29,0)</f>
        <v>0.35435889644547586</v>
      </c>
      <c r="F29" s="251"/>
      <c r="G29" s="251"/>
      <c r="H29" s="127"/>
      <c r="I29" s="8"/>
      <c r="J29" s="184">
        <f t="shared" si="5"/>
        <v>112845.91899999999</v>
      </c>
      <c r="K29" s="184">
        <f t="shared" si="5"/>
        <v>156269</v>
      </c>
      <c r="L29" s="344">
        <f t="shared" si="6"/>
        <v>38.5</v>
      </c>
      <c r="M29" s="21">
        <f>IFERROR(100/'Skjema total MA'!I29*K29,0)</f>
        <v>0.21076444655398949</v>
      </c>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285813.67800000001</v>
      </c>
      <c r="C47" s="254">
        <v>312863.74800000002</v>
      </c>
      <c r="D47" s="343">
        <f t="shared" ref="D47:D48" si="7">IF(B47=0, "    ---- ", IF(ABS(ROUND(100/B47*C47-100,1))&lt;999,ROUND(100/B47*C47-100,1),IF(ROUND(100/B47*C47-100,1)&gt;999,999,-999)))</f>
        <v>9.5</v>
      </c>
      <c r="E47" s="8">
        <f>IFERROR(100/'Skjema total MA'!C47*C47,0)</f>
        <v>5.6412653163404363</v>
      </c>
      <c r="F47" s="109"/>
      <c r="G47" s="27"/>
      <c r="H47" s="118"/>
      <c r="I47" s="118"/>
      <c r="J47" s="31"/>
      <c r="K47" s="31"/>
      <c r="L47" s="118"/>
      <c r="M47" s="118"/>
    </row>
    <row r="48" spans="1:13" ht="15.75" x14ac:dyDescent="0.2">
      <c r="A48" s="18" t="s">
        <v>334</v>
      </c>
      <c r="B48" s="229">
        <v>285813.67800000001</v>
      </c>
      <c r="C48" s="230">
        <v>312863.74800000002</v>
      </c>
      <c r="D48" s="207">
        <f t="shared" si="7"/>
        <v>9.5</v>
      </c>
      <c r="E48" s="23">
        <f>IFERROR(100/'Skjema total MA'!C48*C48,0)</f>
        <v>9.863150504458595</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61" priority="76">
      <formula>kvartal &lt; 4</formula>
    </cfRule>
  </conditionalFormatting>
  <conditionalFormatting sqref="C115">
    <cfRule type="expression" dxfId="360" priority="75">
      <formula>kvartal &lt; 4</formula>
    </cfRule>
  </conditionalFormatting>
  <conditionalFormatting sqref="F115">
    <cfRule type="expression" dxfId="359" priority="58">
      <formula>kvartal &lt; 4</formula>
    </cfRule>
  </conditionalFormatting>
  <conditionalFormatting sqref="G115">
    <cfRule type="expression" dxfId="358" priority="57">
      <formula>kvartal &lt; 4</formula>
    </cfRule>
  </conditionalFormatting>
  <conditionalFormatting sqref="J115:K115">
    <cfRule type="expression" dxfId="357" priority="32">
      <formula>kvartal &lt; 4</formula>
    </cfRule>
  </conditionalFormatting>
  <conditionalFormatting sqref="J123:K123">
    <cfRule type="expression" dxfId="356" priority="31">
      <formula>kvartal &lt; 4</formula>
    </cfRule>
  </conditionalFormatting>
  <conditionalFormatting sqref="A50:A52">
    <cfRule type="expression" dxfId="355" priority="12">
      <formula>kvartal &lt; 4</formula>
    </cfRule>
  </conditionalFormatting>
  <conditionalFormatting sqref="A69:A74">
    <cfRule type="expression" dxfId="354" priority="10">
      <formula>kvartal &lt; 4</formula>
    </cfRule>
  </conditionalFormatting>
  <conditionalFormatting sqref="A80:A85">
    <cfRule type="expression" dxfId="353" priority="9">
      <formula>kvartal &lt; 4</formula>
    </cfRule>
  </conditionalFormatting>
  <conditionalFormatting sqref="A90:A95">
    <cfRule type="expression" dxfId="352" priority="6">
      <formula>kvartal &lt; 4</formula>
    </cfRule>
  </conditionalFormatting>
  <conditionalFormatting sqref="A101:A106">
    <cfRule type="expression" dxfId="351" priority="5">
      <formula>kvartal &lt; 4</formula>
    </cfRule>
  </conditionalFormatting>
  <conditionalFormatting sqref="A115">
    <cfRule type="expression" dxfId="350" priority="4">
      <formula>kvartal &lt; 4</formula>
    </cfRule>
  </conditionalFormatting>
  <conditionalFormatting sqref="A123">
    <cfRule type="expression" dxfId="349" priority="3">
      <formula>kvartal &lt; 4</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3"/>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361</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30587</v>
      </c>
      <c r="C47" s="254">
        <v>92029</v>
      </c>
      <c r="D47" s="343">
        <f t="shared" ref="D47:D57" si="0">IF(B47=0, "    ---- ", IF(ABS(ROUND(100/B47*C47-100,1))&lt;999,ROUND(100/B47*C47-100,1),IF(ROUND(100/B47*C47-100,1)&gt;999,999,-999)))</f>
        <v>200.9</v>
      </c>
      <c r="E47" s="8">
        <f>IFERROR(100/'Skjema total MA'!C47*C47,0)</f>
        <v>1.6593805102580756</v>
      </c>
      <c r="F47" s="109"/>
      <c r="G47" s="27"/>
      <c r="H47" s="118"/>
      <c r="I47" s="118"/>
      <c r="J47" s="31"/>
      <c r="K47" s="31"/>
      <c r="L47" s="118"/>
      <c r="M47" s="118"/>
    </row>
    <row r="48" spans="1:13" ht="15.75" x14ac:dyDescent="0.2">
      <c r="A48" s="18" t="s">
        <v>334</v>
      </c>
      <c r="B48" s="229">
        <v>30587</v>
      </c>
      <c r="C48" s="230">
        <v>92029</v>
      </c>
      <c r="D48" s="207">
        <f t="shared" si="0"/>
        <v>200.9</v>
      </c>
      <c r="E48" s="23">
        <f>IFERROR(100/'Skjema total MA'!C48*C48,0)</f>
        <v>2.9012497727119859</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2221</v>
      </c>
      <c r="C53" s="254">
        <v>57235</v>
      </c>
      <c r="D53" s="344">
        <f t="shared" si="0"/>
        <v>999</v>
      </c>
      <c r="E53" s="8">
        <f>IFERROR(100/'Skjema total MA'!C53*C53,0)</f>
        <v>21.324005667688596</v>
      </c>
      <c r="F53" s="109"/>
      <c r="G53" s="27"/>
      <c r="H53" s="109"/>
      <c r="I53" s="109"/>
      <c r="J53" s="27"/>
      <c r="K53" s="27"/>
      <c r="L53" s="118"/>
      <c r="M53" s="118"/>
    </row>
    <row r="54" spans="1:13" ht="15.75" x14ac:dyDescent="0.2">
      <c r="A54" s="18" t="s">
        <v>334</v>
      </c>
      <c r="B54" s="229">
        <v>2221</v>
      </c>
      <c r="C54" s="230">
        <v>57235</v>
      </c>
      <c r="D54" s="207">
        <f t="shared" si="0"/>
        <v>999</v>
      </c>
      <c r="E54" s="23">
        <f>IFERROR(100/'Skjema total MA'!C54*C54,0)</f>
        <v>21.893438843732046</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v>736</v>
      </c>
      <c r="C56" s="254">
        <v>338</v>
      </c>
      <c r="D56" s="344">
        <f t="shared" si="0"/>
        <v>-54.1</v>
      </c>
      <c r="E56" s="8">
        <f>IFERROR(100/'Skjema total MA'!C56*C56,0)</f>
        <v>0.52083627074203487</v>
      </c>
      <c r="F56" s="109"/>
      <c r="G56" s="27"/>
      <c r="H56" s="109"/>
      <c r="I56" s="109"/>
      <c r="J56" s="27"/>
      <c r="K56" s="27"/>
      <c r="L56" s="118"/>
      <c r="M56" s="118"/>
    </row>
    <row r="57" spans="1:13" ht="15.75" x14ac:dyDescent="0.2">
      <c r="A57" s="18" t="s">
        <v>334</v>
      </c>
      <c r="B57" s="229">
        <v>736</v>
      </c>
      <c r="C57" s="230">
        <v>338</v>
      </c>
      <c r="D57" s="207">
        <f t="shared" si="0"/>
        <v>-54.1</v>
      </c>
      <c r="E57" s="23">
        <f>IFERROR(100/'Skjema total MA'!C57*C57,0)</f>
        <v>0.52083627074203487</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48" priority="76">
      <formula>kvartal &lt; 4</formula>
    </cfRule>
  </conditionalFormatting>
  <conditionalFormatting sqref="C115">
    <cfRule type="expression" dxfId="347" priority="75">
      <formula>kvartal &lt; 4</formula>
    </cfRule>
  </conditionalFormatting>
  <conditionalFormatting sqref="F115">
    <cfRule type="expression" dxfId="346" priority="58">
      <formula>kvartal &lt; 4</formula>
    </cfRule>
  </conditionalFormatting>
  <conditionalFormatting sqref="G115">
    <cfRule type="expression" dxfId="345" priority="57">
      <formula>kvartal &lt; 4</formula>
    </cfRule>
  </conditionalFormatting>
  <conditionalFormatting sqref="J115:K115">
    <cfRule type="expression" dxfId="344" priority="32">
      <formula>kvartal &lt; 4</formula>
    </cfRule>
  </conditionalFormatting>
  <conditionalFormatting sqref="J123:K123">
    <cfRule type="expression" dxfId="343" priority="31">
      <formula>kvartal &lt; 4</formula>
    </cfRule>
  </conditionalFormatting>
  <conditionalFormatting sqref="A50:A52">
    <cfRule type="expression" dxfId="342" priority="12">
      <formula>kvartal &lt; 4</formula>
    </cfRule>
  </conditionalFormatting>
  <conditionalFormatting sqref="A69:A74">
    <cfRule type="expression" dxfId="341" priority="10">
      <formula>kvartal &lt; 4</formula>
    </cfRule>
  </conditionalFormatting>
  <conditionalFormatting sqref="A80:A85">
    <cfRule type="expression" dxfId="340" priority="9">
      <formula>kvartal &lt; 4</formula>
    </cfRule>
  </conditionalFormatting>
  <conditionalFormatting sqref="A90:A95">
    <cfRule type="expression" dxfId="339" priority="6">
      <formula>kvartal &lt; 4</formula>
    </cfRule>
  </conditionalFormatting>
  <conditionalFormatting sqref="A101:A106">
    <cfRule type="expression" dxfId="338" priority="5">
      <formula>kvartal &lt; 4</formula>
    </cfRule>
  </conditionalFormatting>
  <conditionalFormatting sqref="A115">
    <cfRule type="expression" dxfId="337" priority="4">
      <formula>kvartal &lt; 4</formula>
    </cfRule>
  </conditionalFormatting>
  <conditionalFormatting sqref="A123">
    <cfRule type="expression" dxfId="336" priority="3">
      <formula>kvartal &lt; 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853-0DF0-4C61-8584-51A962037551}">
  <dimension ref="A1:O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371</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21876</v>
      </c>
      <c r="C47" s="254">
        <v>23419.9</v>
      </c>
      <c r="D47" s="343">
        <f t="shared" ref="D47:D48" si="0">IF(B47=0, "    ---- ", IF(ABS(ROUND(100/B47*C47-100,1))&lt;999,ROUND(100/B47*C47-100,1),IF(ROUND(100/B47*C47-100,1)&gt;999,999,-999)))</f>
        <v>7.1</v>
      </c>
      <c r="E47" s="8">
        <f>IFERROR(100/'Skjema total MA'!C47*C47,0)</f>
        <v>0.42228564487491016</v>
      </c>
      <c r="F47" s="109"/>
      <c r="G47" s="27"/>
      <c r="H47" s="118"/>
      <c r="I47" s="118"/>
      <c r="J47" s="31"/>
      <c r="K47" s="31"/>
      <c r="L47" s="118"/>
      <c r="M47" s="118"/>
    </row>
    <row r="48" spans="1:13" ht="15.75" x14ac:dyDescent="0.2">
      <c r="A48" s="18" t="s">
        <v>334</v>
      </c>
      <c r="B48" s="229">
        <v>21876</v>
      </c>
      <c r="C48" s="230">
        <v>23419.9</v>
      </c>
      <c r="D48" s="207">
        <f t="shared" si="0"/>
        <v>7.1</v>
      </c>
      <c r="E48" s="23">
        <f>IFERROR(100/'Skjema total MA'!C48*C48,0)</f>
        <v>0.73832139382083295</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335" priority="42">
      <formula>kvartal &lt; 4</formula>
    </cfRule>
  </conditionalFormatting>
  <conditionalFormatting sqref="C115">
    <cfRule type="expression" dxfId="334" priority="41">
      <formula>kvartal &lt; 4</formula>
    </cfRule>
  </conditionalFormatting>
  <conditionalFormatting sqref="F115">
    <cfRule type="expression" dxfId="333" priority="28">
      <formula>kvartal &lt; 4</formula>
    </cfRule>
  </conditionalFormatting>
  <conditionalFormatting sqref="G115">
    <cfRule type="expression" dxfId="332" priority="27">
      <formula>kvartal &lt; 4</formula>
    </cfRule>
  </conditionalFormatting>
  <conditionalFormatting sqref="J115:K115">
    <cfRule type="expression" dxfId="331" priority="9">
      <formula>kvartal &lt; 4</formula>
    </cfRule>
  </conditionalFormatting>
  <conditionalFormatting sqref="J123:K123">
    <cfRule type="expression" dxfId="330" priority="8">
      <formula>kvartal &lt; 4</formula>
    </cfRule>
  </conditionalFormatting>
  <conditionalFormatting sqref="A50:A52">
    <cfRule type="expression" dxfId="329" priority="7">
      <formula>kvartal &lt; 4</formula>
    </cfRule>
  </conditionalFormatting>
  <conditionalFormatting sqref="A69:A74">
    <cfRule type="expression" dxfId="328" priority="6">
      <formula>kvartal &lt; 4</formula>
    </cfRule>
  </conditionalFormatting>
  <conditionalFormatting sqref="A80:A85">
    <cfRule type="expression" dxfId="327" priority="5">
      <formula>kvartal &lt; 4</formula>
    </cfRule>
  </conditionalFormatting>
  <conditionalFormatting sqref="A90:A95">
    <cfRule type="expression" dxfId="326" priority="4">
      <formula>kvartal &lt; 4</formula>
    </cfRule>
  </conditionalFormatting>
  <conditionalFormatting sqref="A101:A106">
    <cfRule type="expression" dxfId="325" priority="3">
      <formula>kvartal &lt; 4</formula>
    </cfRule>
  </conditionalFormatting>
  <conditionalFormatting sqref="A115">
    <cfRule type="expression" dxfId="324" priority="2">
      <formula>kvartal &lt; 4</formula>
    </cfRule>
  </conditionalFormatting>
  <conditionalFormatting sqref="A123">
    <cfRule type="expression" dxfId="323"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5"/>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63</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281039.85092824203</v>
      </c>
      <c r="C7" s="250">
        <v>291100.06944847503</v>
      </c>
      <c r="D7" s="286">
        <f>IF(B7=0, "    ---- ", IF(ABS(ROUND(100/B7*C7-100,1))&lt;999,ROUND(100/B7*C7-100,1),IF(ROUND(100/B7*C7-100,1)&gt;999,999,-999)))</f>
        <v>3.6</v>
      </c>
      <c r="E7" s="8">
        <f>IFERROR(100/'Skjema total MA'!C7*C7,0)</f>
        <v>8.7735690759128087</v>
      </c>
      <c r="F7" s="249">
        <v>6335243.1922700005</v>
      </c>
      <c r="G7" s="250">
        <v>4297050.4389300002</v>
      </c>
      <c r="H7" s="286">
        <f>IF(F7=0, "    ---- ", IF(ABS(ROUND(100/F7*G7-100,1))&lt;999,ROUND(100/F7*G7-100,1),IF(ROUND(100/F7*G7-100,1)&gt;999,999,-999)))</f>
        <v>-32.200000000000003</v>
      </c>
      <c r="I7" s="119">
        <f>IFERROR(100/'Skjema total MA'!F7*G7,0)</f>
        <v>77.383646998640018</v>
      </c>
      <c r="J7" s="251">
        <f t="shared" ref="J7:K12" si="0">SUM(B7,F7)</f>
        <v>6616283.0431982428</v>
      </c>
      <c r="K7" s="252">
        <f t="shared" si="0"/>
        <v>4588150.508378475</v>
      </c>
      <c r="L7" s="343">
        <f>IF(J7=0, "    ---- ", IF(ABS(ROUND(100/J7*K7-100,1))&lt;999,ROUND(100/J7*K7-100,1),IF(ROUND(100/J7*K7-100,1)&gt;999,999,-999)))</f>
        <v>-30.7</v>
      </c>
      <c r="M7" s="8">
        <f>IFERROR(100/'Skjema total MA'!I7*K7,0)</f>
        <v>51.721721593793944</v>
      </c>
    </row>
    <row r="8" spans="1:15" ht="15.75" x14ac:dyDescent="0.2">
      <c r="A8" s="18" t="s">
        <v>25</v>
      </c>
      <c r="B8" s="229">
        <v>245617.59401011601</v>
      </c>
      <c r="C8" s="230">
        <v>257325.67031058299</v>
      </c>
      <c r="D8" s="123">
        <f t="shared" ref="D8:D10" si="1">IF(B8=0, "    ---- ", IF(ABS(ROUND(100/B8*C8-100,1))&lt;999,ROUND(100/B8*C8-100,1),IF(ROUND(100/B8*C8-100,1)&gt;999,999,-999)))</f>
        <v>4.8</v>
      </c>
      <c r="E8" s="23">
        <f>IFERROR(100/'Skjema total MA'!C8*C8,0)</f>
        <v>11.573211060112817</v>
      </c>
      <c r="F8" s="233"/>
      <c r="G8" s="234"/>
      <c r="H8" s="123"/>
      <c r="I8" s="133"/>
      <c r="J8" s="182">
        <f t="shared" si="0"/>
        <v>245617.59401011601</v>
      </c>
      <c r="K8" s="235">
        <f t="shared" si="0"/>
        <v>257325.67031058299</v>
      </c>
      <c r="L8" s="123">
        <f t="shared" ref="L8:L9" si="2">IF(J8=0, "    ---- ", IF(ABS(ROUND(100/J8*K8-100,1))&lt;999,ROUND(100/J8*K8-100,1),IF(ROUND(100/J8*K8-100,1)&gt;999,999,-999)))</f>
        <v>4.8</v>
      </c>
      <c r="M8" s="23">
        <f>IFERROR(100/'Skjema total MA'!I8*K8,0)</f>
        <v>11.573211060112817</v>
      </c>
    </row>
    <row r="9" spans="1:15" ht="15.75" x14ac:dyDescent="0.2">
      <c r="A9" s="18" t="s">
        <v>24</v>
      </c>
      <c r="B9" s="229">
        <v>32880.336963582697</v>
      </c>
      <c r="C9" s="230">
        <v>31424.358688920998</v>
      </c>
      <c r="D9" s="123">
        <f t="shared" si="1"/>
        <v>-4.4000000000000004</v>
      </c>
      <c r="E9" s="23">
        <f>IFERROR(100/'Skjema total MA'!C9*C9,0)</f>
        <v>4.7271918810138969</v>
      </c>
      <c r="F9" s="233"/>
      <c r="G9" s="234"/>
      <c r="H9" s="123"/>
      <c r="I9" s="133"/>
      <c r="J9" s="182">
        <f t="shared" si="0"/>
        <v>32880.336963582697</v>
      </c>
      <c r="K9" s="235">
        <f t="shared" si="0"/>
        <v>31424.358688920998</v>
      </c>
      <c r="L9" s="123">
        <f t="shared" si="2"/>
        <v>-4.4000000000000004</v>
      </c>
      <c r="M9" s="23">
        <f>IFERROR(100/'Skjema total MA'!I9*K9,0)</f>
        <v>4.7271918810138969</v>
      </c>
    </row>
    <row r="10" spans="1:15" ht="15.75" x14ac:dyDescent="0.2">
      <c r="A10" s="10" t="s">
        <v>323</v>
      </c>
      <c r="B10" s="253">
        <v>564205.42667375598</v>
      </c>
      <c r="C10" s="254">
        <v>515922.95635609399</v>
      </c>
      <c r="D10" s="127">
        <f t="shared" si="1"/>
        <v>-8.6</v>
      </c>
      <c r="E10" s="8">
        <f>IFERROR(100/'Skjema total MA'!C10*C10,0)</f>
        <v>4.0788857256398448</v>
      </c>
      <c r="F10" s="253">
        <v>60532039.801385</v>
      </c>
      <c r="G10" s="254">
        <v>63897940.465504996</v>
      </c>
      <c r="H10" s="127">
        <f t="shared" ref="H10:H12" si="3">IF(F10=0, "    ---- ", IF(ABS(ROUND(100/F10*G10-100,1))&lt;999,ROUND(100/F10*G10-100,1),IF(ROUND(100/F10*G10-100,1)&gt;999,999,-999)))</f>
        <v>5.6</v>
      </c>
      <c r="I10" s="119">
        <f>IFERROR(100/'Skjema total MA'!F10*G10,0)</f>
        <v>64.158900720266743</v>
      </c>
      <c r="J10" s="251">
        <f t="shared" si="0"/>
        <v>61096245.228058755</v>
      </c>
      <c r="K10" s="252">
        <f t="shared" si="0"/>
        <v>64413863.42186109</v>
      </c>
      <c r="L10" s="344">
        <f t="shared" ref="L10:L12" si="4">IF(J10=0, "    ---- ", IF(ABS(ROUND(100/J10*K10-100,1))&lt;999,ROUND(100/J10*K10-100,1),IF(ROUND(100/J10*K10-100,1)&gt;999,999,-999)))</f>
        <v>5.4</v>
      </c>
      <c r="M10" s="8">
        <f>IFERROR(100/'Skjema total MA'!I10*K10,0)</f>
        <v>57.388437278644851</v>
      </c>
    </row>
    <row r="11" spans="1:15" s="35" customFormat="1" ht="15.75" x14ac:dyDescent="0.2">
      <c r="A11" s="10" t="s">
        <v>324</v>
      </c>
      <c r="B11" s="253"/>
      <c r="C11" s="254"/>
      <c r="D11" s="127"/>
      <c r="E11" s="8"/>
      <c r="F11" s="253">
        <v>88772.450700000001</v>
      </c>
      <c r="G11" s="254">
        <v>298162.69377000001</v>
      </c>
      <c r="H11" s="127">
        <f t="shared" si="3"/>
        <v>235.9</v>
      </c>
      <c r="I11" s="119">
        <f>IFERROR(100/'Skjema total MA'!F11*G11,0)</f>
        <v>75.725541561591157</v>
      </c>
      <c r="J11" s="251">
        <f t="shared" si="0"/>
        <v>88772.450700000001</v>
      </c>
      <c r="K11" s="252">
        <f t="shared" si="0"/>
        <v>298162.69377000001</v>
      </c>
      <c r="L11" s="344">
        <f t="shared" si="4"/>
        <v>235.9</v>
      </c>
      <c r="M11" s="8">
        <f>IFERROR(100/'Skjema total MA'!I11*K11,0)</f>
        <v>75.661543636174599</v>
      </c>
      <c r="N11" s="107"/>
      <c r="O11" s="22"/>
    </row>
    <row r="12" spans="1:15" s="35" customFormat="1" ht="15.75" x14ac:dyDescent="0.2">
      <c r="A12" s="33" t="s">
        <v>325</v>
      </c>
      <c r="B12" s="255"/>
      <c r="C12" s="256"/>
      <c r="D12" s="125"/>
      <c r="E12" s="30"/>
      <c r="F12" s="255">
        <v>65311.044580000002</v>
      </c>
      <c r="G12" s="256">
        <v>34688.463909999999</v>
      </c>
      <c r="H12" s="125">
        <f t="shared" si="3"/>
        <v>-46.9</v>
      </c>
      <c r="I12" s="125">
        <f>IFERROR(100/'Skjema total MA'!F12*G12,0)</f>
        <v>8.8793418982267092</v>
      </c>
      <c r="J12" s="257">
        <f t="shared" si="0"/>
        <v>65311.044580000002</v>
      </c>
      <c r="K12" s="258">
        <f t="shared" si="0"/>
        <v>34688.463909999999</v>
      </c>
      <c r="L12" s="345">
        <f t="shared" si="4"/>
        <v>-46.9</v>
      </c>
      <c r="M12" s="30">
        <f>IFERROR(100/'Skjema total MA'!I12*K12,0)</f>
        <v>8.8715800297727494</v>
      </c>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121516.592108813</v>
      </c>
      <c r="C22" s="253">
        <v>136668.87750877801</v>
      </c>
      <c r="D22" s="286">
        <f t="shared" ref="D22:D34" si="5">IF(B22=0, "    ---- ", IF(ABS(ROUND(100/B22*C22-100,1))&lt;999,ROUND(100/B22*C22-100,1),IF(ROUND(100/B22*C22-100,1)&gt;999,999,-999)))</f>
        <v>12.5</v>
      </c>
      <c r="E22" s="8">
        <f>IFERROR(100/'Skjema total MA'!C22*C22,0)</f>
        <v>8.7539551982920027</v>
      </c>
      <c r="F22" s="261">
        <v>123147.85874</v>
      </c>
      <c r="G22" s="261">
        <v>144235.29240000001</v>
      </c>
      <c r="H22" s="286">
        <f t="shared" ref="H22:H35" si="6">IF(F22=0, "    ---- ", IF(ABS(ROUND(100/F22*G22-100,1))&lt;999,ROUND(100/F22*G22-100,1),IF(ROUND(100/F22*G22-100,1)&gt;999,999,-999)))</f>
        <v>17.100000000000001</v>
      </c>
      <c r="I22" s="8">
        <f>IFERROR(100/'Skjema total MA'!F22*G22,0)</f>
        <v>26.522205678832012</v>
      </c>
      <c r="J22" s="259">
        <f t="shared" ref="J22:K35" si="7">SUM(B22,F22)</f>
        <v>244664.45084881299</v>
      </c>
      <c r="K22" s="259">
        <f t="shared" si="7"/>
        <v>280904.16990877804</v>
      </c>
      <c r="L22" s="343">
        <f t="shared" ref="L22:L35" si="8">IF(J22=0, "    ---- ", IF(ABS(ROUND(100/J22*K22-100,1))&lt;999,ROUND(100/J22*K22-100,1),IF(ROUND(100/J22*K22-100,1)&gt;999,999,-999)))</f>
        <v>14.8</v>
      </c>
      <c r="M22" s="21">
        <f>IFERROR(100/'Skjema total MA'!I22*K22,0)</f>
        <v>13.344281804905837</v>
      </c>
    </row>
    <row r="23" spans="1:13" ht="15.75" x14ac:dyDescent="0.2">
      <c r="A23" s="385" t="s">
        <v>326</v>
      </c>
      <c r="B23" s="229">
        <v>121438.07610881299</v>
      </c>
      <c r="C23" s="229">
        <v>136597.29850877801</v>
      </c>
      <c r="D23" s="123">
        <f t="shared" si="5"/>
        <v>12.5</v>
      </c>
      <c r="E23" s="8">
        <f>IFERROR(100/'Skjema total MA'!C23*C23,0)</f>
        <v>13.221589318426279</v>
      </c>
      <c r="F23" s="238">
        <v>969.13400000000001</v>
      </c>
      <c r="G23" s="238">
        <v>764.54</v>
      </c>
      <c r="H23" s="123">
        <f t="shared" si="6"/>
        <v>-21.1</v>
      </c>
      <c r="I23" s="336">
        <f>IFERROR(100/'Skjema total MA'!F23*G23,0)</f>
        <v>2.9288290413312912</v>
      </c>
      <c r="J23" s="238">
        <f t="shared" ref="J23:J26" si="9">SUM(B23,F23)</f>
        <v>122407.210108813</v>
      </c>
      <c r="K23" s="238">
        <f t="shared" ref="K23:K26" si="10">SUM(C23,G23)</f>
        <v>137361.83850877802</v>
      </c>
      <c r="L23" s="123">
        <f t="shared" si="8"/>
        <v>12.2</v>
      </c>
      <c r="M23" s="20">
        <f>IFERROR(100/'Skjema total MA'!I23*K23,0)</f>
        <v>12.967934703549183</v>
      </c>
    </row>
    <row r="24" spans="1:13" ht="15.75" x14ac:dyDescent="0.2">
      <c r="A24" s="385" t="s">
        <v>327</v>
      </c>
      <c r="B24" s="229">
        <v>78.516000000000005</v>
      </c>
      <c r="C24" s="229">
        <v>71.578999999999994</v>
      </c>
      <c r="D24" s="123">
        <f t="shared" si="5"/>
        <v>-8.8000000000000007</v>
      </c>
      <c r="E24" s="8">
        <f>IFERROR(100/'Skjema total MA'!C24*C24,0)</f>
        <v>0.77619521819501236</v>
      </c>
      <c r="F24" s="238"/>
      <c r="G24" s="238"/>
      <c r="H24" s="123"/>
      <c r="I24" s="336"/>
      <c r="J24" s="238">
        <f t="shared" si="9"/>
        <v>78.516000000000005</v>
      </c>
      <c r="K24" s="238">
        <f t="shared" si="10"/>
        <v>71.578999999999994</v>
      </c>
      <c r="L24" s="123">
        <f t="shared" si="8"/>
        <v>-8.8000000000000007</v>
      </c>
      <c r="M24" s="20">
        <f>IFERROR(100/'Skjema total MA'!I24*K24,0)</f>
        <v>0.78425352787206792</v>
      </c>
    </row>
    <row r="25" spans="1:13" ht="15.75" x14ac:dyDescent="0.2">
      <c r="A25" s="385" t="s">
        <v>328</v>
      </c>
      <c r="B25" s="229"/>
      <c r="C25" s="229"/>
      <c r="D25" s="123"/>
      <c r="E25" s="8"/>
      <c r="F25" s="238">
        <v>431.45</v>
      </c>
      <c r="G25" s="238">
        <v>358.53</v>
      </c>
      <c r="H25" s="123">
        <f t="shared" si="6"/>
        <v>-16.899999999999999</v>
      </c>
      <c r="I25" s="336">
        <f>IFERROR(100/'Skjema total MA'!F25*G25,0)</f>
        <v>4.9739406739687535</v>
      </c>
      <c r="J25" s="238">
        <f t="shared" si="9"/>
        <v>431.45</v>
      </c>
      <c r="K25" s="238">
        <f t="shared" si="10"/>
        <v>358.53</v>
      </c>
      <c r="L25" s="123">
        <f t="shared" si="8"/>
        <v>-16.899999999999999</v>
      </c>
      <c r="M25" s="20">
        <f>IFERROR(100/'Skjema total MA'!I25*K25,0)</f>
        <v>1.9915228407144441</v>
      </c>
    </row>
    <row r="26" spans="1:13" ht="15.75" x14ac:dyDescent="0.2">
      <c r="A26" s="385" t="s">
        <v>329</v>
      </c>
      <c r="B26" s="229"/>
      <c r="C26" s="229"/>
      <c r="D26" s="123"/>
      <c r="E26" s="8"/>
      <c r="F26" s="238">
        <v>121747.27473999999</v>
      </c>
      <c r="G26" s="238">
        <v>143112.2224</v>
      </c>
      <c r="H26" s="123">
        <f t="shared" si="6"/>
        <v>17.5</v>
      </c>
      <c r="I26" s="336">
        <f>IFERROR(100/'Skjema total MA'!F26*G26,0)</f>
        <v>28.027638543485882</v>
      </c>
      <c r="J26" s="238">
        <f t="shared" si="9"/>
        <v>121747.27473999999</v>
      </c>
      <c r="K26" s="238">
        <f t="shared" si="10"/>
        <v>143112.2224</v>
      </c>
      <c r="L26" s="123">
        <f t="shared" si="8"/>
        <v>17.5</v>
      </c>
      <c r="M26" s="20">
        <f>IFERROR(100/'Skjema total MA'!I26*K26,0)</f>
        <v>28.027638543485882</v>
      </c>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125771.105472568</v>
      </c>
      <c r="C28" s="235">
        <v>141429.88965232699</v>
      </c>
      <c r="D28" s="123">
        <f t="shared" si="5"/>
        <v>12.5</v>
      </c>
      <c r="E28" s="8">
        <f>IFERROR(100/'Skjema total MA'!C28*C28,0)</f>
        <v>7.509809829898237</v>
      </c>
      <c r="F28" s="182"/>
      <c r="G28" s="235"/>
      <c r="H28" s="123"/>
      <c r="I28" s="23"/>
      <c r="J28" s="36">
        <f t="shared" si="7"/>
        <v>125771.105472568</v>
      </c>
      <c r="K28" s="36">
        <f t="shared" si="7"/>
        <v>141429.88965232699</v>
      </c>
      <c r="L28" s="207">
        <f t="shared" si="8"/>
        <v>12.5</v>
      </c>
      <c r="M28" s="20">
        <f>IFERROR(100/'Skjema total MA'!I28*K28,0)</f>
        <v>7.509809829898237</v>
      </c>
    </row>
    <row r="29" spans="1:13" ht="15.75" x14ac:dyDescent="0.2">
      <c r="A29" s="10" t="s">
        <v>323</v>
      </c>
      <c r="B29" s="184">
        <v>4006481.7096369499</v>
      </c>
      <c r="C29" s="184">
        <v>4233081.7060655598</v>
      </c>
      <c r="D29" s="127">
        <f t="shared" si="5"/>
        <v>5.7</v>
      </c>
      <c r="E29" s="8">
        <f>IFERROR(100/'Skjema total MA'!C29*C29,0)</f>
        <v>9.5990257947828681</v>
      </c>
      <c r="F29" s="251">
        <v>6579937.2599999998</v>
      </c>
      <c r="G29" s="251">
        <v>7065180.5599999996</v>
      </c>
      <c r="H29" s="127">
        <f t="shared" si="6"/>
        <v>7.4</v>
      </c>
      <c r="I29" s="8">
        <f>IFERROR(100/'Skjema total MA'!F29*G29,0)</f>
        <v>23.515459586952247</v>
      </c>
      <c r="J29" s="184">
        <f t="shared" si="7"/>
        <v>10586418.969636951</v>
      </c>
      <c r="K29" s="184">
        <f t="shared" si="7"/>
        <v>11298262.26606556</v>
      </c>
      <c r="L29" s="344">
        <f t="shared" si="8"/>
        <v>6.7</v>
      </c>
      <c r="M29" s="21">
        <f>IFERROR(100/'Skjema total MA'!I29*K29,0)</f>
        <v>15.23828778279205</v>
      </c>
    </row>
    <row r="30" spans="1:13" ht="15.75" x14ac:dyDescent="0.2">
      <c r="A30" s="385" t="s">
        <v>326</v>
      </c>
      <c r="B30" s="229">
        <v>461433.23317284801</v>
      </c>
      <c r="C30" s="229">
        <v>440491.92351246497</v>
      </c>
      <c r="D30" s="123">
        <f t="shared" si="5"/>
        <v>-4.5</v>
      </c>
      <c r="E30" s="8">
        <f>IFERROR(100/'Skjema total MA'!C30*C30,0)</f>
        <v>2.3356231360442372</v>
      </c>
      <c r="F30" s="238">
        <v>388247.14165942202</v>
      </c>
      <c r="G30" s="238">
        <v>363653.83087045001</v>
      </c>
      <c r="H30" s="123">
        <f t="shared" si="6"/>
        <v>-6.3</v>
      </c>
      <c r="I30" s="336">
        <f>IFERROR(100/'Skjema total MA'!F30*G30,0)</f>
        <v>9.9837365729822185</v>
      </c>
      <c r="J30" s="238">
        <f t="shared" ref="J30:J33" si="11">SUM(B30,F30)</f>
        <v>849680.37483226997</v>
      </c>
      <c r="K30" s="238">
        <f t="shared" ref="K30:K33" si="12">SUM(C30,G30)</f>
        <v>804145.75438291498</v>
      </c>
      <c r="L30" s="123">
        <f t="shared" si="8"/>
        <v>-5.4</v>
      </c>
      <c r="M30" s="20">
        <f>IFERROR(100/'Skjema total MA'!I30*K30,0)</f>
        <v>3.5736349449466291</v>
      </c>
    </row>
    <row r="31" spans="1:13" ht="15.75" x14ac:dyDescent="0.2">
      <c r="A31" s="385" t="s">
        <v>327</v>
      </c>
      <c r="B31" s="229">
        <v>2660044.3463964099</v>
      </c>
      <c r="C31" s="229">
        <v>2731967.0633624699</v>
      </c>
      <c r="D31" s="123">
        <f t="shared" si="5"/>
        <v>2.7</v>
      </c>
      <c r="E31" s="8">
        <f>IFERROR(100/'Skjema total MA'!C31*C31,0)</f>
        <v>12.123312653720559</v>
      </c>
      <c r="F31" s="238">
        <v>687685.93319440703</v>
      </c>
      <c r="G31" s="238">
        <v>639322.35493048502</v>
      </c>
      <c r="H31" s="123">
        <f t="shared" si="6"/>
        <v>-7</v>
      </c>
      <c r="I31" s="336">
        <f>IFERROR(100/'Skjema total MA'!F31*G31,0)</f>
        <v>8.6964290077535527</v>
      </c>
      <c r="J31" s="238">
        <f t="shared" si="11"/>
        <v>3347730.2795908172</v>
      </c>
      <c r="K31" s="238">
        <f t="shared" si="12"/>
        <v>3371289.418292955</v>
      </c>
      <c r="L31" s="123">
        <f t="shared" si="8"/>
        <v>0.7</v>
      </c>
      <c r="M31" s="20">
        <f>IFERROR(100/'Skjema total MA'!I31*K31,0)</f>
        <v>11.280356327080804</v>
      </c>
    </row>
    <row r="32" spans="1:13" ht="15.75" x14ac:dyDescent="0.2">
      <c r="A32" s="385" t="s">
        <v>328</v>
      </c>
      <c r="B32" s="229">
        <v>885004.13006769097</v>
      </c>
      <c r="C32" s="229">
        <v>1060622.7191906299</v>
      </c>
      <c r="D32" s="123">
        <f t="shared" si="5"/>
        <v>19.8</v>
      </c>
      <c r="E32" s="8">
        <f>IFERROR(100/'Skjema total MA'!C32*C32,0)</f>
        <v>41.621338582936893</v>
      </c>
      <c r="F32" s="238">
        <v>2683300.68218579</v>
      </c>
      <c r="G32" s="238">
        <v>2771801.0993547998</v>
      </c>
      <c r="H32" s="123">
        <f t="shared" si="6"/>
        <v>3.3</v>
      </c>
      <c r="I32" s="336">
        <f>IFERROR(100/'Skjema total MA'!F32*G32,0)</f>
        <v>39.717644123203556</v>
      </c>
      <c r="J32" s="238">
        <f t="shared" si="11"/>
        <v>3568304.8122534808</v>
      </c>
      <c r="K32" s="238">
        <f t="shared" si="12"/>
        <v>3832423.81854543</v>
      </c>
      <c r="L32" s="123">
        <f t="shared" si="8"/>
        <v>7.4</v>
      </c>
      <c r="M32" s="20">
        <f>IFERROR(100/'Skjema total MA'!I32*K32,0)</f>
        <v>40.226839569484937</v>
      </c>
    </row>
    <row r="33" spans="1:13" ht="15.75" x14ac:dyDescent="0.2">
      <c r="A33" s="385" t="s">
        <v>329</v>
      </c>
      <c r="B33" s="229"/>
      <c r="C33" s="229"/>
      <c r="D33" s="123"/>
      <c r="E33" s="8"/>
      <c r="F33" s="238">
        <v>2820703.5029603802</v>
      </c>
      <c r="G33" s="238">
        <v>3290403.27484426</v>
      </c>
      <c r="H33" s="123">
        <f t="shared" si="6"/>
        <v>16.7</v>
      </c>
      <c r="I33" s="336">
        <f>IFERROR(100/'Skjema total MA'!F33*G33,0)</f>
        <v>27.256363425851575</v>
      </c>
      <c r="J33" s="238">
        <f t="shared" si="11"/>
        <v>2820703.5029603802</v>
      </c>
      <c r="K33" s="238">
        <f t="shared" si="12"/>
        <v>3290403.27484426</v>
      </c>
      <c r="L33" s="123">
        <f t="shared" si="8"/>
        <v>16.7</v>
      </c>
      <c r="M33" s="20">
        <f>IFERROR(100/'Skjema total MA'!I33*K33,0)</f>
        <v>27.256363425851575</v>
      </c>
    </row>
    <row r="34" spans="1:13" ht="15.75" x14ac:dyDescent="0.2">
      <c r="A34" s="10" t="s">
        <v>324</v>
      </c>
      <c r="B34" s="184"/>
      <c r="C34" s="252">
        <v>4264.03665</v>
      </c>
      <c r="D34" s="127" t="str">
        <f t="shared" si="5"/>
        <v xml:space="preserve">    ---- </v>
      </c>
      <c r="E34" s="8">
        <f>IFERROR(100/'Skjema total MA'!C34*C34,0)</f>
        <v>24.123184350955025</v>
      </c>
      <c r="F34" s="251">
        <v>29884.88637</v>
      </c>
      <c r="G34" s="252">
        <v>48963.962030000002</v>
      </c>
      <c r="H34" s="127">
        <f t="shared" si="6"/>
        <v>63.8</v>
      </c>
      <c r="I34" s="8">
        <f>IFERROR(100/'Skjema total MA'!F34*G34,0)</f>
        <v>-33.646841991707269</v>
      </c>
      <c r="J34" s="184">
        <f t="shared" si="7"/>
        <v>29884.88637</v>
      </c>
      <c r="K34" s="184">
        <f t="shared" si="7"/>
        <v>53227.998680000004</v>
      </c>
      <c r="L34" s="344">
        <f t="shared" si="8"/>
        <v>78.099999999999994</v>
      </c>
      <c r="M34" s="21">
        <f>IFERROR(100/'Skjema total MA'!I34*K34,0)</f>
        <v>-41.634104296263004</v>
      </c>
    </row>
    <row r="35" spans="1:13" ht="15.75" x14ac:dyDescent="0.2">
      <c r="A35" s="10" t="s">
        <v>325</v>
      </c>
      <c r="B35" s="184"/>
      <c r="C35" s="252"/>
      <c r="D35" s="127"/>
      <c r="E35" s="8"/>
      <c r="F35" s="251">
        <v>28897.262849999999</v>
      </c>
      <c r="G35" s="252">
        <v>30300.635040000001</v>
      </c>
      <c r="H35" s="127">
        <f t="shared" si="6"/>
        <v>4.9000000000000004</v>
      </c>
      <c r="I35" s="8">
        <f>IFERROR(100/'Skjema total MA'!F35*G35,0)</f>
        <v>23.410346888897184</v>
      </c>
      <c r="J35" s="184">
        <f t="shared" si="7"/>
        <v>28897.262849999999</v>
      </c>
      <c r="K35" s="184">
        <f t="shared" si="7"/>
        <v>30300.635040000001</v>
      </c>
      <c r="L35" s="344">
        <f t="shared" si="8"/>
        <v>4.9000000000000004</v>
      </c>
      <c r="M35" s="21">
        <f>IFERROR(100/'Skjema total MA'!I35*K35,0)</f>
        <v>-24.144096290260379</v>
      </c>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c r="C47" s="254"/>
      <c r="D47" s="343"/>
      <c r="E47" s="8"/>
      <c r="F47" s="109"/>
      <c r="G47" s="27"/>
      <c r="H47" s="118"/>
      <c r="I47" s="118"/>
      <c r="J47" s="31"/>
      <c r="K47" s="31"/>
      <c r="L47" s="118"/>
      <c r="M47" s="118"/>
    </row>
    <row r="48" spans="1:13" ht="15.75" x14ac:dyDescent="0.2">
      <c r="A48" s="18" t="s">
        <v>334</v>
      </c>
      <c r="B48" s="229"/>
      <c r="C48" s="230"/>
      <c r="D48" s="207"/>
      <c r="E48" s="23"/>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699300</v>
      </c>
      <c r="C66" s="289">
        <v>745269</v>
      </c>
      <c r="D66" s="286">
        <f t="shared" ref="D66:D109" si="13">IF(B66=0, "    ---- ", IF(ABS(ROUND(100/B66*C66-100,1))&lt;999,ROUND(100/B66*C66-100,1),IF(ROUND(100/B66*C66-100,1)&gt;999,999,-999)))</f>
        <v>6.6</v>
      </c>
      <c r="E66" s="8">
        <f>IFERROR(100/'Skjema total MA'!C66*C66,0)</f>
        <v>14.614157485082941</v>
      </c>
      <c r="F66" s="288">
        <v>4233425.4060000004</v>
      </c>
      <c r="G66" s="288">
        <v>4697439.0539999995</v>
      </c>
      <c r="H66" s="286">
        <f t="shared" ref="H66:H111" si="14">IF(F66=0, "    ---- ", IF(ABS(ROUND(100/F66*G66-100,1))&lt;999,ROUND(100/F66*G66-100,1),IF(ROUND(100/F66*G66-100,1)&gt;999,999,-999)))</f>
        <v>11</v>
      </c>
      <c r="I66" s="350">
        <f>IFERROR(100/'Skjema total MA'!F66*G66,0)</f>
        <v>16.300596485865832</v>
      </c>
      <c r="J66" s="184">
        <f t="shared" ref="J66:K86" si="15">SUM(B66,F66)</f>
        <v>4932725.4060000004</v>
      </c>
      <c r="K66" s="259">
        <f t="shared" si="15"/>
        <v>5442708.0539999995</v>
      </c>
      <c r="L66" s="344">
        <f t="shared" ref="L66:L111" si="16">IF(J66=0, "    ---- ", IF(ABS(ROUND(100/J66*K66-100,1))&lt;999,ROUND(100/J66*K66-100,1),IF(ROUND(100/J66*K66-100,1)&gt;999,999,-999)))</f>
        <v>10.3</v>
      </c>
      <c r="M66" s="8">
        <f>IFERROR(100/'Skjema total MA'!I66*K66,0)</f>
        <v>16.047031331100062</v>
      </c>
    </row>
    <row r="67" spans="1:13" x14ac:dyDescent="0.2">
      <c r="A67" s="39" t="s">
        <v>9</v>
      </c>
      <c r="B67" s="36">
        <v>464855.945338374</v>
      </c>
      <c r="C67" s="109">
        <v>478548.066685414</v>
      </c>
      <c r="D67" s="123">
        <f t="shared" si="13"/>
        <v>2.9</v>
      </c>
      <c r="E67" s="23">
        <f>IFERROR(100/'Skjema total MA'!C67*C67,0)</f>
        <v>17.205702665688612</v>
      </c>
      <c r="F67" s="182"/>
      <c r="G67" s="109"/>
      <c r="H67" s="123"/>
      <c r="I67" s="336"/>
      <c r="J67" s="36">
        <f t="shared" si="15"/>
        <v>464855.945338374</v>
      </c>
      <c r="K67" s="36">
        <f t="shared" si="15"/>
        <v>478548.066685414</v>
      </c>
      <c r="L67" s="207">
        <f t="shared" si="16"/>
        <v>2.9</v>
      </c>
      <c r="M67" s="23">
        <f>IFERROR(100/'Skjema total MA'!I67*K67,0)</f>
        <v>17.205702665688612</v>
      </c>
    </row>
    <row r="68" spans="1:13" x14ac:dyDescent="0.2">
      <c r="A68" s="18" t="s">
        <v>10</v>
      </c>
      <c r="B68" s="239">
        <v>409</v>
      </c>
      <c r="C68" s="240">
        <v>1600</v>
      </c>
      <c r="D68" s="123">
        <f t="shared" si="13"/>
        <v>291.2</v>
      </c>
      <c r="E68" s="23">
        <f>IFERROR(100/'Skjema total MA'!C68*C68,0)</f>
        <v>11.456516326860426</v>
      </c>
      <c r="F68" s="239">
        <v>4233425.4060000004</v>
      </c>
      <c r="G68" s="240">
        <v>4697439.0539999995</v>
      </c>
      <c r="H68" s="123">
        <f t="shared" si="14"/>
        <v>11</v>
      </c>
      <c r="I68" s="336">
        <f>IFERROR(100/'Skjema total MA'!F68*G68,0)</f>
        <v>16.931816012703493</v>
      </c>
      <c r="J68" s="36">
        <f t="shared" si="15"/>
        <v>4233834.4060000004</v>
      </c>
      <c r="K68" s="36">
        <f t="shared" si="15"/>
        <v>4699039.0539999995</v>
      </c>
      <c r="L68" s="207">
        <f t="shared" si="16"/>
        <v>11</v>
      </c>
      <c r="M68" s="23">
        <f>IFERROR(100/'Skjema total MA'!I68*K68,0)</f>
        <v>16.929061155333745</v>
      </c>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v>234035.054661626</v>
      </c>
      <c r="C76" s="109">
        <v>265120.933314586</v>
      </c>
      <c r="D76" s="123">
        <f t="shared" ref="D76" si="17">IF(B76=0, "    ---- ", IF(ABS(ROUND(100/B76*C76-100,1))&lt;999,ROUND(100/B76*C76-100,1),IF(ROUND(100/B76*C76-100,1)&gt;999,999,-999)))</f>
        <v>13.3</v>
      </c>
      <c r="E76" s="336">
        <f>IFERROR(100/'Skjema total MA'!C77*C76,0)</f>
        <v>9.7194948152956187</v>
      </c>
      <c r="F76" s="36"/>
      <c r="G76" s="109"/>
      <c r="H76" s="123"/>
      <c r="I76" s="336"/>
      <c r="J76" s="36">
        <f t="shared" ref="J76" si="18">SUM(B76,F76)</f>
        <v>234035.054661626</v>
      </c>
      <c r="K76" s="36">
        <f t="shared" ref="K76" si="19">SUM(C76,G76)</f>
        <v>265120.933314586</v>
      </c>
      <c r="L76" s="207">
        <f t="shared" ref="L76" si="20">IF(J76=0, "    ---- ", IF(ABS(ROUND(100/J76*K76-100,1))&lt;999,ROUND(100/J76*K76-100,1),IF(ROUND(100/J76*K76-100,1)&gt;999,999,-999)))</f>
        <v>13.3</v>
      </c>
      <c r="M76" s="23">
        <f>IFERROR(100/'Skjema total MA'!I77*K76,0)</f>
        <v>0.87027228695975922</v>
      </c>
    </row>
    <row r="77" spans="1:13" ht="15.75" x14ac:dyDescent="0.2">
      <c r="A77" s="18" t="s">
        <v>340</v>
      </c>
      <c r="B77" s="182">
        <v>460198.92733837402</v>
      </c>
      <c r="C77" s="182">
        <v>474700.02368541399</v>
      </c>
      <c r="D77" s="123">
        <f t="shared" si="13"/>
        <v>3.2</v>
      </c>
      <c r="E77" s="336">
        <f>IFERROR(100/'Skjema total MA'!C77*C77,0)</f>
        <v>17.402791855580915</v>
      </c>
      <c r="F77" s="36">
        <v>4231874.9859999996</v>
      </c>
      <c r="G77" s="109">
        <v>4695971.8669999996</v>
      </c>
      <c r="H77" s="123">
        <f t="shared" si="14"/>
        <v>11</v>
      </c>
      <c r="I77" s="336">
        <f>IFERROR(100/'Skjema total MA'!F77*G77,0)</f>
        <v>16.930711004344186</v>
      </c>
      <c r="J77" s="36">
        <f t="shared" si="15"/>
        <v>4692073.9133383734</v>
      </c>
      <c r="K77" s="36">
        <f t="shared" si="15"/>
        <v>5170671.890685414</v>
      </c>
      <c r="L77" s="207">
        <f t="shared" si="16"/>
        <v>10.199999999999999</v>
      </c>
      <c r="M77" s="23">
        <f>IFERROR(100/'Skjema total MA'!I77*K77,0)</f>
        <v>16.972980575946732</v>
      </c>
    </row>
    <row r="78" spans="1:13" x14ac:dyDescent="0.2">
      <c r="A78" s="18" t="s">
        <v>9</v>
      </c>
      <c r="B78" s="182">
        <v>459789.92733837402</v>
      </c>
      <c r="C78" s="109">
        <v>473100.02368541399</v>
      </c>
      <c r="D78" s="123">
        <f t="shared" si="13"/>
        <v>2.9</v>
      </c>
      <c r="E78" s="336">
        <f>IFERROR(100/'Skjema total MA'!C78*C78,0)</f>
        <v>17.433393262262786</v>
      </c>
      <c r="F78" s="36"/>
      <c r="G78" s="109"/>
      <c r="H78" s="123"/>
      <c r="I78" s="336"/>
      <c r="J78" s="36">
        <f t="shared" si="15"/>
        <v>459789.92733837402</v>
      </c>
      <c r="K78" s="36">
        <f t="shared" si="15"/>
        <v>473100.02368541399</v>
      </c>
      <c r="L78" s="207">
        <f t="shared" si="16"/>
        <v>2.9</v>
      </c>
      <c r="M78" s="23">
        <f>IFERROR(100/'Skjema total MA'!I78*K78,0)</f>
        <v>17.433393262262786</v>
      </c>
    </row>
    <row r="79" spans="1:13" x14ac:dyDescent="0.2">
      <c r="A79" s="18" t="s">
        <v>368</v>
      </c>
      <c r="B79" s="239">
        <v>409</v>
      </c>
      <c r="C79" s="240">
        <v>1600</v>
      </c>
      <c r="D79" s="123">
        <f t="shared" si="13"/>
        <v>291.2</v>
      </c>
      <c r="E79" s="336">
        <f>IFERROR(100/'Skjema total MA'!C79*C79,0)</f>
        <v>11.456516326860426</v>
      </c>
      <c r="F79" s="143">
        <v>4231874.9859999996</v>
      </c>
      <c r="G79" s="240">
        <v>4695971.8669999996</v>
      </c>
      <c r="H79" s="123">
        <f t="shared" si="14"/>
        <v>11</v>
      </c>
      <c r="I79" s="336">
        <f>IFERROR(100/'Skjema total MA'!F79*G79,0)</f>
        <v>16.930711004344186</v>
      </c>
      <c r="J79" s="36">
        <f t="shared" si="15"/>
        <v>4232283.9859999996</v>
      </c>
      <c r="K79" s="36">
        <f t="shared" si="15"/>
        <v>4697571.8669999996</v>
      </c>
      <c r="L79" s="207">
        <f t="shared" si="16"/>
        <v>11</v>
      </c>
      <c r="M79" s="23">
        <f>IFERROR(100/'Skjema total MA'!I79*K79,0)</f>
        <v>16.927956022561276</v>
      </c>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v>5066.1220000000003</v>
      </c>
      <c r="C86" s="109">
        <v>5448.0429999999997</v>
      </c>
      <c r="D86" s="123">
        <f t="shared" si="13"/>
        <v>7.5</v>
      </c>
      <c r="E86" s="336">
        <f>IFERROR(100/'Skjema total MA'!C86*C86,0)</f>
        <v>8.062036406969332</v>
      </c>
      <c r="F86" s="36">
        <v>1550.42</v>
      </c>
      <c r="G86" s="109">
        <v>1467.1869999999999</v>
      </c>
      <c r="H86" s="123">
        <f t="shared" si="14"/>
        <v>-5.4</v>
      </c>
      <c r="I86" s="336">
        <f>IFERROR(100/'Skjema total MA'!F86*G86,0)</f>
        <v>21.402772173698921</v>
      </c>
      <c r="J86" s="36">
        <f t="shared" si="15"/>
        <v>6616.5420000000004</v>
      </c>
      <c r="K86" s="36">
        <f t="shared" si="15"/>
        <v>6915.23</v>
      </c>
      <c r="L86" s="207">
        <f t="shared" si="16"/>
        <v>4.5</v>
      </c>
      <c r="M86" s="23">
        <f>IFERROR(100/'Skjema total MA'!I86*K86,0)</f>
        <v>9.2907131776409368</v>
      </c>
    </row>
    <row r="87" spans="1:13" ht="15.75" x14ac:dyDescent="0.2">
      <c r="A87" s="10" t="s">
        <v>323</v>
      </c>
      <c r="B87" s="289">
        <v>50107252.863688305</v>
      </c>
      <c r="C87" s="289">
        <v>50757745.337577894</v>
      </c>
      <c r="D87" s="127">
        <f t="shared" si="13"/>
        <v>1.3</v>
      </c>
      <c r="E87" s="350">
        <f>IFERROR(100/'Skjema total MA'!C87*C87,0)</f>
        <v>12.33421712522733</v>
      </c>
      <c r="F87" s="226">
        <v>100462472.93861499</v>
      </c>
      <c r="G87" s="288">
        <v>119979608.97449499</v>
      </c>
      <c r="H87" s="127">
        <f t="shared" si="14"/>
        <v>19.399999999999999</v>
      </c>
      <c r="I87" s="350">
        <f>IFERROR(100/'Skjema total MA'!F87*G87,0)</f>
        <v>16.783709205412755</v>
      </c>
      <c r="J87" s="184">
        <f t="shared" ref="J87:K111" si="21">SUM(B87,F87)</f>
        <v>150569725.80230331</v>
      </c>
      <c r="K87" s="184">
        <f t="shared" si="21"/>
        <v>170737354.31207287</v>
      </c>
      <c r="L87" s="344">
        <f t="shared" si="16"/>
        <v>13.4</v>
      </c>
      <c r="M87" s="8">
        <f>IFERROR(100/'Skjema total MA'!I87*K87,0)</f>
        <v>15.158095802130019</v>
      </c>
    </row>
    <row r="88" spans="1:13" x14ac:dyDescent="0.2">
      <c r="A88" s="18" t="s">
        <v>9</v>
      </c>
      <c r="B88" s="182">
        <v>48157767.241044</v>
      </c>
      <c r="C88" s="109">
        <v>48660291.188577898</v>
      </c>
      <c r="D88" s="123">
        <f t="shared" si="13"/>
        <v>1</v>
      </c>
      <c r="E88" s="336">
        <f>IFERROR(100/'Skjema total MA'!C88*C88,0)</f>
        <v>12.59740074222108</v>
      </c>
      <c r="F88" s="36"/>
      <c r="G88" s="109"/>
      <c r="H88" s="123"/>
      <c r="I88" s="336"/>
      <c r="J88" s="36">
        <f t="shared" si="21"/>
        <v>48157767.241044</v>
      </c>
      <c r="K88" s="36">
        <f t="shared" si="21"/>
        <v>48660291.188577898</v>
      </c>
      <c r="L88" s="207">
        <f t="shared" si="16"/>
        <v>1</v>
      </c>
      <c r="M88" s="23">
        <f>IFERROR(100/'Skjema total MA'!I88*K88,0)</f>
        <v>12.59740074222108</v>
      </c>
    </row>
    <row r="89" spans="1:13" x14ac:dyDescent="0.2">
      <c r="A89" s="18" t="s">
        <v>10</v>
      </c>
      <c r="B89" s="182">
        <v>1614007.2166442999</v>
      </c>
      <c r="C89" s="109">
        <v>1716457.389</v>
      </c>
      <c r="D89" s="123">
        <f t="shared" si="13"/>
        <v>6.3</v>
      </c>
      <c r="E89" s="336">
        <f>IFERROR(100/'Skjema total MA'!C89*C89,0)</f>
        <v>41.866099155364424</v>
      </c>
      <c r="F89" s="36">
        <v>100462472.93861499</v>
      </c>
      <c r="G89" s="109">
        <v>119979608.97449499</v>
      </c>
      <c r="H89" s="123">
        <f t="shared" si="14"/>
        <v>19.399999999999999</v>
      </c>
      <c r="I89" s="336">
        <f>IFERROR(100/'Skjema total MA'!F89*G89,0)</f>
        <v>17.052872134394246</v>
      </c>
      <c r="J89" s="36">
        <f t="shared" si="21"/>
        <v>102076480.1552593</v>
      </c>
      <c r="K89" s="36">
        <f t="shared" si="21"/>
        <v>121696066.36349499</v>
      </c>
      <c r="L89" s="207">
        <f t="shared" si="16"/>
        <v>19.2</v>
      </c>
      <c r="M89" s="23">
        <f>IFERROR(100/'Skjema total MA'!I89*K89,0)</f>
        <v>17.196626317622165</v>
      </c>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v>335478.40600000002</v>
      </c>
      <c r="C97" s="109">
        <v>380996.76</v>
      </c>
      <c r="D97" s="123">
        <f t="shared" ref="D97" si="22">IF(B97=0, "    ---- ", IF(ABS(ROUND(100/B97*C97-100,1))&lt;999,ROUND(100/B97*C97-100,1),IF(ROUND(100/B97*C97-100,1)&gt;999,999,-999)))</f>
        <v>13.6</v>
      </c>
      <c r="E97" s="336">
        <f>IFERROR(100/'Skjema total MA'!C98*C97,0)</f>
        <v>9.8638830500804159E-2</v>
      </c>
      <c r="F97" s="36"/>
      <c r="G97" s="109"/>
      <c r="H97" s="123"/>
      <c r="I97" s="336"/>
      <c r="J97" s="36">
        <f t="shared" ref="J97" si="23">SUM(B97,F97)</f>
        <v>335478.40600000002</v>
      </c>
      <c r="K97" s="36">
        <f t="shared" ref="K97" si="24">SUM(C97,G97)</f>
        <v>380996.76</v>
      </c>
      <c r="L97" s="207">
        <f t="shared" ref="L97" si="25">IF(J97=0, "    ---- ", IF(ABS(ROUND(100/J97*K97-100,1))&lt;999,ROUND(100/J97*K97-100,1),IF(ROUND(100/J97*K97-100,1)&gt;999,999,-999)))</f>
        <v>13.6</v>
      </c>
      <c r="M97" s="23">
        <f>IFERROR(100/'Skjema total MA'!I98*K97,0)</f>
        <v>3.4972389860690331E-2</v>
      </c>
    </row>
    <row r="98" spans="1:13" ht="15.75" x14ac:dyDescent="0.2">
      <c r="A98" s="18" t="s">
        <v>340</v>
      </c>
      <c r="B98" s="182">
        <v>49755517.191688299</v>
      </c>
      <c r="C98" s="182">
        <v>50356846.103577897</v>
      </c>
      <c r="D98" s="123">
        <f t="shared" si="13"/>
        <v>1.2</v>
      </c>
      <c r="E98" s="336">
        <f>IFERROR(100/'Skjema total MA'!C98*C98,0)</f>
        <v>13.037224797832666</v>
      </c>
      <c r="F98" s="143">
        <v>100445825.124615</v>
      </c>
      <c r="G98" s="239">
        <v>119960611.50449499</v>
      </c>
      <c r="H98" s="123">
        <f t="shared" si="14"/>
        <v>19.399999999999999</v>
      </c>
      <c r="I98" s="336">
        <f>IFERROR(100/'Skjema total MA'!F98*G98,0)</f>
        <v>17.060039930758258</v>
      </c>
      <c r="J98" s="36">
        <f t="shared" si="21"/>
        <v>150201342.31630331</v>
      </c>
      <c r="K98" s="36">
        <f t="shared" si="21"/>
        <v>170317457.60807288</v>
      </c>
      <c r="L98" s="207">
        <f t="shared" si="16"/>
        <v>13.4</v>
      </c>
      <c r="M98" s="23">
        <f>IFERROR(100/'Skjema total MA'!I98*K98,0)</f>
        <v>15.633751130983693</v>
      </c>
    </row>
    <row r="99" spans="1:13" x14ac:dyDescent="0.2">
      <c r="A99" s="18" t="s">
        <v>9</v>
      </c>
      <c r="B99" s="239">
        <v>48141509.975043997</v>
      </c>
      <c r="C99" s="240">
        <v>48640388.714577898</v>
      </c>
      <c r="D99" s="123">
        <f t="shared" si="13"/>
        <v>1</v>
      </c>
      <c r="E99" s="336">
        <f>IFERROR(100/'Skjema total MA'!C99*C99,0)</f>
        <v>12.727939497441396</v>
      </c>
      <c r="F99" s="36"/>
      <c r="G99" s="109"/>
      <c r="H99" s="123"/>
      <c r="I99" s="336"/>
      <c r="J99" s="36">
        <f t="shared" si="21"/>
        <v>48141509.975043997</v>
      </c>
      <c r="K99" s="36">
        <f t="shared" si="21"/>
        <v>48640388.714577898</v>
      </c>
      <c r="L99" s="207">
        <f t="shared" si="16"/>
        <v>1</v>
      </c>
      <c r="M99" s="23">
        <f>IFERROR(100/'Skjema total MA'!I99*K99,0)</f>
        <v>12.727939497441396</v>
      </c>
    </row>
    <row r="100" spans="1:13" x14ac:dyDescent="0.2">
      <c r="A100" s="18" t="s">
        <v>368</v>
      </c>
      <c r="B100" s="239">
        <v>1614007.2166442999</v>
      </c>
      <c r="C100" s="240">
        <v>1716457.389</v>
      </c>
      <c r="D100" s="123">
        <f t="shared" si="13"/>
        <v>6.3</v>
      </c>
      <c r="E100" s="336">
        <f>IFERROR(100/'Skjema total MA'!C100*C100,0)</f>
        <v>41.866099155364424</v>
      </c>
      <c r="F100" s="36">
        <v>100445825.124615</v>
      </c>
      <c r="G100" s="182">
        <v>119960611.50449499</v>
      </c>
      <c r="H100" s="123">
        <f t="shared" si="14"/>
        <v>19.399999999999999</v>
      </c>
      <c r="I100" s="336">
        <f>IFERROR(100/'Skjema total MA'!F100*G100,0)</f>
        <v>17.060039930758258</v>
      </c>
      <c r="J100" s="36">
        <f t="shared" si="21"/>
        <v>102059832.3412593</v>
      </c>
      <c r="K100" s="36">
        <f t="shared" si="21"/>
        <v>121677068.89349499</v>
      </c>
      <c r="L100" s="207">
        <f t="shared" si="16"/>
        <v>19.2</v>
      </c>
      <c r="M100" s="23">
        <f>IFERROR(100/'Skjema total MA'!I100*K100,0)</f>
        <v>17.203835280507938</v>
      </c>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v>16257.266</v>
      </c>
      <c r="C107" s="109">
        <v>19902.473999999998</v>
      </c>
      <c r="D107" s="123">
        <f t="shared" si="13"/>
        <v>22.4</v>
      </c>
      <c r="E107" s="336">
        <f>IFERROR(100/'Skjema total MA'!C107*C107,0)</f>
        <v>0.48330326314162114</v>
      </c>
      <c r="F107" s="36">
        <v>16647.813999999998</v>
      </c>
      <c r="G107" s="109">
        <v>18997.47</v>
      </c>
      <c r="H107" s="123">
        <f t="shared" si="14"/>
        <v>14.1</v>
      </c>
      <c r="I107" s="336">
        <f>IFERROR(100/'Skjema total MA'!F107*G107,0)</f>
        <v>4.6680949431135597</v>
      </c>
      <c r="J107" s="36">
        <f t="shared" si="21"/>
        <v>32905.08</v>
      </c>
      <c r="K107" s="36">
        <f t="shared" si="21"/>
        <v>38899.944000000003</v>
      </c>
      <c r="L107" s="207">
        <f t="shared" si="16"/>
        <v>18.2</v>
      </c>
      <c r="M107" s="23">
        <f>IFERROR(100/'Skjema total MA'!I107*K107,0)</f>
        <v>0.85967229999339201</v>
      </c>
    </row>
    <row r="108" spans="1:13" ht="15.75" x14ac:dyDescent="0.2">
      <c r="A108" s="18" t="s">
        <v>342</v>
      </c>
      <c r="B108" s="182">
        <v>39869371.65253</v>
      </c>
      <c r="C108" s="182">
        <v>40176337.6452116</v>
      </c>
      <c r="D108" s="123">
        <f t="shared" si="13"/>
        <v>0.8</v>
      </c>
      <c r="E108" s="336">
        <f>IFERROR(100/'Skjema total MA'!C108*C108,0)</f>
        <v>12.115342463887083</v>
      </c>
      <c r="F108" s="36"/>
      <c r="G108" s="182"/>
      <c r="H108" s="123"/>
      <c r="I108" s="336"/>
      <c r="J108" s="36">
        <f t="shared" si="21"/>
        <v>39869371.65253</v>
      </c>
      <c r="K108" s="36">
        <f t="shared" si="21"/>
        <v>40176337.6452116</v>
      </c>
      <c r="L108" s="207">
        <f t="shared" si="16"/>
        <v>0.8</v>
      </c>
      <c r="M108" s="23">
        <f>IFERROR(100/'Skjema total MA'!I108*K108,0)</f>
        <v>11.280404463567537</v>
      </c>
    </row>
    <row r="109" spans="1:13" ht="15.75" x14ac:dyDescent="0.2">
      <c r="A109" s="18" t="s">
        <v>382</v>
      </c>
      <c r="B109" s="182">
        <v>1207917.2678048401</v>
      </c>
      <c r="C109" s="182">
        <v>1270342.9168768399</v>
      </c>
      <c r="D109" s="123">
        <f t="shared" si="13"/>
        <v>5.2</v>
      </c>
      <c r="E109" s="336">
        <f>IFERROR(100/'Skjema total MA'!C109*C109,0)</f>
        <v>49.271800613011379</v>
      </c>
      <c r="F109" s="36">
        <v>42424098.567819998</v>
      </c>
      <c r="G109" s="182">
        <v>53299413.091979899</v>
      </c>
      <c r="H109" s="123">
        <f t="shared" si="14"/>
        <v>25.6</v>
      </c>
      <c r="I109" s="336">
        <f>IFERROR(100/'Skjema total MA'!F109*G109,0)</f>
        <v>19.459456179511953</v>
      </c>
      <c r="J109" s="36">
        <f t="shared" si="21"/>
        <v>43632015.835624836</v>
      </c>
      <c r="K109" s="36">
        <f t="shared" si="21"/>
        <v>54569756.008856736</v>
      </c>
      <c r="L109" s="207">
        <f t="shared" si="16"/>
        <v>25.1</v>
      </c>
      <c r="M109" s="23">
        <f>IFERROR(100/'Skjema total MA'!I109*K109,0)</f>
        <v>19.737464644638003</v>
      </c>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v>5834428.2609999999</v>
      </c>
      <c r="G111" s="118">
        <v>6802431.8959999997</v>
      </c>
      <c r="H111" s="127">
        <f t="shared" si="14"/>
        <v>16.600000000000001</v>
      </c>
      <c r="I111" s="350">
        <f>IFERROR(100/'Skjema total MA'!F111*G111,0)</f>
        <v>19.299396028777139</v>
      </c>
      <c r="J111" s="184">
        <f t="shared" si="21"/>
        <v>5834428.2609999999</v>
      </c>
      <c r="K111" s="184">
        <f t="shared" si="21"/>
        <v>6802431.8959999997</v>
      </c>
      <c r="L111" s="344">
        <f t="shared" si="16"/>
        <v>16.600000000000001</v>
      </c>
      <c r="M111" s="8">
        <f>IFERROR(100/'Skjema total MA'!I111*K111,0)</f>
        <v>18.602184943320093</v>
      </c>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v>5834428.2609999999</v>
      </c>
      <c r="G113" s="109">
        <v>6802431.8959999997</v>
      </c>
      <c r="H113" s="123">
        <f t="shared" ref="H113:H125" si="26">IF(F113=0, "    ---- ", IF(ABS(ROUND(100/F113*G113-100,1))&lt;999,ROUND(100/F113*G113-100,1),IF(ROUND(100/F113*G113-100,1)&gt;999,999,-999)))</f>
        <v>16.600000000000001</v>
      </c>
      <c r="I113" s="336">
        <f>IFERROR(100/'Skjema total MA'!F113*G113,0)</f>
        <v>19.299882147630424</v>
      </c>
      <c r="J113" s="36">
        <f t="shared" ref="J113:K125" si="27">SUM(B113,F113)</f>
        <v>5834428.2609999999</v>
      </c>
      <c r="K113" s="36">
        <f t="shared" si="27"/>
        <v>6802431.8959999997</v>
      </c>
      <c r="L113" s="207">
        <f t="shared" ref="L113:L125" si="28">IF(J113=0, "    ---- ", IF(ABS(ROUND(100/J113*K113-100,1))&lt;999,ROUND(100/J113*K113-100,1),IF(ROUND(100/J113*K113-100,1)&gt;999,999,-999)))</f>
        <v>16.600000000000001</v>
      </c>
      <c r="M113" s="23">
        <f>IFERROR(100/'Skjema total MA'!I113*K113,0)</f>
        <v>19.288125732688794</v>
      </c>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v>3425127.1009999998</v>
      </c>
      <c r="G117" s="182">
        <v>4154893.7549999999</v>
      </c>
      <c r="H117" s="123">
        <f t="shared" si="26"/>
        <v>21.3</v>
      </c>
      <c r="I117" s="336">
        <f>IFERROR(100/'Skjema total MA'!F117*G117,0)</f>
        <v>19.440011034552121</v>
      </c>
      <c r="J117" s="36">
        <f t="shared" si="27"/>
        <v>3425127.1009999998</v>
      </c>
      <c r="K117" s="36">
        <f t="shared" si="27"/>
        <v>4154893.7549999999</v>
      </c>
      <c r="L117" s="207">
        <f t="shared" si="28"/>
        <v>21.3</v>
      </c>
      <c r="M117" s="23">
        <f>IFERROR(100/'Skjema total MA'!I117*K117,0)</f>
        <v>19.440011034552121</v>
      </c>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v>14590.871569999499</v>
      </c>
      <c r="C119" s="118">
        <v>6560.1270500002402</v>
      </c>
      <c r="D119" s="127">
        <f t="shared" ref="D119:D120" si="29">IF(B119=0, "    ---- ", IF(ABS(ROUND(100/B119*C119-100,1))&lt;999,ROUND(100/B119*C119-100,1),IF(ROUND(100/B119*C119-100,1)&gt;999,999,-999)))</f>
        <v>-55</v>
      </c>
      <c r="E119" s="350">
        <f>IFERROR(100/'Skjema total MA'!C119*C119,0)</f>
        <v>1.7829376778379351</v>
      </c>
      <c r="F119" s="184">
        <v>5667200.8210000005</v>
      </c>
      <c r="G119" s="118">
        <v>6903450.7740000002</v>
      </c>
      <c r="H119" s="127">
        <f t="shared" si="26"/>
        <v>21.8</v>
      </c>
      <c r="I119" s="350">
        <f>IFERROR(100/'Skjema total MA'!F119*G119,0)</f>
        <v>18.660005109515332</v>
      </c>
      <c r="J119" s="184">
        <f t="shared" si="27"/>
        <v>5681791.69257</v>
      </c>
      <c r="K119" s="184">
        <f t="shared" si="27"/>
        <v>6910010.9010500005</v>
      </c>
      <c r="L119" s="344">
        <f t="shared" si="28"/>
        <v>21.6</v>
      </c>
      <c r="M119" s="8">
        <f>IFERROR(100/'Skjema total MA'!I119*K119,0)</f>
        <v>18.493809054764903</v>
      </c>
    </row>
    <row r="120" spans="1:13" x14ac:dyDescent="0.2">
      <c r="A120" s="18" t="s">
        <v>9</v>
      </c>
      <c r="B120" s="182">
        <v>14590.871569999499</v>
      </c>
      <c r="C120" s="109">
        <v>6560.1270500002402</v>
      </c>
      <c r="D120" s="123">
        <f t="shared" si="29"/>
        <v>-55</v>
      </c>
      <c r="E120" s="336">
        <f>IFERROR(100/'Skjema total MA'!C120*C120,0)</f>
        <v>6.1838818297060092</v>
      </c>
      <c r="F120" s="36"/>
      <c r="G120" s="109"/>
      <c r="H120" s="123"/>
      <c r="I120" s="336"/>
      <c r="J120" s="36">
        <f t="shared" si="27"/>
        <v>14590.871569999499</v>
      </c>
      <c r="K120" s="36">
        <f t="shared" si="27"/>
        <v>6560.1270500002402</v>
      </c>
      <c r="L120" s="207">
        <f t="shared" si="28"/>
        <v>-55</v>
      </c>
      <c r="M120" s="23">
        <f>IFERROR(100/'Skjema total MA'!I120*K120,0)</f>
        <v>6.1838818297060092</v>
      </c>
    </row>
    <row r="121" spans="1:13" x14ac:dyDescent="0.2">
      <c r="A121" s="18" t="s">
        <v>10</v>
      </c>
      <c r="B121" s="182"/>
      <c r="C121" s="109"/>
      <c r="D121" s="123"/>
      <c r="E121" s="336"/>
      <c r="F121" s="36">
        <v>5667200.8210000005</v>
      </c>
      <c r="G121" s="109">
        <v>6903450.7740000002</v>
      </c>
      <c r="H121" s="123">
        <f t="shared" si="26"/>
        <v>21.8</v>
      </c>
      <c r="I121" s="336">
        <f>IFERROR(100/'Skjema total MA'!F121*G121,0)</f>
        <v>18.660005109515332</v>
      </c>
      <c r="J121" s="36">
        <f t="shared" si="27"/>
        <v>5667200.8210000005</v>
      </c>
      <c r="K121" s="36">
        <f t="shared" si="27"/>
        <v>6903450.7740000002</v>
      </c>
      <c r="L121" s="207">
        <f t="shared" si="28"/>
        <v>21.8</v>
      </c>
      <c r="M121" s="23">
        <f>IFERROR(100/'Skjema total MA'!I121*K121,0)</f>
        <v>18.642374028393231</v>
      </c>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v>3154159.6490000002</v>
      </c>
      <c r="G125" s="182">
        <v>3983029.395</v>
      </c>
      <c r="H125" s="123">
        <f t="shared" si="26"/>
        <v>26.3</v>
      </c>
      <c r="I125" s="336">
        <f>IFERROR(100/'Skjema total MA'!F125*G125,0)</f>
        <v>19.139144105746475</v>
      </c>
      <c r="J125" s="36">
        <f t="shared" si="27"/>
        <v>3154159.6490000002</v>
      </c>
      <c r="K125" s="36">
        <f t="shared" si="27"/>
        <v>3983029.395</v>
      </c>
      <c r="L125" s="207">
        <f t="shared" si="28"/>
        <v>26.3</v>
      </c>
      <c r="M125" s="23">
        <f>IFERROR(100/'Skjema total MA'!I125*K125,0)</f>
        <v>19.137862050831384</v>
      </c>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322" priority="76">
      <formula>kvartal &lt; 4</formula>
    </cfRule>
  </conditionalFormatting>
  <conditionalFormatting sqref="C115">
    <cfRule type="expression" dxfId="321" priority="75">
      <formula>kvartal &lt; 4</formula>
    </cfRule>
  </conditionalFormatting>
  <conditionalFormatting sqref="F115">
    <cfRule type="expression" dxfId="320" priority="58">
      <formula>kvartal &lt; 4</formula>
    </cfRule>
  </conditionalFormatting>
  <conditionalFormatting sqref="G115">
    <cfRule type="expression" dxfId="319" priority="57">
      <formula>kvartal &lt; 4</formula>
    </cfRule>
  </conditionalFormatting>
  <conditionalFormatting sqref="J115:K115">
    <cfRule type="expression" dxfId="318" priority="32">
      <formula>kvartal &lt; 4</formula>
    </cfRule>
  </conditionalFormatting>
  <conditionalFormatting sqref="J123:K123">
    <cfRule type="expression" dxfId="317" priority="31">
      <formula>kvartal &lt; 4</formula>
    </cfRule>
  </conditionalFormatting>
  <conditionalFormatting sqref="A50:A52">
    <cfRule type="expression" dxfId="316" priority="12">
      <formula>kvartal &lt; 4</formula>
    </cfRule>
  </conditionalFormatting>
  <conditionalFormatting sqref="A69:A74">
    <cfRule type="expression" dxfId="315" priority="10">
      <formula>kvartal &lt; 4</formula>
    </cfRule>
  </conditionalFormatting>
  <conditionalFormatting sqref="A80:A85">
    <cfRule type="expression" dxfId="314" priority="9">
      <formula>kvartal &lt; 4</formula>
    </cfRule>
  </conditionalFormatting>
  <conditionalFormatting sqref="A90:A95">
    <cfRule type="expression" dxfId="313" priority="6">
      <formula>kvartal &lt; 4</formula>
    </cfRule>
  </conditionalFormatting>
  <conditionalFormatting sqref="A101:A106">
    <cfRule type="expression" dxfId="312" priority="5">
      <formula>kvartal &lt; 4</formula>
    </cfRule>
  </conditionalFormatting>
  <conditionalFormatting sqref="A115">
    <cfRule type="expression" dxfId="311" priority="4">
      <formula>kvartal &lt; 4</formula>
    </cfRule>
  </conditionalFormatting>
  <conditionalFormatting sqref="A123">
    <cfRule type="expression" dxfId="310" priority="3">
      <formula>kvartal &lt; 4</formula>
    </cfRule>
  </conditionalFormatting>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FCAE9-D5F2-4A61-80DB-C3B7691ABF8D}">
  <dimension ref="A1:O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406</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16932</v>
      </c>
      <c r="C47" s="254">
        <v>18037</v>
      </c>
      <c r="D47" s="343">
        <f t="shared" ref="D47:D48" si="0">IF(B47=0, "    ---- ", IF(ABS(ROUND(100/B47*C47-100,1))&lt;999,ROUND(100/B47*C47-100,1),IF(ROUND(100/B47*C47-100,1)&gt;999,999,-999)))</f>
        <v>6.5</v>
      </c>
      <c r="E47" s="8">
        <f>IFERROR(100/'Skjema total MA'!C47*C47,0)</f>
        <v>0.32522624676487749</v>
      </c>
      <c r="F47" s="109"/>
      <c r="G47" s="27"/>
      <c r="H47" s="118"/>
      <c r="I47" s="118"/>
      <c r="J47" s="31"/>
      <c r="K47" s="31"/>
      <c r="L47" s="118"/>
      <c r="M47" s="118"/>
    </row>
    <row r="48" spans="1:13" ht="15.75" x14ac:dyDescent="0.2">
      <c r="A48" s="18" t="s">
        <v>334</v>
      </c>
      <c r="B48" s="229">
        <v>16932</v>
      </c>
      <c r="C48" s="230">
        <v>18037</v>
      </c>
      <c r="D48" s="207">
        <f t="shared" si="0"/>
        <v>6.5</v>
      </c>
      <c r="E48" s="23">
        <f>IFERROR(100/'Skjema total MA'!C48*C48,0)</f>
        <v>0.56862339208734303</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309" priority="42">
      <formula>kvartal &lt; 4</formula>
    </cfRule>
  </conditionalFormatting>
  <conditionalFormatting sqref="C115">
    <cfRule type="expression" dxfId="308" priority="41">
      <formula>kvartal &lt; 4</formula>
    </cfRule>
  </conditionalFormatting>
  <conditionalFormatting sqref="F115">
    <cfRule type="expression" dxfId="307" priority="28">
      <formula>kvartal &lt; 4</formula>
    </cfRule>
  </conditionalFormatting>
  <conditionalFormatting sqref="G115">
    <cfRule type="expression" dxfId="306" priority="27">
      <formula>kvartal &lt; 4</formula>
    </cfRule>
  </conditionalFormatting>
  <conditionalFormatting sqref="J115:K115">
    <cfRule type="expression" dxfId="305" priority="9">
      <formula>kvartal &lt; 4</formula>
    </cfRule>
  </conditionalFormatting>
  <conditionalFormatting sqref="J123:K123">
    <cfRule type="expression" dxfId="304" priority="8">
      <formula>kvartal &lt; 4</formula>
    </cfRule>
  </conditionalFormatting>
  <conditionalFormatting sqref="A50:A52">
    <cfRule type="expression" dxfId="303" priority="7">
      <formula>kvartal &lt; 4</formula>
    </cfRule>
  </conditionalFormatting>
  <conditionalFormatting sqref="A69:A74">
    <cfRule type="expression" dxfId="302" priority="6">
      <formula>kvartal &lt; 4</formula>
    </cfRule>
  </conditionalFormatting>
  <conditionalFormatting sqref="A80:A85">
    <cfRule type="expression" dxfId="301" priority="5">
      <formula>kvartal &lt; 4</formula>
    </cfRule>
  </conditionalFormatting>
  <conditionalFormatting sqref="A90:A95">
    <cfRule type="expression" dxfId="300" priority="4">
      <formula>kvartal &lt; 4</formula>
    </cfRule>
  </conditionalFormatting>
  <conditionalFormatting sqref="A101:A106">
    <cfRule type="expression" dxfId="299" priority="3">
      <formula>kvartal &lt; 4</formula>
    </cfRule>
  </conditionalFormatting>
  <conditionalFormatting sqref="A115">
    <cfRule type="expression" dxfId="298" priority="2">
      <formula>kvartal &lt; 4</formula>
    </cfRule>
  </conditionalFormatting>
  <conditionalFormatting sqref="A123">
    <cfRule type="expression" dxfId="297" priority="1">
      <formula>kvartal &lt; 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88</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123"/>
      <c r="M8" s="23"/>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c r="C47" s="254"/>
      <c r="D47" s="343"/>
      <c r="E47" s="8"/>
      <c r="F47" s="109"/>
      <c r="G47" s="27"/>
      <c r="H47" s="118"/>
      <c r="I47" s="118"/>
      <c r="J47" s="31"/>
      <c r="K47" s="31"/>
      <c r="L47" s="118"/>
      <c r="M47" s="118"/>
    </row>
    <row r="48" spans="1:13" ht="15.75" x14ac:dyDescent="0.2">
      <c r="A48" s="18" t="s">
        <v>334</v>
      </c>
      <c r="B48" s="229"/>
      <c r="C48" s="230"/>
      <c r="D48" s="207"/>
      <c r="E48" s="23"/>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v>1975000</v>
      </c>
      <c r="C134" s="252">
        <v>1994000</v>
      </c>
      <c r="D134" s="286">
        <f t="shared" ref="D134:D137" si="0">IF(B134=0, "    ---- ", IF(ABS(ROUND(100/B134*C134-100,1))&lt;999,ROUND(100/B134*C134-100,1),IF(ROUND(100/B134*C134-100,1)&gt;999,999,-999)))</f>
        <v>1</v>
      </c>
      <c r="E134" s="8">
        <f>IFERROR(100/'Skjema total MA'!C134*C134,0)</f>
        <v>4.3512502601588325</v>
      </c>
      <c r="F134" s="259"/>
      <c r="G134" s="260"/>
      <c r="H134" s="347"/>
      <c r="I134" s="21"/>
      <c r="J134" s="261">
        <f t="shared" ref="J134:K137" si="1">SUM(B134,F134)</f>
        <v>1975000</v>
      </c>
      <c r="K134" s="261">
        <f t="shared" si="1"/>
        <v>1994000</v>
      </c>
      <c r="L134" s="343">
        <f t="shared" ref="L134:L137" si="2">IF(J134=0, "    ---- ", IF(ABS(ROUND(100/J134*K134-100,1))&lt;999,ROUND(100/J134*K134-100,1),IF(ROUND(100/J134*K134-100,1)&gt;999,999,-999)))</f>
        <v>1</v>
      </c>
      <c r="M134" s="8">
        <f>IFERROR(100/'Skjema total MA'!I134*K134,0)</f>
        <v>4.3378397714042158</v>
      </c>
    </row>
    <row r="135" spans="1:15" ht="15.75" x14ac:dyDescent="0.2">
      <c r="A135" s="10" t="s">
        <v>350</v>
      </c>
      <c r="B135" s="184">
        <v>92155000</v>
      </c>
      <c r="C135" s="252">
        <v>98281000</v>
      </c>
      <c r="D135" s="127">
        <f t="shared" si="0"/>
        <v>6.6</v>
      </c>
      <c r="E135" s="8">
        <f>IFERROR(100/'Skjema total MA'!C135*C135,0)</f>
        <v>10.116788853954882</v>
      </c>
      <c r="F135" s="184"/>
      <c r="G135" s="252"/>
      <c r="H135" s="348"/>
      <c r="I135" s="21"/>
      <c r="J135" s="251">
        <f t="shared" si="1"/>
        <v>92155000</v>
      </c>
      <c r="K135" s="251">
        <f t="shared" si="1"/>
        <v>98281000</v>
      </c>
      <c r="L135" s="344">
        <f t="shared" si="2"/>
        <v>6.6</v>
      </c>
      <c r="M135" s="8">
        <f>IFERROR(100/'Skjema total MA'!I135*K135,0)</f>
        <v>10.08506833195557</v>
      </c>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v>-121000</v>
      </c>
      <c r="C137" s="258">
        <v>0</v>
      </c>
      <c r="D137" s="125">
        <f t="shared" si="0"/>
        <v>-100</v>
      </c>
      <c r="E137" s="6">
        <f>IFERROR(100/'Skjema total MA'!C137*C137,0)</f>
        <v>0</v>
      </c>
      <c r="F137" s="224"/>
      <c r="G137" s="258"/>
      <c r="H137" s="349"/>
      <c r="I137" s="30"/>
      <c r="J137" s="257">
        <f t="shared" si="1"/>
        <v>-121000</v>
      </c>
      <c r="K137" s="257">
        <f t="shared" si="1"/>
        <v>0</v>
      </c>
      <c r="L137" s="345">
        <f t="shared" si="2"/>
        <v>-100</v>
      </c>
      <c r="M137" s="30">
        <f>IFERROR(100/'Skjema total MA'!I137*K137,0)</f>
        <v>0</v>
      </c>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96" priority="76">
      <formula>kvartal &lt; 4</formula>
    </cfRule>
  </conditionalFormatting>
  <conditionalFormatting sqref="C115">
    <cfRule type="expression" dxfId="295" priority="75">
      <formula>kvartal &lt; 4</formula>
    </cfRule>
  </conditionalFormatting>
  <conditionalFormatting sqref="F115">
    <cfRule type="expression" dxfId="294" priority="58">
      <formula>kvartal &lt; 4</formula>
    </cfRule>
  </conditionalFormatting>
  <conditionalFormatting sqref="G115">
    <cfRule type="expression" dxfId="293" priority="57">
      <formula>kvartal &lt; 4</formula>
    </cfRule>
  </conditionalFormatting>
  <conditionalFormatting sqref="J115:K115">
    <cfRule type="expression" dxfId="292" priority="32">
      <formula>kvartal &lt; 4</formula>
    </cfRule>
  </conditionalFormatting>
  <conditionalFormatting sqref="J123:K123">
    <cfRule type="expression" dxfId="291" priority="31">
      <formula>kvartal &lt; 4</formula>
    </cfRule>
  </conditionalFormatting>
  <conditionalFormatting sqref="A50:A52">
    <cfRule type="expression" dxfId="290" priority="12">
      <formula>kvartal &lt; 4</formula>
    </cfRule>
  </conditionalFormatting>
  <conditionalFormatting sqref="A69:A74">
    <cfRule type="expression" dxfId="289" priority="10">
      <formula>kvartal &lt; 4</formula>
    </cfRule>
  </conditionalFormatting>
  <conditionalFormatting sqref="A80:A85">
    <cfRule type="expression" dxfId="288" priority="9">
      <formula>kvartal &lt; 4</formula>
    </cfRule>
  </conditionalFormatting>
  <conditionalFormatting sqref="A90:A95">
    <cfRule type="expression" dxfId="287" priority="6">
      <formula>kvartal &lt; 4</formula>
    </cfRule>
  </conditionalFormatting>
  <conditionalFormatting sqref="A101:A106">
    <cfRule type="expression" dxfId="286" priority="5">
      <formula>kvartal &lt; 4</formula>
    </cfRule>
  </conditionalFormatting>
  <conditionalFormatting sqref="A115">
    <cfRule type="expression" dxfId="285" priority="4">
      <formula>kvartal &lt; 4</formula>
    </cfRule>
  </conditionalFormatting>
  <conditionalFormatting sqref="A123">
    <cfRule type="expression" dxfId="284" priority="3">
      <formula>kvartal &lt; 4</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322</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5286</v>
      </c>
      <c r="C7" s="250">
        <v>2222</v>
      </c>
      <c r="D7" s="286">
        <f>IF(B7=0, "    ---- ", IF(ABS(ROUND(100/B7*C7-100,1))&lt;999,ROUND(100/B7*C7-100,1),IF(ROUND(100/B7*C7-100,1)&gt;999,999,-999)))</f>
        <v>-58</v>
      </c>
      <c r="E7" s="8">
        <f>IFERROR(100/'Skjema total MA'!C7*C7,0)</f>
        <v>6.6969652475912134E-2</v>
      </c>
      <c r="F7" s="249"/>
      <c r="G7" s="250"/>
      <c r="H7" s="286"/>
      <c r="I7" s="119"/>
      <c r="J7" s="251">
        <f t="shared" ref="J7:K9" si="0">SUM(B7,F7)</f>
        <v>5286</v>
      </c>
      <c r="K7" s="252">
        <f t="shared" si="0"/>
        <v>2222</v>
      </c>
      <c r="L7" s="343">
        <f>IF(J7=0, "    ---- ", IF(ABS(ROUND(100/J7*K7-100,1))&lt;999,ROUND(100/J7*K7-100,1),IF(ROUND(100/J7*K7-100,1)&gt;999,999,-999)))</f>
        <v>-58</v>
      </c>
      <c r="M7" s="8">
        <f>IFERROR(100/'Skjema total MA'!I7*K7,0)</f>
        <v>2.504836429658161E-2</v>
      </c>
    </row>
    <row r="8" spans="1:15" ht="15.75" x14ac:dyDescent="0.2">
      <c r="A8" s="18" t="s">
        <v>25</v>
      </c>
      <c r="B8" s="229">
        <v>0</v>
      </c>
      <c r="C8" s="230">
        <v>2000.3554999999999</v>
      </c>
      <c r="D8" s="123" t="str">
        <f t="shared" ref="D8:D9" si="1">IF(B8=0, "    ---- ", IF(ABS(ROUND(100/B8*C8-100,1))&lt;999,ROUND(100/B8*C8-100,1),IF(ROUND(100/B8*C8-100,1)&gt;999,999,-999)))</f>
        <v xml:space="preserve">    ---- </v>
      </c>
      <c r="E8" s="23">
        <f>IFERROR(100/'Skjema total MA'!C8*C8,0)</f>
        <v>8.9965903397106167E-2</v>
      </c>
      <c r="F8" s="233"/>
      <c r="G8" s="234"/>
      <c r="H8" s="123"/>
      <c r="I8" s="133"/>
      <c r="J8" s="182">
        <f t="shared" si="0"/>
        <v>0</v>
      </c>
      <c r="K8" s="235">
        <f t="shared" si="0"/>
        <v>2000.3554999999999</v>
      </c>
      <c r="L8" s="123" t="str">
        <f t="shared" ref="L8:L9" si="2">IF(J8=0, "    ---- ", IF(ABS(ROUND(100/J8*K8-100,1))&lt;999,ROUND(100/J8*K8-100,1),IF(ROUND(100/J8*K8-100,1)&gt;999,999,-999)))</f>
        <v xml:space="preserve">    ---- </v>
      </c>
      <c r="M8" s="23">
        <f>IFERROR(100/'Skjema total MA'!I8*K8,0)</f>
        <v>8.9965903397106167E-2</v>
      </c>
    </row>
    <row r="9" spans="1:15" ht="15.75" x14ac:dyDescent="0.2">
      <c r="A9" s="18" t="s">
        <v>24</v>
      </c>
      <c r="B9" s="229">
        <v>5286</v>
      </c>
      <c r="C9" s="230">
        <v>221.64449999999999</v>
      </c>
      <c r="D9" s="123">
        <f t="shared" si="1"/>
        <v>-95.8</v>
      </c>
      <c r="E9" s="23">
        <f>IFERROR(100/'Skjema total MA'!C9*C9,0)</f>
        <v>3.334216272298287E-2</v>
      </c>
      <c r="F9" s="233"/>
      <c r="G9" s="234"/>
      <c r="H9" s="123"/>
      <c r="I9" s="133"/>
      <c r="J9" s="182">
        <f t="shared" si="0"/>
        <v>5286</v>
      </c>
      <c r="K9" s="235">
        <f t="shared" si="0"/>
        <v>221.64449999999999</v>
      </c>
      <c r="L9" s="123">
        <f t="shared" si="2"/>
        <v>-95.8</v>
      </c>
      <c r="M9" s="23">
        <f>IFERROR(100/'Skjema total MA'!I9*K9,0)</f>
        <v>3.334216272298287E-2</v>
      </c>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364384</v>
      </c>
      <c r="C47" s="254">
        <v>388247</v>
      </c>
      <c r="D47" s="343">
        <f t="shared" ref="D47:D48" si="3">IF(B47=0, "    ---- ", IF(ABS(ROUND(100/B47*C47-100,1))&lt;999,ROUND(100/B47*C47-100,1),IF(ROUND(100/B47*C47-100,1)&gt;999,999,-999)))</f>
        <v>6.5</v>
      </c>
      <c r="E47" s="8">
        <f>IFERROR(100/'Skjema total MA'!C47*C47,0)</f>
        <v>7.0005053294740476</v>
      </c>
      <c r="F47" s="109"/>
      <c r="G47" s="27"/>
      <c r="H47" s="118"/>
      <c r="I47" s="118"/>
      <c r="J47" s="31"/>
      <c r="K47" s="31"/>
      <c r="L47" s="118"/>
      <c r="M47" s="118"/>
    </row>
    <row r="48" spans="1:13" ht="15.75" x14ac:dyDescent="0.2">
      <c r="A48" s="18" t="s">
        <v>334</v>
      </c>
      <c r="B48" s="229">
        <v>364384</v>
      </c>
      <c r="C48" s="230">
        <v>388247</v>
      </c>
      <c r="D48" s="207">
        <f t="shared" si="3"/>
        <v>6.5</v>
      </c>
      <c r="E48" s="23">
        <f>IFERROR(100/'Skjema total MA'!C48*C48,0)</f>
        <v>12.23963664177716</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0:D130"/>
    <mergeCell ref="F130:H130"/>
    <mergeCell ref="J130:L130"/>
    <mergeCell ref="B131:D131"/>
    <mergeCell ref="F131:H131"/>
    <mergeCell ref="J131:L131"/>
    <mergeCell ref="B44:D44"/>
    <mergeCell ref="B62:D62"/>
    <mergeCell ref="F62:H62"/>
    <mergeCell ref="J62:L62"/>
    <mergeCell ref="B63:D63"/>
    <mergeCell ref="F63:H63"/>
    <mergeCell ref="J63:L63"/>
    <mergeCell ref="D40:F40"/>
    <mergeCell ref="G40:I40"/>
    <mergeCell ref="J40:L40"/>
    <mergeCell ref="B42:D42"/>
    <mergeCell ref="F42:H42"/>
    <mergeCell ref="J42:L42"/>
    <mergeCell ref="B18:D18"/>
    <mergeCell ref="F18:H18"/>
    <mergeCell ref="J18:L18"/>
    <mergeCell ref="B19:D19"/>
    <mergeCell ref="F19:H19"/>
    <mergeCell ref="J19:L19"/>
    <mergeCell ref="B2:D2"/>
    <mergeCell ref="F2:H2"/>
    <mergeCell ref="J2:L2"/>
    <mergeCell ref="B4:D4"/>
    <mergeCell ref="F4:H4"/>
    <mergeCell ref="J4:L4"/>
  </mergeCells>
  <conditionalFormatting sqref="B115">
    <cfRule type="expression" dxfId="283" priority="45">
      <formula>kvartal &lt; 4</formula>
    </cfRule>
  </conditionalFormatting>
  <conditionalFormatting sqref="C115">
    <cfRule type="expression" dxfId="282" priority="44">
      <formula>kvartal &lt; 4</formula>
    </cfRule>
  </conditionalFormatting>
  <conditionalFormatting sqref="F115">
    <cfRule type="expression" dxfId="281" priority="31">
      <formula>kvartal &lt; 4</formula>
    </cfRule>
  </conditionalFormatting>
  <conditionalFormatting sqref="G115">
    <cfRule type="expression" dxfId="280" priority="30">
      <formula>kvartal &lt; 4</formula>
    </cfRule>
  </conditionalFormatting>
  <conditionalFormatting sqref="J115:K115">
    <cfRule type="expression" dxfId="279" priority="12">
      <formula>kvartal &lt; 4</formula>
    </cfRule>
  </conditionalFormatting>
  <conditionalFormatting sqref="J123:K123">
    <cfRule type="expression" dxfId="278" priority="11">
      <formula>kvartal &lt; 4</formula>
    </cfRule>
  </conditionalFormatting>
  <conditionalFormatting sqref="A50:A52">
    <cfRule type="expression" dxfId="277" priority="8">
      <formula>kvartal &lt; 4</formula>
    </cfRule>
  </conditionalFormatting>
  <conditionalFormatting sqref="A69:A74">
    <cfRule type="expression" dxfId="276" priority="7">
      <formula>kvartal &lt; 4</formula>
    </cfRule>
  </conditionalFormatting>
  <conditionalFormatting sqref="A80:A85">
    <cfRule type="expression" dxfId="275" priority="6">
      <formula>kvartal &lt; 4</formula>
    </cfRule>
  </conditionalFormatting>
  <conditionalFormatting sqref="A90:A95">
    <cfRule type="expression" dxfId="274" priority="5">
      <formula>kvartal &lt; 4</formula>
    </cfRule>
  </conditionalFormatting>
  <conditionalFormatting sqref="A101:A106">
    <cfRule type="expression" dxfId="273" priority="4">
      <formula>kvartal &lt; 4</formula>
    </cfRule>
  </conditionalFormatting>
  <conditionalFormatting sqref="A115">
    <cfRule type="expression" dxfId="272" priority="3">
      <formula>kvartal &lt; 4</formula>
    </cfRule>
  </conditionalFormatting>
  <conditionalFormatting sqref="A123">
    <cfRule type="expression" dxfId="271" priority="2">
      <formula>kvartal &lt; 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123</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1895.0361</v>
      </c>
      <c r="C7" s="250">
        <v>1454.4117799999999</v>
      </c>
      <c r="D7" s="286">
        <f>IF(B7=0, "    ---- ", IF(ABS(ROUND(100/B7*C7-100,1))&lt;999,ROUND(100/B7*C7-100,1),IF(ROUND(100/B7*C7-100,1)&gt;999,999,-999)))</f>
        <v>-23.3</v>
      </c>
      <c r="E7" s="8">
        <f>IFERROR(100/'Skjema total MA'!C7*C7,0)</f>
        <v>4.3835036662228974E-2</v>
      </c>
      <c r="F7" s="249">
        <v>381224.17911000003</v>
      </c>
      <c r="G7" s="250">
        <v>378934.27299999999</v>
      </c>
      <c r="H7" s="286">
        <f>IF(F7=0, "    ---- ", IF(ABS(ROUND(100/F7*G7-100,1))&lt;999,ROUND(100/F7*G7-100,1),IF(ROUND(100/F7*G7-100,1)&gt;999,999,-999)))</f>
        <v>-0.6</v>
      </c>
      <c r="I7" s="119">
        <f>IFERROR(100/'Skjema total MA'!F7*G7,0)</f>
        <v>6.8240567417728579</v>
      </c>
      <c r="J7" s="251">
        <f t="shared" ref="J7:K12" si="0">SUM(B7,F7)</f>
        <v>383119.21521000005</v>
      </c>
      <c r="K7" s="252">
        <f t="shared" si="0"/>
        <v>380388.68478000001</v>
      </c>
      <c r="L7" s="343">
        <f>IF(J7=0, "    ---- ", IF(ABS(ROUND(100/J7*K7-100,1))&lt;999,ROUND(100/J7*K7-100,1),IF(ROUND(100/J7*K7-100,1)&gt;999,999,-999)))</f>
        <v>-0.7</v>
      </c>
      <c r="M7" s="8">
        <f>IFERROR(100/'Skjema total MA'!I7*K7,0)</f>
        <v>4.2880802658267276</v>
      </c>
    </row>
    <row r="8" spans="1:15" ht="15.75" x14ac:dyDescent="0.2">
      <c r="A8" s="18" t="s">
        <v>25</v>
      </c>
      <c r="B8" s="229">
        <v>2110.2873100000002</v>
      </c>
      <c r="C8" s="230">
        <v>1914.0555099999999</v>
      </c>
      <c r="D8" s="123">
        <f t="shared" ref="D8:D10" si="1">IF(B8=0, "    ---- ", IF(ABS(ROUND(100/B8*C8-100,1))&lt;999,ROUND(100/B8*C8-100,1),IF(ROUND(100/B8*C8-100,1)&gt;999,999,-999)))</f>
        <v>-9.3000000000000007</v>
      </c>
      <c r="E8" s="23">
        <f>IFERROR(100/'Skjema total MA'!C8*C8,0)</f>
        <v>8.6084565023246518E-2</v>
      </c>
      <c r="F8" s="233"/>
      <c r="G8" s="234"/>
      <c r="H8" s="123"/>
      <c r="I8" s="133"/>
      <c r="J8" s="182">
        <f t="shared" si="0"/>
        <v>2110.2873100000002</v>
      </c>
      <c r="K8" s="235">
        <f t="shared" si="0"/>
        <v>1914.0555099999999</v>
      </c>
      <c r="L8" s="123">
        <f t="shared" ref="L8:L9" si="2">IF(J8=0, "    ---- ", IF(ABS(ROUND(100/J8*K8-100,1))&lt;999,ROUND(100/J8*K8-100,1),IF(ROUND(100/J8*K8-100,1)&gt;999,999,-999)))</f>
        <v>-9.3000000000000007</v>
      </c>
      <c r="M8" s="23">
        <f>IFERROR(100/'Skjema total MA'!I8*K8,0)</f>
        <v>8.6084565023246518E-2</v>
      </c>
    </row>
    <row r="9" spans="1:15" ht="15.75" x14ac:dyDescent="0.2">
      <c r="A9" s="18" t="s">
        <v>24</v>
      </c>
      <c r="B9" s="229">
        <v>795.02342999999996</v>
      </c>
      <c r="C9" s="230">
        <v>649.96276999999998</v>
      </c>
      <c r="D9" s="123">
        <f t="shared" si="1"/>
        <v>-18.2</v>
      </c>
      <c r="E9" s="23">
        <f>IFERROR(100/'Skjema total MA'!C9*C9,0)</f>
        <v>9.7774429057435164E-2</v>
      </c>
      <c r="F9" s="233"/>
      <c r="G9" s="234"/>
      <c r="H9" s="123"/>
      <c r="I9" s="133"/>
      <c r="J9" s="182">
        <f t="shared" si="0"/>
        <v>795.02342999999996</v>
      </c>
      <c r="K9" s="235">
        <f t="shared" si="0"/>
        <v>649.96276999999998</v>
      </c>
      <c r="L9" s="123">
        <f t="shared" si="2"/>
        <v>-18.2</v>
      </c>
      <c r="M9" s="23">
        <f>IFERROR(100/'Skjema total MA'!I9*K9,0)</f>
        <v>9.7774429057435164E-2</v>
      </c>
    </row>
    <row r="10" spans="1:15" ht="15.75" x14ac:dyDescent="0.2">
      <c r="A10" s="10" t="s">
        <v>323</v>
      </c>
      <c r="B10" s="253">
        <v>305572.70413999999</v>
      </c>
      <c r="C10" s="254">
        <v>266607.94300000003</v>
      </c>
      <c r="D10" s="127">
        <f t="shared" si="1"/>
        <v>-12.8</v>
      </c>
      <c r="E10" s="8">
        <f>IFERROR(100/'Skjema total MA'!C10*C10,0)</f>
        <v>2.107801794139057</v>
      </c>
      <c r="F10" s="253">
        <v>5970319.6886600005</v>
      </c>
      <c r="G10" s="254">
        <v>6806477.8449999997</v>
      </c>
      <c r="H10" s="127">
        <f t="shared" ref="H10:H12" si="3">IF(F10=0, "    ---- ", IF(ABS(ROUND(100/F10*G10-100,1))&lt;999,ROUND(100/F10*G10-100,1),IF(ROUND(100/F10*G10-100,1)&gt;999,999,-999)))</f>
        <v>14</v>
      </c>
      <c r="I10" s="119">
        <f>IFERROR(100/'Skjema total MA'!F10*G10,0)</f>
        <v>6.8342756140598686</v>
      </c>
      <c r="J10" s="251">
        <f t="shared" si="0"/>
        <v>6275892.3928000005</v>
      </c>
      <c r="K10" s="252">
        <f t="shared" si="0"/>
        <v>7073085.7879999997</v>
      </c>
      <c r="L10" s="344">
        <f t="shared" ref="L10:L12" si="4">IF(J10=0, "    ---- ", IF(ABS(ROUND(100/J10*K10-100,1))&lt;999,ROUND(100/J10*K10-100,1),IF(ROUND(100/J10*K10-100,1)&gt;999,999,-999)))</f>
        <v>12.7</v>
      </c>
      <c r="M10" s="8">
        <f>IFERROR(100/'Skjema total MA'!I10*K10,0)</f>
        <v>6.3016456170730386</v>
      </c>
    </row>
    <row r="11" spans="1:15" s="35" customFormat="1" ht="15.75" x14ac:dyDescent="0.2">
      <c r="A11" s="10" t="s">
        <v>324</v>
      </c>
      <c r="B11" s="253"/>
      <c r="C11" s="254"/>
      <c r="D11" s="127"/>
      <c r="E11" s="8"/>
      <c r="F11" s="253">
        <v>34915.366280000002</v>
      </c>
      <c r="G11" s="254">
        <v>29278.026999999998</v>
      </c>
      <c r="H11" s="127">
        <f t="shared" si="3"/>
        <v>-16.100000000000001</v>
      </c>
      <c r="I11" s="119">
        <f>IFERROR(100/'Skjema total MA'!F11*G11,0)</f>
        <v>7.43585464162775</v>
      </c>
      <c r="J11" s="251">
        <f t="shared" si="0"/>
        <v>34915.366280000002</v>
      </c>
      <c r="K11" s="252">
        <f t="shared" si="0"/>
        <v>29278.026999999998</v>
      </c>
      <c r="L11" s="344">
        <f t="shared" si="4"/>
        <v>-16.100000000000001</v>
      </c>
      <c r="M11" s="8">
        <f>IFERROR(100/'Skjema total MA'!I11*K11,0)</f>
        <v>7.4295703779440592</v>
      </c>
      <c r="N11" s="107"/>
      <c r="O11" s="22"/>
    </row>
    <row r="12" spans="1:15" s="35" customFormat="1" ht="15.75" x14ac:dyDescent="0.2">
      <c r="A12" s="33" t="s">
        <v>325</v>
      </c>
      <c r="B12" s="255"/>
      <c r="C12" s="256"/>
      <c r="D12" s="125"/>
      <c r="E12" s="30"/>
      <c r="F12" s="255">
        <v>18533.906019999999</v>
      </c>
      <c r="G12" s="256">
        <v>10253.287</v>
      </c>
      <c r="H12" s="125">
        <f t="shared" si="3"/>
        <v>-44.7</v>
      </c>
      <c r="I12" s="125">
        <f>IFERROR(100/'Skjema total MA'!F12*G12,0)</f>
        <v>2.6245740108254698</v>
      </c>
      <c r="J12" s="257">
        <f t="shared" si="0"/>
        <v>18533.906019999999</v>
      </c>
      <c r="K12" s="258">
        <f t="shared" si="0"/>
        <v>10253.287</v>
      </c>
      <c r="L12" s="345">
        <f t="shared" si="4"/>
        <v>-44.7</v>
      </c>
      <c r="M12" s="30">
        <f>IFERROR(100/'Skjema total MA'!I12*K12,0)</f>
        <v>2.6222797418972985</v>
      </c>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5291.60275</v>
      </c>
      <c r="C22" s="253">
        <v>21792.427</v>
      </c>
      <c r="D22" s="286">
        <f t="shared" ref="D22:D35" si="5">IF(B22=0, "    ---- ", IF(ABS(ROUND(100/B22*C22-100,1))&lt;999,ROUND(100/B22*C22-100,1),IF(ROUND(100/B22*C22-100,1)&gt;999,999,-999)))</f>
        <v>311.8</v>
      </c>
      <c r="E22" s="8">
        <f>IFERROR(100/'Skjema total MA'!C22*C22,0)</f>
        <v>1.3958549532083202</v>
      </c>
      <c r="F22" s="261">
        <v>177851.75122000001</v>
      </c>
      <c r="G22" s="261">
        <v>218142.20699999999</v>
      </c>
      <c r="H22" s="286">
        <f t="shared" ref="H22:H35" si="6">IF(F22=0, "    ---- ", IF(ABS(ROUND(100/F22*G22-100,1))&lt;999,ROUND(100/F22*G22-100,1),IF(ROUND(100/F22*G22-100,1)&gt;999,999,-999)))</f>
        <v>22.7</v>
      </c>
      <c r="I22" s="8">
        <f>IFERROR(100/'Skjema total MA'!F22*G22,0)</f>
        <v>40.112321922178516</v>
      </c>
      <c r="J22" s="259">
        <f t="shared" ref="J22:K35" si="7">SUM(B22,F22)</f>
        <v>183143.35397</v>
      </c>
      <c r="K22" s="259">
        <f t="shared" si="7"/>
        <v>239934.63399999999</v>
      </c>
      <c r="L22" s="343">
        <f t="shared" ref="L22:L35" si="8">IF(J22=0, "    ---- ", IF(ABS(ROUND(100/J22*K22-100,1))&lt;999,ROUND(100/J22*K22-100,1),IF(ROUND(100/J22*K22-100,1)&gt;999,999,-999)))</f>
        <v>31</v>
      </c>
      <c r="M22" s="21">
        <f>IFERROR(100/'Skjema total MA'!I22*K22,0)</f>
        <v>11.398034325701509</v>
      </c>
    </row>
    <row r="23" spans="1:13" ht="15.75" x14ac:dyDescent="0.2">
      <c r="A23" s="385" t="s">
        <v>326</v>
      </c>
      <c r="B23" s="229">
        <v>5290.6549400000004</v>
      </c>
      <c r="C23" s="229">
        <v>21791.479189999998</v>
      </c>
      <c r="D23" s="123">
        <f t="shared" si="5"/>
        <v>311.89999999999998</v>
      </c>
      <c r="E23" s="8">
        <f>IFERROR(100/'Skjema total MA'!C23*C23,0)</f>
        <v>2.1092510001044968</v>
      </c>
      <c r="F23" s="238">
        <v>2515.1933600000002</v>
      </c>
      <c r="G23" s="238">
        <v>3206.4209999999998</v>
      </c>
      <c r="H23" s="123">
        <f t="shared" si="6"/>
        <v>27.5</v>
      </c>
      <c r="I23" s="336">
        <f>IFERROR(100/'Skjema total MA'!F23*G23,0)</f>
        <v>12.283280068452298</v>
      </c>
      <c r="J23" s="238">
        <f t="shared" ref="J23:J26" si="9">SUM(B23,F23)</f>
        <v>7805.8483000000006</v>
      </c>
      <c r="K23" s="238">
        <f t="shared" ref="K23:K26" si="10">SUM(C23,G23)</f>
        <v>24997.900189999997</v>
      </c>
      <c r="L23" s="123">
        <f t="shared" si="8"/>
        <v>220.2</v>
      </c>
      <c r="M23" s="20">
        <f>IFERROR(100/'Skjema total MA'!I23*K23,0)</f>
        <v>2.359979605027227</v>
      </c>
    </row>
    <row r="24" spans="1:13" ht="15.75" x14ac:dyDescent="0.2">
      <c r="A24" s="385" t="s">
        <v>327</v>
      </c>
      <c r="B24" s="229">
        <v>0.94781000000000004</v>
      </c>
      <c r="C24" s="229">
        <v>0.94781000000000004</v>
      </c>
      <c r="D24" s="123">
        <f t="shared" si="5"/>
        <v>0</v>
      </c>
      <c r="E24" s="8">
        <f>IFERROR(100/'Skjema total MA'!C24*C24,0)</f>
        <v>1.0277952887822054E-2</v>
      </c>
      <c r="F24" s="238">
        <v>-4.4999999999999698</v>
      </c>
      <c r="G24" s="238">
        <v>-174.91900000000001</v>
      </c>
      <c r="H24" s="123">
        <f t="shared" si="6"/>
        <v>999</v>
      </c>
      <c r="I24" s="336">
        <f>IFERROR(100/'Skjema total MA'!F24*G24,0)</f>
        <v>184.60134029866501</v>
      </c>
      <c r="J24" s="238">
        <f t="shared" si="9"/>
        <v>-3.5521899999999698</v>
      </c>
      <c r="K24" s="238">
        <f t="shared" si="10"/>
        <v>-173.97119000000001</v>
      </c>
      <c r="L24" s="123">
        <f t="shared" si="8"/>
        <v>999</v>
      </c>
      <c r="M24" s="20">
        <f>IFERROR(100/'Skjema total MA'!I24*K24,0)</f>
        <v>-1.9061110033054645</v>
      </c>
    </row>
    <row r="25" spans="1:13" ht="15.75" x14ac:dyDescent="0.2">
      <c r="A25" s="385" t="s">
        <v>328</v>
      </c>
      <c r="B25" s="229"/>
      <c r="C25" s="229"/>
      <c r="D25" s="123"/>
      <c r="E25" s="8"/>
      <c r="F25" s="238">
        <v>2774.9222599999998</v>
      </c>
      <c r="G25" s="238">
        <v>3446.5309999999999</v>
      </c>
      <c r="H25" s="123">
        <f t="shared" si="6"/>
        <v>24.2</v>
      </c>
      <c r="I25" s="336">
        <f>IFERROR(100/'Skjema total MA'!F25*G25,0)</f>
        <v>47.814243508197926</v>
      </c>
      <c r="J25" s="238">
        <f t="shared" si="9"/>
        <v>2774.9222599999998</v>
      </c>
      <c r="K25" s="238">
        <f t="shared" si="10"/>
        <v>3446.5309999999999</v>
      </c>
      <c r="L25" s="123">
        <f t="shared" si="8"/>
        <v>24.2</v>
      </c>
      <c r="M25" s="20">
        <f>IFERROR(100/'Skjema total MA'!I25*K25,0)</f>
        <v>19.144409694392085</v>
      </c>
    </row>
    <row r="26" spans="1:13" ht="15.75" x14ac:dyDescent="0.2">
      <c r="A26" s="385" t="s">
        <v>329</v>
      </c>
      <c r="B26" s="229"/>
      <c r="C26" s="229"/>
      <c r="D26" s="123"/>
      <c r="E26" s="8"/>
      <c r="F26" s="238">
        <v>172566.13560000001</v>
      </c>
      <c r="G26" s="238">
        <v>211664.174</v>
      </c>
      <c r="H26" s="123">
        <f t="shared" si="6"/>
        <v>22.7</v>
      </c>
      <c r="I26" s="336">
        <f>IFERROR(100/'Skjema total MA'!F26*G26,0)</f>
        <v>41.453111844607221</v>
      </c>
      <c r="J26" s="238">
        <f t="shared" si="9"/>
        <v>172566.13560000001</v>
      </c>
      <c r="K26" s="238">
        <f t="shared" si="10"/>
        <v>211664.174</v>
      </c>
      <c r="L26" s="123">
        <f t="shared" si="8"/>
        <v>22.7</v>
      </c>
      <c r="M26" s="20">
        <f>IFERROR(100/'Skjema total MA'!I26*K26,0)</f>
        <v>41.453111844607221</v>
      </c>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v>2521457.3624900002</v>
      </c>
      <c r="C29" s="184">
        <v>2442939.2119999998</v>
      </c>
      <c r="D29" s="127">
        <f t="shared" si="5"/>
        <v>-3.1</v>
      </c>
      <c r="E29" s="8">
        <f>IFERROR(100/'Skjema total MA'!C29*C29,0)</f>
        <v>5.539660734040023</v>
      </c>
      <c r="F29" s="251">
        <v>4905661.8436200004</v>
      </c>
      <c r="G29" s="251">
        <v>5568049.7750000004</v>
      </c>
      <c r="H29" s="127">
        <f t="shared" si="6"/>
        <v>13.5</v>
      </c>
      <c r="I29" s="8">
        <f>IFERROR(100/'Skjema total MA'!F29*G29,0)</f>
        <v>18.532470380650977</v>
      </c>
      <c r="J29" s="184">
        <f t="shared" si="7"/>
        <v>7427119.2061100006</v>
      </c>
      <c r="K29" s="184">
        <f t="shared" si="7"/>
        <v>8010988.9869999997</v>
      </c>
      <c r="L29" s="344">
        <f t="shared" si="8"/>
        <v>7.9</v>
      </c>
      <c r="M29" s="21">
        <f>IFERROR(100/'Skjema total MA'!I29*K29,0)</f>
        <v>10.804648779957379</v>
      </c>
    </row>
    <row r="30" spans="1:13" ht="15.75" x14ac:dyDescent="0.2">
      <c r="A30" s="385" t="s">
        <v>326</v>
      </c>
      <c r="B30" s="229">
        <v>1446539.9886932999</v>
      </c>
      <c r="C30" s="229">
        <v>1401494.7516761499</v>
      </c>
      <c r="D30" s="123">
        <f t="shared" si="5"/>
        <v>-3.1</v>
      </c>
      <c r="E30" s="8">
        <f>IFERROR(100/'Skjema total MA'!C30*C30,0)</f>
        <v>7.431154562285089</v>
      </c>
      <c r="F30" s="238">
        <v>650337.76729999902</v>
      </c>
      <c r="G30" s="238">
        <v>637095.12899999996</v>
      </c>
      <c r="H30" s="123">
        <f t="shared" si="6"/>
        <v>-2</v>
      </c>
      <c r="I30" s="336">
        <f>IFERROR(100/'Skjema total MA'!F30*G30,0)</f>
        <v>17.490782166769073</v>
      </c>
      <c r="J30" s="238">
        <f t="shared" ref="J30:J33" si="11">SUM(B30,F30)</f>
        <v>2096877.755993299</v>
      </c>
      <c r="K30" s="238">
        <f t="shared" ref="K30:K33" si="12">SUM(C30,G30)</f>
        <v>2038589.8806761499</v>
      </c>
      <c r="L30" s="123">
        <f t="shared" si="8"/>
        <v>-2.8</v>
      </c>
      <c r="M30" s="20">
        <f>IFERROR(100/'Skjema total MA'!I30*K30,0)</f>
        <v>9.0595218544545606</v>
      </c>
    </row>
    <row r="31" spans="1:13" ht="15.75" x14ac:dyDescent="0.2">
      <c r="A31" s="385" t="s">
        <v>327</v>
      </c>
      <c r="B31" s="229">
        <v>1074917.3737967</v>
      </c>
      <c r="C31" s="229">
        <v>1041444.46032385</v>
      </c>
      <c r="D31" s="123">
        <f t="shared" si="5"/>
        <v>-3.1</v>
      </c>
      <c r="E31" s="8">
        <f>IFERROR(100/'Skjema total MA'!C31*C31,0)</f>
        <v>4.621489392500834</v>
      </c>
      <c r="F31" s="238">
        <v>820765.14075999905</v>
      </c>
      <c r="G31" s="238">
        <v>835054.451</v>
      </c>
      <c r="H31" s="123">
        <f t="shared" si="6"/>
        <v>1.7</v>
      </c>
      <c r="I31" s="336">
        <f>IFERROR(100/'Skjema total MA'!F31*G31,0)</f>
        <v>11.358889134292404</v>
      </c>
      <c r="J31" s="238">
        <f t="shared" si="11"/>
        <v>1895682.514556699</v>
      </c>
      <c r="K31" s="238">
        <f t="shared" si="12"/>
        <v>1876498.91132385</v>
      </c>
      <c r="L31" s="123">
        <f t="shared" si="8"/>
        <v>-1</v>
      </c>
      <c r="M31" s="20">
        <f>IFERROR(100/'Skjema total MA'!I31*K31,0)</f>
        <v>6.2787775657156102</v>
      </c>
    </row>
    <row r="32" spans="1:13" ht="15.75" x14ac:dyDescent="0.2">
      <c r="A32" s="385" t="s">
        <v>328</v>
      </c>
      <c r="B32" s="229"/>
      <c r="C32" s="229"/>
      <c r="D32" s="123"/>
      <c r="E32" s="8"/>
      <c r="F32" s="238">
        <v>672869.80105000001</v>
      </c>
      <c r="G32" s="238">
        <v>747581.93700000003</v>
      </c>
      <c r="H32" s="123">
        <f t="shared" si="6"/>
        <v>11.1</v>
      </c>
      <c r="I32" s="336">
        <f>IFERROR(100/'Skjema total MA'!F32*G32,0)</f>
        <v>10.712238094433514</v>
      </c>
      <c r="J32" s="238">
        <f t="shared" si="11"/>
        <v>672869.80105000001</v>
      </c>
      <c r="K32" s="238">
        <f t="shared" si="12"/>
        <v>747581.93700000003</v>
      </c>
      <c r="L32" s="123">
        <f t="shared" si="8"/>
        <v>11.1</v>
      </c>
      <c r="M32" s="20">
        <f>IFERROR(100/'Skjema total MA'!I32*K32,0)</f>
        <v>7.8469553652230832</v>
      </c>
    </row>
    <row r="33" spans="1:13" ht="15.75" x14ac:dyDescent="0.2">
      <c r="A33" s="385" t="s">
        <v>329</v>
      </c>
      <c r="B33" s="229"/>
      <c r="C33" s="229"/>
      <c r="D33" s="123"/>
      <c r="E33" s="8"/>
      <c r="F33" s="238">
        <v>2761689.1345099998</v>
      </c>
      <c r="G33" s="238">
        <v>3348318.2579999999</v>
      </c>
      <c r="H33" s="123">
        <f t="shared" si="6"/>
        <v>21.2</v>
      </c>
      <c r="I33" s="336">
        <f>IFERROR(100/'Skjema total MA'!F34*G33,0)</f>
        <v>-2300.8827450656067</v>
      </c>
      <c r="J33" s="238">
        <f t="shared" si="11"/>
        <v>2761689.1345099998</v>
      </c>
      <c r="K33" s="238">
        <f t="shared" si="12"/>
        <v>3348318.2579999999</v>
      </c>
      <c r="L33" s="123">
        <f t="shared" si="8"/>
        <v>21.2</v>
      </c>
      <c r="M33" s="20">
        <f>IFERROR(100/'Skjema total MA'!I34*K33,0)</f>
        <v>-2619.0019355928493</v>
      </c>
    </row>
    <row r="34" spans="1:13" ht="15.75" x14ac:dyDescent="0.2">
      <c r="A34" s="10" t="s">
        <v>324</v>
      </c>
      <c r="B34" s="184"/>
      <c r="C34" s="252">
        <v>139.09200000000001</v>
      </c>
      <c r="D34" s="127" t="str">
        <f t="shared" si="5"/>
        <v xml:space="preserve">    ---- </v>
      </c>
      <c r="E34" s="8">
        <f>IFERROR(100/'Skjema total MA'!C34*C34,0)</f>
        <v>0.78689332038059212</v>
      </c>
      <c r="F34" s="251">
        <v>32959.372439999999</v>
      </c>
      <c r="G34" s="252">
        <v>41915.364000000001</v>
      </c>
      <c r="H34" s="127">
        <f t="shared" si="6"/>
        <v>27.2</v>
      </c>
      <c r="I34" s="8">
        <f>IFERROR(100/'Skjema total MA'!F34*G34,0)</f>
        <v>-28.803217122601286</v>
      </c>
      <c r="J34" s="184">
        <f t="shared" si="7"/>
        <v>32959.372439999999</v>
      </c>
      <c r="K34" s="184">
        <f t="shared" si="7"/>
        <v>42054.455999999998</v>
      </c>
      <c r="L34" s="344">
        <f t="shared" si="8"/>
        <v>27.6</v>
      </c>
      <c r="M34" s="21">
        <f>IFERROR(100/'Skjema total MA'!I34*K34,0)</f>
        <v>-32.894334760786144</v>
      </c>
    </row>
    <row r="35" spans="1:13" ht="15.75" x14ac:dyDescent="0.2">
      <c r="A35" s="10" t="s">
        <v>325</v>
      </c>
      <c r="B35" s="184">
        <v>530.74874</v>
      </c>
      <c r="C35" s="252">
        <v>404.90300000000002</v>
      </c>
      <c r="D35" s="127">
        <f t="shared" si="5"/>
        <v>-23.7</v>
      </c>
      <c r="E35" s="8">
        <f>IFERROR(100/'Skjema total MA'!C35*C35,0)</f>
        <v>-0.15882796323503814</v>
      </c>
      <c r="F35" s="251">
        <v>16766.066030000002</v>
      </c>
      <c r="G35" s="252">
        <v>17066.322</v>
      </c>
      <c r="H35" s="127">
        <f t="shared" si="6"/>
        <v>1.8</v>
      </c>
      <c r="I35" s="8">
        <f>IFERROR(100/'Skjema total MA'!F35*G35,0)</f>
        <v>13.185483327666176</v>
      </c>
      <c r="J35" s="184">
        <f t="shared" si="7"/>
        <v>17296.814770000001</v>
      </c>
      <c r="K35" s="184">
        <f t="shared" si="7"/>
        <v>17471.224999999999</v>
      </c>
      <c r="L35" s="344">
        <f t="shared" si="8"/>
        <v>1</v>
      </c>
      <c r="M35" s="21">
        <f>IFERROR(100/'Skjema total MA'!I35*K35,0)</f>
        <v>-13.921389375237474</v>
      </c>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c r="C47" s="254"/>
      <c r="D47" s="343"/>
      <c r="E47" s="8"/>
      <c r="F47" s="109"/>
      <c r="G47" s="27"/>
      <c r="H47" s="118"/>
      <c r="I47" s="118"/>
      <c r="J47" s="31"/>
      <c r="K47" s="31"/>
      <c r="L47" s="118"/>
      <c r="M47" s="118"/>
    </row>
    <row r="48" spans="1:13" ht="15.75" x14ac:dyDescent="0.2">
      <c r="A48" s="18" t="s">
        <v>334</v>
      </c>
      <c r="B48" s="229"/>
      <c r="C48" s="230"/>
      <c r="D48" s="207"/>
      <c r="E48" s="23"/>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476704.91330999997</v>
      </c>
      <c r="C66" s="289">
        <v>501673.93599999999</v>
      </c>
      <c r="D66" s="286">
        <f t="shared" ref="D66:D111" si="13">IF(B66=0, "    ---- ", IF(ABS(ROUND(100/B66*C66-100,1))&lt;999,ROUND(100/B66*C66-100,1),IF(ROUND(100/B66*C66-100,1)&gt;999,999,-999)))</f>
        <v>5.2</v>
      </c>
      <c r="E66" s="8">
        <f>IFERROR(100/'Skjema total MA'!C66*C66,0)</f>
        <v>9.8374438046737769</v>
      </c>
      <c r="F66" s="288">
        <v>3188292.3846299998</v>
      </c>
      <c r="G66" s="288">
        <v>3543130.4240000001</v>
      </c>
      <c r="H66" s="286">
        <f t="shared" ref="H66:H111" si="14">IF(F66=0, "    ---- ", IF(ABS(ROUND(100/F66*G66-100,1))&lt;999,ROUND(100/F66*G66-100,1),IF(ROUND(100/F66*G66-100,1)&gt;999,999,-999)))</f>
        <v>11.1</v>
      </c>
      <c r="I66" s="350">
        <f>IFERROR(100/'Skjema total MA'!F66*G66,0)</f>
        <v>12.295026859207171</v>
      </c>
      <c r="J66" s="184">
        <f t="shared" ref="J66:K86" si="15">SUM(B66,F66)</f>
        <v>3664997.29794</v>
      </c>
      <c r="K66" s="259">
        <f t="shared" si="15"/>
        <v>4044804.3600000003</v>
      </c>
      <c r="L66" s="344">
        <f t="shared" ref="L66:L111" si="16">IF(J66=0, "    ---- ", IF(ABS(ROUND(100/J66*K66-100,1))&lt;999,ROUND(100/J66*K66-100,1),IF(ROUND(100/J66*K66-100,1)&gt;999,999,-999)))</f>
        <v>10.4</v>
      </c>
      <c r="M66" s="8">
        <f>IFERROR(100/'Skjema total MA'!I66*K66,0)</f>
        <v>11.925516057284771</v>
      </c>
    </row>
    <row r="67" spans="1:13" x14ac:dyDescent="0.2">
      <c r="A67" s="39" t="s">
        <v>9</v>
      </c>
      <c r="B67" s="36">
        <v>112396.24744000001</v>
      </c>
      <c r="C67" s="109">
        <v>97644.918999999994</v>
      </c>
      <c r="D67" s="123">
        <f t="shared" si="13"/>
        <v>-13.1</v>
      </c>
      <c r="E67" s="23">
        <f>IFERROR(100/'Skjema total MA'!C67*C67,0)</f>
        <v>3.5107224542057813</v>
      </c>
      <c r="F67" s="182"/>
      <c r="G67" s="109"/>
      <c r="H67" s="123"/>
      <c r="I67" s="336"/>
      <c r="J67" s="36">
        <f t="shared" si="15"/>
        <v>112396.24744000001</v>
      </c>
      <c r="K67" s="36">
        <f t="shared" si="15"/>
        <v>97644.918999999994</v>
      </c>
      <c r="L67" s="207">
        <f t="shared" si="16"/>
        <v>-13.1</v>
      </c>
      <c r="M67" s="23">
        <f>IFERROR(100/'Skjema total MA'!I67*K67,0)</f>
        <v>3.5107224542057813</v>
      </c>
    </row>
    <row r="68" spans="1:13" x14ac:dyDescent="0.2">
      <c r="A68" s="18" t="s">
        <v>10</v>
      </c>
      <c r="B68" s="239">
        <v>16535.74914</v>
      </c>
      <c r="C68" s="240">
        <v>12365.851000000001</v>
      </c>
      <c r="D68" s="123">
        <f t="shared" si="13"/>
        <v>-25.2</v>
      </c>
      <c r="E68" s="23">
        <f>IFERROR(100/'Skjema total MA'!C68*C68,0)</f>
        <v>88.543483673139576</v>
      </c>
      <c r="F68" s="239">
        <v>2981091.1416699998</v>
      </c>
      <c r="G68" s="240">
        <v>3310403.1710000001</v>
      </c>
      <c r="H68" s="123">
        <f t="shared" si="14"/>
        <v>11</v>
      </c>
      <c r="I68" s="336">
        <f>IFERROR(100/'Skjema total MA'!F68*G68,0)</f>
        <v>11.932275602705932</v>
      </c>
      <c r="J68" s="36">
        <f t="shared" si="15"/>
        <v>2997626.8908099998</v>
      </c>
      <c r="K68" s="36">
        <f t="shared" si="15"/>
        <v>3322769.0219999999</v>
      </c>
      <c r="L68" s="207">
        <f t="shared" si="16"/>
        <v>10.8</v>
      </c>
      <c r="M68" s="23">
        <f>IFERROR(100/'Skjema total MA'!I68*K68,0)</f>
        <v>11.970821977017453</v>
      </c>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v>194530.54936999999</v>
      </c>
      <c r="C75" s="109">
        <v>218496.16699999999</v>
      </c>
      <c r="D75" s="123">
        <f t="shared" si="13"/>
        <v>12.3</v>
      </c>
      <c r="E75" s="336">
        <f>IFERROR(100/'Skjema total MA'!C75*C75,0)</f>
        <v>42.701086993998956</v>
      </c>
      <c r="F75" s="36">
        <v>207201.24296</v>
      </c>
      <c r="G75" s="109">
        <v>232727.253</v>
      </c>
      <c r="H75" s="123">
        <f t="shared" si="14"/>
        <v>12.3</v>
      </c>
      <c r="I75" s="336">
        <f>IFERROR(100/'Skjema total MA'!F75*G75,0)</f>
        <v>21.662705781611994</v>
      </c>
      <c r="J75" s="36">
        <f t="shared" si="15"/>
        <v>401731.79232999997</v>
      </c>
      <c r="K75" s="36">
        <f t="shared" si="15"/>
        <v>451223.42</v>
      </c>
      <c r="L75" s="207">
        <f t="shared" si="16"/>
        <v>12.3</v>
      </c>
      <c r="M75" s="23">
        <f>IFERROR(100/'Skjema total MA'!I75*K75,0)</f>
        <v>28.450229363796932</v>
      </c>
    </row>
    <row r="76" spans="1:13" x14ac:dyDescent="0.2">
      <c r="A76" s="18" t="s">
        <v>309</v>
      </c>
      <c r="B76" s="182">
        <v>153242.36736</v>
      </c>
      <c r="C76" s="109">
        <v>173166.99900000001</v>
      </c>
      <c r="D76" s="123">
        <f t="shared" ref="D76" si="17">IF(B76=0, "    ---- ", IF(ABS(ROUND(100/B76*C76-100,1))&lt;999,ROUND(100/B76*C76-100,1),IF(ROUND(100/B76*C76-100,1)&gt;999,999,-999)))</f>
        <v>13</v>
      </c>
      <c r="E76" s="336">
        <f>IFERROR(100/'Skjema total MA'!C77*C76,0)</f>
        <v>6.3484076037243025</v>
      </c>
      <c r="F76" s="36"/>
      <c r="G76" s="109"/>
      <c r="H76" s="123"/>
      <c r="I76" s="336"/>
      <c r="J76" s="36">
        <f t="shared" ref="J76" si="18">SUM(B76,F76)</f>
        <v>153242.36736</v>
      </c>
      <c r="K76" s="36">
        <f t="shared" ref="K76" si="19">SUM(C76,G76)</f>
        <v>173166.99900000001</v>
      </c>
      <c r="L76" s="207">
        <f t="shared" ref="L76" si="20">IF(J76=0, "    ---- ", IF(ABS(ROUND(100/J76*K76-100,1))&lt;999,ROUND(100/J76*K76-100,1),IF(ROUND(100/J76*K76-100,1)&gt;999,999,-999)))</f>
        <v>13</v>
      </c>
      <c r="M76" s="23">
        <f>IFERROR(100/'Skjema total MA'!I77*K76,0)</f>
        <v>0.56842904994932453</v>
      </c>
    </row>
    <row r="77" spans="1:13" ht="15.75" x14ac:dyDescent="0.2">
      <c r="A77" s="18" t="s">
        <v>340</v>
      </c>
      <c r="B77" s="182">
        <v>128931.99658000001</v>
      </c>
      <c r="C77" s="182">
        <v>110010.76999999999</v>
      </c>
      <c r="D77" s="123">
        <f t="shared" si="13"/>
        <v>-14.7</v>
      </c>
      <c r="E77" s="336">
        <f>IFERROR(100/'Skjema total MA'!C77*C77,0)</f>
        <v>4.0330618004159398</v>
      </c>
      <c r="F77" s="36">
        <v>2976065.7756699999</v>
      </c>
      <c r="G77" s="109">
        <v>3305017.2319999998</v>
      </c>
      <c r="H77" s="123">
        <f t="shared" si="14"/>
        <v>11.1</v>
      </c>
      <c r="I77" s="336">
        <f>IFERROR(100/'Skjema total MA'!F77*G77,0)</f>
        <v>11.91580639837116</v>
      </c>
      <c r="J77" s="36">
        <f t="shared" si="15"/>
        <v>3104997.7722499999</v>
      </c>
      <c r="K77" s="36">
        <f t="shared" si="15"/>
        <v>3415028.0019999999</v>
      </c>
      <c r="L77" s="207">
        <f t="shared" si="16"/>
        <v>10</v>
      </c>
      <c r="M77" s="23">
        <f>IFERROR(100/'Skjema total MA'!I77*K77,0)</f>
        <v>11.209994594450411</v>
      </c>
    </row>
    <row r="78" spans="1:13" x14ac:dyDescent="0.2">
      <c r="A78" s="18" t="s">
        <v>9</v>
      </c>
      <c r="B78" s="182">
        <v>112396.24744000001</v>
      </c>
      <c r="C78" s="109">
        <v>97644.918999999994</v>
      </c>
      <c r="D78" s="123">
        <f t="shared" si="13"/>
        <v>-13.1</v>
      </c>
      <c r="E78" s="336">
        <f>IFERROR(100/'Skjema total MA'!C78*C78,0)</f>
        <v>3.598144552452446</v>
      </c>
      <c r="F78" s="36"/>
      <c r="G78" s="109"/>
      <c r="H78" s="123"/>
      <c r="I78" s="336"/>
      <c r="J78" s="36">
        <f t="shared" si="15"/>
        <v>112396.24744000001</v>
      </c>
      <c r="K78" s="36">
        <f t="shared" si="15"/>
        <v>97644.918999999994</v>
      </c>
      <c r="L78" s="207">
        <f t="shared" si="16"/>
        <v>-13.1</v>
      </c>
      <c r="M78" s="23">
        <f>IFERROR(100/'Skjema total MA'!I78*K78,0)</f>
        <v>3.598144552452446</v>
      </c>
    </row>
    <row r="79" spans="1:13" x14ac:dyDescent="0.2">
      <c r="A79" s="18" t="s">
        <v>368</v>
      </c>
      <c r="B79" s="239">
        <v>16535.74914</v>
      </c>
      <c r="C79" s="240">
        <v>12365.851000000001</v>
      </c>
      <c r="D79" s="123">
        <f t="shared" si="13"/>
        <v>-25.2</v>
      </c>
      <c r="E79" s="336">
        <f>IFERROR(100/'Skjema total MA'!C79*C79,0)</f>
        <v>88.543483673139576</v>
      </c>
      <c r="F79" s="143">
        <v>2976065.7756699999</v>
      </c>
      <c r="G79" s="240">
        <v>3305017.2319999998</v>
      </c>
      <c r="H79" s="123">
        <f t="shared" si="14"/>
        <v>11.1</v>
      </c>
      <c r="I79" s="336">
        <f>IFERROR(100/'Skjema total MA'!F79*G79,0)</f>
        <v>11.91580639837116</v>
      </c>
      <c r="J79" s="36">
        <f t="shared" si="15"/>
        <v>2992601.5248099999</v>
      </c>
      <c r="K79" s="36">
        <f t="shared" si="15"/>
        <v>3317383.0829999996</v>
      </c>
      <c r="L79" s="207">
        <f t="shared" si="16"/>
        <v>10.9</v>
      </c>
      <c r="M79" s="23">
        <f>IFERROR(100/'Skjema total MA'!I79*K79,0)</f>
        <v>11.954370583131888</v>
      </c>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v>5025.366</v>
      </c>
      <c r="G86" s="109">
        <v>5385.9390000000003</v>
      </c>
      <c r="H86" s="123">
        <f t="shared" si="14"/>
        <v>7.2</v>
      </c>
      <c r="I86" s="336">
        <f>IFERROR(100/'Skjema total MA'!F86*G86,0)</f>
        <v>78.568052578464645</v>
      </c>
      <c r="J86" s="36">
        <f t="shared" si="15"/>
        <v>5025.366</v>
      </c>
      <c r="K86" s="36">
        <f t="shared" si="15"/>
        <v>5385.9390000000003</v>
      </c>
      <c r="L86" s="207">
        <f t="shared" si="16"/>
        <v>7.2</v>
      </c>
      <c r="M86" s="23">
        <f>IFERROR(100/'Skjema total MA'!I86*K86,0)</f>
        <v>7.2360882344145097</v>
      </c>
    </row>
    <row r="87" spans="1:13" ht="15.75" x14ac:dyDescent="0.2">
      <c r="A87" s="10" t="s">
        <v>323</v>
      </c>
      <c r="B87" s="289">
        <v>19182684.463880002</v>
      </c>
      <c r="C87" s="289">
        <v>23100016.643000003</v>
      </c>
      <c r="D87" s="127">
        <f t="shared" si="13"/>
        <v>20.399999999999999</v>
      </c>
      <c r="E87" s="350">
        <f>IFERROR(100/'Skjema total MA'!C87*C87,0)</f>
        <v>5.6133427317582081</v>
      </c>
      <c r="F87" s="226">
        <v>67564230.328959897</v>
      </c>
      <c r="G87" s="288">
        <v>77617613.733999997</v>
      </c>
      <c r="H87" s="127">
        <f t="shared" si="14"/>
        <v>14.9</v>
      </c>
      <c r="I87" s="350">
        <f>IFERROR(100/'Skjema total MA'!F87*G87,0)</f>
        <v>10.857773827271224</v>
      </c>
      <c r="J87" s="184">
        <f t="shared" ref="J87:K111" si="21">SUM(B87,F87)</f>
        <v>86746914.7928399</v>
      </c>
      <c r="K87" s="184">
        <f t="shared" si="21"/>
        <v>100717630.377</v>
      </c>
      <c r="L87" s="344">
        <f t="shared" si="16"/>
        <v>16.100000000000001</v>
      </c>
      <c r="M87" s="8">
        <f>IFERROR(100/'Skjema total MA'!I87*K87,0)</f>
        <v>8.9417309783752117</v>
      </c>
    </row>
    <row r="88" spans="1:13" x14ac:dyDescent="0.2">
      <c r="A88" s="18" t="s">
        <v>9</v>
      </c>
      <c r="B88" s="182">
        <v>13588043.28772</v>
      </c>
      <c r="C88" s="109">
        <v>14713419.573000001</v>
      </c>
      <c r="D88" s="123">
        <f t="shared" si="13"/>
        <v>8.3000000000000007</v>
      </c>
      <c r="E88" s="336">
        <f>IFERROR(100/'Skjema total MA'!C88*C88,0)</f>
        <v>3.8090779590942532</v>
      </c>
      <c r="F88" s="36"/>
      <c r="G88" s="109"/>
      <c r="H88" s="123"/>
      <c r="I88" s="336"/>
      <c r="J88" s="36">
        <f t="shared" si="21"/>
        <v>13588043.28772</v>
      </c>
      <c r="K88" s="36">
        <f t="shared" si="21"/>
        <v>14713419.573000001</v>
      </c>
      <c r="L88" s="207">
        <f t="shared" si="16"/>
        <v>8.3000000000000007</v>
      </c>
      <c r="M88" s="23">
        <f>IFERROR(100/'Skjema total MA'!I88*K88,0)</f>
        <v>3.8090779590942532</v>
      </c>
    </row>
    <row r="89" spans="1:13" x14ac:dyDescent="0.2">
      <c r="A89" s="18" t="s">
        <v>10</v>
      </c>
      <c r="B89" s="182">
        <v>648963.10707000003</v>
      </c>
      <c r="C89" s="109">
        <v>2257074.2239999999</v>
      </c>
      <c r="D89" s="123">
        <f t="shared" si="13"/>
        <v>247.8</v>
      </c>
      <c r="E89" s="336">
        <f>IFERROR(100/'Skjema total MA'!C89*C89,0)</f>
        <v>55.052280277143083</v>
      </c>
      <c r="F89" s="36">
        <v>64932198.879489899</v>
      </c>
      <c r="G89" s="109">
        <v>74449109.724999994</v>
      </c>
      <c r="H89" s="123">
        <f t="shared" si="14"/>
        <v>14.7</v>
      </c>
      <c r="I89" s="336">
        <f>IFERROR(100/'Skjema total MA'!F89*G89,0)</f>
        <v>10.581557645597885</v>
      </c>
      <c r="J89" s="36">
        <f t="shared" si="21"/>
        <v>65581161.986559898</v>
      </c>
      <c r="K89" s="36">
        <f t="shared" si="21"/>
        <v>76706183.949000001</v>
      </c>
      <c r="L89" s="207">
        <f t="shared" si="16"/>
        <v>17</v>
      </c>
      <c r="M89" s="23">
        <f>IFERROR(100/'Skjema total MA'!I89*K89,0)</f>
        <v>10.839196541338868</v>
      </c>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v>3340539.6485100002</v>
      </c>
      <c r="C96" s="109">
        <v>4282658.9970000004</v>
      </c>
      <c r="D96" s="123">
        <f t="shared" si="13"/>
        <v>28.2</v>
      </c>
      <c r="E96" s="336">
        <f>IFERROR(100/'Skjema total MA'!C96*C96,0)</f>
        <v>53.247031907137298</v>
      </c>
      <c r="F96" s="36">
        <v>2632031.4494699999</v>
      </c>
      <c r="G96" s="109">
        <v>3168504.0090000001</v>
      </c>
      <c r="H96" s="123">
        <f t="shared" si="14"/>
        <v>20.399999999999999</v>
      </c>
      <c r="I96" s="336">
        <f>IFERROR(100/'Skjema total MA'!F96*G96,0)</f>
        <v>28.081290039467085</v>
      </c>
      <c r="J96" s="36">
        <f t="shared" si="21"/>
        <v>5972571.0979800001</v>
      </c>
      <c r="K96" s="36">
        <f t="shared" si="21"/>
        <v>7451163.006000001</v>
      </c>
      <c r="L96" s="207">
        <f t="shared" si="16"/>
        <v>24.8</v>
      </c>
      <c r="M96" s="23">
        <f>IFERROR(100/'Skjema total MA'!I96*K96,0)</f>
        <v>38.554467867163197</v>
      </c>
    </row>
    <row r="97" spans="1:13" x14ac:dyDescent="0.2">
      <c r="A97" s="18" t="s">
        <v>307</v>
      </c>
      <c r="B97" s="182">
        <v>1605138.4205799999</v>
      </c>
      <c r="C97" s="109">
        <v>1846863.8489999999</v>
      </c>
      <c r="D97" s="123">
        <f t="shared" ref="D97" si="22">IF(B97=0, "    ---- ", IF(ABS(ROUND(100/B97*C97-100,1))&lt;999,ROUND(100/B97*C97-100,1),IF(ROUND(100/B97*C97-100,1)&gt;999,999,-999)))</f>
        <v>15.1</v>
      </c>
      <c r="E97" s="336">
        <f>IFERROR(100/'Skjema total MA'!C98*C97,0)</f>
        <v>0.47814708492422286</v>
      </c>
      <c r="F97" s="36"/>
      <c r="G97" s="109"/>
      <c r="H97" s="123"/>
      <c r="I97" s="336"/>
      <c r="J97" s="36">
        <f t="shared" ref="J97" si="23">SUM(B97,F97)</f>
        <v>1605138.4205799999</v>
      </c>
      <c r="K97" s="36">
        <f t="shared" ref="K97" si="24">SUM(C97,G97)</f>
        <v>1846863.8489999999</v>
      </c>
      <c r="L97" s="207">
        <f t="shared" ref="L97" si="25">IF(J97=0, "    ---- ", IF(ABS(ROUND(100/J97*K97-100,1))&lt;999,ROUND(100/J97*K97-100,1),IF(ROUND(100/J97*K97-100,1)&gt;999,999,-999)))</f>
        <v>15.1</v>
      </c>
      <c r="M97" s="23">
        <f>IFERROR(100/'Skjema total MA'!I98*K97,0)</f>
        <v>0.16952701263612613</v>
      </c>
    </row>
    <row r="98" spans="1:13" ht="15.75" x14ac:dyDescent="0.2">
      <c r="A98" s="18" t="s">
        <v>340</v>
      </c>
      <c r="B98" s="182">
        <v>14237006.394790001</v>
      </c>
      <c r="C98" s="182">
        <v>16970493.797000002</v>
      </c>
      <c r="D98" s="123">
        <f t="shared" si="13"/>
        <v>19.2</v>
      </c>
      <c r="E98" s="336">
        <f>IFERROR(100/'Skjema total MA'!C98*C98,0)</f>
        <v>4.3936060274035702</v>
      </c>
      <c r="F98" s="143">
        <v>64842089.2786799</v>
      </c>
      <c r="G98" s="239">
        <v>74357811.821999997</v>
      </c>
      <c r="H98" s="123">
        <f t="shared" si="14"/>
        <v>14.7</v>
      </c>
      <c r="I98" s="336">
        <f>IFERROR(100/'Skjema total MA'!F98*G98,0)</f>
        <v>10.5746980024322</v>
      </c>
      <c r="J98" s="36">
        <f t="shared" si="21"/>
        <v>79079095.673469901</v>
      </c>
      <c r="K98" s="36">
        <f t="shared" si="21"/>
        <v>91328305.619000003</v>
      </c>
      <c r="L98" s="207">
        <f t="shared" si="16"/>
        <v>15.5</v>
      </c>
      <c r="M98" s="23">
        <f>IFERROR(100/'Skjema total MA'!I98*K98,0)</f>
        <v>8.3831923122494363</v>
      </c>
    </row>
    <row r="99" spans="1:13" x14ac:dyDescent="0.2">
      <c r="A99" s="18" t="s">
        <v>9</v>
      </c>
      <c r="B99" s="239">
        <v>13588043.28772</v>
      </c>
      <c r="C99" s="240">
        <v>14713419.573000001</v>
      </c>
      <c r="D99" s="123">
        <f t="shared" si="13"/>
        <v>8.3000000000000007</v>
      </c>
      <c r="E99" s="336">
        <f>IFERROR(100/'Skjema total MA'!C99*C99,0)</f>
        <v>3.850123715592086</v>
      </c>
      <c r="F99" s="36"/>
      <c r="G99" s="109"/>
      <c r="H99" s="123"/>
      <c r="I99" s="336"/>
      <c r="J99" s="36">
        <f t="shared" si="21"/>
        <v>13588043.28772</v>
      </c>
      <c r="K99" s="36">
        <f t="shared" si="21"/>
        <v>14713419.573000001</v>
      </c>
      <c r="L99" s="207">
        <f t="shared" si="16"/>
        <v>8.3000000000000007</v>
      </c>
      <c r="M99" s="23">
        <f>IFERROR(100/'Skjema total MA'!I99*K99,0)</f>
        <v>3.850123715592086</v>
      </c>
    </row>
    <row r="100" spans="1:13" x14ac:dyDescent="0.2">
      <c r="A100" s="18" t="s">
        <v>368</v>
      </c>
      <c r="B100" s="239">
        <v>648963.10707000003</v>
      </c>
      <c r="C100" s="240">
        <v>2257074.2239999999</v>
      </c>
      <c r="D100" s="123">
        <f t="shared" si="13"/>
        <v>247.8</v>
      </c>
      <c r="E100" s="336">
        <f>IFERROR(100/'Skjema total MA'!C100*C100,0)</f>
        <v>55.052280277143083</v>
      </c>
      <c r="F100" s="36">
        <v>64842089.2786799</v>
      </c>
      <c r="G100" s="182">
        <v>74357811.821999997</v>
      </c>
      <c r="H100" s="123">
        <f t="shared" si="14"/>
        <v>14.7</v>
      </c>
      <c r="I100" s="336">
        <f>IFERROR(100/'Skjema total MA'!F100*G100,0)</f>
        <v>10.5746980024322</v>
      </c>
      <c r="J100" s="36">
        <f t="shared" si="21"/>
        <v>65491052.385749899</v>
      </c>
      <c r="K100" s="36">
        <f t="shared" si="21"/>
        <v>76614886.046000004</v>
      </c>
      <c r="L100" s="207">
        <f t="shared" si="16"/>
        <v>17</v>
      </c>
      <c r="M100" s="23">
        <f>IFERROR(100/'Skjema total MA'!I100*K100,0)</f>
        <v>10.832524908403146</v>
      </c>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v>90109.600809999902</v>
      </c>
      <c r="G107" s="109">
        <v>91297.902000000002</v>
      </c>
      <c r="H107" s="123">
        <f t="shared" si="14"/>
        <v>1.3</v>
      </c>
      <c r="I107" s="336">
        <f>IFERROR(100/'Skjema total MA'!F107*G107,0)</f>
        <v>22.433896442161895</v>
      </c>
      <c r="J107" s="36">
        <f t="shared" si="21"/>
        <v>90109.600809999902</v>
      </c>
      <c r="K107" s="36">
        <f t="shared" si="21"/>
        <v>91297.902000000002</v>
      </c>
      <c r="L107" s="207">
        <f t="shared" si="16"/>
        <v>1.3</v>
      </c>
      <c r="M107" s="23">
        <f>IFERROR(100/'Skjema total MA'!I107*K107,0)</f>
        <v>2.0176449970445023</v>
      </c>
    </row>
    <row r="108" spans="1:13" ht="15.75" x14ac:dyDescent="0.2">
      <c r="A108" s="18" t="s">
        <v>342</v>
      </c>
      <c r="B108" s="182">
        <v>10834889.53324</v>
      </c>
      <c r="C108" s="182">
        <v>11860317.790999999</v>
      </c>
      <c r="D108" s="123">
        <f t="shared" si="13"/>
        <v>9.5</v>
      </c>
      <c r="E108" s="336">
        <f>IFERROR(100/'Skjema total MA'!C108*C108,0)</f>
        <v>3.5765283794010423</v>
      </c>
      <c r="F108" s="36"/>
      <c r="G108" s="182"/>
      <c r="H108" s="123"/>
      <c r="I108" s="336"/>
      <c r="J108" s="36">
        <f t="shared" si="21"/>
        <v>10834889.53324</v>
      </c>
      <c r="K108" s="36">
        <f t="shared" si="21"/>
        <v>11860317.790999999</v>
      </c>
      <c r="L108" s="207">
        <f t="shared" si="16"/>
        <v>9.5</v>
      </c>
      <c r="M108" s="23">
        <f>IFERROR(100/'Skjema total MA'!I108*K108,0)</f>
        <v>3.3300492177855707</v>
      </c>
    </row>
    <row r="109" spans="1:13" ht="15.75" x14ac:dyDescent="0.2">
      <c r="A109" s="18" t="s">
        <v>382</v>
      </c>
      <c r="B109" s="182">
        <v>440340.55963999999</v>
      </c>
      <c r="C109" s="182">
        <v>466232.2</v>
      </c>
      <c r="D109" s="123">
        <f t="shared" si="13"/>
        <v>5.9</v>
      </c>
      <c r="E109" s="336">
        <f>IFERROR(100/'Skjema total MA'!C109*C109,0)</f>
        <v>18.083384960529358</v>
      </c>
      <c r="F109" s="36">
        <v>26853336.683449998</v>
      </c>
      <c r="G109" s="182">
        <v>32249267.74529</v>
      </c>
      <c r="H109" s="123">
        <f t="shared" si="14"/>
        <v>20.100000000000001</v>
      </c>
      <c r="I109" s="336">
        <f>IFERROR(100/'Skjema total MA'!F109*G109,0)</f>
        <v>11.774111122534078</v>
      </c>
      <c r="J109" s="36">
        <f t="shared" si="21"/>
        <v>27293677.24309</v>
      </c>
      <c r="K109" s="36">
        <f t="shared" si="21"/>
        <v>32715499.945289999</v>
      </c>
      <c r="L109" s="207">
        <f t="shared" si="16"/>
        <v>19.899999999999999</v>
      </c>
      <c r="M109" s="23">
        <f>IFERROR(100/'Skjema total MA'!I109*K109,0)</f>
        <v>11.832946868903292</v>
      </c>
    </row>
    <row r="110" spans="1:13" ht="15.75" x14ac:dyDescent="0.2">
      <c r="A110" s="18" t="s">
        <v>343</v>
      </c>
      <c r="B110" s="182">
        <v>1290589.31308</v>
      </c>
      <c r="C110" s="182">
        <v>1737524.595</v>
      </c>
      <c r="D110" s="123">
        <f t="shared" si="13"/>
        <v>34.6</v>
      </c>
      <c r="E110" s="336">
        <f>IFERROR(100/'Skjema total MA'!C110*C110,0)</f>
        <v>42.928241701243863</v>
      </c>
      <c r="F110" s="36"/>
      <c r="G110" s="182"/>
      <c r="H110" s="123"/>
      <c r="I110" s="336"/>
      <c r="J110" s="36">
        <f t="shared" si="21"/>
        <v>1290589.31308</v>
      </c>
      <c r="K110" s="36">
        <f t="shared" si="21"/>
        <v>1737524.595</v>
      </c>
      <c r="L110" s="207">
        <f t="shared" si="16"/>
        <v>34.6</v>
      </c>
      <c r="M110" s="23">
        <f>IFERROR(100/'Skjema total MA'!I110*K110,0)</f>
        <v>42.928241701243863</v>
      </c>
    </row>
    <row r="111" spans="1:13" ht="15.75" x14ac:dyDescent="0.2">
      <c r="A111" s="10" t="s">
        <v>324</v>
      </c>
      <c r="B111" s="251">
        <v>20032.845719999998</v>
      </c>
      <c r="C111" s="118">
        <v>931104.20799999998</v>
      </c>
      <c r="D111" s="127">
        <f t="shared" si="13"/>
        <v>999</v>
      </c>
      <c r="E111" s="350">
        <f>IFERROR(100/'Skjema total MA'!C111*C111,0)</f>
        <v>70.481879910638483</v>
      </c>
      <c r="F111" s="184">
        <v>2846989.0455499999</v>
      </c>
      <c r="G111" s="118">
        <v>3958050.74</v>
      </c>
      <c r="H111" s="127">
        <f t="shared" si="14"/>
        <v>39</v>
      </c>
      <c r="I111" s="350">
        <f>IFERROR(100/'Skjema total MA'!F111*G111,0)</f>
        <v>11.229511724795431</v>
      </c>
      <c r="J111" s="184">
        <f t="shared" si="21"/>
        <v>2867021.89127</v>
      </c>
      <c r="K111" s="184">
        <f t="shared" si="21"/>
        <v>4889154.9479999999</v>
      </c>
      <c r="L111" s="344">
        <f t="shared" si="16"/>
        <v>70.5</v>
      </c>
      <c r="M111" s="8">
        <f>IFERROR(100/'Skjema total MA'!I111*K111,0)</f>
        <v>13.370066168942435</v>
      </c>
    </row>
    <row r="112" spans="1:13" x14ac:dyDescent="0.2">
      <c r="A112" s="18" t="s">
        <v>9</v>
      </c>
      <c r="B112" s="182">
        <v>194.98938000000001</v>
      </c>
      <c r="C112" s="109">
        <v>900066.96299999999</v>
      </c>
      <c r="D112" s="123">
        <f t="shared" ref="D112:D125" si="26">IF(B112=0, "    ---- ", IF(ABS(ROUND(100/B112*C112-100,1))&lt;999,ROUND(100/B112*C112-100,1),IF(ROUND(100/B112*C112-100,1)&gt;999,999,-999)))</f>
        <v>999</v>
      </c>
      <c r="E112" s="336">
        <f>IFERROR(100/'Skjema total MA'!C112*C112,0)</f>
        <v>75.175469638390041</v>
      </c>
      <c r="F112" s="36"/>
      <c r="G112" s="109"/>
      <c r="H112" s="123"/>
      <c r="I112" s="336"/>
      <c r="J112" s="36">
        <f t="shared" ref="J112:K125" si="27">SUM(B112,F112)</f>
        <v>194.98938000000001</v>
      </c>
      <c r="K112" s="36">
        <f t="shared" si="27"/>
        <v>900066.96299999999</v>
      </c>
      <c r="L112" s="207">
        <f t="shared" ref="L112:L125" si="28">IF(J112=0, "    ---- ", IF(ABS(ROUND(100/J112*K112-100,1))&lt;999,ROUND(100/J112*K112-100,1),IF(ROUND(100/J112*K112-100,1)&gt;999,999,-999)))</f>
        <v>999</v>
      </c>
      <c r="M112" s="23">
        <f>IFERROR(100/'Skjema total MA'!I112*K112,0)</f>
        <v>75.119768526841611</v>
      </c>
    </row>
    <row r="113" spans="1:13" x14ac:dyDescent="0.2">
      <c r="A113" s="18" t="s">
        <v>10</v>
      </c>
      <c r="B113" s="182">
        <v>0</v>
      </c>
      <c r="C113" s="109">
        <v>21482.974999999999</v>
      </c>
      <c r="D113" s="123" t="str">
        <f t="shared" si="26"/>
        <v xml:space="preserve">    ---- </v>
      </c>
      <c r="E113" s="336">
        <f>IFERROR(100/'Skjema total MA'!C113*C113,0)</f>
        <v>100</v>
      </c>
      <c r="F113" s="36">
        <v>2846989.0455499999</v>
      </c>
      <c r="G113" s="109">
        <v>3958050.74</v>
      </c>
      <c r="H113" s="123">
        <f t="shared" ref="H113:H125" si="29">IF(F113=0, "    ---- ", IF(ABS(ROUND(100/F113*G113-100,1))&lt;999,ROUND(100/F113*G113-100,1),IF(ROUND(100/F113*G113-100,1)&gt;999,999,-999)))</f>
        <v>39</v>
      </c>
      <c r="I113" s="336">
        <f>IFERROR(100/'Skjema total MA'!F113*G113,0)</f>
        <v>11.22979457703363</v>
      </c>
      <c r="J113" s="36">
        <f t="shared" si="27"/>
        <v>2846989.0455499999</v>
      </c>
      <c r="K113" s="36">
        <f t="shared" si="27"/>
        <v>3979533.7150000003</v>
      </c>
      <c r="L113" s="207">
        <f t="shared" si="28"/>
        <v>39.799999999999997</v>
      </c>
      <c r="M113" s="23">
        <f>IFERROR(100/'Skjema total MA'!I113*K113,0)</f>
        <v>11.283868449683359</v>
      </c>
    </row>
    <row r="114" spans="1:13" x14ac:dyDescent="0.2">
      <c r="A114" s="18" t="s">
        <v>26</v>
      </c>
      <c r="B114" s="182">
        <v>19837.856339999998</v>
      </c>
      <c r="C114" s="109">
        <v>9554.27</v>
      </c>
      <c r="D114" s="123">
        <f t="shared" si="26"/>
        <v>-51.8</v>
      </c>
      <c r="E114" s="336">
        <f>IFERROR(100/'Skjema total MA'!C114*C114,0)</f>
        <v>9.3409561881059382</v>
      </c>
      <c r="F114" s="36"/>
      <c r="G114" s="109"/>
      <c r="H114" s="123"/>
      <c r="I114" s="336"/>
      <c r="J114" s="36">
        <f t="shared" si="27"/>
        <v>19837.856339999998</v>
      </c>
      <c r="K114" s="36">
        <f t="shared" si="27"/>
        <v>9554.27</v>
      </c>
      <c r="L114" s="207">
        <f t="shared" si="28"/>
        <v>-51.8</v>
      </c>
      <c r="M114" s="23">
        <f>IFERROR(100/'Skjema total MA'!I114*K114,0)</f>
        <v>9.3409561881059382</v>
      </c>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v>164.11304000000001</v>
      </c>
      <c r="C116" s="182">
        <v>895687.11199999996</v>
      </c>
      <c r="D116" s="123">
        <f t="shared" si="26"/>
        <v>999</v>
      </c>
      <c r="E116" s="336">
        <f>IFERROR(100/'Skjema total MA'!C116*C116,0)</f>
        <v>97.39011647876579</v>
      </c>
      <c r="F116" s="36"/>
      <c r="G116" s="182"/>
      <c r="H116" s="123"/>
      <c r="I116" s="336"/>
      <c r="J116" s="36">
        <f t="shared" si="27"/>
        <v>164.11304000000001</v>
      </c>
      <c r="K116" s="36">
        <f t="shared" si="27"/>
        <v>895687.11199999996</v>
      </c>
      <c r="L116" s="207">
        <f t="shared" si="28"/>
        <v>999</v>
      </c>
      <c r="M116" s="23">
        <f>IFERROR(100/'Skjema total MA'!I116*K116,0)</f>
        <v>97.296195478163241</v>
      </c>
    </row>
    <row r="117" spans="1:13" ht="15.75" x14ac:dyDescent="0.2">
      <c r="A117" s="18" t="s">
        <v>382</v>
      </c>
      <c r="B117" s="182"/>
      <c r="C117" s="182"/>
      <c r="D117" s="123"/>
      <c r="E117" s="336">
        <f>IFERROR(100/'Skjema total MA'!C117*C117,0)</f>
        <v>0</v>
      </c>
      <c r="F117" s="36">
        <v>1902978.25758</v>
      </c>
      <c r="G117" s="182">
        <v>2423462.6376299998</v>
      </c>
      <c r="H117" s="123">
        <f t="shared" si="29"/>
        <v>27.4</v>
      </c>
      <c r="I117" s="336">
        <f>IFERROR(100/'Skjema total MA'!F117*G117,0)</f>
        <v>11.338951895137445</v>
      </c>
      <c r="J117" s="36">
        <f t="shared" si="27"/>
        <v>1902978.25758</v>
      </c>
      <c r="K117" s="36">
        <f t="shared" si="27"/>
        <v>2423462.6376299998</v>
      </c>
      <c r="L117" s="207">
        <f t="shared" si="28"/>
        <v>27.4</v>
      </c>
      <c r="M117" s="23">
        <f>IFERROR(100/'Skjema total MA'!I117*K117,0)</f>
        <v>11.338951895137445</v>
      </c>
    </row>
    <row r="118" spans="1:13" ht="15.75" x14ac:dyDescent="0.2">
      <c r="A118" s="18" t="s">
        <v>343</v>
      </c>
      <c r="B118" s="182"/>
      <c r="C118" s="182"/>
      <c r="D118" s="123"/>
      <c r="E118" s="336">
        <f>IFERROR(100/'Skjema total MA'!C118*C118,0)</f>
        <v>0</v>
      </c>
      <c r="F118" s="36"/>
      <c r="G118" s="182"/>
      <c r="H118" s="123"/>
      <c r="I118" s="336"/>
      <c r="J118" s="36"/>
      <c r="K118" s="36"/>
      <c r="L118" s="207"/>
      <c r="M118" s="23"/>
    </row>
    <row r="119" spans="1:13" ht="15.75" x14ac:dyDescent="0.2">
      <c r="A119" s="10" t="s">
        <v>325</v>
      </c>
      <c r="B119" s="251">
        <v>13399.14774</v>
      </c>
      <c r="C119" s="118">
        <v>64235.467999999993</v>
      </c>
      <c r="D119" s="127">
        <f t="shared" si="26"/>
        <v>379.4</v>
      </c>
      <c r="E119" s="350">
        <f>IFERROR(100/'Skjema total MA'!C119*C119,0)</f>
        <v>17.458173489299842</v>
      </c>
      <c r="F119" s="184">
        <v>3085746.9376500002</v>
      </c>
      <c r="G119" s="118">
        <v>4100587.179</v>
      </c>
      <c r="H119" s="127">
        <f t="shared" si="29"/>
        <v>32.9</v>
      </c>
      <c r="I119" s="350">
        <f>IFERROR(100/'Skjema total MA'!F119*G119,0)</f>
        <v>11.083873879471087</v>
      </c>
      <c r="J119" s="184">
        <f t="shared" si="27"/>
        <v>3099146.0853900001</v>
      </c>
      <c r="K119" s="184">
        <f t="shared" si="27"/>
        <v>4164822.6469999999</v>
      </c>
      <c r="L119" s="344">
        <f t="shared" si="28"/>
        <v>34.4</v>
      </c>
      <c r="M119" s="8">
        <f>IFERROR(100/'Skjema total MA'!I119*K119,0)</f>
        <v>11.146644467503595</v>
      </c>
    </row>
    <row r="120" spans="1:13" x14ac:dyDescent="0.2">
      <c r="A120" s="18" t="s">
        <v>9</v>
      </c>
      <c r="B120" s="182">
        <v>17.624590000000001</v>
      </c>
      <c r="C120" s="109">
        <v>227.762</v>
      </c>
      <c r="D120" s="123">
        <f t="shared" si="26"/>
        <v>999</v>
      </c>
      <c r="E120" s="336">
        <f>IFERROR(100/'Skjema total MA'!C120*C120,0)</f>
        <v>0.21469908777108951</v>
      </c>
      <c r="F120" s="36">
        <v>0</v>
      </c>
      <c r="G120" s="109">
        <v>0</v>
      </c>
      <c r="H120" s="123" t="str">
        <f t="shared" si="29"/>
        <v xml:space="preserve">    ---- </v>
      </c>
      <c r="I120" s="336">
        <f>IFERROR(100/'Skjema total MA'!F120*G120,0)</f>
        <v>0</v>
      </c>
      <c r="J120" s="36">
        <f t="shared" si="27"/>
        <v>17.624590000000001</v>
      </c>
      <c r="K120" s="36">
        <f t="shared" si="27"/>
        <v>227.762</v>
      </c>
      <c r="L120" s="207">
        <f t="shared" si="28"/>
        <v>999</v>
      </c>
      <c r="M120" s="23">
        <f>IFERROR(100/'Skjema total MA'!I120*K120,0)</f>
        <v>0.21469908777108951</v>
      </c>
    </row>
    <row r="121" spans="1:13" x14ac:dyDescent="0.2">
      <c r="A121" s="18" t="s">
        <v>10</v>
      </c>
      <c r="B121" s="182">
        <v>5132.13501</v>
      </c>
      <c r="C121" s="109">
        <v>34989.053999999996</v>
      </c>
      <c r="D121" s="123">
        <f t="shared" si="26"/>
        <v>581.79999999999995</v>
      </c>
      <c r="E121" s="336">
        <f>IFERROR(100/'Skjema total MA'!C121*C121,0)</f>
        <v>100</v>
      </c>
      <c r="F121" s="36">
        <v>3085746.9376500002</v>
      </c>
      <c r="G121" s="109">
        <v>4100587.179</v>
      </c>
      <c r="H121" s="123">
        <f t="shared" si="29"/>
        <v>32.9</v>
      </c>
      <c r="I121" s="336">
        <f>IFERROR(100/'Skjema total MA'!F121*G121,0)</f>
        <v>11.083873879471087</v>
      </c>
      <c r="J121" s="36">
        <f t="shared" si="27"/>
        <v>3090879.0726600001</v>
      </c>
      <c r="K121" s="36">
        <f t="shared" si="27"/>
        <v>4135576.233</v>
      </c>
      <c r="L121" s="207">
        <f t="shared" si="28"/>
        <v>33.799999999999997</v>
      </c>
      <c r="M121" s="23">
        <f>IFERROR(100/'Skjema total MA'!I121*K121,0)</f>
        <v>11.167887116525053</v>
      </c>
    </row>
    <row r="122" spans="1:13" x14ac:dyDescent="0.2">
      <c r="A122" s="18" t="s">
        <v>26</v>
      </c>
      <c r="B122" s="182">
        <v>8249.3881399999991</v>
      </c>
      <c r="C122" s="109">
        <v>29018.651999999998</v>
      </c>
      <c r="D122" s="123">
        <f t="shared" si="26"/>
        <v>251.8</v>
      </c>
      <c r="E122" s="336">
        <f>IFERROR(100/'Skjema total MA'!C122*C122,0)</f>
        <v>12.791104538103728</v>
      </c>
      <c r="F122" s="36"/>
      <c r="G122" s="109"/>
      <c r="H122" s="123"/>
      <c r="I122" s="336">
        <f>IFERROR(100/'Skjema total MA'!F122*G122,0)</f>
        <v>0</v>
      </c>
      <c r="J122" s="36">
        <f t="shared" si="27"/>
        <v>8249.3881399999991</v>
      </c>
      <c r="K122" s="36">
        <f t="shared" si="27"/>
        <v>29018.651999999998</v>
      </c>
      <c r="L122" s="207">
        <f t="shared" si="28"/>
        <v>251.8</v>
      </c>
      <c r="M122" s="23">
        <f>IFERROR(100/'Skjema total MA'!I122*K122,0)</f>
        <v>12.791104538103728</v>
      </c>
    </row>
    <row r="123" spans="1:13" x14ac:dyDescent="0.2">
      <c r="A123" s="241" t="s">
        <v>14</v>
      </c>
      <c r="B123" s="251"/>
      <c r="C123" s="251"/>
      <c r="D123" s="123"/>
      <c r="E123" s="336"/>
      <c r="F123" s="184"/>
      <c r="G123" s="251"/>
      <c r="H123" s="123"/>
      <c r="I123" s="336">
        <f>IFERROR(100/'Skjema total MA'!F123*G123,0)</f>
        <v>0</v>
      </c>
      <c r="J123" s="238"/>
      <c r="K123" s="238"/>
      <c r="L123" s="123"/>
      <c r="M123" s="20"/>
    </row>
    <row r="124" spans="1:13" ht="15.75" x14ac:dyDescent="0.2">
      <c r="A124" s="18" t="s">
        <v>349</v>
      </c>
      <c r="B124" s="182"/>
      <c r="C124" s="182"/>
      <c r="D124" s="123"/>
      <c r="E124" s="336"/>
      <c r="F124" s="36"/>
      <c r="G124" s="182"/>
      <c r="H124" s="123"/>
      <c r="I124" s="336">
        <f>IFERROR(100/'Skjema total MA'!F124*G124,0)</f>
        <v>0</v>
      </c>
      <c r="J124" s="36"/>
      <c r="K124" s="36"/>
      <c r="L124" s="207"/>
      <c r="M124" s="23"/>
    </row>
    <row r="125" spans="1:13" ht="15.75" x14ac:dyDescent="0.2">
      <c r="A125" s="18" t="s">
        <v>382</v>
      </c>
      <c r="B125" s="182">
        <v>2444.2839100000001</v>
      </c>
      <c r="C125" s="182">
        <v>1235.0909999999999</v>
      </c>
      <c r="D125" s="123">
        <f t="shared" si="26"/>
        <v>-49.5</v>
      </c>
      <c r="E125" s="336">
        <f>IFERROR(100/'Skjema total MA'!C125*C125,0)</f>
        <v>88.592049682490838</v>
      </c>
      <c r="F125" s="36">
        <v>1557675.48551</v>
      </c>
      <c r="G125" s="182">
        <v>1704007.128</v>
      </c>
      <c r="H125" s="123">
        <f t="shared" si="29"/>
        <v>9.4</v>
      </c>
      <c r="I125" s="336">
        <f>IFERROR(100/'Skjema total MA'!F125*G125,0)</f>
        <v>8.1880485293308212</v>
      </c>
      <c r="J125" s="36">
        <f t="shared" si="27"/>
        <v>1560119.76942</v>
      </c>
      <c r="K125" s="36">
        <f t="shared" si="27"/>
        <v>1705242.219</v>
      </c>
      <c r="L125" s="207">
        <f t="shared" si="28"/>
        <v>9.3000000000000007</v>
      </c>
      <c r="M125" s="23">
        <f>IFERROR(100/'Skjema total MA'!I125*K125,0)</f>
        <v>8.1934344726259791</v>
      </c>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70" priority="76">
      <formula>kvartal &lt; 4</formula>
    </cfRule>
  </conditionalFormatting>
  <conditionalFormatting sqref="C115">
    <cfRule type="expression" dxfId="269" priority="75">
      <formula>kvartal &lt; 4</formula>
    </cfRule>
  </conditionalFormatting>
  <conditionalFormatting sqref="F115">
    <cfRule type="expression" dxfId="268" priority="58">
      <formula>kvartal &lt; 4</formula>
    </cfRule>
  </conditionalFormatting>
  <conditionalFormatting sqref="G115">
    <cfRule type="expression" dxfId="267" priority="57">
      <formula>kvartal &lt; 4</formula>
    </cfRule>
  </conditionalFormatting>
  <conditionalFormatting sqref="J115:K115">
    <cfRule type="expression" dxfId="266" priority="32">
      <formula>kvartal &lt; 4</formula>
    </cfRule>
  </conditionalFormatting>
  <conditionalFormatting sqref="J123:K123">
    <cfRule type="expression" dxfId="265" priority="31">
      <formula>kvartal &lt; 4</formula>
    </cfRule>
  </conditionalFormatting>
  <conditionalFormatting sqref="A50:A52">
    <cfRule type="expression" dxfId="264" priority="12">
      <formula>kvartal &lt; 4</formula>
    </cfRule>
  </conditionalFormatting>
  <conditionalFormatting sqref="A69:A74">
    <cfRule type="expression" dxfId="263" priority="10">
      <formula>kvartal &lt; 4</formula>
    </cfRule>
  </conditionalFormatting>
  <conditionalFormatting sqref="A80:A85">
    <cfRule type="expression" dxfId="262" priority="9">
      <formula>kvartal &lt; 4</formula>
    </cfRule>
  </conditionalFormatting>
  <conditionalFormatting sqref="A90:A95">
    <cfRule type="expression" dxfId="261" priority="6">
      <formula>kvartal &lt; 4</formula>
    </cfRule>
  </conditionalFormatting>
  <conditionalFormatting sqref="A101:A106">
    <cfRule type="expression" dxfId="260" priority="5">
      <formula>kvartal &lt; 4</formula>
    </cfRule>
  </conditionalFormatting>
  <conditionalFormatting sqref="A115">
    <cfRule type="expression" dxfId="259" priority="4">
      <formula>kvartal &lt; 4</formula>
    </cfRule>
  </conditionalFormatting>
  <conditionalFormatting sqref="A123">
    <cfRule type="expression" dxfId="258" priority="3">
      <formula>kvartal &lt; 4</formula>
    </cfRule>
  </conditionalFormatting>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7109375" style="22" bestFit="1" customWidth="1"/>
    <col min="16" max="16384" width="11.42578125" style="1"/>
  </cols>
  <sheetData>
    <row r="1" spans="1:15" x14ac:dyDescent="0.2">
      <c r="A1" s="129" t="s">
        <v>125</v>
      </c>
      <c r="B1" s="544"/>
      <c r="C1" s="198" t="s">
        <v>89</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599343.17461999995</v>
      </c>
      <c r="C7" s="250">
        <v>656449.44423999998</v>
      </c>
      <c r="D7" s="286">
        <f>IF(B7=0, "    ---- ", IF(ABS(ROUND(100/B7*C7-100,1))&lt;999,ROUND(100/B7*C7-100,1),IF(ROUND(100/B7*C7-100,1)&gt;999,999,-999)))</f>
        <v>9.5</v>
      </c>
      <c r="E7" s="8">
        <f>IFERROR(100/'Skjema total MA'!C7*C7,0)</f>
        <v>19.784964513392648</v>
      </c>
      <c r="F7" s="249">
        <v>682526.46611000004</v>
      </c>
      <c r="G7" s="250">
        <v>487242.82764999999</v>
      </c>
      <c r="H7" s="286">
        <f>IF(F7=0, "    ---- ", IF(ABS(ROUND(100/F7*G7-100,1))&lt;999,ROUND(100/F7*G7-100,1),IF(ROUND(100/F7*G7-100,1)&gt;999,999,-999)))</f>
        <v>-28.6</v>
      </c>
      <c r="I7" s="119">
        <f>IFERROR(100/'Skjema total MA'!F7*G7,0)</f>
        <v>8.774536746390984</v>
      </c>
      <c r="J7" s="251">
        <f t="shared" ref="J7:K12" si="0">SUM(B7,F7)</f>
        <v>1281869.6407300001</v>
      </c>
      <c r="K7" s="252">
        <f t="shared" si="0"/>
        <v>1143692.27189</v>
      </c>
      <c r="L7" s="343">
        <f>IF(J7=0, "    ---- ", IF(ABS(ROUND(100/J7*K7-100,1))&lt;999,ROUND(100/J7*K7-100,1),IF(ROUND(100/J7*K7-100,1)&gt;999,999,-999)))</f>
        <v>-10.8</v>
      </c>
      <c r="M7" s="8">
        <f>IFERROR(100/'Skjema total MA'!I7*K7,0)</f>
        <v>12.892718573125915</v>
      </c>
    </row>
    <row r="8" spans="1:15" ht="15.75" x14ac:dyDescent="0.2">
      <c r="A8" s="18" t="s">
        <v>25</v>
      </c>
      <c r="B8" s="229">
        <v>196103.13083000001</v>
      </c>
      <c r="C8" s="230">
        <v>190278.19182903599</v>
      </c>
      <c r="D8" s="123">
        <f t="shared" ref="D8:D10" si="1">IF(B8=0, "    ---- ", IF(ABS(ROUND(100/B8*C8-100,1))&lt;999,ROUND(100/B8*C8-100,1),IF(ROUND(100/B8*C8-100,1)&gt;999,999,-999)))</f>
        <v>-3</v>
      </c>
      <c r="E8" s="23">
        <f>IFERROR(100/'Skjema total MA'!C8*C8,0)</f>
        <v>8.5577535716361872</v>
      </c>
      <c r="F8" s="233"/>
      <c r="G8" s="234"/>
      <c r="H8" s="123"/>
      <c r="I8" s="133"/>
      <c r="J8" s="182">
        <f t="shared" si="0"/>
        <v>196103.13083000001</v>
      </c>
      <c r="K8" s="235">
        <f t="shared" si="0"/>
        <v>190278.19182903599</v>
      </c>
      <c r="L8" s="123">
        <f t="shared" ref="L8:L9" si="2">IF(J8=0, "    ---- ", IF(ABS(ROUND(100/J8*K8-100,1))&lt;999,ROUND(100/J8*K8-100,1),IF(ROUND(100/J8*K8-100,1)&gt;999,999,-999)))</f>
        <v>-3</v>
      </c>
      <c r="M8" s="23">
        <f>IFERROR(100/'Skjema total MA'!I8*K8,0)</f>
        <v>8.5577535716361872</v>
      </c>
    </row>
    <row r="9" spans="1:15" ht="15.75" x14ac:dyDescent="0.2">
      <c r="A9" s="18" t="s">
        <v>24</v>
      </c>
      <c r="B9" s="229">
        <v>80081.283489997004</v>
      </c>
      <c r="C9" s="230">
        <v>79127.331169942699</v>
      </c>
      <c r="D9" s="123">
        <f t="shared" si="1"/>
        <v>-1.2</v>
      </c>
      <c r="E9" s="23">
        <f>IFERROR(100/'Skjema total MA'!C9*C9,0)</f>
        <v>11.903188898003714</v>
      </c>
      <c r="F9" s="233"/>
      <c r="G9" s="234"/>
      <c r="H9" s="123"/>
      <c r="I9" s="133"/>
      <c r="J9" s="182">
        <f t="shared" si="0"/>
        <v>80081.283489997004</v>
      </c>
      <c r="K9" s="235">
        <f t="shared" si="0"/>
        <v>79127.331169942699</v>
      </c>
      <c r="L9" s="123">
        <f t="shared" si="2"/>
        <v>-1.2</v>
      </c>
      <c r="M9" s="23">
        <f>IFERROR(100/'Skjema total MA'!I9*K9,0)</f>
        <v>11.903188898003714</v>
      </c>
    </row>
    <row r="10" spans="1:15" ht="15.75" x14ac:dyDescent="0.2">
      <c r="A10" s="10" t="s">
        <v>323</v>
      </c>
      <c r="B10" s="253">
        <v>5045588.2828500001</v>
      </c>
      <c r="C10" s="254">
        <v>5523840.2556400001</v>
      </c>
      <c r="D10" s="127">
        <f t="shared" si="1"/>
        <v>9.5</v>
      </c>
      <c r="E10" s="8">
        <f>IFERROR(100/'Skjema total MA'!C10*C10,0)</f>
        <v>43.671468563018543</v>
      </c>
      <c r="F10" s="253">
        <v>15842600.788210001</v>
      </c>
      <c r="G10" s="254">
        <v>16483111.13473</v>
      </c>
      <c r="H10" s="127">
        <f t="shared" ref="H10:H12" si="3">IF(F10=0, "    ---- ", IF(ABS(ROUND(100/F10*G10-100,1))&lt;999,ROUND(100/F10*G10-100,1),IF(ROUND(100/F10*G10-100,1)&gt;999,999,-999)))</f>
        <v>4</v>
      </c>
      <c r="I10" s="119">
        <f>IFERROR(100/'Skjema total MA'!F10*G10,0)</f>
        <v>16.550428435563934</v>
      </c>
      <c r="J10" s="251">
        <f t="shared" si="0"/>
        <v>20888189.071060002</v>
      </c>
      <c r="K10" s="252">
        <f t="shared" si="0"/>
        <v>22006951.39037</v>
      </c>
      <c r="L10" s="344">
        <f t="shared" ref="L10:L12" si="4">IF(J10=0, "    ---- ", IF(ABS(ROUND(100/J10*K10-100,1))&lt;999,ROUND(100/J10*K10-100,1),IF(ROUND(100/J10*K10-100,1)&gt;999,999,-999)))</f>
        <v>5.4</v>
      </c>
      <c r="M10" s="8">
        <f>IFERROR(100/'Skjema total MA'!I10*K10,0)</f>
        <v>19.606719461758143</v>
      </c>
    </row>
    <row r="11" spans="1:15" s="35" customFormat="1" ht="15.75" x14ac:dyDescent="0.2">
      <c r="A11" s="10" t="s">
        <v>324</v>
      </c>
      <c r="B11" s="253"/>
      <c r="C11" s="254"/>
      <c r="D11" s="127"/>
      <c r="E11" s="8"/>
      <c r="F11" s="253">
        <v>25737.340110000001</v>
      </c>
      <c r="G11" s="254">
        <v>4059.6810799999998</v>
      </c>
      <c r="H11" s="127">
        <f t="shared" si="3"/>
        <v>-84.2</v>
      </c>
      <c r="I11" s="119">
        <f>IFERROR(100/'Skjema total MA'!F11*G11,0)</f>
        <v>1.0310530283425983</v>
      </c>
      <c r="J11" s="251">
        <f t="shared" si="0"/>
        <v>25737.340110000001</v>
      </c>
      <c r="K11" s="252">
        <f t="shared" si="0"/>
        <v>4059.6810799999998</v>
      </c>
      <c r="L11" s="344">
        <f t="shared" si="4"/>
        <v>-84.2</v>
      </c>
      <c r="M11" s="8">
        <f>IFERROR(100/'Skjema total MA'!I11*K11,0)</f>
        <v>1.0301816545174969</v>
      </c>
      <c r="N11" s="107"/>
      <c r="O11" s="22"/>
    </row>
    <row r="12" spans="1:15" s="35" customFormat="1" ht="15.75" x14ac:dyDescent="0.2">
      <c r="A12" s="33" t="s">
        <v>325</v>
      </c>
      <c r="B12" s="255"/>
      <c r="C12" s="256"/>
      <c r="D12" s="125"/>
      <c r="E12" s="30"/>
      <c r="F12" s="255">
        <v>78217.651339999997</v>
      </c>
      <c r="G12" s="256">
        <v>315970.37631999998</v>
      </c>
      <c r="H12" s="125">
        <f t="shared" si="3"/>
        <v>304</v>
      </c>
      <c r="I12" s="125">
        <f>IFERROR(100/'Skjema total MA'!F12*G12,0)</f>
        <v>80.880174121744119</v>
      </c>
      <c r="J12" s="257">
        <f t="shared" si="0"/>
        <v>78217.651339999997</v>
      </c>
      <c r="K12" s="258">
        <f t="shared" si="0"/>
        <v>315970.37631999998</v>
      </c>
      <c r="L12" s="345">
        <f t="shared" si="4"/>
        <v>304</v>
      </c>
      <c r="M12" s="30">
        <f>IFERROR(100/'Skjema total MA'!I12*K12,0)</f>
        <v>80.809472792832366</v>
      </c>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2758.3160800000001</v>
      </c>
      <c r="C22" s="253">
        <v>1918.37698</v>
      </c>
      <c r="D22" s="286">
        <f t="shared" ref="D22:D37" si="5">IF(B22=0, "    ---- ", IF(ABS(ROUND(100/B22*C22-100,1))&lt;999,ROUND(100/B22*C22-100,1),IF(ROUND(100/B22*C22-100,1)&gt;999,999,-999)))</f>
        <v>-30.5</v>
      </c>
      <c r="E22" s="8">
        <f>IFERROR(100/'Skjema total MA'!C22*C22,0)</f>
        <v>0.12287644738485616</v>
      </c>
      <c r="F22" s="261">
        <v>132116.98118</v>
      </c>
      <c r="G22" s="261">
        <v>133774.56276</v>
      </c>
      <c r="H22" s="286">
        <f t="shared" ref="H22:H35" si="6">IF(F22=0, "    ---- ", IF(ABS(ROUND(100/F22*G22-100,1))&lt;999,ROUND(100/F22*G22-100,1),IF(ROUND(100/F22*G22-100,1)&gt;999,999,-999)))</f>
        <v>1.3</v>
      </c>
      <c r="I22" s="8">
        <f>IFERROR(100/'Skjema total MA'!F22*G22,0)</f>
        <v>24.598670748883517</v>
      </c>
      <c r="J22" s="259">
        <f t="shared" ref="J22:K35" si="7">SUM(B22,F22)</f>
        <v>134875.29725999999</v>
      </c>
      <c r="K22" s="259">
        <f t="shared" si="7"/>
        <v>135692.93974</v>
      </c>
      <c r="L22" s="343">
        <f t="shared" ref="L22:L35" si="8">IF(J22=0, "    ---- ", IF(ABS(ROUND(100/J22*K22-100,1))&lt;999,ROUND(100/J22*K22-100,1),IF(ROUND(100/J22*K22-100,1)&gt;999,999,-999)))</f>
        <v>0.6</v>
      </c>
      <c r="M22" s="21">
        <f>IFERROR(100/'Skjema total MA'!I22*K22,0)</f>
        <v>6.4460589083269513</v>
      </c>
    </row>
    <row r="23" spans="1:13" ht="15.75" x14ac:dyDescent="0.2">
      <c r="A23" s="385" t="s">
        <v>326</v>
      </c>
      <c r="B23" s="229">
        <v>441.04924264665101</v>
      </c>
      <c r="C23" s="229">
        <v>330.67658570673501</v>
      </c>
      <c r="D23" s="123">
        <f t="shared" si="5"/>
        <v>-25</v>
      </c>
      <c r="E23" s="8">
        <f>IFERROR(100/'Skjema total MA'!C23*C23,0)</f>
        <v>3.2007002050284922E-2</v>
      </c>
      <c r="F23" s="238">
        <v>13782.10079</v>
      </c>
      <c r="G23" s="238">
        <v>15793.79466</v>
      </c>
      <c r="H23" s="123">
        <f t="shared" si="6"/>
        <v>14.6</v>
      </c>
      <c r="I23" s="336">
        <f>IFERROR(100/'Skjema total MA'!F23*G23,0)</f>
        <v>60.503471987117827</v>
      </c>
      <c r="J23" s="238">
        <f t="shared" ref="J23:J26" si="9">SUM(B23,F23)</f>
        <v>14223.150032646652</v>
      </c>
      <c r="K23" s="238">
        <f t="shared" ref="K23:K26" si="10">SUM(C23,G23)</f>
        <v>16124.471245706734</v>
      </c>
      <c r="L23" s="123">
        <f t="shared" si="8"/>
        <v>13.4</v>
      </c>
      <c r="M23" s="20">
        <f>IFERROR(100/'Skjema total MA'!I23*K23,0)</f>
        <v>1.5222647899417772</v>
      </c>
    </row>
    <row r="24" spans="1:13" ht="15.75" x14ac:dyDescent="0.2">
      <c r="A24" s="385" t="s">
        <v>327</v>
      </c>
      <c r="B24" s="229">
        <v>2317.2668373533502</v>
      </c>
      <c r="C24" s="229">
        <v>1587.7003942932599</v>
      </c>
      <c r="D24" s="123">
        <f t="shared" si="5"/>
        <v>-31.5</v>
      </c>
      <c r="E24" s="8">
        <f>IFERROR(100/'Skjema total MA'!C24*C24,0)</f>
        <v>17.216857653456518</v>
      </c>
      <c r="F24" s="238">
        <v>820.28484000000003</v>
      </c>
      <c r="G24" s="238">
        <v>54.764000000000003</v>
      </c>
      <c r="H24" s="123">
        <f t="shared" si="6"/>
        <v>-93.3</v>
      </c>
      <c r="I24" s="336">
        <f>IFERROR(100/'Skjema total MA'!F24*G24,0)</f>
        <v>-57.79536699910296</v>
      </c>
      <c r="J24" s="238">
        <f t="shared" si="9"/>
        <v>3137.55167735335</v>
      </c>
      <c r="K24" s="238">
        <f t="shared" si="10"/>
        <v>1642.4643942932598</v>
      </c>
      <c r="L24" s="123">
        <f t="shared" si="8"/>
        <v>-47.7</v>
      </c>
      <c r="M24" s="20">
        <f>IFERROR(100/'Skjema total MA'!I24*K24,0)</f>
        <v>17.995620162739748</v>
      </c>
    </row>
    <row r="25" spans="1:13" ht="15.75" x14ac:dyDescent="0.2">
      <c r="A25" s="385" t="s">
        <v>328</v>
      </c>
      <c r="B25" s="229"/>
      <c r="C25" s="229"/>
      <c r="D25" s="123"/>
      <c r="E25" s="8"/>
      <c r="F25" s="238">
        <v>451.00322999999997</v>
      </c>
      <c r="G25" s="238">
        <v>341.34</v>
      </c>
      <c r="H25" s="123">
        <f t="shared" si="6"/>
        <v>-24.3</v>
      </c>
      <c r="I25" s="336">
        <f>IFERROR(100/'Skjema total MA'!F25*G25,0)</f>
        <v>4.7354612156653397</v>
      </c>
      <c r="J25" s="238">
        <f t="shared" si="9"/>
        <v>451.00322999999997</v>
      </c>
      <c r="K25" s="238">
        <f t="shared" si="10"/>
        <v>341.34</v>
      </c>
      <c r="L25" s="123">
        <f t="shared" si="8"/>
        <v>-24.3</v>
      </c>
      <c r="M25" s="20">
        <f>IFERROR(100/'Skjema total MA'!I25*K25,0)</f>
        <v>1.896037727524805</v>
      </c>
    </row>
    <row r="26" spans="1:13" ht="15.75" x14ac:dyDescent="0.2">
      <c r="A26" s="385" t="s">
        <v>329</v>
      </c>
      <c r="B26" s="229"/>
      <c r="C26" s="229"/>
      <c r="D26" s="123"/>
      <c r="E26" s="8"/>
      <c r="F26" s="238">
        <v>117063.59232</v>
      </c>
      <c r="G26" s="238">
        <v>117584.66409999999</v>
      </c>
      <c r="H26" s="123">
        <f t="shared" si="6"/>
        <v>0.4</v>
      </c>
      <c r="I26" s="336">
        <f>IFERROR(100/'Skjema total MA'!F26*G26,0)</f>
        <v>23.028225041748779</v>
      </c>
      <c r="J26" s="238">
        <f t="shared" si="9"/>
        <v>117063.59232</v>
      </c>
      <c r="K26" s="238">
        <f t="shared" si="10"/>
        <v>117584.66409999999</v>
      </c>
      <c r="L26" s="123">
        <f t="shared" si="8"/>
        <v>0.4</v>
      </c>
      <c r="M26" s="20">
        <f>IFERROR(100/'Skjema total MA'!I26*K26,0)</f>
        <v>23.028225041748779</v>
      </c>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197995.01312000101</v>
      </c>
      <c r="C28" s="235">
        <v>225406.49848776701</v>
      </c>
      <c r="D28" s="123">
        <f t="shared" si="5"/>
        <v>13.8</v>
      </c>
      <c r="E28" s="8">
        <f>IFERROR(100/'Skjema total MA'!C28*C28,0)</f>
        <v>11.968898103700974</v>
      </c>
      <c r="F28" s="182"/>
      <c r="G28" s="235"/>
      <c r="H28" s="123"/>
      <c r="I28" s="23"/>
      <c r="J28" s="36">
        <f t="shared" si="7"/>
        <v>197995.01312000101</v>
      </c>
      <c r="K28" s="36">
        <f t="shared" si="7"/>
        <v>225406.49848776701</v>
      </c>
      <c r="L28" s="207">
        <f t="shared" si="8"/>
        <v>13.8</v>
      </c>
      <c r="M28" s="20">
        <f>IFERROR(100/'Skjema total MA'!I28*K28,0)</f>
        <v>11.968898103700974</v>
      </c>
    </row>
    <row r="29" spans="1:13" ht="15.75" x14ac:dyDescent="0.2">
      <c r="A29" s="10" t="s">
        <v>323</v>
      </c>
      <c r="B29" s="184">
        <v>6659931.5236600004</v>
      </c>
      <c r="C29" s="184">
        <v>6112015.6882199999</v>
      </c>
      <c r="D29" s="127">
        <f t="shared" si="5"/>
        <v>-8.1999999999999993</v>
      </c>
      <c r="E29" s="8">
        <f>IFERROR(100/'Skjema total MA'!C29*C29,0)</f>
        <v>13.859736315808476</v>
      </c>
      <c r="F29" s="251">
        <v>9535387.7800900005</v>
      </c>
      <c r="G29" s="251">
        <v>10048633.18211</v>
      </c>
      <c r="H29" s="127">
        <f t="shared" si="6"/>
        <v>5.4</v>
      </c>
      <c r="I29" s="8">
        <f>IFERROR(100/'Skjema total MA'!F29*G29,0)</f>
        <v>33.445461937071158</v>
      </c>
      <c r="J29" s="184">
        <f t="shared" si="7"/>
        <v>16195319.303750001</v>
      </c>
      <c r="K29" s="184">
        <f t="shared" si="7"/>
        <v>16160648.87033</v>
      </c>
      <c r="L29" s="344">
        <f t="shared" si="8"/>
        <v>-0.2</v>
      </c>
      <c r="M29" s="21">
        <f>IFERROR(100/'Skjema total MA'!I29*K29,0)</f>
        <v>21.796326943337821</v>
      </c>
    </row>
    <row r="30" spans="1:13" ht="15.75" x14ac:dyDescent="0.2">
      <c r="A30" s="385" t="s">
        <v>326</v>
      </c>
      <c r="B30" s="229">
        <v>1064909.7744406399</v>
      </c>
      <c r="C30" s="229">
        <v>1053547.0872709199</v>
      </c>
      <c r="D30" s="123">
        <f t="shared" si="5"/>
        <v>-1.1000000000000001</v>
      </c>
      <c r="E30" s="8">
        <f>IFERROR(100/'Skjema total MA'!C30*C30,0)</f>
        <v>5.5862294416672666</v>
      </c>
      <c r="F30" s="238">
        <v>1091454.72282</v>
      </c>
      <c r="G30" s="238">
        <v>1070117.75401</v>
      </c>
      <c r="H30" s="123">
        <f t="shared" si="6"/>
        <v>-2</v>
      </c>
      <c r="I30" s="336">
        <f>IFERROR(100/'Skjema total MA'!F30*G30,0)</f>
        <v>29.378966619255195</v>
      </c>
      <c r="J30" s="238">
        <f t="shared" ref="J30:J33" si="11">SUM(B30,F30)</f>
        <v>2156364.4972606399</v>
      </c>
      <c r="K30" s="238">
        <f t="shared" ref="K30:K33" si="12">SUM(C30,G30)</f>
        <v>2123664.84128092</v>
      </c>
      <c r="L30" s="123">
        <f t="shared" si="8"/>
        <v>-1.5</v>
      </c>
      <c r="M30" s="20">
        <f>IFERROR(100/'Skjema total MA'!I30*K30,0)</f>
        <v>9.4375961656103389</v>
      </c>
    </row>
    <row r="31" spans="1:13" ht="15.75" x14ac:dyDescent="0.2">
      <c r="A31" s="385" t="s">
        <v>327</v>
      </c>
      <c r="B31" s="229">
        <v>5595021.7492193598</v>
      </c>
      <c r="C31" s="229">
        <v>5058468.6009490797</v>
      </c>
      <c r="D31" s="123">
        <f t="shared" si="5"/>
        <v>-9.6</v>
      </c>
      <c r="E31" s="8">
        <f>IFERROR(100/'Skjema total MA'!C31*C31,0)</f>
        <v>22.447341046218764</v>
      </c>
      <c r="F31" s="238">
        <v>2304198.8867100002</v>
      </c>
      <c r="G31" s="238">
        <v>2153169.2990999999</v>
      </c>
      <c r="H31" s="123">
        <f t="shared" si="6"/>
        <v>-6.6</v>
      </c>
      <c r="I31" s="336">
        <f>IFERROR(100/'Skjema total MA'!F31*G31,0)</f>
        <v>29.288642586780224</v>
      </c>
      <c r="J31" s="238">
        <f t="shared" si="11"/>
        <v>7899220.6359293601</v>
      </c>
      <c r="K31" s="238">
        <f t="shared" si="12"/>
        <v>7211637.9000490792</v>
      </c>
      <c r="L31" s="123">
        <f t="shared" si="8"/>
        <v>-8.6999999999999993</v>
      </c>
      <c r="M31" s="20">
        <f>IFERROR(100/'Skjema total MA'!I31*K31,0)</f>
        <v>24.130187332188665</v>
      </c>
    </row>
    <row r="32" spans="1:13" ht="15.75" x14ac:dyDescent="0.2">
      <c r="A32" s="385" t="s">
        <v>328</v>
      </c>
      <c r="B32" s="229"/>
      <c r="C32" s="229"/>
      <c r="D32" s="123"/>
      <c r="E32" s="8"/>
      <c r="F32" s="238">
        <v>2486838.0375799998</v>
      </c>
      <c r="G32" s="238">
        <v>2737156.3276999998</v>
      </c>
      <c r="H32" s="123">
        <f t="shared" si="6"/>
        <v>10.1</v>
      </c>
      <c r="I32" s="336">
        <f>IFERROR(100/'Skjema total MA'!F32*G32,0)</f>
        <v>39.221212863530809</v>
      </c>
      <c r="J32" s="238">
        <f t="shared" si="11"/>
        <v>2486838.0375799998</v>
      </c>
      <c r="K32" s="238">
        <f t="shared" si="12"/>
        <v>2737156.3276999998</v>
      </c>
      <c r="L32" s="123">
        <f t="shared" si="8"/>
        <v>10.1</v>
      </c>
      <c r="M32" s="20">
        <f>IFERROR(100/'Skjema total MA'!I32*K32,0)</f>
        <v>28.73042066437705</v>
      </c>
    </row>
    <row r="33" spans="1:13" ht="15.75" x14ac:dyDescent="0.2">
      <c r="A33" s="385" t="s">
        <v>329</v>
      </c>
      <c r="B33" s="229"/>
      <c r="C33" s="229"/>
      <c r="D33" s="123"/>
      <c r="E33" s="8"/>
      <c r="F33" s="238">
        <v>3652896.1329800002</v>
      </c>
      <c r="G33" s="238">
        <v>4088189.8012999999</v>
      </c>
      <c r="H33" s="123">
        <f t="shared" si="6"/>
        <v>11.9</v>
      </c>
      <c r="I33" s="336">
        <f>IFERROR(100/'Skjema total MA'!F34*G33,0)</f>
        <v>-2809.3044470578402</v>
      </c>
      <c r="J33" s="238">
        <f t="shared" si="11"/>
        <v>3652896.1329800002</v>
      </c>
      <c r="K33" s="238">
        <f t="shared" si="12"/>
        <v>4088189.8012999999</v>
      </c>
      <c r="L33" s="123">
        <f t="shared" si="8"/>
        <v>11.9</v>
      </c>
      <c r="M33" s="20">
        <f>IFERROR(100/'Skjema total MA'!I34*K33,0)</f>
        <v>-3197.7178325548666</v>
      </c>
    </row>
    <row r="34" spans="1:13" ht="15.75" x14ac:dyDescent="0.2">
      <c r="A34" s="10" t="s">
        <v>324</v>
      </c>
      <c r="B34" s="184">
        <v>4538.1419999999998</v>
      </c>
      <c r="C34" s="252">
        <v>7790.9319999999998</v>
      </c>
      <c r="D34" s="127">
        <f t="shared" si="5"/>
        <v>71.7</v>
      </c>
      <c r="E34" s="8">
        <f>IFERROR(100/'Skjema total MA'!C34*C34,0)</f>
        <v>44.076096039595427</v>
      </c>
      <c r="F34" s="251">
        <v>14162.816999999999</v>
      </c>
      <c r="G34" s="252">
        <v>6267.2834000000003</v>
      </c>
      <c r="H34" s="127">
        <f t="shared" si="6"/>
        <v>-55.7</v>
      </c>
      <c r="I34" s="8">
        <f>IFERROR(100/'Skjema total MA'!F34*G34,0)</f>
        <v>-4.3067244874474859</v>
      </c>
      <c r="J34" s="184">
        <f t="shared" si="7"/>
        <v>18700.958999999999</v>
      </c>
      <c r="K34" s="184">
        <f t="shared" si="7"/>
        <v>14058.215400000001</v>
      </c>
      <c r="L34" s="344">
        <f t="shared" si="8"/>
        <v>-24.8</v>
      </c>
      <c r="M34" s="21">
        <f>IFERROR(100/'Skjema total MA'!I34*K34,0)</f>
        <v>-10.996115215634681</v>
      </c>
    </row>
    <row r="35" spans="1:13" ht="15.75" x14ac:dyDescent="0.2">
      <c r="A35" s="10" t="s">
        <v>325</v>
      </c>
      <c r="B35" s="184">
        <v>454.73572000000001</v>
      </c>
      <c r="C35" s="252">
        <v>272.06878</v>
      </c>
      <c r="D35" s="127">
        <f t="shared" si="5"/>
        <v>-40.200000000000003</v>
      </c>
      <c r="E35" s="8">
        <f>IFERROR(100/'Skjema total MA'!C35*C35,0)</f>
        <v>-0.10672217836677347</v>
      </c>
      <c r="F35" s="251">
        <v>45598.074999999997</v>
      </c>
      <c r="G35" s="252">
        <v>67709.744439999995</v>
      </c>
      <c r="H35" s="127">
        <f t="shared" si="6"/>
        <v>48.5</v>
      </c>
      <c r="I35" s="8">
        <f>IFERROR(100/'Skjema total MA'!F35*G35,0)</f>
        <v>52.312718958083501</v>
      </c>
      <c r="J35" s="184">
        <f t="shared" si="7"/>
        <v>46052.810719999994</v>
      </c>
      <c r="K35" s="184">
        <f t="shared" si="7"/>
        <v>67981.813219999996</v>
      </c>
      <c r="L35" s="344">
        <f t="shared" si="8"/>
        <v>47.6</v>
      </c>
      <c r="M35" s="21">
        <f>IFERROR(100/'Skjema total MA'!I35*K35,0)</f>
        <v>-54.169143392652003</v>
      </c>
    </row>
    <row r="36" spans="1:13" ht="15.75" x14ac:dyDescent="0.2">
      <c r="A36" s="9" t="s">
        <v>255</v>
      </c>
      <c r="B36" s="184">
        <v>29.727</v>
      </c>
      <c r="C36" s="252">
        <v>0</v>
      </c>
      <c r="D36" s="127">
        <f t="shared" si="5"/>
        <v>-100</v>
      </c>
      <c r="E36" s="8">
        <f>IFERROR(100/'Skjema total MA'!C36*C36,0)</f>
        <v>0</v>
      </c>
      <c r="F36" s="262"/>
      <c r="G36" s="263"/>
      <c r="H36" s="127"/>
      <c r="I36" s="350"/>
      <c r="J36" s="184">
        <f t="shared" ref="J36:J37" si="13">SUM(B36,F36)</f>
        <v>29.727</v>
      </c>
      <c r="K36" s="184">
        <f t="shared" ref="K36:K37" si="14">SUM(C36,G36)</f>
        <v>0</v>
      </c>
      <c r="L36" s="344"/>
      <c r="M36" s="21">
        <f>IFERROR(100/'Skjema total MA'!I36*K36,0)</f>
        <v>0</v>
      </c>
    </row>
    <row r="37" spans="1:13" ht="15.75" x14ac:dyDescent="0.2">
      <c r="A37" s="9" t="s">
        <v>331</v>
      </c>
      <c r="B37" s="184">
        <v>395815.49664000003</v>
      </c>
      <c r="C37" s="252">
        <v>378689.54368</v>
      </c>
      <c r="D37" s="127">
        <f t="shared" si="5"/>
        <v>-4.3</v>
      </c>
      <c r="E37" s="8">
        <f>IFERROR(100/'Skjema total MA'!C37*C37,0)</f>
        <v>15.691605668985451</v>
      </c>
      <c r="F37" s="262"/>
      <c r="G37" s="264"/>
      <c r="H37" s="127"/>
      <c r="I37" s="350"/>
      <c r="J37" s="184">
        <f t="shared" si="13"/>
        <v>395815.49664000003</v>
      </c>
      <c r="K37" s="184">
        <f t="shared" si="14"/>
        <v>378689.54368</v>
      </c>
      <c r="L37" s="344"/>
      <c r="M37" s="21">
        <f>IFERROR(100/'Skjema total MA'!I37*K37,0)</f>
        <v>15.691605668985451</v>
      </c>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923013.67852999992</v>
      </c>
      <c r="C47" s="254">
        <v>971587.39827999996</v>
      </c>
      <c r="D47" s="343">
        <f t="shared" ref="D47:D57" si="15">IF(B47=0, "    ---- ", IF(ABS(ROUND(100/B47*C47-100,1))&lt;999,ROUND(100/B47*C47-100,1),IF(ROUND(100/B47*C47-100,1)&gt;999,999,-999)))</f>
        <v>5.3</v>
      </c>
      <c r="E47" s="8">
        <f>IFERROR(100/'Skjema total MA'!C47*C47,0)</f>
        <v>17.518751618709132</v>
      </c>
      <c r="F47" s="109"/>
      <c r="G47" s="27"/>
      <c r="H47" s="118"/>
      <c r="I47" s="118"/>
      <c r="J47" s="31"/>
      <c r="K47" s="31"/>
      <c r="L47" s="118"/>
      <c r="M47" s="118"/>
    </row>
    <row r="48" spans="1:13" ht="15.75" x14ac:dyDescent="0.2">
      <c r="A48" s="18" t="s">
        <v>334</v>
      </c>
      <c r="B48" s="229">
        <v>357970.63099999999</v>
      </c>
      <c r="C48" s="230">
        <v>390142.18099999998</v>
      </c>
      <c r="D48" s="207">
        <f t="shared" si="15"/>
        <v>9</v>
      </c>
      <c r="E48" s="23">
        <f>IFERROR(100/'Skjema total MA'!C48*C48,0)</f>
        <v>12.299382954846934</v>
      </c>
      <c r="F48" s="109"/>
      <c r="G48" s="27"/>
      <c r="H48" s="109"/>
      <c r="I48" s="109"/>
      <c r="J48" s="27"/>
      <c r="K48" s="27"/>
      <c r="L48" s="118"/>
      <c r="M48" s="118"/>
    </row>
    <row r="49" spans="1:13" ht="15.75" x14ac:dyDescent="0.2">
      <c r="A49" s="18" t="s">
        <v>335</v>
      </c>
      <c r="B49" s="36">
        <v>565043.04752999998</v>
      </c>
      <c r="C49" s="235">
        <v>581445.21727999998</v>
      </c>
      <c r="D49" s="207">
        <f>IF(B49=0, "    ---- ", IF(ABS(ROUND(100/B49*C49-100,1))&lt;999,ROUND(100/B49*C49-100,1),IF(ROUND(100/B49*C49-100,1)&gt;999,999,-999)))</f>
        <v>2.9</v>
      </c>
      <c r="E49" s="23">
        <f>IFERROR(100/'Skjema total MA'!C49*C49,0)</f>
        <v>24.492850180059179</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21004.953000000001</v>
      </c>
      <c r="C53" s="254">
        <v>54384.825000000004</v>
      </c>
      <c r="D53" s="344">
        <f t="shared" si="15"/>
        <v>158.9</v>
      </c>
      <c r="E53" s="8">
        <f>IFERROR(100/'Skjema total MA'!C53*C53,0)</f>
        <v>20.262117874312093</v>
      </c>
      <c r="F53" s="109"/>
      <c r="G53" s="27"/>
      <c r="H53" s="109"/>
      <c r="I53" s="109"/>
      <c r="J53" s="27"/>
      <c r="K53" s="27"/>
      <c r="L53" s="118"/>
      <c r="M53" s="118"/>
    </row>
    <row r="54" spans="1:13" ht="15.75" x14ac:dyDescent="0.2">
      <c r="A54" s="18" t="s">
        <v>334</v>
      </c>
      <c r="B54" s="229">
        <v>21004.953000000001</v>
      </c>
      <c r="C54" s="230">
        <v>48495.76</v>
      </c>
      <c r="D54" s="207">
        <f t="shared" si="15"/>
        <v>130.9</v>
      </c>
      <c r="E54" s="23">
        <f>IFERROR(100/'Skjema total MA'!C54*C54,0)</f>
        <v>18.550519013546026</v>
      </c>
      <c r="F54" s="109"/>
      <c r="G54" s="27"/>
      <c r="H54" s="109"/>
      <c r="I54" s="109"/>
      <c r="J54" s="27"/>
      <c r="K54" s="27"/>
      <c r="L54" s="118"/>
      <c r="M54" s="118"/>
    </row>
    <row r="55" spans="1:13" ht="15.75" x14ac:dyDescent="0.2">
      <c r="A55" s="18" t="s">
        <v>335</v>
      </c>
      <c r="B55" s="229">
        <v>0</v>
      </c>
      <c r="C55" s="230">
        <v>5889.0649999999996</v>
      </c>
      <c r="D55" s="207" t="str">
        <f t="shared" si="15"/>
        <v xml:space="preserve">    ---- </v>
      </c>
      <c r="E55" s="23">
        <f>IFERROR(100/'Skjema total MA'!C55*C55,0)</f>
        <v>84.357687544808698</v>
      </c>
      <c r="F55" s="109"/>
      <c r="G55" s="27"/>
      <c r="H55" s="109"/>
      <c r="I55" s="109"/>
      <c r="J55" s="27"/>
      <c r="K55" s="27"/>
      <c r="L55" s="118"/>
      <c r="M55" s="118"/>
    </row>
    <row r="56" spans="1:13" ht="15.75" x14ac:dyDescent="0.2">
      <c r="A56" s="10" t="s">
        <v>337</v>
      </c>
      <c r="B56" s="253">
        <v>1455.8889999999999</v>
      </c>
      <c r="C56" s="254">
        <v>14018.569</v>
      </c>
      <c r="D56" s="344">
        <f t="shared" si="15"/>
        <v>862.9</v>
      </c>
      <c r="E56" s="8">
        <f>IFERROR(100/'Skjema total MA'!C56*C56,0)</f>
        <v>21.601713606804427</v>
      </c>
      <c r="F56" s="109"/>
      <c r="G56" s="27"/>
      <c r="H56" s="109"/>
      <c r="I56" s="109"/>
      <c r="J56" s="27"/>
      <c r="K56" s="27"/>
      <c r="L56" s="118"/>
      <c r="M56" s="118"/>
    </row>
    <row r="57" spans="1:13" ht="15.75" x14ac:dyDescent="0.2">
      <c r="A57" s="18" t="s">
        <v>334</v>
      </c>
      <c r="B57" s="229">
        <v>1455.8889999999999</v>
      </c>
      <c r="C57" s="230">
        <v>14018.569</v>
      </c>
      <c r="D57" s="207">
        <f t="shared" si="15"/>
        <v>862.9</v>
      </c>
      <c r="E57" s="23">
        <f>IFERROR(100/'Skjema total MA'!C57*C57,0)</f>
        <v>21.601713606804427</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2195147.21796</v>
      </c>
      <c r="C66" s="289">
        <v>2264046.1844699997</v>
      </c>
      <c r="D66" s="286">
        <f t="shared" ref="D66:D111" si="16">IF(B66=0, "    ---- ", IF(ABS(ROUND(100/B66*C66-100,1))&lt;999,ROUND(100/B66*C66-100,1),IF(ROUND(100/B66*C66-100,1)&gt;999,999,-999)))</f>
        <v>3.1</v>
      </c>
      <c r="E66" s="8">
        <f>IFERROR(100/'Skjema total MA'!C66*C66,0)</f>
        <v>44.396221355437731</v>
      </c>
      <c r="F66" s="288">
        <v>8171979.3123899996</v>
      </c>
      <c r="G66" s="288">
        <v>8831687.467699999</v>
      </c>
      <c r="H66" s="286">
        <f t="shared" ref="H66:H111" si="17">IF(F66=0, "    ---- ", IF(ABS(ROUND(100/F66*G66-100,1))&lt;999,ROUND(100/F66*G66-100,1),IF(ROUND(100/F66*G66-100,1)&gt;999,999,-999)))</f>
        <v>8.1</v>
      </c>
      <c r="I66" s="350">
        <f>IFERROR(100/'Skjema total MA'!F66*G66,0)</f>
        <v>30.646863545290383</v>
      </c>
      <c r="J66" s="184">
        <f t="shared" ref="J66:K86" si="18">SUM(B66,F66)</f>
        <v>10367126.53035</v>
      </c>
      <c r="K66" s="259">
        <f t="shared" si="18"/>
        <v>11095733.652169999</v>
      </c>
      <c r="L66" s="344">
        <f t="shared" ref="L66:L111" si="19">IF(J66=0, "    ---- ", IF(ABS(ROUND(100/J66*K66-100,1))&lt;999,ROUND(100/J66*K66-100,1),IF(ROUND(100/J66*K66-100,1)&gt;999,999,-999)))</f>
        <v>7</v>
      </c>
      <c r="M66" s="8">
        <f>IFERROR(100/'Skjema total MA'!I66*K66,0)</f>
        <v>32.714153283870644</v>
      </c>
    </row>
    <row r="67" spans="1:13" x14ac:dyDescent="0.2">
      <c r="A67" s="39" t="s">
        <v>9</v>
      </c>
      <c r="B67" s="36">
        <v>1067993.9094</v>
      </c>
      <c r="C67" s="109">
        <v>924805.37675000005</v>
      </c>
      <c r="D67" s="123">
        <f t="shared" si="16"/>
        <v>-13.4</v>
      </c>
      <c r="E67" s="23">
        <f>IFERROR(100/'Skjema total MA'!C67*C67,0)</f>
        <v>33.250424447855423</v>
      </c>
      <c r="F67" s="182"/>
      <c r="G67" s="109"/>
      <c r="H67" s="123"/>
      <c r="I67" s="336"/>
      <c r="J67" s="36">
        <f t="shared" si="18"/>
        <v>1067993.9094</v>
      </c>
      <c r="K67" s="36">
        <f t="shared" si="18"/>
        <v>924805.37675000005</v>
      </c>
      <c r="L67" s="207">
        <f t="shared" si="19"/>
        <v>-13.4</v>
      </c>
      <c r="M67" s="23">
        <f>IFERROR(100/'Skjema total MA'!I67*K67,0)</f>
        <v>33.250424447855423</v>
      </c>
    </row>
    <row r="68" spans="1:13" x14ac:dyDescent="0.2">
      <c r="A68" s="18" t="s">
        <v>10</v>
      </c>
      <c r="B68" s="239"/>
      <c r="C68" s="240"/>
      <c r="D68" s="123"/>
      <c r="E68" s="23"/>
      <c r="F68" s="239">
        <v>7352582.78639</v>
      </c>
      <c r="G68" s="240">
        <v>7990092.5406999998</v>
      </c>
      <c r="H68" s="123">
        <f t="shared" si="17"/>
        <v>8.6999999999999993</v>
      </c>
      <c r="I68" s="336">
        <f>IFERROR(100/'Skjema total MA'!F68*G68,0)</f>
        <v>28.800113267761624</v>
      </c>
      <c r="J68" s="36">
        <f t="shared" si="18"/>
        <v>7352582.78639</v>
      </c>
      <c r="K68" s="36">
        <f t="shared" si="18"/>
        <v>7990092.5406999998</v>
      </c>
      <c r="L68" s="207">
        <f t="shared" si="19"/>
        <v>8.6999999999999993</v>
      </c>
      <c r="M68" s="23">
        <f>IFERROR(100/'Skjema total MA'!I68*K68,0)</f>
        <v>28.785622699420596</v>
      </c>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v>199298.92850000001</v>
      </c>
      <c r="C75" s="109">
        <v>293191.4325</v>
      </c>
      <c r="D75" s="123">
        <f t="shared" si="16"/>
        <v>47.1</v>
      </c>
      <c r="E75" s="336">
        <f>IFERROR(100/'Skjema total MA'!C75*C75,0)</f>
        <v>57.29891300600103</v>
      </c>
      <c r="F75" s="36">
        <v>819396.52599999995</v>
      </c>
      <c r="G75" s="109">
        <v>841594.92700000003</v>
      </c>
      <c r="H75" s="123">
        <f t="shared" si="17"/>
        <v>2.7</v>
      </c>
      <c r="I75" s="336">
        <f>IFERROR(100/'Skjema total MA'!F75*G75,0)</f>
        <v>78.33729421838801</v>
      </c>
      <c r="J75" s="36">
        <f t="shared" si="18"/>
        <v>1018695.4545</v>
      </c>
      <c r="K75" s="36">
        <f t="shared" si="18"/>
        <v>1134786.3595</v>
      </c>
      <c r="L75" s="207">
        <f t="shared" si="19"/>
        <v>11.4</v>
      </c>
      <c r="M75" s="23">
        <f>IFERROR(100/'Skjema total MA'!I75*K75,0)</f>
        <v>71.549770636203064</v>
      </c>
    </row>
    <row r="76" spans="1:13" x14ac:dyDescent="0.2">
      <c r="A76" s="18" t="s">
        <v>309</v>
      </c>
      <c r="B76" s="182">
        <v>927854.38006</v>
      </c>
      <c r="C76" s="109">
        <v>1046049.37522</v>
      </c>
      <c r="D76" s="123">
        <f t="shared" ref="D76" si="20">IF(B76=0, "    ---- ", IF(ABS(ROUND(100/B76*C76-100,1))&lt;999,ROUND(100/B76*C76-100,1),IF(ROUND(100/B76*C76-100,1)&gt;999,999,-999)))</f>
        <v>12.7</v>
      </c>
      <c r="E76" s="336">
        <f>IFERROR(100/'Skjema total MA'!C77*C76,0)</f>
        <v>38.348806908166743</v>
      </c>
      <c r="F76" s="36"/>
      <c r="G76" s="109"/>
      <c r="H76" s="123"/>
      <c r="I76" s="336"/>
      <c r="J76" s="36">
        <f t="shared" ref="J76" si="21">SUM(B76,F76)</f>
        <v>927854.38006</v>
      </c>
      <c r="K76" s="36">
        <f t="shared" ref="K76" si="22">SUM(C76,G76)</f>
        <v>1046049.37522</v>
      </c>
      <c r="L76" s="207">
        <f t="shared" ref="L76" si="23">IF(J76=0, "    ---- ", IF(ABS(ROUND(100/J76*K76-100,1))&lt;999,ROUND(100/J76*K76-100,1),IF(ROUND(100/J76*K76-100,1)&gt;999,999,-999)))</f>
        <v>12.7</v>
      </c>
      <c r="M76" s="23">
        <f>IFERROR(100/'Skjema total MA'!I77*K76,0)</f>
        <v>3.433707669417942</v>
      </c>
    </row>
    <row r="77" spans="1:13" ht="15.75" x14ac:dyDescent="0.2">
      <c r="A77" s="18" t="s">
        <v>340</v>
      </c>
      <c r="B77" s="182">
        <v>1019570.3024</v>
      </c>
      <c r="C77" s="182">
        <v>879414.62075</v>
      </c>
      <c r="D77" s="123">
        <f t="shared" si="16"/>
        <v>-13.7</v>
      </c>
      <c r="E77" s="336">
        <f>IFERROR(100/'Skjema total MA'!C77*C77,0)</f>
        <v>32.239875365603716</v>
      </c>
      <c r="F77" s="36">
        <v>7352582.78639</v>
      </c>
      <c r="G77" s="109">
        <v>7990092.5406999998</v>
      </c>
      <c r="H77" s="123">
        <f t="shared" si="17"/>
        <v>8.6999999999999993</v>
      </c>
      <c r="I77" s="336">
        <f>IFERROR(100/'Skjema total MA'!F77*G77,0)</f>
        <v>28.807231290118352</v>
      </c>
      <c r="J77" s="36">
        <f t="shared" si="18"/>
        <v>8372153.0887900004</v>
      </c>
      <c r="K77" s="36">
        <f t="shared" si="18"/>
        <v>8869507.1614500005</v>
      </c>
      <c r="L77" s="207">
        <f t="shared" si="19"/>
        <v>5.9</v>
      </c>
      <c r="M77" s="23">
        <f>IFERROR(100/'Skjema total MA'!I77*K77,0)</f>
        <v>29.114586257291169</v>
      </c>
    </row>
    <row r="78" spans="1:13" x14ac:dyDescent="0.2">
      <c r="A78" s="18" t="s">
        <v>9</v>
      </c>
      <c r="B78" s="182">
        <v>1019570.3024</v>
      </c>
      <c r="C78" s="109">
        <v>879414.62075</v>
      </c>
      <c r="D78" s="123">
        <f t="shared" si="16"/>
        <v>-13.7</v>
      </c>
      <c r="E78" s="336">
        <f>IFERROR(100/'Skjema total MA'!C78*C78,0)</f>
        <v>32.405791918355185</v>
      </c>
      <c r="F78" s="36"/>
      <c r="G78" s="109"/>
      <c r="H78" s="123"/>
      <c r="I78" s="336"/>
      <c r="J78" s="36">
        <f t="shared" si="18"/>
        <v>1019570.3024</v>
      </c>
      <c r="K78" s="36">
        <f t="shared" si="18"/>
        <v>879414.62075</v>
      </c>
      <c r="L78" s="207">
        <f t="shared" si="19"/>
        <v>-13.7</v>
      </c>
      <c r="M78" s="23">
        <f>IFERROR(100/'Skjema total MA'!I78*K78,0)</f>
        <v>32.405791918355185</v>
      </c>
    </row>
    <row r="79" spans="1:13" x14ac:dyDescent="0.2">
      <c r="A79" s="18" t="s">
        <v>368</v>
      </c>
      <c r="B79" s="239"/>
      <c r="C79" s="240"/>
      <c r="D79" s="123"/>
      <c r="E79" s="336"/>
      <c r="F79" s="143">
        <v>7352582.78639</v>
      </c>
      <c r="G79" s="240">
        <v>7990092.5406999998</v>
      </c>
      <c r="H79" s="123">
        <f t="shared" si="17"/>
        <v>8.6999999999999993</v>
      </c>
      <c r="I79" s="336">
        <f>IFERROR(100/'Skjema total MA'!F79*G79,0)</f>
        <v>28.807231290118352</v>
      </c>
      <c r="J79" s="36">
        <f t="shared" si="18"/>
        <v>7352582.78639</v>
      </c>
      <c r="K79" s="36">
        <f t="shared" si="18"/>
        <v>7990092.5406999998</v>
      </c>
      <c r="L79" s="207">
        <f t="shared" si="19"/>
        <v>8.6999999999999993</v>
      </c>
      <c r="M79" s="23">
        <f>IFERROR(100/'Skjema total MA'!I79*K79,0)</f>
        <v>28.792733559932252</v>
      </c>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v>48423.607000000004</v>
      </c>
      <c r="C86" s="109">
        <v>45390.756000000001</v>
      </c>
      <c r="D86" s="123">
        <f t="shared" si="16"/>
        <v>-6.3</v>
      </c>
      <c r="E86" s="336">
        <f>IFERROR(100/'Skjema total MA'!C86*C86,0)</f>
        <v>67.169427152440193</v>
      </c>
      <c r="F86" s="36"/>
      <c r="G86" s="109"/>
      <c r="H86" s="123"/>
      <c r="I86" s="336"/>
      <c r="J86" s="36">
        <f t="shared" si="18"/>
        <v>48423.607000000004</v>
      </c>
      <c r="K86" s="36">
        <f t="shared" si="18"/>
        <v>45390.756000000001</v>
      </c>
      <c r="L86" s="207">
        <f t="shared" si="19"/>
        <v>-6.3</v>
      </c>
      <c r="M86" s="23">
        <f>IFERROR(100/'Skjema total MA'!I86*K86,0)</f>
        <v>60.98314805325122</v>
      </c>
    </row>
    <row r="87" spans="1:13" ht="15.75" x14ac:dyDescent="0.2">
      <c r="A87" s="10" t="s">
        <v>323</v>
      </c>
      <c r="B87" s="289">
        <v>174656915.80374998</v>
      </c>
      <c r="C87" s="289">
        <v>177212339.75454</v>
      </c>
      <c r="D87" s="127">
        <f t="shared" si="16"/>
        <v>1.5</v>
      </c>
      <c r="E87" s="350">
        <f>IFERROR(100/'Skjema total MA'!C87*C87,0)</f>
        <v>43.062895352521465</v>
      </c>
      <c r="F87" s="226">
        <v>207053679.97442999</v>
      </c>
      <c r="G87" s="288">
        <v>234994704.07124001</v>
      </c>
      <c r="H87" s="127">
        <f t="shared" si="17"/>
        <v>13.5</v>
      </c>
      <c r="I87" s="350">
        <f>IFERROR(100/'Skjema total MA'!F87*G87,0)</f>
        <v>32.872942424592679</v>
      </c>
      <c r="J87" s="184">
        <f t="shared" ref="J87:K111" si="24">SUM(B87,F87)</f>
        <v>381710595.77818</v>
      </c>
      <c r="K87" s="184">
        <f t="shared" si="24"/>
        <v>412207043.82578003</v>
      </c>
      <c r="L87" s="344">
        <f t="shared" si="19"/>
        <v>8</v>
      </c>
      <c r="M87" s="8">
        <f>IFERROR(100/'Skjema total MA'!I87*K87,0)</f>
        <v>36.595822196022887</v>
      </c>
    </row>
    <row r="88" spans="1:13" x14ac:dyDescent="0.2">
      <c r="A88" s="18" t="s">
        <v>9</v>
      </c>
      <c r="B88" s="182">
        <v>162547060.60813999</v>
      </c>
      <c r="C88" s="109">
        <v>162624325.19431001</v>
      </c>
      <c r="D88" s="123">
        <f t="shared" si="16"/>
        <v>0</v>
      </c>
      <c r="E88" s="336">
        <f>IFERROR(100/'Skjema total MA'!C88*C88,0)</f>
        <v>42.100935791088816</v>
      </c>
      <c r="F88" s="36"/>
      <c r="G88" s="109"/>
      <c r="H88" s="123"/>
      <c r="I88" s="336"/>
      <c r="J88" s="36">
        <f t="shared" si="24"/>
        <v>162547060.60813999</v>
      </c>
      <c r="K88" s="36">
        <f t="shared" si="24"/>
        <v>162624325.19431001</v>
      </c>
      <c r="L88" s="207">
        <f t="shared" si="19"/>
        <v>0</v>
      </c>
      <c r="M88" s="23">
        <f>IFERROR(100/'Skjema total MA'!I88*K88,0)</f>
        <v>42.100935791088816</v>
      </c>
    </row>
    <row r="89" spans="1:13" x14ac:dyDescent="0.2">
      <c r="A89" s="18" t="s">
        <v>10</v>
      </c>
      <c r="B89" s="182">
        <v>47116.861779999999</v>
      </c>
      <c r="C89" s="109">
        <v>46389.879540000002</v>
      </c>
      <c r="D89" s="123">
        <f t="shared" si="16"/>
        <v>-1.5</v>
      </c>
      <c r="E89" s="336">
        <f>IFERROR(100/'Skjema total MA'!C89*C89,0)</f>
        <v>1.1314951999819505</v>
      </c>
      <c r="F89" s="36">
        <v>200431426.62689</v>
      </c>
      <c r="G89" s="109">
        <v>226879880.26820999</v>
      </c>
      <c r="H89" s="123">
        <f t="shared" si="17"/>
        <v>13.2</v>
      </c>
      <c r="I89" s="336">
        <f>IFERROR(100/'Skjema total MA'!F89*G89,0)</f>
        <v>32.246759438121813</v>
      </c>
      <c r="J89" s="36">
        <f t="shared" si="24"/>
        <v>200478543.48866999</v>
      </c>
      <c r="K89" s="36">
        <f t="shared" si="24"/>
        <v>226926270.14774999</v>
      </c>
      <c r="L89" s="207">
        <f t="shared" si="19"/>
        <v>13.2</v>
      </c>
      <c r="M89" s="23">
        <f>IFERROR(100/'Skjema total MA'!I89*K89,0)</f>
        <v>32.066494719119554</v>
      </c>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v>2630267.9201500001</v>
      </c>
      <c r="C96" s="109">
        <v>3760341.4175</v>
      </c>
      <c r="D96" s="123">
        <f t="shared" si="16"/>
        <v>43</v>
      </c>
      <c r="E96" s="336">
        <f>IFERROR(100/'Skjema total MA'!C96*C96,0)</f>
        <v>46.752968092862702</v>
      </c>
      <c r="F96" s="36">
        <v>6622253.3475400005</v>
      </c>
      <c r="G96" s="109">
        <v>8114823.8030300001</v>
      </c>
      <c r="H96" s="123">
        <f t="shared" si="17"/>
        <v>22.5</v>
      </c>
      <c r="I96" s="336">
        <f>IFERROR(100/'Skjema total MA'!F96*G96,0)</f>
        <v>71.918709960532908</v>
      </c>
      <c r="J96" s="36">
        <f t="shared" si="24"/>
        <v>9252521.2676900011</v>
      </c>
      <c r="K96" s="36">
        <f t="shared" si="24"/>
        <v>11875165.22053</v>
      </c>
      <c r="L96" s="207">
        <f t="shared" si="19"/>
        <v>28.3</v>
      </c>
      <c r="M96" s="23">
        <f>IFERROR(100/'Skjema total MA'!I96*K96,0)</f>
        <v>61.445532132836796</v>
      </c>
    </row>
    <row r="97" spans="1:13" x14ac:dyDescent="0.2">
      <c r="A97" s="18" t="s">
        <v>307</v>
      </c>
      <c r="B97" s="182">
        <v>9432470.4136800002</v>
      </c>
      <c r="C97" s="109">
        <v>10781283.263189999</v>
      </c>
      <c r="D97" s="123">
        <f t="shared" ref="D97" si="25">IF(B97=0, "    ---- ", IF(ABS(ROUND(100/B97*C97-100,1))&lt;999,ROUND(100/B97*C97-100,1),IF(ROUND(100/B97*C97-100,1)&gt;999,999,-999)))</f>
        <v>14.3</v>
      </c>
      <c r="E97" s="336">
        <f>IFERROR(100/'Skjema total MA'!C98*C97,0)</f>
        <v>2.7912394120594493</v>
      </c>
      <c r="F97" s="36"/>
      <c r="G97" s="109"/>
      <c r="H97" s="123"/>
      <c r="I97" s="336"/>
      <c r="J97" s="36">
        <f t="shared" ref="J97" si="26">SUM(B97,F97)</f>
        <v>9432470.4136800002</v>
      </c>
      <c r="K97" s="36">
        <f t="shared" ref="K97" si="27">SUM(C97,G97)</f>
        <v>10781283.263189999</v>
      </c>
      <c r="L97" s="207">
        <f t="shared" ref="L97" si="28">IF(J97=0, "    ---- ", IF(ABS(ROUND(100/J97*K97-100,1))&lt;999,ROUND(100/J97*K97-100,1),IF(ROUND(100/J97*K97-100,1)&gt;999,999,-999)))</f>
        <v>14.3</v>
      </c>
      <c r="M97" s="23">
        <f>IFERROR(100/'Skjema total MA'!I98*K97,0)</f>
        <v>0.98963372150150641</v>
      </c>
    </row>
    <row r="98" spans="1:13" ht="15.75" x14ac:dyDescent="0.2">
      <c r="A98" s="18" t="s">
        <v>340</v>
      </c>
      <c r="B98" s="182">
        <v>159448364.19591999</v>
      </c>
      <c r="C98" s="182">
        <v>159665925.13385001</v>
      </c>
      <c r="D98" s="123">
        <f t="shared" si="16"/>
        <v>0.1</v>
      </c>
      <c r="E98" s="336">
        <f>IFERROR(100/'Skjema total MA'!C98*C98,0)</f>
        <v>41.33699227791837</v>
      </c>
      <c r="F98" s="143">
        <v>200431426.62689</v>
      </c>
      <c r="G98" s="239">
        <v>226879880.26820999</v>
      </c>
      <c r="H98" s="123">
        <f t="shared" si="17"/>
        <v>13.2</v>
      </c>
      <c r="I98" s="336">
        <f>IFERROR(100/'Skjema total MA'!F98*G98,0)</f>
        <v>32.265422527595916</v>
      </c>
      <c r="J98" s="36">
        <f t="shared" si="24"/>
        <v>359879790.82280999</v>
      </c>
      <c r="K98" s="36">
        <f t="shared" si="24"/>
        <v>386545805.40206003</v>
      </c>
      <c r="L98" s="207">
        <f t="shared" si="19"/>
        <v>7.4</v>
      </c>
      <c r="M98" s="23">
        <f>IFERROR(100/'Skjema total MA'!I98*K98,0)</f>
        <v>35.481746893426028</v>
      </c>
    </row>
    <row r="99" spans="1:13" x14ac:dyDescent="0.2">
      <c r="A99" s="18" t="s">
        <v>9</v>
      </c>
      <c r="B99" s="239">
        <v>159401247.33414</v>
      </c>
      <c r="C99" s="240">
        <v>159619535.25431001</v>
      </c>
      <c r="D99" s="123">
        <f t="shared" si="16"/>
        <v>0.1</v>
      </c>
      <c r="E99" s="336">
        <f>IFERROR(100/'Skjema total MA'!C99*C99,0)</f>
        <v>41.768329592269012</v>
      </c>
      <c r="F99" s="36"/>
      <c r="G99" s="109"/>
      <c r="H99" s="123"/>
      <c r="I99" s="336"/>
      <c r="J99" s="36">
        <f t="shared" si="24"/>
        <v>159401247.33414</v>
      </c>
      <c r="K99" s="36">
        <f t="shared" si="24"/>
        <v>159619535.25431001</v>
      </c>
      <c r="L99" s="207">
        <f t="shared" si="19"/>
        <v>0.1</v>
      </c>
      <c r="M99" s="23">
        <f>IFERROR(100/'Skjema total MA'!I99*K99,0)</f>
        <v>41.768329592269012</v>
      </c>
    </row>
    <row r="100" spans="1:13" x14ac:dyDescent="0.2">
      <c r="A100" s="18" t="s">
        <v>368</v>
      </c>
      <c r="B100" s="239">
        <v>47116.861779999999</v>
      </c>
      <c r="C100" s="240">
        <v>46389.879540000002</v>
      </c>
      <c r="D100" s="123">
        <f t="shared" si="16"/>
        <v>-1.5</v>
      </c>
      <c r="E100" s="336">
        <f>IFERROR(100/'Skjema total MA'!C100*C100,0)</f>
        <v>1.1314951999819505</v>
      </c>
      <c r="F100" s="36">
        <v>200431426.62689</v>
      </c>
      <c r="G100" s="182">
        <v>226879880.26820999</v>
      </c>
      <c r="H100" s="123">
        <f t="shared" si="17"/>
        <v>13.2</v>
      </c>
      <c r="I100" s="336">
        <f>IFERROR(100/'Skjema total MA'!F100*G100,0)</f>
        <v>32.265422527595916</v>
      </c>
      <c r="J100" s="36">
        <f t="shared" si="24"/>
        <v>200478543.48866999</v>
      </c>
      <c r="K100" s="36">
        <f t="shared" si="24"/>
        <v>226926270.14774999</v>
      </c>
      <c r="L100" s="207">
        <f t="shared" si="19"/>
        <v>13.2</v>
      </c>
      <c r="M100" s="23">
        <f>IFERROR(100/'Skjema total MA'!I100*K100,0)</f>
        <v>32.084945897728225</v>
      </c>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v>3145813.2740000002</v>
      </c>
      <c r="C107" s="109">
        <v>3004789.94</v>
      </c>
      <c r="D107" s="123">
        <f t="shared" si="16"/>
        <v>-4.5</v>
      </c>
      <c r="E107" s="336">
        <f>IFERROR(100/'Skjema total MA'!C107*C107,0)</f>
        <v>72.967048370826461</v>
      </c>
      <c r="F107" s="36"/>
      <c r="G107" s="109"/>
      <c r="H107" s="123"/>
      <c r="I107" s="336"/>
      <c r="J107" s="36">
        <f t="shared" si="24"/>
        <v>3145813.2740000002</v>
      </c>
      <c r="K107" s="36">
        <f t="shared" si="24"/>
        <v>3004789.94</v>
      </c>
      <c r="L107" s="207">
        <f t="shared" si="19"/>
        <v>-4.5</v>
      </c>
      <c r="M107" s="23">
        <f>IFERROR(100/'Skjema total MA'!I107*K107,0)</f>
        <v>66.404586050735858</v>
      </c>
    </row>
    <row r="108" spans="1:13" ht="15.75" x14ac:dyDescent="0.2">
      <c r="A108" s="18" t="s">
        <v>342</v>
      </c>
      <c r="B108" s="182">
        <v>142707831.79420999</v>
      </c>
      <c r="C108" s="182">
        <v>142846891.38321999</v>
      </c>
      <c r="D108" s="123">
        <f t="shared" si="16"/>
        <v>0.1</v>
      </c>
      <c r="E108" s="336">
        <f>IFERROR(100/'Skjema total MA'!C108*C108,0)</f>
        <v>43.076076876202187</v>
      </c>
      <c r="F108" s="36">
        <v>20876899.869210001</v>
      </c>
      <c r="G108" s="182">
        <v>22112467.22792</v>
      </c>
      <c r="H108" s="123">
        <f t="shared" si="17"/>
        <v>5.9</v>
      </c>
      <c r="I108" s="336">
        <f>IFERROR(100/'Skjema total MA'!F108*G108,0)</f>
        <v>90.089255137499237</v>
      </c>
      <c r="J108" s="36">
        <f t="shared" si="24"/>
        <v>163584731.66341999</v>
      </c>
      <c r="K108" s="36">
        <f t="shared" si="24"/>
        <v>164959358.61113998</v>
      </c>
      <c r="L108" s="207">
        <f t="shared" si="19"/>
        <v>0.8</v>
      </c>
      <c r="M108" s="23">
        <f>IFERROR(100/'Skjema total MA'!I108*K108,0)</f>
        <v>46.316025657110167</v>
      </c>
    </row>
    <row r="109" spans="1:13" ht="15.75" x14ac:dyDescent="0.2">
      <c r="A109" s="18" t="s">
        <v>382</v>
      </c>
      <c r="B109" s="182">
        <v>613731.84699999995</v>
      </c>
      <c r="C109" s="182">
        <v>761707.41660999996</v>
      </c>
      <c r="D109" s="123">
        <f t="shared" si="16"/>
        <v>24.1</v>
      </c>
      <c r="E109" s="336">
        <f>IFERROR(100/'Skjema total MA'!C109*C109,0)</f>
        <v>29.543751894118301</v>
      </c>
      <c r="F109" s="36">
        <v>66380174.512999997</v>
      </c>
      <c r="G109" s="182">
        <v>77036138.052000001</v>
      </c>
      <c r="H109" s="123">
        <f t="shared" si="17"/>
        <v>16.100000000000001</v>
      </c>
      <c r="I109" s="336">
        <f>IFERROR(100/'Skjema total MA'!F109*G109,0)</f>
        <v>28.125663411616404</v>
      </c>
      <c r="J109" s="36">
        <f t="shared" si="24"/>
        <v>66993906.359999999</v>
      </c>
      <c r="K109" s="36">
        <f t="shared" si="24"/>
        <v>77797845.468610004</v>
      </c>
      <c r="L109" s="207">
        <f t="shared" si="19"/>
        <v>16.100000000000001</v>
      </c>
      <c r="M109" s="23">
        <f>IFERROR(100/'Skjema total MA'!I109*K109,0)</f>
        <v>28.138887484057694</v>
      </c>
    </row>
    <row r="110" spans="1:13" ht="15.75" x14ac:dyDescent="0.2">
      <c r="A110" s="18" t="s">
        <v>343</v>
      </c>
      <c r="B110" s="182">
        <v>1543834.8328100001</v>
      </c>
      <c r="C110" s="182">
        <v>2309984.75116</v>
      </c>
      <c r="D110" s="123">
        <f t="shared" si="16"/>
        <v>49.6</v>
      </c>
      <c r="E110" s="336">
        <f>IFERROR(100/'Skjema total MA'!C110*C110,0)</f>
        <v>57.07175829875613</v>
      </c>
      <c r="F110" s="36"/>
      <c r="G110" s="182"/>
      <c r="H110" s="123"/>
      <c r="I110" s="336"/>
      <c r="J110" s="36">
        <f t="shared" si="24"/>
        <v>1543834.8328100001</v>
      </c>
      <c r="K110" s="36">
        <f t="shared" si="24"/>
        <v>2309984.75116</v>
      </c>
      <c r="L110" s="207">
        <f t="shared" si="19"/>
        <v>49.6</v>
      </c>
      <c r="M110" s="23">
        <f>IFERROR(100/'Skjema total MA'!I110*K110,0)</f>
        <v>57.07175829875613</v>
      </c>
    </row>
    <row r="111" spans="1:13" ht="15.75" x14ac:dyDescent="0.2">
      <c r="A111" s="10" t="s">
        <v>324</v>
      </c>
      <c r="B111" s="251">
        <v>100850.103</v>
      </c>
      <c r="C111" s="118">
        <v>110980.326</v>
      </c>
      <c r="D111" s="127">
        <f t="shared" si="16"/>
        <v>10</v>
      </c>
      <c r="E111" s="350">
        <f>IFERROR(100/'Skjema total MA'!C111*C111,0)</f>
        <v>8.4008878301358827</v>
      </c>
      <c r="F111" s="184">
        <v>5351123.0259999996</v>
      </c>
      <c r="G111" s="118">
        <v>6687072.1500000004</v>
      </c>
      <c r="H111" s="127">
        <f t="shared" si="17"/>
        <v>25</v>
      </c>
      <c r="I111" s="350">
        <f>IFERROR(100/'Skjema total MA'!F111*G111,0)</f>
        <v>18.972105221919918</v>
      </c>
      <c r="J111" s="184">
        <f t="shared" si="24"/>
        <v>5451973.1289999997</v>
      </c>
      <c r="K111" s="184">
        <f t="shared" si="24"/>
        <v>6798052.4760000007</v>
      </c>
      <c r="L111" s="344">
        <f t="shared" si="19"/>
        <v>24.7</v>
      </c>
      <c r="M111" s="8">
        <f>IFERROR(100/'Skjema total MA'!I111*K111,0)</f>
        <v>18.590208817424241</v>
      </c>
    </row>
    <row r="112" spans="1:13" x14ac:dyDescent="0.2">
      <c r="A112" s="18" t="s">
        <v>9</v>
      </c>
      <c r="B112" s="182">
        <v>25024.072</v>
      </c>
      <c r="C112" s="109">
        <v>20335.955999999998</v>
      </c>
      <c r="D112" s="123">
        <f t="shared" ref="D112:D125" si="29">IF(B112=0, "    ---- ", IF(ABS(ROUND(100/B112*C112-100,1))&lt;999,ROUND(100/B112*C112-100,1),IF(ROUND(100/B112*C112-100,1)&gt;999,999,-999)))</f>
        <v>-18.7</v>
      </c>
      <c r="E112" s="336">
        <f>IFERROR(100/'Skjema total MA'!C112*C112,0)</f>
        <v>1.6985014512143979</v>
      </c>
      <c r="F112" s="36">
        <v>983.60799999999995</v>
      </c>
      <c r="G112" s="109">
        <v>887.78599999999994</v>
      </c>
      <c r="H112" s="123">
        <f t="shared" ref="H112:H125" si="30">IF(F112=0, "    ---- ", IF(ABS(ROUND(100/F112*G112-100,1))&lt;999,ROUND(100/F112*G112-100,1),IF(ROUND(100/F112*G112-100,1)&gt;999,999,-999)))</f>
        <v>-9.6999999999999993</v>
      </c>
      <c r="I112" s="336">
        <f>IFERROR(100/'Skjema total MA'!F112*G112,0)</f>
        <v>100</v>
      </c>
      <c r="J112" s="36">
        <f t="shared" ref="J112:K125" si="31">SUM(B112,F112)</f>
        <v>26007.68</v>
      </c>
      <c r="K112" s="36">
        <f t="shared" si="31"/>
        <v>21223.741999999998</v>
      </c>
      <c r="L112" s="207">
        <f t="shared" ref="L112:L125" si="32">IF(J112=0, "    ---- ", IF(ABS(ROUND(100/J112*K112-100,1))&lt;999,ROUND(100/J112*K112-100,1),IF(ROUND(100/J112*K112-100,1)&gt;999,999,-999)))</f>
        <v>-18.399999999999999</v>
      </c>
      <c r="M112" s="23">
        <f>IFERROR(100/'Skjema total MA'!I112*K112,0)</f>
        <v>1.7713377469153997</v>
      </c>
    </row>
    <row r="113" spans="1:13" x14ac:dyDescent="0.2">
      <c r="A113" s="18" t="s">
        <v>10</v>
      </c>
      <c r="B113" s="182"/>
      <c r="C113" s="109"/>
      <c r="D113" s="123"/>
      <c r="E113" s="336"/>
      <c r="F113" s="36">
        <v>5350139.4179999996</v>
      </c>
      <c r="G113" s="109">
        <v>6686184.3640000001</v>
      </c>
      <c r="H113" s="123">
        <f t="shared" si="30"/>
        <v>25</v>
      </c>
      <c r="I113" s="336">
        <f>IFERROR(100/'Skjema total MA'!F113*G113,0)</f>
        <v>18.970064267517259</v>
      </c>
      <c r="J113" s="36">
        <f t="shared" si="31"/>
        <v>5350139.4179999996</v>
      </c>
      <c r="K113" s="36">
        <f t="shared" si="31"/>
        <v>6686184.3640000001</v>
      </c>
      <c r="L113" s="207">
        <f t="shared" si="32"/>
        <v>25</v>
      </c>
      <c r="M113" s="23">
        <f>IFERROR(100/'Skjema total MA'!I113*K113,0)</f>
        <v>18.958508759287088</v>
      </c>
    </row>
    <row r="114" spans="1:13" x14ac:dyDescent="0.2">
      <c r="A114" s="18" t="s">
        <v>26</v>
      </c>
      <c r="B114" s="182">
        <v>75826.031000000003</v>
      </c>
      <c r="C114" s="109">
        <v>90644.37</v>
      </c>
      <c r="D114" s="123">
        <f t="shared" si="29"/>
        <v>19.5</v>
      </c>
      <c r="E114" s="336">
        <f>IFERROR(100/'Skjema total MA'!C114*C114,0)</f>
        <v>88.62059465228262</v>
      </c>
      <c r="F114" s="36"/>
      <c r="G114" s="109"/>
      <c r="H114" s="123"/>
      <c r="I114" s="336"/>
      <c r="J114" s="36">
        <f t="shared" si="31"/>
        <v>75826.031000000003</v>
      </c>
      <c r="K114" s="36">
        <f t="shared" si="31"/>
        <v>90644.37</v>
      </c>
      <c r="L114" s="207">
        <f t="shared" si="32"/>
        <v>19.5</v>
      </c>
      <c r="M114" s="23">
        <f>IFERROR(100/'Skjema total MA'!I114*K114,0)</f>
        <v>88.62059465228262</v>
      </c>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v>5352.1440000000002</v>
      </c>
      <c r="C116" s="182">
        <v>31.53</v>
      </c>
      <c r="D116" s="123">
        <f t="shared" si="29"/>
        <v>-99.4</v>
      </c>
      <c r="E116" s="336">
        <f>IFERROR(100/'Skjema total MA'!C116*C116,0)</f>
        <v>3.428329303208156E-3</v>
      </c>
      <c r="F116" s="36">
        <v>983.60799999999995</v>
      </c>
      <c r="G116" s="182">
        <v>887.78599999999994</v>
      </c>
      <c r="H116" s="123">
        <f t="shared" si="30"/>
        <v>-9.6999999999999993</v>
      </c>
      <c r="I116" s="336">
        <f>IFERROR(100/'Skjema total MA'!F116*G116,0)</f>
        <v>100</v>
      </c>
      <c r="J116" s="36">
        <f t="shared" si="31"/>
        <v>6335.7520000000004</v>
      </c>
      <c r="K116" s="36">
        <f t="shared" si="31"/>
        <v>919.31599999999992</v>
      </c>
      <c r="L116" s="207">
        <f t="shared" si="32"/>
        <v>-85.5</v>
      </c>
      <c r="M116" s="23">
        <f>IFERROR(100/'Skjema total MA'!I116*K116,0)</f>
        <v>9.9862941024658966E-2</v>
      </c>
    </row>
    <row r="117" spans="1:13" ht="15.75" x14ac:dyDescent="0.2">
      <c r="A117" s="18" t="s">
        <v>382</v>
      </c>
      <c r="B117" s="182"/>
      <c r="C117" s="182"/>
      <c r="D117" s="123"/>
      <c r="E117" s="336"/>
      <c r="F117" s="36">
        <v>508241.37099999998</v>
      </c>
      <c r="G117" s="182">
        <v>4218812.182</v>
      </c>
      <c r="H117" s="123">
        <f t="shared" si="30"/>
        <v>730.1</v>
      </c>
      <c r="I117" s="336">
        <f>IFERROR(100/'Skjema total MA'!F117*G117,0)</f>
        <v>19.73907401894153</v>
      </c>
      <c r="J117" s="36">
        <f t="shared" si="31"/>
        <v>508241.37099999998</v>
      </c>
      <c r="K117" s="36">
        <f t="shared" si="31"/>
        <v>4218812.182</v>
      </c>
      <c r="L117" s="207">
        <f t="shared" si="32"/>
        <v>730.1</v>
      </c>
      <c r="M117" s="23">
        <f>IFERROR(100/'Skjema total MA'!I117*K117,0)</f>
        <v>19.73907401894153</v>
      </c>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v>66603.542000000001</v>
      </c>
      <c r="C119" s="118">
        <v>198708.99099999998</v>
      </c>
      <c r="D119" s="127">
        <f t="shared" si="29"/>
        <v>198.3</v>
      </c>
      <c r="E119" s="350">
        <f>IFERROR(100/'Skjema total MA'!C119*C119,0)</f>
        <v>54.005927671636499</v>
      </c>
      <c r="F119" s="184">
        <v>7156789.7220000001</v>
      </c>
      <c r="G119" s="118">
        <v>9857076.9120000005</v>
      </c>
      <c r="H119" s="127">
        <f t="shared" si="30"/>
        <v>37.700000000000003</v>
      </c>
      <c r="I119" s="350">
        <f>IFERROR(100/'Skjema total MA'!F119*G119,0)</f>
        <v>26.643647005572983</v>
      </c>
      <c r="J119" s="184">
        <f t="shared" si="31"/>
        <v>7223393.2640000004</v>
      </c>
      <c r="K119" s="184">
        <f t="shared" si="31"/>
        <v>10055785.903000001</v>
      </c>
      <c r="L119" s="344">
        <f t="shared" si="32"/>
        <v>39.200000000000003</v>
      </c>
      <c r="M119" s="8">
        <f>IFERROR(100/'Skjema total MA'!I119*K119,0)</f>
        <v>26.913095659142868</v>
      </c>
    </row>
    <row r="120" spans="1:13" x14ac:dyDescent="0.2">
      <c r="A120" s="18" t="s">
        <v>9</v>
      </c>
      <c r="B120" s="182">
        <v>4748.6239999999998</v>
      </c>
      <c r="C120" s="109">
        <v>3863.7620000000002</v>
      </c>
      <c r="D120" s="123">
        <f t="shared" si="29"/>
        <v>-18.600000000000001</v>
      </c>
      <c r="E120" s="336">
        <f>IFERROR(100/'Skjema total MA'!C120*C120,0)</f>
        <v>3.6421623306987136</v>
      </c>
      <c r="F120" s="36"/>
      <c r="G120" s="109"/>
      <c r="H120" s="123"/>
      <c r="I120" s="336"/>
      <c r="J120" s="36">
        <f t="shared" si="31"/>
        <v>4748.6239999999998</v>
      </c>
      <c r="K120" s="36">
        <f t="shared" si="31"/>
        <v>3863.7620000000002</v>
      </c>
      <c r="L120" s="207">
        <f t="shared" si="32"/>
        <v>-18.600000000000001</v>
      </c>
      <c r="M120" s="23">
        <f>IFERROR(100/'Skjema total MA'!I120*K120,0)</f>
        <v>3.6421623306987136</v>
      </c>
    </row>
    <row r="121" spans="1:13" x14ac:dyDescent="0.2">
      <c r="A121" s="18" t="s">
        <v>10</v>
      </c>
      <c r="B121" s="182"/>
      <c r="C121" s="109"/>
      <c r="D121" s="123"/>
      <c r="E121" s="336"/>
      <c r="F121" s="36">
        <v>7156789.7220000001</v>
      </c>
      <c r="G121" s="109">
        <v>9857076.9120000005</v>
      </c>
      <c r="H121" s="123">
        <f t="shared" si="30"/>
        <v>37.700000000000003</v>
      </c>
      <c r="I121" s="336">
        <f>IFERROR(100/'Skjema total MA'!F121*G121,0)</f>
        <v>26.643647005572983</v>
      </c>
      <c r="J121" s="36">
        <f t="shared" si="31"/>
        <v>7156789.7220000001</v>
      </c>
      <c r="K121" s="36">
        <f t="shared" si="31"/>
        <v>9857076.9120000005</v>
      </c>
      <c r="L121" s="207">
        <f t="shared" si="32"/>
        <v>37.700000000000003</v>
      </c>
      <c r="M121" s="23">
        <f>IFERROR(100/'Skjema total MA'!I121*K121,0)</f>
        <v>26.618472505406082</v>
      </c>
    </row>
    <row r="122" spans="1:13" x14ac:dyDescent="0.2">
      <c r="A122" s="18" t="s">
        <v>26</v>
      </c>
      <c r="B122" s="182">
        <v>61854.917999999998</v>
      </c>
      <c r="C122" s="109">
        <v>194845.22899999999</v>
      </c>
      <c r="D122" s="123">
        <f t="shared" si="29"/>
        <v>215</v>
      </c>
      <c r="E122" s="336">
        <f>IFERROR(100/'Skjema total MA'!C122*C122,0)</f>
        <v>85.885646683028554</v>
      </c>
      <c r="F122" s="36"/>
      <c r="G122" s="109"/>
      <c r="H122" s="123"/>
      <c r="I122" s="336"/>
      <c r="J122" s="36">
        <f t="shared" si="31"/>
        <v>61854.917999999998</v>
      </c>
      <c r="K122" s="36">
        <f t="shared" si="31"/>
        <v>194845.22899999999</v>
      </c>
      <c r="L122" s="207">
        <f t="shared" si="32"/>
        <v>215</v>
      </c>
      <c r="M122" s="23">
        <f>IFERROR(100/'Skjema total MA'!I122*K122,0)</f>
        <v>85.885646683028554</v>
      </c>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v>1692.806</v>
      </c>
      <c r="C124" s="182">
        <v>3400.3670000000002</v>
      </c>
      <c r="D124" s="123">
        <f t="shared" si="29"/>
        <v>100.9</v>
      </c>
      <c r="E124" s="336">
        <f>IFERROR(100/'Skjema total MA'!C124*C124,0)</f>
        <v>18.635477824284106</v>
      </c>
      <c r="F124" s="36">
        <v>13865.686</v>
      </c>
      <c r="G124" s="182">
        <v>33478.699999999997</v>
      </c>
      <c r="H124" s="123">
        <f t="shared" si="30"/>
        <v>141.5</v>
      </c>
      <c r="I124" s="336">
        <f>IFERROR(100/'Skjema total MA'!F124*G124,0)</f>
        <v>100</v>
      </c>
      <c r="J124" s="36">
        <f t="shared" si="31"/>
        <v>15558.492</v>
      </c>
      <c r="K124" s="36">
        <f t="shared" si="31"/>
        <v>36879.066999999995</v>
      </c>
      <c r="L124" s="207">
        <f t="shared" si="32"/>
        <v>137</v>
      </c>
      <c r="M124" s="23">
        <f>IFERROR(100/'Skjema total MA'!I124*K124,0)</f>
        <v>71.297736110079214</v>
      </c>
    </row>
    <row r="125" spans="1:13" ht="15.75" x14ac:dyDescent="0.2">
      <c r="A125" s="18" t="s">
        <v>382</v>
      </c>
      <c r="B125" s="182">
        <v>31.271000000000001</v>
      </c>
      <c r="C125" s="182">
        <v>159.042</v>
      </c>
      <c r="D125" s="123">
        <f t="shared" si="29"/>
        <v>408.6</v>
      </c>
      <c r="E125" s="336">
        <f>IFERROR(100/'Skjema total MA'!C125*C125,0)</f>
        <v>11.407950317509162</v>
      </c>
      <c r="F125" s="36">
        <v>842059.353</v>
      </c>
      <c r="G125" s="182">
        <v>5659349.432</v>
      </c>
      <c r="H125" s="123">
        <f t="shared" si="30"/>
        <v>572.1</v>
      </c>
      <c r="I125" s="336">
        <f>IFERROR(100/'Skjema total MA'!F125*G125,0)</f>
        <v>27.194151381306202</v>
      </c>
      <c r="J125" s="36">
        <f t="shared" si="31"/>
        <v>842090.62399999995</v>
      </c>
      <c r="K125" s="36">
        <f t="shared" si="31"/>
        <v>5659508.4740000004</v>
      </c>
      <c r="L125" s="207">
        <f t="shared" si="32"/>
        <v>572.1</v>
      </c>
      <c r="M125" s="23">
        <f>IFERROR(100/'Skjema total MA'!I125*K125,0)</f>
        <v>27.193093926670162</v>
      </c>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v>772940.44649999996</v>
      </c>
      <c r="C134" s="252">
        <v>1302538.6555000001</v>
      </c>
      <c r="D134" s="286">
        <f t="shared" ref="D134:D137" si="33">IF(B134=0, "    ---- ", IF(ABS(ROUND(100/B134*C134-100,1))&lt;999,ROUND(100/B134*C134-100,1),IF(ROUND(100/B134*C134-100,1)&gt;999,999,-999)))</f>
        <v>68.5</v>
      </c>
      <c r="E134" s="8">
        <f>IFERROR(100/'Skjema total MA'!C134*C134,0)</f>
        <v>2.842362920567358</v>
      </c>
      <c r="F134" s="259"/>
      <c r="G134" s="260"/>
      <c r="H134" s="347"/>
      <c r="I134" s="21"/>
      <c r="J134" s="261">
        <f t="shared" ref="J134:K137" si="34">SUM(B134,F134)</f>
        <v>772940.44649999996</v>
      </c>
      <c r="K134" s="261">
        <f t="shared" si="34"/>
        <v>1302538.6555000001</v>
      </c>
      <c r="L134" s="343">
        <f t="shared" ref="L134:L137" si="35">IF(J134=0, "    ---- ", IF(ABS(ROUND(100/J134*K134-100,1))&lt;999,ROUND(100/J134*K134-100,1),IF(ROUND(100/J134*K134-100,1)&gt;999,999,-999)))</f>
        <v>68.5</v>
      </c>
      <c r="M134" s="8">
        <f>IFERROR(100/'Skjema total MA'!I134*K134,0)</f>
        <v>2.8336028002102682</v>
      </c>
    </row>
    <row r="135" spans="1:15" ht="15.75" x14ac:dyDescent="0.2">
      <c r="A135" s="10" t="s">
        <v>350</v>
      </c>
      <c r="B135" s="184">
        <v>22645636.316119999</v>
      </c>
      <c r="C135" s="252">
        <v>29173364.936530001</v>
      </c>
      <c r="D135" s="127">
        <f t="shared" si="33"/>
        <v>28.8</v>
      </c>
      <c r="E135" s="8">
        <f>IFERROR(100/'Skjema total MA'!C135*C135,0)</f>
        <v>3.0030298147377916</v>
      </c>
      <c r="F135" s="184"/>
      <c r="G135" s="252"/>
      <c r="H135" s="348"/>
      <c r="I135" s="21"/>
      <c r="J135" s="251">
        <f t="shared" si="34"/>
        <v>22645636.316119999</v>
      </c>
      <c r="K135" s="251">
        <f t="shared" si="34"/>
        <v>29173364.936530001</v>
      </c>
      <c r="L135" s="344">
        <f t="shared" si="35"/>
        <v>28.8</v>
      </c>
      <c r="M135" s="8">
        <f>IFERROR(100/'Skjema total MA'!I135*K135,0)</f>
        <v>2.9936140134713907</v>
      </c>
    </row>
    <row r="136" spans="1:15" ht="15.75" x14ac:dyDescent="0.2">
      <c r="A136" s="10" t="s">
        <v>347</v>
      </c>
      <c r="B136" s="184">
        <v>2284048.4169999999</v>
      </c>
      <c r="C136" s="252">
        <v>3216531.1349999998</v>
      </c>
      <c r="D136" s="127">
        <f t="shared" si="33"/>
        <v>40.799999999999997</v>
      </c>
      <c r="E136" s="8">
        <f>IFERROR(100/'Skjema total MA'!C136*C136,0)</f>
        <v>98.759303197504153</v>
      </c>
      <c r="F136" s="184"/>
      <c r="G136" s="252"/>
      <c r="H136" s="348"/>
      <c r="I136" s="21"/>
      <c r="J136" s="251">
        <f t="shared" si="34"/>
        <v>2284048.4169999999</v>
      </c>
      <c r="K136" s="251">
        <f t="shared" si="34"/>
        <v>3216531.1349999998</v>
      </c>
      <c r="L136" s="344">
        <f t="shared" si="35"/>
        <v>40.799999999999997</v>
      </c>
      <c r="M136" s="8">
        <f>IFERROR(100/'Skjema total MA'!I136*K136,0)</f>
        <v>98.759303197504153</v>
      </c>
    </row>
    <row r="137" spans="1:15" ht="15.75" x14ac:dyDescent="0.2">
      <c r="A137" s="33" t="s">
        <v>348</v>
      </c>
      <c r="B137" s="224">
        <v>353.28100000000001</v>
      </c>
      <c r="C137" s="258">
        <v>0</v>
      </c>
      <c r="D137" s="125">
        <f t="shared" si="33"/>
        <v>-100</v>
      </c>
      <c r="E137" s="6">
        <f>IFERROR(100/'Skjema total MA'!C137*C137,0)</f>
        <v>0</v>
      </c>
      <c r="F137" s="224"/>
      <c r="G137" s="258"/>
      <c r="H137" s="349"/>
      <c r="I137" s="30"/>
      <c r="J137" s="257">
        <f t="shared" si="34"/>
        <v>353.28100000000001</v>
      </c>
      <c r="K137" s="257">
        <f t="shared" si="34"/>
        <v>0</v>
      </c>
      <c r="L137" s="345">
        <f t="shared" si="35"/>
        <v>-100</v>
      </c>
      <c r="M137" s="30">
        <f>IFERROR(100/'Skjema total MA'!I137*K137,0)</f>
        <v>0</v>
      </c>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57" priority="76">
      <formula>kvartal &lt; 4</formula>
    </cfRule>
  </conditionalFormatting>
  <conditionalFormatting sqref="C115">
    <cfRule type="expression" dxfId="256" priority="75">
      <formula>kvartal &lt; 4</formula>
    </cfRule>
  </conditionalFormatting>
  <conditionalFormatting sqref="F115">
    <cfRule type="expression" dxfId="255" priority="58">
      <formula>kvartal &lt; 4</formula>
    </cfRule>
  </conditionalFormatting>
  <conditionalFormatting sqref="G115">
    <cfRule type="expression" dxfId="254" priority="57">
      <formula>kvartal &lt; 4</formula>
    </cfRule>
  </conditionalFormatting>
  <conditionalFormatting sqref="J115:K115">
    <cfRule type="expression" dxfId="253" priority="32">
      <formula>kvartal &lt; 4</formula>
    </cfRule>
  </conditionalFormatting>
  <conditionalFormatting sqref="J123:K123">
    <cfRule type="expression" dxfId="252" priority="31">
      <formula>kvartal &lt; 4</formula>
    </cfRule>
  </conditionalFormatting>
  <conditionalFormatting sqref="A50:A52">
    <cfRule type="expression" dxfId="251" priority="12">
      <formula>kvartal &lt; 4</formula>
    </cfRule>
  </conditionalFormatting>
  <conditionalFormatting sqref="A69:A74">
    <cfRule type="expression" dxfId="250" priority="10">
      <formula>kvartal &lt; 4</formula>
    </cfRule>
  </conditionalFormatting>
  <conditionalFormatting sqref="A80:A85">
    <cfRule type="expression" dxfId="249" priority="9">
      <formula>kvartal &lt; 4</formula>
    </cfRule>
  </conditionalFormatting>
  <conditionalFormatting sqref="A90:A95">
    <cfRule type="expression" dxfId="248" priority="6">
      <formula>kvartal &lt; 4</formula>
    </cfRule>
  </conditionalFormatting>
  <conditionalFormatting sqref="A101:A106">
    <cfRule type="expression" dxfId="247" priority="5">
      <formula>kvartal &lt; 4</formula>
    </cfRule>
  </conditionalFormatting>
  <conditionalFormatting sqref="A115">
    <cfRule type="expression" dxfId="246" priority="4">
      <formula>kvartal &lt; 4</formula>
    </cfRule>
  </conditionalFormatting>
  <conditionalFormatting sqref="A123">
    <cfRule type="expression" dxfId="245" priority="3">
      <formula>kvartal &lt; 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122</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344"/>
      <c r="M8" s="23"/>
    </row>
    <row r="9" spans="1:15" ht="15.75" x14ac:dyDescent="0.2">
      <c r="A9" s="18" t="s">
        <v>24</v>
      </c>
      <c r="B9" s="229"/>
      <c r="C9" s="230"/>
      <c r="D9" s="123"/>
      <c r="E9" s="23"/>
      <c r="F9" s="233"/>
      <c r="G9" s="234"/>
      <c r="H9" s="123"/>
      <c r="I9" s="133"/>
      <c r="J9" s="182"/>
      <c r="K9" s="235"/>
      <c r="L9" s="344"/>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127"/>
      <c r="E38" s="21"/>
      <c r="F38" s="262"/>
      <c r="G38" s="263"/>
      <c r="H38" s="127"/>
      <c r="I38" s="350"/>
      <c r="J38" s="184"/>
      <c r="K38" s="184"/>
      <c r="L38" s="344"/>
      <c r="M38" s="21"/>
    </row>
    <row r="39" spans="1:13" ht="15.75" x14ac:dyDescent="0.2">
      <c r="A39" s="15" t="s">
        <v>333</v>
      </c>
      <c r="B39" s="224"/>
      <c r="C39" s="258"/>
      <c r="D39" s="125"/>
      <c r="E39" s="30"/>
      <c r="F39" s="265"/>
      <c r="G39" s="266"/>
      <c r="H39" s="125"/>
      <c r="I39" s="30"/>
      <c r="J39" s="184"/>
      <c r="K39" s="184"/>
      <c r="L39" s="345"/>
      <c r="M39" s="30"/>
    </row>
    <row r="40" spans="1:13" ht="15.75" x14ac:dyDescent="0.25">
      <c r="A40" s="35"/>
      <c r="B40" s="206"/>
      <c r="C40" s="206"/>
      <c r="D40" s="584"/>
      <c r="E40" s="584"/>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4814</v>
      </c>
      <c r="C47" s="254">
        <v>3807</v>
      </c>
      <c r="D47" s="343">
        <f t="shared" ref="D47:D48" si="0">IF(B47=0, "    ---- ", IF(ABS(ROUND(100/B47*C47-100,1))&lt;999,ROUND(100/B47*C47-100,1),IF(ROUND(100/B47*C47-100,1)&gt;999,999,-999)))</f>
        <v>-20.9</v>
      </c>
      <c r="E47" s="8">
        <f>IFERROR(100/'Skjema total MA'!C47*C47,0)</f>
        <v>6.8644249123129608E-2</v>
      </c>
      <c r="F47" s="109"/>
      <c r="G47" s="27"/>
      <c r="H47" s="118"/>
      <c r="I47" s="118"/>
      <c r="J47" s="31"/>
      <c r="K47" s="31"/>
      <c r="L47" s="118"/>
      <c r="M47" s="118"/>
    </row>
    <row r="48" spans="1:13" ht="15.75" x14ac:dyDescent="0.2">
      <c r="A48" s="18" t="s">
        <v>334</v>
      </c>
      <c r="B48" s="229">
        <v>4378</v>
      </c>
      <c r="C48" s="230">
        <v>3807</v>
      </c>
      <c r="D48" s="207">
        <f t="shared" si="0"/>
        <v>-13</v>
      </c>
      <c r="E48" s="23">
        <f>IFERROR(100/'Skjema total MA'!C48*C48,0)</f>
        <v>0.1200171455162452</v>
      </c>
      <c r="F48" s="109"/>
      <c r="G48" s="27"/>
      <c r="H48" s="109"/>
      <c r="I48" s="109"/>
      <c r="J48" s="27"/>
      <c r="K48" s="27"/>
      <c r="L48" s="118"/>
      <c r="M48" s="118"/>
    </row>
    <row r="49" spans="1:13" ht="15.75" x14ac:dyDescent="0.2">
      <c r="A49" s="18" t="s">
        <v>335</v>
      </c>
      <c r="B49" s="36">
        <v>436</v>
      </c>
      <c r="C49" s="235"/>
      <c r="D49" s="207">
        <f>IF(B49=0, "    ---- ", IF(ABS(ROUND(100/B49*C49-100,1))&lt;999,ROUND(100/B49*C49-100,1),IF(ROUND(100/B49*C49-100,1)&gt;999,999,-999)))</f>
        <v>-100</v>
      </c>
      <c r="E49" s="23">
        <f>IFERROR(100/'Skjema total MA'!C49*C49,0)</f>
        <v>0</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44" priority="76">
      <formula>kvartal &lt; 4</formula>
    </cfRule>
  </conditionalFormatting>
  <conditionalFormatting sqref="C115">
    <cfRule type="expression" dxfId="243" priority="75">
      <formula>kvartal &lt; 4</formula>
    </cfRule>
  </conditionalFormatting>
  <conditionalFormatting sqref="F115">
    <cfRule type="expression" dxfId="242" priority="58">
      <formula>kvartal &lt; 4</formula>
    </cfRule>
  </conditionalFormatting>
  <conditionalFormatting sqref="G115">
    <cfRule type="expression" dxfId="241" priority="57">
      <formula>kvartal &lt; 4</formula>
    </cfRule>
  </conditionalFormatting>
  <conditionalFormatting sqref="J115:K115">
    <cfRule type="expression" dxfId="240" priority="32">
      <formula>kvartal &lt; 4</formula>
    </cfRule>
  </conditionalFormatting>
  <conditionalFormatting sqref="J123:K123">
    <cfRule type="expression" dxfId="239" priority="31">
      <formula>kvartal &lt; 4</formula>
    </cfRule>
  </conditionalFormatting>
  <conditionalFormatting sqref="A50:A52">
    <cfRule type="expression" dxfId="238" priority="12">
      <formula>kvartal &lt; 4</formula>
    </cfRule>
  </conditionalFormatting>
  <conditionalFormatting sqref="A69:A74">
    <cfRule type="expression" dxfId="237" priority="10">
      <formula>kvartal &lt; 4</formula>
    </cfRule>
  </conditionalFormatting>
  <conditionalFormatting sqref="A80:A85">
    <cfRule type="expression" dxfId="236" priority="9">
      <formula>kvartal &lt; 4</formula>
    </cfRule>
  </conditionalFormatting>
  <conditionalFormatting sqref="A90:A95">
    <cfRule type="expression" dxfId="235" priority="6">
      <formula>kvartal &lt; 4</formula>
    </cfRule>
  </conditionalFormatting>
  <conditionalFormatting sqref="A101:A106">
    <cfRule type="expression" dxfId="234" priority="5">
      <formula>kvartal &lt; 4</formula>
    </cfRule>
  </conditionalFormatting>
  <conditionalFormatting sqref="A115">
    <cfRule type="expression" dxfId="233" priority="4">
      <formula>kvartal &lt; 4</formula>
    </cfRule>
  </conditionalFormatting>
  <conditionalFormatting sqref="A123">
    <cfRule type="expression" dxfId="232" priority="3">
      <formula>kvartal &lt; 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32"/>
  <dimension ref="A1:O144"/>
  <sheetViews>
    <sheetView showGridLines="0" zoomScaleNormal="10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91</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c r="C7" s="250"/>
      <c r="D7" s="286"/>
      <c r="E7" s="8"/>
      <c r="F7" s="249"/>
      <c r="G7" s="250"/>
      <c r="H7" s="286"/>
      <c r="I7" s="119"/>
      <c r="J7" s="251"/>
      <c r="K7" s="252"/>
      <c r="L7" s="343"/>
      <c r="M7" s="8"/>
    </row>
    <row r="8" spans="1:15" ht="15.75" x14ac:dyDescent="0.2">
      <c r="A8" s="18" t="s">
        <v>25</v>
      </c>
      <c r="B8" s="229"/>
      <c r="C8" s="230"/>
      <c r="D8" s="123"/>
      <c r="E8" s="23"/>
      <c r="F8" s="233"/>
      <c r="G8" s="234"/>
      <c r="H8" s="123"/>
      <c r="I8" s="133"/>
      <c r="J8" s="182"/>
      <c r="K8" s="235"/>
      <c r="L8" s="207"/>
      <c r="M8" s="23"/>
    </row>
    <row r="9" spans="1:15" ht="15.75" x14ac:dyDescent="0.2">
      <c r="A9" s="18" t="s">
        <v>24</v>
      </c>
      <c r="B9" s="229"/>
      <c r="C9" s="230"/>
      <c r="D9" s="123"/>
      <c r="E9" s="23"/>
      <c r="F9" s="233"/>
      <c r="G9" s="234"/>
      <c r="H9" s="123"/>
      <c r="I9" s="133"/>
      <c r="J9" s="182"/>
      <c r="K9" s="235"/>
      <c r="L9" s="207"/>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348"/>
      <c r="E38" s="21"/>
      <c r="F38" s="262"/>
      <c r="G38" s="263"/>
      <c r="H38" s="127"/>
      <c r="I38" s="350"/>
      <c r="J38" s="184"/>
      <c r="K38" s="184"/>
      <c r="L38" s="344"/>
      <c r="M38" s="21"/>
    </row>
    <row r="39" spans="1:13" ht="15.75" x14ac:dyDescent="0.2">
      <c r="A39" s="15" t="s">
        <v>333</v>
      </c>
      <c r="B39" s="224"/>
      <c r="C39" s="258"/>
      <c r="D39" s="349"/>
      <c r="E39" s="30"/>
      <c r="F39" s="265"/>
      <c r="G39" s="266"/>
      <c r="H39" s="125"/>
      <c r="I39" s="30"/>
      <c r="J39" s="184"/>
      <c r="K39" s="184"/>
      <c r="L39" s="345"/>
      <c r="M39" s="30"/>
    </row>
    <row r="40" spans="1:13" ht="15.75" x14ac:dyDescent="0.25">
      <c r="A40" s="35"/>
      <c r="B40" s="206"/>
      <c r="C40" s="206"/>
      <c r="D40" s="584"/>
      <c r="E40" s="583"/>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805943</v>
      </c>
      <c r="C47" s="254">
        <v>821900.22899999993</v>
      </c>
      <c r="D47" s="343">
        <f t="shared" ref="D47:D57" si="0">IF(B47=0, "    ---- ", IF(ABS(ROUND(100/B47*C47-100,1))&lt;999,ROUND(100/B47*C47-100,1),IF(ROUND(100/B47*C47-100,1)&gt;999,999,-999)))</f>
        <v>2</v>
      </c>
      <c r="E47" s="8">
        <f>IFERROR(100/'Skjema total MA'!C47*C47,0)</f>
        <v>14.819733142588197</v>
      </c>
      <c r="F47" s="109"/>
      <c r="G47" s="27"/>
      <c r="H47" s="118"/>
      <c r="I47" s="118"/>
      <c r="J47" s="31"/>
      <c r="K47" s="31"/>
      <c r="L47" s="118"/>
      <c r="M47" s="118"/>
    </row>
    <row r="48" spans="1:13" ht="15.75" x14ac:dyDescent="0.2">
      <c r="A48" s="18" t="s">
        <v>334</v>
      </c>
      <c r="B48" s="229">
        <v>200527</v>
      </c>
      <c r="C48" s="230">
        <v>211170.68299999999</v>
      </c>
      <c r="D48" s="207">
        <f t="shared" si="0"/>
        <v>5.3</v>
      </c>
      <c r="E48" s="23">
        <f>IFERROR(100/'Skjema total MA'!C48*C48,0)</f>
        <v>6.6572373497178585</v>
      </c>
      <c r="F48" s="109"/>
      <c r="G48" s="27"/>
      <c r="H48" s="109"/>
      <c r="I48" s="109"/>
      <c r="J48" s="27"/>
      <c r="K48" s="27"/>
      <c r="L48" s="118"/>
      <c r="M48" s="118"/>
    </row>
    <row r="49" spans="1:13" ht="15.75" x14ac:dyDescent="0.2">
      <c r="A49" s="18" t="s">
        <v>335</v>
      </c>
      <c r="B49" s="36">
        <v>605416</v>
      </c>
      <c r="C49" s="235">
        <v>610729.54599999997</v>
      </c>
      <c r="D49" s="207">
        <f>IF(B49=0, "    ---- ", IF(ABS(ROUND(100/B49*C49-100,1))&lt;999,ROUND(100/B49*C49-100,1),IF(ROUND(100/B49*C49-100,1)&gt;999,999,-999)))</f>
        <v>0.9</v>
      </c>
      <c r="E49" s="23">
        <f>IFERROR(100/'Skjema total MA'!C49*C49,0)</f>
        <v>25.726425854338331</v>
      </c>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v>18873</v>
      </c>
      <c r="C53" s="254">
        <v>17808.3</v>
      </c>
      <c r="D53" s="344">
        <f t="shared" si="0"/>
        <v>-5.6</v>
      </c>
      <c r="E53" s="8">
        <f>IFERROR(100/'Skjema total MA'!C53*C53,0)</f>
        <v>6.6348264197064521</v>
      </c>
      <c r="F53" s="109"/>
      <c r="G53" s="27"/>
      <c r="H53" s="109"/>
      <c r="I53" s="109"/>
      <c r="J53" s="27"/>
      <c r="K53" s="27"/>
      <c r="L53" s="118"/>
      <c r="M53" s="118"/>
    </row>
    <row r="54" spans="1:13" ht="15.75" x14ac:dyDescent="0.2">
      <c r="A54" s="18" t="s">
        <v>334</v>
      </c>
      <c r="B54" s="229">
        <v>18873</v>
      </c>
      <c r="C54" s="230">
        <v>17808.3</v>
      </c>
      <c r="D54" s="207">
        <f t="shared" si="0"/>
        <v>-5.6</v>
      </c>
      <c r="E54" s="23">
        <f>IFERROR(100/'Skjema total MA'!C54*C54,0)</f>
        <v>6.8120018688011417</v>
      </c>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v>14429</v>
      </c>
      <c r="C56" s="254">
        <v>20555</v>
      </c>
      <c r="D56" s="344">
        <f t="shared" si="0"/>
        <v>42.5</v>
      </c>
      <c r="E56" s="8">
        <f>IFERROR(100/'Skjema total MA'!C56*C56,0)</f>
        <v>31.67393356539209</v>
      </c>
      <c r="F56" s="109"/>
      <c r="G56" s="27"/>
      <c r="H56" s="109"/>
      <c r="I56" s="109"/>
      <c r="J56" s="27"/>
      <c r="K56" s="27"/>
      <c r="L56" s="118"/>
      <c r="M56" s="118"/>
    </row>
    <row r="57" spans="1:13" ht="15.75" x14ac:dyDescent="0.2">
      <c r="A57" s="18" t="s">
        <v>334</v>
      </c>
      <c r="B57" s="229">
        <v>14429</v>
      </c>
      <c r="C57" s="230">
        <v>20555</v>
      </c>
      <c r="D57" s="207">
        <f t="shared" si="0"/>
        <v>42.5</v>
      </c>
      <c r="E57" s="23">
        <f>IFERROR(100/'Skjema total MA'!C57*C57,0)</f>
        <v>31.67393356539209</v>
      </c>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131:D131"/>
    <mergeCell ref="F131:H131"/>
    <mergeCell ref="J131:L131"/>
    <mergeCell ref="B63:D63"/>
    <mergeCell ref="F63:H63"/>
    <mergeCell ref="J63:L63"/>
    <mergeCell ref="B130:D130"/>
    <mergeCell ref="F130:H130"/>
    <mergeCell ref="J130:L130"/>
    <mergeCell ref="B62:D62"/>
    <mergeCell ref="F62:H62"/>
    <mergeCell ref="J62:L62"/>
    <mergeCell ref="B42:D42"/>
    <mergeCell ref="F42:H42"/>
    <mergeCell ref="J42:L42"/>
    <mergeCell ref="B18:D18"/>
    <mergeCell ref="F18:H18"/>
    <mergeCell ref="J18:L18"/>
    <mergeCell ref="B44:D44"/>
    <mergeCell ref="B2:D2"/>
    <mergeCell ref="F2:H2"/>
    <mergeCell ref="J2:L2"/>
    <mergeCell ref="B4:D4"/>
    <mergeCell ref="F4:H4"/>
    <mergeCell ref="J4:L4"/>
    <mergeCell ref="B19:D19"/>
    <mergeCell ref="F19:H19"/>
    <mergeCell ref="J19:L19"/>
    <mergeCell ref="D40:F40"/>
    <mergeCell ref="G40:I40"/>
    <mergeCell ref="J40:L40"/>
  </mergeCells>
  <conditionalFormatting sqref="B115">
    <cfRule type="expression" dxfId="231" priority="61">
      <formula>kvartal &lt; 4</formula>
    </cfRule>
  </conditionalFormatting>
  <conditionalFormatting sqref="C115">
    <cfRule type="expression" dxfId="230" priority="60">
      <formula>kvartal &lt; 4</formula>
    </cfRule>
  </conditionalFormatting>
  <conditionalFormatting sqref="F115">
    <cfRule type="expression" dxfId="229" priority="43">
      <formula>kvartal &lt; 4</formula>
    </cfRule>
  </conditionalFormatting>
  <conditionalFormatting sqref="G115">
    <cfRule type="expression" dxfId="228" priority="42">
      <formula>kvartal &lt; 4</formula>
    </cfRule>
  </conditionalFormatting>
  <conditionalFormatting sqref="J115:K115">
    <cfRule type="expression" dxfId="227" priority="17">
      <formula>kvartal &lt; 4</formula>
    </cfRule>
  </conditionalFormatting>
  <conditionalFormatting sqref="J123:K123">
    <cfRule type="expression" dxfId="226" priority="16">
      <formula>kvartal &lt; 4</formula>
    </cfRule>
  </conditionalFormatting>
  <conditionalFormatting sqref="A50:A52">
    <cfRule type="expression" dxfId="225" priority="12">
      <formula>kvartal &lt; 4</formula>
    </cfRule>
  </conditionalFormatting>
  <conditionalFormatting sqref="A69:A74">
    <cfRule type="expression" dxfId="224" priority="10">
      <formula>kvartal &lt; 4</formula>
    </cfRule>
  </conditionalFormatting>
  <conditionalFormatting sqref="A80:A85">
    <cfRule type="expression" dxfId="223" priority="9">
      <formula>kvartal &lt; 4</formula>
    </cfRule>
  </conditionalFormatting>
  <conditionalFormatting sqref="A90:A95">
    <cfRule type="expression" dxfId="222" priority="6">
      <formula>kvartal &lt; 4</formula>
    </cfRule>
  </conditionalFormatting>
  <conditionalFormatting sqref="A101:A106">
    <cfRule type="expression" dxfId="221" priority="5">
      <formula>kvartal &lt; 4</formula>
    </cfRule>
  </conditionalFormatting>
  <conditionalFormatting sqref="A115">
    <cfRule type="expression" dxfId="220" priority="4">
      <formula>kvartal &lt; 4</formula>
    </cfRule>
  </conditionalFormatting>
  <conditionalFormatting sqref="A123">
    <cfRule type="expression" dxfId="219" priority="3">
      <formula>kvartal &lt; 4</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DCFD3-E4B4-485B-89B7-DA0A477AA596}">
  <dimension ref="A1:O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365</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1115</v>
      </c>
      <c r="C7" s="250">
        <v>999</v>
      </c>
      <c r="D7" s="286">
        <f>IF(B7=0, "    ---- ", IF(ABS(ROUND(100/B7*C7-100,1))&lt;999,ROUND(100/B7*C7-100,1),IF(ROUND(100/B7*C7-100,1)&gt;999,999,-999)))</f>
        <v>-10.4</v>
      </c>
      <c r="E7" s="8">
        <f>IFERROR(100/'Skjema total MA'!C7*C7,0)</f>
        <v>3.0109218192365537E-2</v>
      </c>
      <c r="F7" s="249"/>
      <c r="G7" s="250"/>
      <c r="H7" s="286"/>
      <c r="I7" s="119"/>
      <c r="J7" s="251">
        <f t="shared" ref="J7:K8" si="0">SUM(B7,F7)</f>
        <v>1115</v>
      </c>
      <c r="K7" s="252">
        <f t="shared" si="0"/>
        <v>999</v>
      </c>
      <c r="L7" s="343">
        <f>IF(J7=0, "    ---- ", IF(ABS(ROUND(100/J7*K7-100,1))&lt;999,ROUND(100/J7*K7-100,1),IF(ROUND(100/J7*K7-100,1)&gt;999,999,-999)))</f>
        <v>-10.4</v>
      </c>
      <c r="M7" s="8">
        <f>IFERROR(100/'Skjema total MA'!I7*K7,0)</f>
        <v>1.1261618331361398E-2</v>
      </c>
    </row>
    <row r="8" spans="1:15" ht="15.75" x14ac:dyDescent="0.2">
      <c r="A8" s="18" t="s">
        <v>25</v>
      </c>
      <c r="B8" s="229">
        <v>1115</v>
      </c>
      <c r="C8" s="230">
        <v>999</v>
      </c>
      <c r="D8" s="123">
        <f t="shared" ref="D8" si="1">IF(B8=0, "    ---- ", IF(ABS(ROUND(100/B8*C8-100,1))&lt;999,ROUND(100/B8*C8-100,1),IF(ROUND(100/B8*C8-100,1)&gt;999,999,-999)))</f>
        <v>-10.4</v>
      </c>
      <c r="E8" s="23">
        <f>IFERROR(100/'Skjema total MA'!C8*C8,0)</f>
        <v>4.4929982442475383E-2</v>
      </c>
      <c r="F8" s="233"/>
      <c r="G8" s="234"/>
      <c r="H8" s="123"/>
      <c r="I8" s="133"/>
      <c r="J8" s="182">
        <f t="shared" si="0"/>
        <v>1115</v>
      </c>
      <c r="K8" s="235">
        <f t="shared" si="0"/>
        <v>999</v>
      </c>
      <c r="L8" s="123">
        <f t="shared" ref="L8" si="2">IF(J8=0, "    ---- ", IF(ABS(ROUND(100/J8*K8-100,1))&lt;999,ROUND(100/J8*K8-100,1),IF(ROUND(100/J8*K8-100,1)&gt;999,999,-999)))</f>
        <v>-10.4</v>
      </c>
      <c r="M8" s="23">
        <f>IFERROR(100/'Skjema total MA'!I8*K8,0)</f>
        <v>4.4929982442475383E-2</v>
      </c>
    </row>
    <row r="9" spans="1:15" ht="15.75" x14ac:dyDescent="0.2">
      <c r="A9" s="18" t="s">
        <v>24</v>
      </c>
      <c r="B9" s="229"/>
      <c r="C9" s="230"/>
      <c r="D9" s="123"/>
      <c r="E9" s="23"/>
      <c r="F9" s="233"/>
      <c r="G9" s="234"/>
      <c r="H9" s="123"/>
      <c r="I9" s="133"/>
      <c r="J9" s="182"/>
      <c r="K9" s="235"/>
      <c r="L9" s="123"/>
      <c r="M9" s="23"/>
    </row>
    <row r="10" spans="1:15" ht="15.75" x14ac:dyDescent="0.2">
      <c r="A10" s="10" t="s">
        <v>323</v>
      </c>
      <c r="B10" s="253"/>
      <c r="C10" s="254"/>
      <c r="D10" s="127"/>
      <c r="E10" s="8"/>
      <c r="F10" s="253"/>
      <c r="G10" s="254"/>
      <c r="H10" s="127"/>
      <c r="I10" s="119"/>
      <c r="J10" s="251"/>
      <c r="K10" s="252"/>
      <c r="L10" s="344"/>
      <c r="M10" s="8"/>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c r="C22" s="253"/>
      <c r="D22" s="286"/>
      <c r="E22" s="8"/>
      <c r="F22" s="261"/>
      <c r="G22" s="261"/>
      <c r="H22" s="286"/>
      <c r="I22" s="8"/>
      <c r="J22" s="259"/>
      <c r="K22" s="259"/>
      <c r="L22" s="343"/>
      <c r="M22" s="21"/>
    </row>
    <row r="23" spans="1:13" ht="15.75" x14ac:dyDescent="0.2">
      <c r="A23" s="385" t="s">
        <v>326</v>
      </c>
      <c r="B23" s="229"/>
      <c r="C23" s="229"/>
      <c r="D23" s="123"/>
      <c r="E23" s="8"/>
      <c r="F23" s="238"/>
      <c r="G23" s="238"/>
      <c r="H23" s="123"/>
      <c r="I23" s="336"/>
      <c r="J23" s="238"/>
      <c r="K23" s="238"/>
      <c r="L23" s="123"/>
      <c r="M23" s="20"/>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c r="C28" s="235"/>
      <c r="D28" s="123"/>
      <c r="E28" s="8"/>
      <c r="F28" s="182"/>
      <c r="G28" s="235"/>
      <c r="H28" s="123"/>
      <c r="I28" s="23"/>
      <c r="J28" s="36"/>
      <c r="K28" s="36"/>
      <c r="L28" s="207"/>
      <c r="M28" s="20"/>
    </row>
    <row r="29" spans="1:13" ht="15.75" x14ac:dyDescent="0.2">
      <c r="A29" s="10" t="s">
        <v>323</v>
      </c>
      <c r="B29" s="184"/>
      <c r="C29" s="184"/>
      <c r="D29" s="127"/>
      <c r="E29" s="8"/>
      <c r="F29" s="251"/>
      <c r="G29" s="251"/>
      <c r="H29" s="127"/>
      <c r="I29" s="8"/>
      <c r="J29" s="184"/>
      <c r="K29" s="184"/>
      <c r="L29" s="344"/>
      <c r="M29" s="21"/>
    </row>
    <row r="30" spans="1:13" ht="15.75" x14ac:dyDescent="0.2">
      <c r="A30" s="385" t="s">
        <v>326</v>
      </c>
      <c r="B30" s="229"/>
      <c r="C30" s="229"/>
      <c r="D30" s="123"/>
      <c r="E30" s="8"/>
      <c r="F30" s="238"/>
      <c r="G30" s="238"/>
      <c r="H30" s="123"/>
      <c r="I30" s="336"/>
      <c r="J30" s="238"/>
      <c r="K30" s="238"/>
      <c r="L30" s="123"/>
      <c r="M30" s="20"/>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c r="C36" s="252"/>
      <c r="D36" s="127"/>
      <c r="E36" s="8"/>
      <c r="F36" s="262"/>
      <c r="G36" s="263"/>
      <c r="H36" s="127"/>
      <c r="I36" s="350"/>
      <c r="J36" s="184"/>
      <c r="K36" s="184"/>
      <c r="L36" s="344"/>
      <c r="M36" s="21"/>
    </row>
    <row r="37" spans="1:13" ht="15.75" x14ac:dyDescent="0.2">
      <c r="A37" s="9" t="s">
        <v>331</v>
      </c>
      <c r="B37" s="184"/>
      <c r="C37" s="252"/>
      <c r="D37" s="127"/>
      <c r="E37" s="8"/>
      <c r="F37" s="262"/>
      <c r="G37" s="264"/>
      <c r="H37" s="127"/>
      <c r="I37" s="350"/>
      <c r="J37" s="184"/>
      <c r="K37" s="184"/>
      <c r="L37" s="344"/>
      <c r="M37" s="21"/>
    </row>
    <row r="38" spans="1:13" ht="15.75" x14ac:dyDescent="0.2">
      <c r="A38" s="9" t="s">
        <v>332</v>
      </c>
      <c r="B38" s="184"/>
      <c r="C38" s="252"/>
      <c r="D38" s="348"/>
      <c r="E38" s="21"/>
      <c r="F38" s="262"/>
      <c r="G38" s="263"/>
      <c r="H38" s="127"/>
      <c r="I38" s="350"/>
      <c r="J38" s="184"/>
      <c r="K38" s="184"/>
      <c r="L38" s="344"/>
      <c r="M38" s="21"/>
    </row>
    <row r="39" spans="1:13" ht="15.75" x14ac:dyDescent="0.2">
      <c r="A39" s="15" t="s">
        <v>333</v>
      </c>
      <c r="B39" s="224"/>
      <c r="C39" s="258"/>
      <c r="D39" s="349"/>
      <c r="E39" s="30"/>
      <c r="F39" s="265"/>
      <c r="G39" s="266"/>
      <c r="H39" s="125"/>
      <c r="I39" s="30"/>
      <c r="J39" s="184"/>
      <c r="K39" s="184"/>
      <c r="L39" s="345"/>
      <c r="M39" s="30"/>
    </row>
    <row r="40" spans="1:13" ht="15.75" x14ac:dyDescent="0.25">
      <c r="A40" s="35"/>
      <c r="B40" s="206"/>
      <c r="C40" s="206"/>
      <c r="D40" s="584"/>
      <c r="E40" s="583"/>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654.49</v>
      </c>
      <c r="C47" s="254">
        <v>648</v>
      </c>
      <c r="D47" s="343">
        <f t="shared" ref="D47:D48" si="3">IF(B47=0, "    ---- ", IF(ABS(ROUND(100/B47*C47-100,1))&lt;999,ROUND(100/B47*C47-100,1),IF(ROUND(100/B47*C47-100,1)&gt;999,999,-999)))</f>
        <v>-1</v>
      </c>
      <c r="E47" s="8">
        <f>IFERROR(100/'Skjema total MA'!C47*C47,0)</f>
        <v>1.1684127510319933E-2</v>
      </c>
      <c r="F47" s="109"/>
      <c r="G47" s="27"/>
      <c r="H47" s="118"/>
      <c r="I47" s="118"/>
      <c r="J47" s="31"/>
      <c r="K47" s="31"/>
      <c r="L47" s="118"/>
      <c r="M47" s="118"/>
    </row>
    <row r="48" spans="1:13" ht="15.75" x14ac:dyDescent="0.2">
      <c r="A48" s="18" t="s">
        <v>334</v>
      </c>
      <c r="B48" s="229">
        <v>654.49</v>
      </c>
      <c r="C48" s="230">
        <v>648</v>
      </c>
      <c r="D48" s="207">
        <f t="shared" si="3"/>
        <v>-1</v>
      </c>
      <c r="E48" s="23">
        <f>IFERROR(100/'Skjema total MA'!C48*C48,0)</f>
        <v>2.0428450300637481E-2</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c r="C66" s="289"/>
      <c r="D66" s="286"/>
      <c r="E66" s="8"/>
      <c r="F66" s="288"/>
      <c r="G66" s="288"/>
      <c r="H66" s="286"/>
      <c r="I66" s="350"/>
      <c r="J66" s="184"/>
      <c r="K66" s="259"/>
      <c r="L66" s="344"/>
      <c r="M66" s="8"/>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c r="C76" s="109"/>
      <c r="D76" s="123"/>
      <c r="E76" s="336"/>
      <c r="F76" s="36"/>
      <c r="G76" s="109"/>
      <c r="H76" s="123"/>
      <c r="I76" s="336"/>
      <c r="J76" s="36"/>
      <c r="K76" s="36"/>
      <c r="L76" s="207"/>
      <c r="M76" s="23"/>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c r="C87" s="289"/>
      <c r="D87" s="127"/>
      <c r="E87" s="350"/>
      <c r="F87" s="226"/>
      <c r="G87" s="288"/>
      <c r="H87" s="127"/>
      <c r="I87" s="350"/>
      <c r="J87" s="184"/>
      <c r="K87" s="184"/>
      <c r="L87" s="344"/>
      <c r="M87" s="8"/>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c r="C97" s="109"/>
      <c r="D97" s="123"/>
      <c r="E97" s="336"/>
      <c r="F97" s="36"/>
      <c r="G97" s="109"/>
      <c r="H97" s="123"/>
      <c r="I97" s="336"/>
      <c r="J97" s="36"/>
      <c r="K97" s="36"/>
      <c r="L97" s="207"/>
      <c r="M97" s="23"/>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c r="C111" s="118"/>
      <c r="D111" s="127"/>
      <c r="E111" s="350"/>
      <c r="F111" s="184"/>
      <c r="G111" s="118"/>
      <c r="H111" s="127"/>
      <c r="I111" s="350"/>
      <c r="J111" s="184"/>
      <c r="K111" s="184"/>
      <c r="L111" s="344"/>
      <c r="M111" s="8"/>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c r="C114" s="109"/>
      <c r="D114" s="123"/>
      <c r="E114" s="336"/>
      <c r="F114" s="36"/>
      <c r="G114" s="109"/>
      <c r="H114" s="123"/>
      <c r="I114" s="336"/>
      <c r="J114" s="36"/>
      <c r="K114" s="36"/>
      <c r="L114" s="207"/>
      <c r="M114" s="23"/>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c r="C119" s="118"/>
      <c r="D119" s="127"/>
      <c r="E119" s="350"/>
      <c r="F119" s="184"/>
      <c r="G119" s="118"/>
      <c r="H119" s="127"/>
      <c r="I119" s="350"/>
      <c r="J119" s="184"/>
      <c r="K119" s="184"/>
      <c r="L119" s="344"/>
      <c r="M119" s="8"/>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c r="C122" s="109"/>
      <c r="D122" s="123"/>
      <c r="E122" s="336"/>
      <c r="F122" s="36"/>
      <c r="G122" s="109"/>
      <c r="H122" s="123"/>
      <c r="I122" s="336"/>
      <c r="J122" s="36"/>
      <c r="K122" s="36"/>
      <c r="L122" s="207"/>
      <c r="M122" s="23"/>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218" priority="42">
      <formula>kvartal &lt; 4</formula>
    </cfRule>
  </conditionalFormatting>
  <conditionalFormatting sqref="C115">
    <cfRule type="expression" dxfId="217" priority="41">
      <formula>kvartal &lt; 4</formula>
    </cfRule>
  </conditionalFormatting>
  <conditionalFormatting sqref="F115">
    <cfRule type="expression" dxfId="216" priority="28">
      <formula>kvartal &lt; 4</formula>
    </cfRule>
  </conditionalFormatting>
  <conditionalFormatting sqref="G115">
    <cfRule type="expression" dxfId="215" priority="27">
      <formula>kvartal &lt; 4</formula>
    </cfRule>
  </conditionalFormatting>
  <conditionalFormatting sqref="J115:K115">
    <cfRule type="expression" dxfId="214" priority="9">
      <formula>kvartal &lt; 4</formula>
    </cfRule>
  </conditionalFormatting>
  <conditionalFormatting sqref="J123:K123">
    <cfRule type="expression" dxfId="213" priority="8">
      <formula>kvartal &lt; 4</formula>
    </cfRule>
  </conditionalFormatting>
  <conditionalFormatting sqref="A50:A52">
    <cfRule type="expression" dxfId="212" priority="7">
      <formula>kvartal &lt; 4</formula>
    </cfRule>
  </conditionalFormatting>
  <conditionalFormatting sqref="A69:A74">
    <cfRule type="expression" dxfId="211" priority="6">
      <formula>kvartal &lt; 4</formula>
    </cfRule>
  </conditionalFormatting>
  <conditionalFormatting sqref="A80:A85">
    <cfRule type="expression" dxfId="210" priority="5">
      <formula>kvartal &lt; 4</formula>
    </cfRule>
  </conditionalFormatting>
  <conditionalFormatting sqref="A90:A95">
    <cfRule type="expression" dxfId="209" priority="4">
      <formula>kvartal &lt; 4</formula>
    </cfRule>
  </conditionalFormatting>
  <conditionalFormatting sqref="A101:A106">
    <cfRule type="expression" dxfId="208" priority="3">
      <formula>kvartal &lt; 4</formula>
    </cfRule>
  </conditionalFormatting>
  <conditionalFormatting sqref="A115">
    <cfRule type="expression" dxfId="207" priority="2">
      <formula>kvartal &lt; 4</formula>
    </cfRule>
  </conditionalFormatting>
  <conditionalFormatting sqref="A123">
    <cfRule type="expression" dxfId="206" priority="1">
      <formula>kvartal &lt; 4</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37C7-9E35-491E-AA5D-FD2A7954B218}">
  <dimension ref="A1:O144"/>
  <sheetViews>
    <sheetView showGridLines="0" workbookViewId="0"/>
  </sheetViews>
  <sheetFormatPr baseColWidth="10" defaultColWidth="11.42578125" defaultRowHeight="12.75" x14ac:dyDescent="0.2"/>
  <cols>
    <col min="1" max="1" width="46.140625" style="22" customWidth="1"/>
    <col min="2" max="2" width="10.7109375" style="22" customWidth="1"/>
    <col min="3" max="3" width="11" style="22" customWidth="1"/>
    <col min="4" max="5" width="8.7109375" style="22" customWidth="1"/>
    <col min="6" max="7" width="10.7109375" style="22" customWidth="1"/>
    <col min="8" max="9" width="8.7109375" style="22" customWidth="1"/>
    <col min="10" max="11" width="10.7109375" style="22" customWidth="1"/>
    <col min="12" max="13" width="8.7109375" style="22" customWidth="1"/>
    <col min="14" max="14" width="11.42578125" style="22"/>
    <col min="15" max="15" width="3.5703125" style="22" bestFit="1" customWidth="1"/>
    <col min="16" max="16384" width="11.42578125" style="1"/>
  </cols>
  <sheetData>
    <row r="1" spans="1:15" x14ac:dyDescent="0.2">
      <c r="A1" s="129" t="s">
        <v>125</v>
      </c>
      <c r="B1" s="544"/>
      <c r="C1" s="198" t="s">
        <v>372</v>
      </c>
      <c r="O1" s="547" t="e">
        <f>kvartal</f>
        <v>#REF!</v>
      </c>
    </row>
    <row r="2" spans="1:15" ht="15.75" x14ac:dyDescent="0.25">
      <c r="A2" s="110" t="s">
        <v>28</v>
      </c>
      <c r="B2" s="583"/>
      <c r="C2" s="583"/>
      <c r="D2" s="583"/>
      <c r="E2" s="243"/>
      <c r="F2" s="583"/>
      <c r="G2" s="583"/>
      <c r="H2" s="583"/>
      <c r="I2" s="243"/>
      <c r="J2" s="583"/>
      <c r="K2" s="583"/>
      <c r="L2" s="583"/>
      <c r="M2" s="243"/>
    </row>
    <row r="3" spans="1:15" ht="15.75" x14ac:dyDescent="0.25">
      <c r="A3" s="122"/>
      <c r="B3" s="243"/>
      <c r="C3" s="243"/>
      <c r="D3" s="243"/>
      <c r="E3" s="243"/>
      <c r="F3" s="243"/>
      <c r="G3" s="243"/>
      <c r="H3" s="243"/>
      <c r="I3" s="243"/>
      <c r="J3" s="243"/>
      <c r="K3" s="243"/>
      <c r="L3" s="243"/>
      <c r="M3" s="243"/>
    </row>
    <row r="4" spans="1:15" x14ac:dyDescent="0.2">
      <c r="A4" s="108"/>
      <c r="B4" s="581" t="s">
        <v>0</v>
      </c>
      <c r="C4" s="582"/>
      <c r="D4" s="582"/>
      <c r="E4" s="245"/>
      <c r="F4" s="581" t="s">
        <v>1</v>
      </c>
      <c r="G4" s="582"/>
      <c r="H4" s="582"/>
      <c r="I4" s="247"/>
      <c r="J4" s="581" t="s">
        <v>2</v>
      </c>
      <c r="K4" s="582"/>
      <c r="L4" s="582"/>
      <c r="M4" s="247"/>
    </row>
    <row r="5" spans="1:15" x14ac:dyDescent="0.2">
      <c r="A5" s="117"/>
      <c r="B5" s="113" t="s">
        <v>417</v>
      </c>
      <c r="C5" s="113" t="s">
        <v>418</v>
      </c>
      <c r="D5" s="194" t="s">
        <v>3</v>
      </c>
      <c r="E5" s="248" t="s">
        <v>29</v>
      </c>
      <c r="F5" s="113" t="s">
        <v>417</v>
      </c>
      <c r="G5" s="113" t="s">
        <v>418</v>
      </c>
      <c r="H5" s="194" t="s">
        <v>3</v>
      </c>
      <c r="I5" s="121" t="s">
        <v>29</v>
      </c>
      <c r="J5" s="113" t="s">
        <v>417</v>
      </c>
      <c r="K5" s="113" t="s">
        <v>418</v>
      </c>
      <c r="L5" s="194" t="s">
        <v>3</v>
      </c>
      <c r="M5" s="121" t="s">
        <v>29</v>
      </c>
      <c r="O5" s="128"/>
    </row>
    <row r="6" spans="1:15" x14ac:dyDescent="0.2">
      <c r="A6" s="545"/>
      <c r="B6" s="116"/>
      <c r="C6" s="116"/>
      <c r="D6" s="196" t="s">
        <v>4</v>
      </c>
      <c r="E6" s="116" t="s">
        <v>30</v>
      </c>
      <c r="F6" s="120"/>
      <c r="G6" s="120"/>
      <c r="H6" s="194" t="s">
        <v>4</v>
      </c>
      <c r="I6" s="116" t="s">
        <v>30</v>
      </c>
      <c r="J6" s="120"/>
      <c r="K6" s="120"/>
      <c r="L6" s="194" t="s">
        <v>4</v>
      </c>
      <c r="M6" s="116" t="s">
        <v>30</v>
      </c>
    </row>
    <row r="7" spans="1:15" ht="15.75" x14ac:dyDescent="0.2">
      <c r="A7" s="11" t="s">
        <v>23</v>
      </c>
      <c r="B7" s="249">
        <v>5854</v>
      </c>
      <c r="C7" s="250">
        <v>8076</v>
      </c>
      <c r="D7" s="286">
        <f>IF(B7=0, "    ---- ", IF(ABS(ROUND(100/B7*C7-100,1))&lt;999,ROUND(100/B7*C7-100,1),IF(ROUND(100/B7*C7-100,1)&gt;999,999,-999)))</f>
        <v>38</v>
      </c>
      <c r="E7" s="8">
        <f>IFERROR(100/'Skjema total MA'!C7*C7,0)</f>
        <v>0.24340545157311722</v>
      </c>
      <c r="F7" s="249"/>
      <c r="G7" s="250"/>
      <c r="H7" s="286"/>
      <c r="I7" s="119"/>
      <c r="J7" s="251">
        <f t="shared" ref="J7:K10" si="0">SUM(B7,F7)</f>
        <v>5854</v>
      </c>
      <c r="K7" s="252">
        <f t="shared" si="0"/>
        <v>8076</v>
      </c>
      <c r="L7" s="343">
        <f>IF(J7=0, "    ---- ", IF(ABS(ROUND(100/J7*K7-100,1))&lt;999,ROUND(100/J7*K7-100,1),IF(ROUND(100/J7*K7-100,1)&gt;999,999,-999)))</f>
        <v>38</v>
      </c>
      <c r="M7" s="8">
        <f>IFERROR(100/'Skjema total MA'!I7*K7,0)</f>
        <v>9.1039869513588237E-2</v>
      </c>
    </row>
    <row r="8" spans="1:15" ht="15.75" x14ac:dyDescent="0.2">
      <c r="A8" s="18" t="s">
        <v>25</v>
      </c>
      <c r="B8" s="229">
        <v>3156</v>
      </c>
      <c r="C8" s="230">
        <v>4382</v>
      </c>
      <c r="D8" s="123">
        <f t="shared" ref="D8:D10" si="1">IF(B8=0, "    ---- ", IF(ABS(ROUND(100/B8*C8-100,1))&lt;999,ROUND(100/B8*C8-100,1),IF(ROUND(100/B8*C8-100,1)&gt;999,999,-999)))</f>
        <v>38.799999999999997</v>
      </c>
      <c r="E8" s="23">
        <f>IFERROR(100/'Skjema total MA'!C8*C8,0)</f>
        <v>0.19708026332625339</v>
      </c>
      <c r="F8" s="233"/>
      <c r="G8" s="234"/>
      <c r="H8" s="123"/>
      <c r="I8" s="133"/>
      <c r="J8" s="182">
        <f t="shared" si="0"/>
        <v>3156</v>
      </c>
      <c r="K8" s="235">
        <f t="shared" si="0"/>
        <v>4382</v>
      </c>
      <c r="L8" s="123">
        <f t="shared" ref="L8:L10" si="2">IF(J8=0, "    ---- ", IF(ABS(ROUND(100/J8*K8-100,1))&lt;999,ROUND(100/J8*K8-100,1),IF(ROUND(100/J8*K8-100,1)&gt;999,999,-999)))</f>
        <v>38.799999999999997</v>
      </c>
      <c r="M8" s="23">
        <f>IFERROR(100/'Skjema total MA'!I8*K8,0)</f>
        <v>0.19708026332625339</v>
      </c>
    </row>
    <row r="9" spans="1:15" ht="15.75" x14ac:dyDescent="0.2">
      <c r="A9" s="18" t="s">
        <v>24</v>
      </c>
      <c r="B9" s="229">
        <v>1210</v>
      </c>
      <c r="C9" s="230">
        <v>1664</v>
      </c>
      <c r="D9" s="123">
        <f t="shared" si="1"/>
        <v>37.5</v>
      </c>
      <c r="E9" s="23">
        <f>IFERROR(100/'Skjema total MA'!C9*C9,0)</f>
        <v>0.25031687576747225</v>
      </c>
      <c r="F9" s="233"/>
      <c r="G9" s="234"/>
      <c r="H9" s="123"/>
      <c r="I9" s="133"/>
      <c r="J9" s="182">
        <f t="shared" si="0"/>
        <v>1210</v>
      </c>
      <c r="K9" s="235">
        <f t="shared" si="0"/>
        <v>1664</v>
      </c>
      <c r="L9" s="123">
        <f t="shared" si="2"/>
        <v>37.5</v>
      </c>
      <c r="M9" s="23">
        <f>IFERROR(100/'Skjema total MA'!I9*K9,0)</f>
        <v>0.25031687576747225</v>
      </c>
    </row>
    <row r="10" spans="1:15" ht="15.75" x14ac:dyDescent="0.2">
      <c r="A10" s="10" t="s">
        <v>323</v>
      </c>
      <c r="B10" s="253">
        <v>5213</v>
      </c>
      <c r="C10" s="254">
        <v>7581</v>
      </c>
      <c r="D10" s="127">
        <f t="shared" si="1"/>
        <v>45.4</v>
      </c>
      <c r="E10" s="8">
        <f>IFERROR(100/'Skjema total MA'!C10*C10,0)</f>
        <v>5.9935368847462249E-2</v>
      </c>
      <c r="F10" s="253"/>
      <c r="G10" s="254"/>
      <c r="H10" s="127"/>
      <c r="I10" s="119"/>
      <c r="J10" s="251">
        <f t="shared" si="0"/>
        <v>5213</v>
      </c>
      <c r="K10" s="252">
        <f t="shared" si="0"/>
        <v>7581</v>
      </c>
      <c r="L10" s="344">
        <f t="shared" si="2"/>
        <v>45.4</v>
      </c>
      <c r="M10" s="8">
        <f>IFERROR(100/'Skjema total MA'!I10*K10,0)</f>
        <v>6.7541631552215393E-3</v>
      </c>
    </row>
    <row r="11" spans="1:15" s="35" customFormat="1" ht="15.75" x14ac:dyDescent="0.2">
      <c r="A11" s="10" t="s">
        <v>324</v>
      </c>
      <c r="B11" s="253"/>
      <c r="C11" s="254"/>
      <c r="D11" s="127"/>
      <c r="E11" s="8"/>
      <c r="F11" s="253"/>
      <c r="G11" s="254"/>
      <c r="H11" s="127"/>
      <c r="I11" s="119"/>
      <c r="J11" s="251"/>
      <c r="K11" s="252"/>
      <c r="L11" s="344"/>
      <c r="M11" s="8"/>
      <c r="N11" s="107"/>
      <c r="O11" s="22"/>
    </row>
    <row r="12" spans="1:15" s="35" customFormat="1" ht="15.75" x14ac:dyDescent="0.2">
      <c r="A12" s="33" t="s">
        <v>325</v>
      </c>
      <c r="B12" s="255"/>
      <c r="C12" s="256"/>
      <c r="D12" s="125"/>
      <c r="E12" s="30"/>
      <c r="F12" s="255"/>
      <c r="G12" s="256"/>
      <c r="H12" s="125"/>
      <c r="I12" s="125"/>
      <c r="J12" s="257"/>
      <c r="K12" s="258"/>
      <c r="L12" s="345"/>
      <c r="M12" s="30"/>
      <c r="N12" s="107"/>
      <c r="O12" s="22"/>
    </row>
    <row r="13" spans="1:15" s="35" customFormat="1" x14ac:dyDescent="0.2">
      <c r="A13" s="107"/>
      <c r="B13" s="109"/>
      <c r="C13" s="27"/>
      <c r="D13" s="118"/>
      <c r="E13" s="118"/>
      <c r="F13" s="109"/>
      <c r="G13" s="27"/>
      <c r="H13" s="118"/>
      <c r="I13" s="118"/>
      <c r="J13" s="38"/>
      <c r="K13" s="38"/>
      <c r="L13" s="118"/>
      <c r="M13" s="118"/>
      <c r="N13" s="107"/>
      <c r="O13" s="107"/>
    </row>
    <row r="14" spans="1:15" x14ac:dyDescent="0.2">
      <c r="A14" s="114" t="s">
        <v>247</v>
      </c>
    </row>
    <row r="16" spans="1:15" ht="15.75" x14ac:dyDescent="0.25">
      <c r="A16" s="115"/>
      <c r="C16" s="106"/>
      <c r="D16" s="106"/>
      <c r="E16" s="106"/>
      <c r="F16" s="106"/>
      <c r="G16" s="106"/>
      <c r="H16" s="106"/>
      <c r="I16" s="106"/>
      <c r="J16" s="106"/>
      <c r="K16" s="106"/>
      <c r="L16" s="106"/>
      <c r="M16" s="106"/>
    </row>
    <row r="17" spans="1:13" ht="15.75" x14ac:dyDescent="0.25">
      <c r="A17" s="110" t="s">
        <v>244</v>
      </c>
      <c r="B17" s="106"/>
      <c r="C17" s="106"/>
      <c r="D17" s="112"/>
      <c r="E17" s="112"/>
      <c r="F17" s="106"/>
      <c r="G17" s="106"/>
      <c r="H17" s="106"/>
      <c r="I17" s="106"/>
      <c r="J17" s="106"/>
      <c r="K17" s="106"/>
      <c r="L17" s="106"/>
      <c r="M17" s="106"/>
    </row>
    <row r="18" spans="1:13" ht="15.75" x14ac:dyDescent="0.25">
      <c r="B18" s="580"/>
      <c r="C18" s="580"/>
      <c r="D18" s="580"/>
      <c r="E18" s="243"/>
      <c r="F18" s="580"/>
      <c r="G18" s="580"/>
      <c r="H18" s="580"/>
      <c r="I18" s="243"/>
      <c r="J18" s="580"/>
      <c r="K18" s="580"/>
      <c r="L18" s="580"/>
      <c r="M18" s="243"/>
    </row>
    <row r="19" spans="1:13" x14ac:dyDescent="0.2">
      <c r="A19" s="108"/>
      <c r="B19" s="581" t="s">
        <v>0</v>
      </c>
      <c r="C19" s="582"/>
      <c r="D19" s="582"/>
      <c r="E19" s="245"/>
      <c r="F19" s="581" t="s">
        <v>1</v>
      </c>
      <c r="G19" s="582"/>
      <c r="H19" s="582"/>
      <c r="I19" s="247"/>
      <c r="J19" s="581" t="s">
        <v>2</v>
      </c>
      <c r="K19" s="582"/>
      <c r="L19" s="582"/>
      <c r="M19" s="247"/>
    </row>
    <row r="20" spans="1:13" x14ac:dyDescent="0.2">
      <c r="A20" s="105" t="s">
        <v>5</v>
      </c>
      <c r="B20" s="191" t="s">
        <v>417</v>
      </c>
      <c r="C20" s="191" t="s">
        <v>418</v>
      </c>
      <c r="D20" s="121" t="s">
        <v>3</v>
      </c>
      <c r="E20" s="248" t="s">
        <v>29</v>
      </c>
      <c r="F20" s="191" t="s">
        <v>417</v>
      </c>
      <c r="G20" s="191" t="s">
        <v>418</v>
      </c>
      <c r="H20" s="121" t="s">
        <v>3</v>
      </c>
      <c r="I20" s="121" t="s">
        <v>29</v>
      </c>
      <c r="J20" s="191" t="s">
        <v>417</v>
      </c>
      <c r="K20" s="191" t="s">
        <v>418</v>
      </c>
      <c r="L20" s="121" t="s">
        <v>3</v>
      </c>
      <c r="M20" s="121" t="s">
        <v>29</v>
      </c>
    </row>
    <row r="21" spans="1:13" x14ac:dyDescent="0.2">
      <c r="A21" s="546"/>
      <c r="B21" s="116"/>
      <c r="C21" s="116"/>
      <c r="D21" s="196" t="s">
        <v>4</v>
      </c>
      <c r="E21" s="116" t="s">
        <v>30</v>
      </c>
      <c r="F21" s="120"/>
      <c r="G21" s="120"/>
      <c r="H21" s="194" t="s">
        <v>4</v>
      </c>
      <c r="I21" s="116" t="s">
        <v>30</v>
      </c>
      <c r="J21" s="120"/>
      <c r="K21" s="120"/>
      <c r="L21" s="116" t="s">
        <v>4</v>
      </c>
      <c r="M21" s="116" t="s">
        <v>30</v>
      </c>
    </row>
    <row r="22" spans="1:13" ht="15.75" x14ac:dyDescent="0.2">
      <c r="A22" s="11" t="s">
        <v>23</v>
      </c>
      <c r="B22" s="253">
        <v>5073</v>
      </c>
      <c r="C22" s="253">
        <v>2612</v>
      </c>
      <c r="D22" s="286">
        <f t="shared" ref="D22:D37" si="3">IF(B22=0, "    ---- ", IF(ABS(ROUND(100/B22*C22-100,1))&lt;999,ROUND(100/B22*C22-100,1),IF(ROUND(100/B22*C22-100,1)&gt;999,999,-999)))</f>
        <v>-48.5</v>
      </c>
      <c r="E22" s="8">
        <f>IFERROR(100/'Skjema total MA'!C22*C22,0)</f>
        <v>0.16730459336998732</v>
      </c>
      <c r="F22" s="261"/>
      <c r="G22" s="261"/>
      <c r="H22" s="286"/>
      <c r="I22" s="8"/>
      <c r="J22" s="259">
        <f t="shared" ref="J22:K37" si="4">SUM(B22,F22)</f>
        <v>5073</v>
      </c>
      <c r="K22" s="259">
        <f t="shared" si="4"/>
        <v>2612</v>
      </c>
      <c r="L22" s="343">
        <f t="shared" ref="L22:L30" si="5">IF(J22=0, "    ---- ", IF(ABS(ROUND(100/J22*K22-100,1))&lt;999,ROUND(100/J22*K22-100,1),IF(ROUND(100/J22*K22-100,1)&gt;999,999,-999)))</f>
        <v>-48.5</v>
      </c>
      <c r="M22" s="21">
        <f>IFERROR(100/'Skjema total MA'!I22*K22,0)</f>
        <v>0.12408240178753162</v>
      </c>
    </row>
    <row r="23" spans="1:13" ht="15.75" x14ac:dyDescent="0.2">
      <c r="A23" s="385" t="s">
        <v>326</v>
      </c>
      <c r="B23" s="229"/>
      <c r="C23" s="229">
        <v>2612</v>
      </c>
      <c r="D23" s="123" t="str">
        <f t="shared" si="3"/>
        <v xml:space="preserve">    ---- </v>
      </c>
      <c r="E23" s="8">
        <f>IFERROR(100/'Skjema total MA'!C23*C23,0)</f>
        <v>0.25282192017516486</v>
      </c>
      <c r="F23" s="238"/>
      <c r="G23" s="238"/>
      <c r="H23" s="123"/>
      <c r="I23" s="336"/>
      <c r="J23" s="238">
        <f t="shared" si="4"/>
        <v>0</v>
      </c>
      <c r="K23" s="238">
        <f t="shared" si="4"/>
        <v>2612</v>
      </c>
      <c r="L23" s="123" t="str">
        <f t="shared" si="5"/>
        <v xml:space="preserve">    ---- </v>
      </c>
      <c r="M23" s="20">
        <f>IFERROR(100/'Skjema total MA'!I23*K23,0)</f>
        <v>0.24659138093514876</v>
      </c>
    </row>
    <row r="24" spans="1:13" ht="15.75" x14ac:dyDescent="0.2">
      <c r="A24" s="385" t="s">
        <v>327</v>
      </c>
      <c r="B24" s="229"/>
      <c r="C24" s="229"/>
      <c r="D24" s="123"/>
      <c r="E24" s="8"/>
      <c r="F24" s="238"/>
      <c r="G24" s="238"/>
      <c r="H24" s="123"/>
      <c r="I24" s="336"/>
      <c r="J24" s="238"/>
      <c r="K24" s="238"/>
      <c r="L24" s="123"/>
      <c r="M24" s="20"/>
    </row>
    <row r="25" spans="1:13" ht="15.75" x14ac:dyDescent="0.2">
      <c r="A25" s="385" t="s">
        <v>328</v>
      </c>
      <c r="B25" s="229"/>
      <c r="C25" s="229"/>
      <c r="D25" s="123"/>
      <c r="E25" s="8"/>
      <c r="F25" s="238"/>
      <c r="G25" s="238"/>
      <c r="H25" s="123"/>
      <c r="I25" s="336"/>
      <c r="J25" s="238"/>
      <c r="K25" s="238"/>
      <c r="L25" s="123"/>
      <c r="M25" s="20"/>
    </row>
    <row r="26" spans="1:13" ht="15.75" x14ac:dyDescent="0.2">
      <c r="A26" s="385" t="s">
        <v>329</v>
      </c>
      <c r="B26" s="229"/>
      <c r="C26" s="229"/>
      <c r="D26" s="123"/>
      <c r="E26" s="8"/>
      <c r="F26" s="238"/>
      <c r="G26" s="238"/>
      <c r="H26" s="123"/>
      <c r="I26" s="336"/>
      <c r="J26" s="238"/>
      <c r="K26" s="238"/>
      <c r="L26" s="123"/>
      <c r="M26" s="20"/>
    </row>
    <row r="27" spans="1:13" x14ac:dyDescent="0.2">
      <c r="A27" s="385" t="s">
        <v>11</v>
      </c>
      <c r="B27" s="229"/>
      <c r="C27" s="229"/>
      <c r="D27" s="123"/>
      <c r="E27" s="8"/>
      <c r="F27" s="238"/>
      <c r="G27" s="238"/>
      <c r="H27" s="123"/>
      <c r="I27" s="336"/>
      <c r="J27" s="238"/>
      <c r="K27" s="238"/>
      <c r="L27" s="123"/>
      <c r="M27" s="20"/>
    </row>
    <row r="28" spans="1:13" ht="15.75" x14ac:dyDescent="0.2">
      <c r="A28" s="39" t="s">
        <v>248</v>
      </c>
      <c r="B28" s="36">
        <v>3703</v>
      </c>
      <c r="C28" s="235">
        <v>1973</v>
      </c>
      <c r="D28" s="123">
        <f t="shared" si="3"/>
        <v>-46.7</v>
      </c>
      <c r="E28" s="8">
        <f>IFERROR(100/'Skjema total MA'!C28*C28,0)</f>
        <v>0.10476466347257335</v>
      </c>
      <c r="F28" s="182"/>
      <c r="G28" s="235"/>
      <c r="H28" s="123"/>
      <c r="I28" s="23"/>
      <c r="J28" s="36">
        <f t="shared" si="4"/>
        <v>3703</v>
      </c>
      <c r="K28" s="36">
        <f t="shared" si="4"/>
        <v>1973</v>
      </c>
      <c r="L28" s="207">
        <f t="shared" si="5"/>
        <v>-46.7</v>
      </c>
      <c r="M28" s="20">
        <f>IFERROR(100/'Skjema total MA'!I28*K28,0)</f>
        <v>0.10476466347257335</v>
      </c>
    </row>
    <row r="29" spans="1:13" ht="15.75" x14ac:dyDescent="0.2">
      <c r="A29" s="10" t="s">
        <v>323</v>
      </c>
      <c r="B29" s="184">
        <v>8585</v>
      </c>
      <c r="C29" s="184">
        <v>19902</v>
      </c>
      <c r="D29" s="127">
        <f t="shared" si="3"/>
        <v>131.80000000000001</v>
      </c>
      <c r="E29" s="8">
        <f>IFERROR(100/'Skjema total MA'!C29*C29,0)</f>
        <v>4.5130197013213497E-2</v>
      </c>
      <c r="F29" s="251"/>
      <c r="G29" s="251"/>
      <c r="H29" s="127"/>
      <c r="I29" s="8"/>
      <c r="J29" s="184">
        <f t="shared" si="4"/>
        <v>8585</v>
      </c>
      <c r="K29" s="184">
        <f t="shared" si="4"/>
        <v>19902</v>
      </c>
      <c r="L29" s="344">
        <f t="shared" si="5"/>
        <v>131.80000000000001</v>
      </c>
      <c r="M29" s="21">
        <f>IFERROR(100/'Skjema total MA'!I29*K29,0)</f>
        <v>2.6842393662962576E-2</v>
      </c>
    </row>
    <row r="30" spans="1:13" ht="15.75" x14ac:dyDescent="0.2">
      <c r="A30" s="385" t="s">
        <v>326</v>
      </c>
      <c r="B30" s="229">
        <v>8585</v>
      </c>
      <c r="C30" s="229">
        <v>19902</v>
      </c>
      <c r="D30" s="123">
        <f t="shared" si="3"/>
        <v>131.80000000000001</v>
      </c>
      <c r="E30" s="8">
        <f>IFERROR(100/'Skjema total MA'!C30*C30,0)</f>
        <v>0.10552650155965237</v>
      </c>
      <c r="F30" s="238"/>
      <c r="G30" s="238"/>
      <c r="H30" s="123"/>
      <c r="I30" s="336"/>
      <c r="J30" s="238">
        <f t="shared" si="4"/>
        <v>8585</v>
      </c>
      <c r="K30" s="238">
        <f t="shared" si="4"/>
        <v>19902</v>
      </c>
      <c r="L30" s="123">
        <f t="shared" si="5"/>
        <v>131.80000000000001</v>
      </c>
      <c r="M30" s="20">
        <f>IFERROR(100/'Skjema total MA'!I30*K30,0)</f>
        <v>8.8444765500137162E-2</v>
      </c>
    </row>
    <row r="31" spans="1:13" ht="15.75" x14ac:dyDescent="0.2">
      <c r="A31" s="385" t="s">
        <v>327</v>
      </c>
      <c r="B31" s="229"/>
      <c r="C31" s="229"/>
      <c r="D31" s="123"/>
      <c r="E31" s="8"/>
      <c r="F31" s="238"/>
      <c r="G31" s="238"/>
      <c r="H31" s="123"/>
      <c r="I31" s="336"/>
      <c r="J31" s="238"/>
      <c r="K31" s="238"/>
      <c r="L31" s="123"/>
      <c r="M31" s="20"/>
    </row>
    <row r="32" spans="1:13" ht="15.75" x14ac:dyDescent="0.2">
      <c r="A32" s="385" t="s">
        <v>328</v>
      </c>
      <c r="B32" s="229"/>
      <c r="C32" s="229"/>
      <c r="D32" s="123"/>
      <c r="E32" s="8"/>
      <c r="F32" s="238"/>
      <c r="G32" s="238"/>
      <c r="H32" s="123"/>
      <c r="I32" s="336"/>
      <c r="J32" s="238"/>
      <c r="K32" s="238"/>
      <c r="L32" s="123"/>
      <c r="M32" s="20"/>
    </row>
    <row r="33" spans="1:13" ht="15.75" x14ac:dyDescent="0.2">
      <c r="A33" s="385" t="s">
        <v>329</v>
      </c>
      <c r="B33" s="229"/>
      <c r="C33" s="229"/>
      <c r="D33" s="123"/>
      <c r="E33" s="8"/>
      <c r="F33" s="238"/>
      <c r="G33" s="238"/>
      <c r="H33" s="123"/>
      <c r="I33" s="336"/>
      <c r="J33" s="238"/>
      <c r="K33" s="238"/>
      <c r="L33" s="123"/>
      <c r="M33" s="20"/>
    </row>
    <row r="34" spans="1:13" ht="15.75" x14ac:dyDescent="0.2">
      <c r="A34" s="10" t="s">
        <v>324</v>
      </c>
      <c r="B34" s="184"/>
      <c r="C34" s="252"/>
      <c r="D34" s="127"/>
      <c r="E34" s="8"/>
      <c r="F34" s="251"/>
      <c r="G34" s="252"/>
      <c r="H34" s="127"/>
      <c r="I34" s="8"/>
      <c r="J34" s="184"/>
      <c r="K34" s="184"/>
      <c r="L34" s="344"/>
      <c r="M34" s="21"/>
    </row>
    <row r="35" spans="1:13" ht="15.75" x14ac:dyDescent="0.2">
      <c r="A35" s="10" t="s">
        <v>325</v>
      </c>
      <c r="B35" s="184"/>
      <c r="C35" s="252"/>
      <c r="D35" s="127"/>
      <c r="E35" s="8"/>
      <c r="F35" s="251"/>
      <c r="G35" s="252"/>
      <c r="H35" s="127"/>
      <c r="I35" s="8"/>
      <c r="J35" s="184"/>
      <c r="K35" s="184"/>
      <c r="L35" s="344"/>
      <c r="M35" s="21"/>
    </row>
    <row r="36" spans="1:13" ht="15.75" x14ac:dyDescent="0.2">
      <c r="A36" s="9" t="s">
        <v>255</v>
      </c>
      <c r="B36" s="184">
        <v>6190</v>
      </c>
      <c r="C36" s="252">
        <v>8959</v>
      </c>
      <c r="D36" s="127">
        <f t="shared" si="3"/>
        <v>44.7</v>
      </c>
      <c r="E36" s="8">
        <f>IFERROR(100/'Skjema total MA'!C36*C36,0)</f>
        <v>90.385391444713477</v>
      </c>
      <c r="F36" s="262"/>
      <c r="G36" s="263"/>
      <c r="H36" s="127"/>
      <c r="I36" s="350"/>
      <c r="J36" s="184">
        <f t="shared" si="4"/>
        <v>6190</v>
      </c>
      <c r="K36" s="184">
        <f t="shared" si="4"/>
        <v>8959</v>
      </c>
      <c r="L36" s="344"/>
      <c r="M36" s="21">
        <f>IFERROR(100/'Skjema total MA'!I36*K36,0)</f>
        <v>90.385391444713477</v>
      </c>
    </row>
    <row r="37" spans="1:13" ht="15.75" x14ac:dyDescent="0.2">
      <c r="A37" s="9" t="s">
        <v>331</v>
      </c>
      <c r="B37" s="184">
        <v>5303</v>
      </c>
      <c r="C37" s="252">
        <v>11987</v>
      </c>
      <c r="D37" s="127">
        <f t="shared" si="3"/>
        <v>126</v>
      </c>
      <c r="E37" s="8">
        <f>IFERROR(100/'Skjema total MA'!C37*C37,0)</f>
        <v>0.49670047745778995</v>
      </c>
      <c r="F37" s="262"/>
      <c r="G37" s="264"/>
      <c r="H37" s="127"/>
      <c r="I37" s="350"/>
      <c r="J37" s="184">
        <f t="shared" si="4"/>
        <v>5303</v>
      </c>
      <c r="K37" s="184">
        <f t="shared" si="4"/>
        <v>11987</v>
      </c>
      <c r="L37" s="344"/>
      <c r="M37" s="21">
        <f>IFERROR(100/'Skjema total MA'!I37*K37,0)</f>
        <v>0.49670047745778995</v>
      </c>
    </row>
    <row r="38" spans="1:13" ht="15.75" x14ac:dyDescent="0.2">
      <c r="A38" s="9" t="s">
        <v>332</v>
      </c>
      <c r="B38" s="184"/>
      <c r="C38" s="252"/>
      <c r="D38" s="348"/>
      <c r="E38" s="21"/>
      <c r="F38" s="262"/>
      <c r="G38" s="263"/>
      <c r="H38" s="127"/>
      <c r="I38" s="350"/>
      <c r="J38" s="184"/>
      <c r="K38" s="184"/>
      <c r="L38" s="344"/>
      <c r="M38" s="21"/>
    </row>
    <row r="39" spans="1:13" ht="15.75" x14ac:dyDescent="0.2">
      <c r="A39" s="15" t="s">
        <v>333</v>
      </c>
      <c r="B39" s="224"/>
      <c r="C39" s="258"/>
      <c r="D39" s="349"/>
      <c r="E39" s="30"/>
      <c r="F39" s="265"/>
      <c r="G39" s="266"/>
      <c r="H39" s="125"/>
      <c r="I39" s="30"/>
      <c r="J39" s="184"/>
      <c r="K39" s="184"/>
      <c r="L39" s="345"/>
      <c r="M39" s="30"/>
    </row>
    <row r="40" spans="1:13" ht="15.75" x14ac:dyDescent="0.25">
      <c r="A40" s="35"/>
      <c r="B40" s="206"/>
      <c r="C40" s="206"/>
      <c r="D40" s="584"/>
      <c r="E40" s="583"/>
      <c r="F40" s="584"/>
      <c r="G40" s="584"/>
      <c r="H40" s="584"/>
      <c r="I40" s="584"/>
      <c r="J40" s="584"/>
      <c r="K40" s="584"/>
      <c r="L40" s="584"/>
      <c r="M40" s="243"/>
    </row>
    <row r="41" spans="1:13" x14ac:dyDescent="0.2">
      <c r="A41" s="115"/>
    </row>
    <row r="42" spans="1:13" ht="15.75" x14ac:dyDescent="0.25">
      <c r="A42" s="110" t="s">
        <v>245</v>
      </c>
      <c r="B42" s="583"/>
      <c r="C42" s="583"/>
      <c r="D42" s="583"/>
      <c r="E42" s="243"/>
      <c r="F42" s="583"/>
      <c r="G42" s="583"/>
      <c r="H42" s="583"/>
      <c r="I42" s="243"/>
      <c r="J42" s="583"/>
      <c r="K42" s="583"/>
      <c r="L42" s="583"/>
      <c r="M42" s="243"/>
    </row>
    <row r="43" spans="1:13" ht="15.75" x14ac:dyDescent="0.25">
      <c r="A43" s="122"/>
      <c r="B43" s="246"/>
      <c r="C43" s="246"/>
      <c r="D43" s="246"/>
      <c r="E43" s="246"/>
      <c r="F43" s="243"/>
      <c r="G43" s="243"/>
      <c r="H43" s="243"/>
      <c r="I43" s="243"/>
      <c r="J43" s="243"/>
      <c r="K43" s="243"/>
      <c r="L43" s="243"/>
      <c r="M43" s="243"/>
    </row>
    <row r="44" spans="1:13" ht="15.75" x14ac:dyDescent="0.25">
      <c r="A44" s="197"/>
      <c r="B44" s="581" t="s">
        <v>0</v>
      </c>
      <c r="C44" s="582"/>
      <c r="D44" s="582"/>
      <c r="E44" s="192"/>
      <c r="F44" s="243"/>
      <c r="G44" s="243"/>
      <c r="H44" s="243"/>
      <c r="I44" s="243"/>
      <c r="J44" s="243"/>
      <c r="K44" s="243"/>
      <c r="L44" s="243"/>
      <c r="M44" s="243"/>
    </row>
    <row r="45" spans="1:13" x14ac:dyDescent="0.2">
      <c r="A45" s="105"/>
      <c r="B45" s="130" t="s">
        <v>417</v>
      </c>
      <c r="C45" s="130" t="s">
        <v>418</v>
      </c>
      <c r="D45" s="121" t="s">
        <v>3</v>
      </c>
      <c r="E45" s="121" t="s">
        <v>29</v>
      </c>
      <c r="F45" s="132"/>
      <c r="G45" s="132"/>
      <c r="H45" s="131"/>
      <c r="I45" s="131"/>
      <c r="J45" s="132"/>
      <c r="K45" s="132"/>
      <c r="L45" s="131"/>
      <c r="M45" s="131"/>
    </row>
    <row r="46" spans="1:13" x14ac:dyDescent="0.2">
      <c r="A46" s="546"/>
      <c r="B46" s="193"/>
      <c r="C46" s="193"/>
      <c r="D46" s="194" t="s">
        <v>4</v>
      </c>
      <c r="E46" s="116" t="s">
        <v>30</v>
      </c>
      <c r="F46" s="131"/>
      <c r="G46" s="131"/>
      <c r="H46" s="131"/>
      <c r="I46" s="131"/>
      <c r="J46" s="131"/>
      <c r="K46" s="131"/>
      <c r="L46" s="131"/>
      <c r="M46" s="131"/>
    </row>
    <row r="47" spans="1:13" ht="15.75" x14ac:dyDescent="0.2">
      <c r="A47" s="11" t="s">
        <v>23</v>
      </c>
      <c r="B47" s="253">
        <v>14581</v>
      </c>
      <c r="C47" s="254">
        <v>31209</v>
      </c>
      <c r="D47" s="343">
        <f t="shared" ref="D47:D48" si="6">IF(B47=0, "    ---- ", IF(ABS(ROUND(100/B47*C47-100,1))&lt;999,ROUND(100/B47*C47-100,1),IF(ROUND(100/B47*C47-100,1)&gt;999,999,-999)))</f>
        <v>114</v>
      </c>
      <c r="E47" s="8">
        <f>IFERROR(100/'Skjema total MA'!C47*C47,0)</f>
        <v>0.56273138189749194</v>
      </c>
      <c r="F47" s="109"/>
      <c r="G47" s="27"/>
      <c r="H47" s="118"/>
      <c r="I47" s="118"/>
      <c r="J47" s="31"/>
      <c r="K47" s="31"/>
      <c r="L47" s="118"/>
      <c r="M47" s="118"/>
    </row>
    <row r="48" spans="1:13" ht="15.75" x14ac:dyDescent="0.2">
      <c r="A48" s="18" t="s">
        <v>334</v>
      </c>
      <c r="B48" s="229">
        <v>14581</v>
      </c>
      <c r="C48" s="230">
        <v>31209</v>
      </c>
      <c r="D48" s="207">
        <f t="shared" si="6"/>
        <v>114</v>
      </c>
      <c r="E48" s="23">
        <f>IFERROR(100/'Skjema total MA'!C48*C48,0)</f>
        <v>0.98387577998857279</v>
      </c>
      <c r="F48" s="109"/>
      <c r="G48" s="27"/>
      <c r="H48" s="109"/>
      <c r="I48" s="109"/>
      <c r="J48" s="27"/>
      <c r="K48" s="27"/>
      <c r="L48" s="118"/>
      <c r="M48" s="118"/>
    </row>
    <row r="49" spans="1:13" ht="15.75" x14ac:dyDescent="0.2">
      <c r="A49" s="18" t="s">
        <v>335</v>
      </c>
      <c r="B49" s="36"/>
      <c r="C49" s="235"/>
      <c r="D49" s="207"/>
      <c r="E49" s="23"/>
      <c r="F49" s="109"/>
      <c r="G49" s="27"/>
      <c r="H49" s="109"/>
      <c r="I49" s="109"/>
      <c r="J49" s="31"/>
      <c r="K49" s="31"/>
      <c r="L49" s="118"/>
      <c r="M49" s="118"/>
    </row>
    <row r="50" spans="1:13" x14ac:dyDescent="0.2">
      <c r="A50" s="241" t="s">
        <v>6</v>
      </c>
      <c r="B50" s="262"/>
      <c r="C50" s="262"/>
      <c r="D50" s="207"/>
      <c r="E50" s="20"/>
      <c r="F50" s="109"/>
      <c r="G50" s="27"/>
      <c r="H50" s="109"/>
      <c r="I50" s="109"/>
      <c r="J50" s="27"/>
      <c r="K50" s="27"/>
      <c r="L50" s="118"/>
      <c r="M50" s="118"/>
    </row>
    <row r="51" spans="1:13" x14ac:dyDescent="0.2">
      <c r="A51" s="241" t="s">
        <v>7</v>
      </c>
      <c r="B51" s="262"/>
      <c r="C51" s="262"/>
      <c r="D51" s="207"/>
      <c r="E51" s="20"/>
      <c r="F51" s="109"/>
      <c r="G51" s="27"/>
      <c r="H51" s="109"/>
      <c r="I51" s="109"/>
      <c r="J51" s="27"/>
      <c r="K51" s="27"/>
      <c r="L51" s="118"/>
      <c r="M51" s="118"/>
    </row>
    <row r="52" spans="1:13" x14ac:dyDescent="0.2">
      <c r="A52" s="241" t="s">
        <v>8</v>
      </c>
      <c r="B52" s="262"/>
      <c r="C52" s="262"/>
      <c r="D52" s="207"/>
      <c r="E52" s="20"/>
      <c r="F52" s="109"/>
      <c r="G52" s="27"/>
      <c r="H52" s="109"/>
      <c r="I52" s="109"/>
      <c r="J52" s="27"/>
      <c r="K52" s="27"/>
      <c r="L52" s="118"/>
      <c r="M52" s="118"/>
    </row>
    <row r="53" spans="1:13" ht="15.75" x14ac:dyDescent="0.2">
      <c r="A53" s="10" t="s">
        <v>336</v>
      </c>
      <c r="B53" s="253"/>
      <c r="C53" s="254"/>
      <c r="D53" s="344"/>
      <c r="E53" s="8"/>
      <c r="F53" s="109"/>
      <c r="G53" s="27"/>
      <c r="H53" s="109"/>
      <c r="I53" s="109"/>
      <c r="J53" s="27"/>
      <c r="K53" s="27"/>
      <c r="L53" s="118"/>
      <c r="M53" s="118"/>
    </row>
    <row r="54" spans="1:13" ht="15.75" x14ac:dyDescent="0.2">
      <c r="A54" s="18" t="s">
        <v>334</v>
      </c>
      <c r="B54" s="229"/>
      <c r="C54" s="230"/>
      <c r="D54" s="207"/>
      <c r="E54" s="23"/>
      <c r="F54" s="109"/>
      <c r="G54" s="27"/>
      <c r="H54" s="109"/>
      <c r="I54" s="109"/>
      <c r="J54" s="27"/>
      <c r="K54" s="27"/>
      <c r="L54" s="118"/>
      <c r="M54" s="118"/>
    </row>
    <row r="55" spans="1:13" ht="15.75" x14ac:dyDescent="0.2">
      <c r="A55" s="18" t="s">
        <v>335</v>
      </c>
      <c r="B55" s="229"/>
      <c r="C55" s="230"/>
      <c r="D55" s="207"/>
      <c r="E55" s="23"/>
      <c r="F55" s="109"/>
      <c r="G55" s="27"/>
      <c r="H55" s="109"/>
      <c r="I55" s="109"/>
      <c r="J55" s="27"/>
      <c r="K55" s="27"/>
      <c r="L55" s="118"/>
      <c r="M55" s="118"/>
    </row>
    <row r="56" spans="1:13" ht="15.75" x14ac:dyDescent="0.2">
      <c r="A56" s="10" t="s">
        <v>337</v>
      </c>
      <c r="B56" s="253"/>
      <c r="C56" s="254"/>
      <c r="D56" s="344"/>
      <c r="E56" s="8"/>
      <c r="F56" s="109"/>
      <c r="G56" s="27"/>
      <c r="H56" s="109"/>
      <c r="I56" s="109"/>
      <c r="J56" s="27"/>
      <c r="K56" s="27"/>
      <c r="L56" s="118"/>
      <c r="M56" s="118"/>
    </row>
    <row r="57" spans="1:13" ht="15.75" x14ac:dyDescent="0.2">
      <c r="A57" s="18" t="s">
        <v>334</v>
      </c>
      <c r="B57" s="229"/>
      <c r="C57" s="230"/>
      <c r="D57" s="207"/>
      <c r="E57" s="23"/>
      <c r="F57" s="109"/>
      <c r="G57" s="27"/>
      <c r="H57" s="109"/>
      <c r="I57" s="109"/>
      <c r="J57" s="27"/>
      <c r="K57" s="27"/>
      <c r="L57" s="118"/>
      <c r="M57" s="118"/>
    </row>
    <row r="58" spans="1:13" ht="15.75" x14ac:dyDescent="0.2">
      <c r="A58" s="7" t="s">
        <v>335</v>
      </c>
      <c r="B58" s="231"/>
      <c r="C58" s="232"/>
      <c r="D58" s="208"/>
      <c r="E58" s="19"/>
      <c r="F58" s="109"/>
      <c r="G58" s="27"/>
      <c r="H58" s="109"/>
      <c r="I58" s="109"/>
      <c r="J58" s="27"/>
      <c r="K58" s="27"/>
      <c r="L58" s="118"/>
      <c r="M58" s="118"/>
    </row>
    <row r="59" spans="1:13" ht="15.75" x14ac:dyDescent="0.25">
      <c r="A59" s="115"/>
      <c r="B59" s="106"/>
      <c r="C59" s="106"/>
      <c r="D59" s="106"/>
      <c r="E59" s="106"/>
      <c r="F59" s="106"/>
      <c r="G59" s="106"/>
      <c r="H59" s="106"/>
      <c r="I59" s="106"/>
      <c r="J59" s="106"/>
      <c r="K59" s="106"/>
      <c r="L59" s="106"/>
      <c r="M59" s="106"/>
    </row>
    <row r="60" spans="1:13" x14ac:dyDescent="0.2">
      <c r="A60" s="115"/>
    </row>
    <row r="61" spans="1:13" ht="15.75" x14ac:dyDescent="0.25">
      <c r="A61" s="110" t="s">
        <v>246</v>
      </c>
    </row>
    <row r="62" spans="1:13" ht="15.75" x14ac:dyDescent="0.25">
      <c r="B62" s="580"/>
      <c r="C62" s="580"/>
      <c r="D62" s="580"/>
      <c r="E62" s="243"/>
      <c r="F62" s="580"/>
      <c r="G62" s="580"/>
      <c r="H62" s="580"/>
      <c r="I62" s="243"/>
      <c r="J62" s="580"/>
      <c r="K62" s="580"/>
      <c r="L62" s="580"/>
      <c r="M62" s="243"/>
    </row>
    <row r="63" spans="1:13" x14ac:dyDescent="0.2">
      <c r="A63" s="108"/>
      <c r="B63" s="581" t="s">
        <v>0</v>
      </c>
      <c r="C63" s="582"/>
      <c r="D63" s="585"/>
      <c r="E63" s="244"/>
      <c r="F63" s="582" t="s">
        <v>1</v>
      </c>
      <c r="G63" s="582"/>
      <c r="H63" s="582"/>
      <c r="I63" s="247"/>
      <c r="J63" s="581" t="s">
        <v>2</v>
      </c>
      <c r="K63" s="582"/>
      <c r="L63" s="582"/>
      <c r="M63" s="247"/>
    </row>
    <row r="64" spans="1:13" x14ac:dyDescent="0.2">
      <c r="A64" s="105"/>
      <c r="B64" s="113" t="s">
        <v>417</v>
      </c>
      <c r="C64" s="113" t="s">
        <v>418</v>
      </c>
      <c r="D64" s="194" t="s">
        <v>3</v>
      </c>
      <c r="E64" s="248" t="s">
        <v>29</v>
      </c>
      <c r="F64" s="113" t="s">
        <v>417</v>
      </c>
      <c r="G64" s="113" t="s">
        <v>418</v>
      </c>
      <c r="H64" s="194" t="s">
        <v>3</v>
      </c>
      <c r="I64" s="248" t="s">
        <v>29</v>
      </c>
      <c r="J64" s="113" t="s">
        <v>417</v>
      </c>
      <c r="K64" s="113" t="s">
        <v>418</v>
      </c>
      <c r="L64" s="194" t="s">
        <v>3</v>
      </c>
      <c r="M64" s="121" t="s">
        <v>29</v>
      </c>
    </row>
    <row r="65" spans="1:13" x14ac:dyDescent="0.2">
      <c r="A65" s="546"/>
      <c r="B65" s="116"/>
      <c r="C65" s="116"/>
      <c r="D65" s="196" t="s">
        <v>4</v>
      </c>
      <c r="E65" s="116" t="s">
        <v>30</v>
      </c>
      <c r="F65" s="120"/>
      <c r="G65" s="120"/>
      <c r="H65" s="194" t="s">
        <v>4</v>
      </c>
      <c r="I65" s="116" t="s">
        <v>30</v>
      </c>
      <c r="J65" s="120"/>
      <c r="K65" s="158"/>
      <c r="L65" s="116" t="s">
        <v>4</v>
      </c>
      <c r="M65" s="116" t="s">
        <v>30</v>
      </c>
    </row>
    <row r="66" spans="1:13" ht="15.75" x14ac:dyDescent="0.2">
      <c r="A66" s="11" t="s">
        <v>23</v>
      </c>
      <c r="B66" s="289">
        <v>10315</v>
      </c>
      <c r="C66" s="289">
        <v>13354</v>
      </c>
      <c r="D66" s="286">
        <f t="shared" ref="D66:D122" si="7">IF(B66=0, "    ---- ", IF(ABS(ROUND(100/B66*C66-100,1))&lt;999,ROUND(100/B66*C66-100,1),IF(ROUND(100/B66*C66-100,1)&gt;999,999,-999)))</f>
        <v>29.5</v>
      </c>
      <c r="E66" s="8">
        <f>IFERROR(100/'Skjema total MA'!C66*C66,0)</f>
        <v>0.26186176944941708</v>
      </c>
      <c r="F66" s="288"/>
      <c r="G66" s="288"/>
      <c r="H66" s="286"/>
      <c r="I66" s="350"/>
      <c r="J66" s="184">
        <f t="shared" ref="J66:K76" si="8">SUM(B66,F66)</f>
        <v>10315</v>
      </c>
      <c r="K66" s="259">
        <f t="shared" si="8"/>
        <v>13354</v>
      </c>
      <c r="L66" s="344">
        <f t="shared" ref="L66:L122" si="9">IF(J66=0, "    ---- ", IF(ABS(ROUND(100/J66*K66-100,1))&lt;999,ROUND(100/J66*K66-100,1),IF(ROUND(100/J66*K66-100,1)&gt;999,999,-999)))</f>
        <v>29.5</v>
      </c>
      <c r="M66" s="8">
        <f>IFERROR(100/'Skjema total MA'!I66*K66,0)</f>
        <v>3.9372322430195561E-2</v>
      </c>
    </row>
    <row r="67" spans="1:13" x14ac:dyDescent="0.2">
      <c r="A67" s="39" t="s">
        <v>9</v>
      </c>
      <c r="B67" s="36"/>
      <c r="C67" s="109"/>
      <c r="D67" s="123"/>
      <c r="E67" s="23"/>
      <c r="F67" s="182"/>
      <c r="G67" s="109"/>
      <c r="H67" s="123"/>
      <c r="I67" s="336"/>
      <c r="J67" s="36"/>
      <c r="K67" s="36"/>
      <c r="L67" s="207"/>
      <c r="M67" s="23"/>
    </row>
    <row r="68" spans="1:13" x14ac:dyDescent="0.2">
      <c r="A68" s="18" t="s">
        <v>10</v>
      </c>
      <c r="B68" s="239"/>
      <c r="C68" s="240"/>
      <c r="D68" s="123"/>
      <c r="E68" s="23"/>
      <c r="F68" s="239"/>
      <c r="G68" s="240"/>
      <c r="H68" s="123"/>
      <c r="I68" s="336"/>
      <c r="J68" s="36"/>
      <c r="K68" s="36"/>
      <c r="L68" s="207"/>
      <c r="M68" s="23"/>
    </row>
    <row r="69" spans="1:13" ht="15.75" x14ac:dyDescent="0.2">
      <c r="A69" s="241" t="s">
        <v>338</v>
      </c>
      <c r="B69" s="262"/>
      <c r="C69" s="262"/>
      <c r="D69" s="123"/>
      <c r="E69" s="336"/>
      <c r="F69" s="267"/>
      <c r="G69" s="262"/>
      <c r="H69" s="123"/>
      <c r="I69" s="336"/>
      <c r="J69" s="267"/>
      <c r="K69" s="262"/>
      <c r="L69" s="123"/>
      <c r="M69" s="20"/>
    </row>
    <row r="70" spans="1:13" x14ac:dyDescent="0.2">
      <c r="A70" s="241" t="s">
        <v>12</v>
      </c>
      <c r="B70" s="262"/>
      <c r="C70" s="262"/>
      <c r="D70" s="123"/>
      <c r="E70" s="336"/>
      <c r="F70" s="267"/>
      <c r="G70" s="262"/>
      <c r="H70" s="123"/>
      <c r="I70" s="336"/>
      <c r="J70" s="267"/>
      <c r="K70" s="262"/>
      <c r="L70" s="123"/>
      <c r="M70" s="20"/>
    </row>
    <row r="71" spans="1:13" x14ac:dyDescent="0.2">
      <c r="A71" s="241" t="s">
        <v>13</v>
      </c>
      <c r="B71" s="262"/>
      <c r="C71" s="262"/>
      <c r="D71" s="123"/>
      <c r="E71" s="336"/>
      <c r="F71" s="267"/>
      <c r="G71" s="262"/>
      <c r="H71" s="123"/>
      <c r="I71" s="336"/>
      <c r="J71" s="267"/>
      <c r="K71" s="262"/>
      <c r="L71" s="123"/>
      <c r="M71" s="20"/>
    </row>
    <row r="72" spans="1:13" ht="15.75" x14ac:dyDescent="0.2">
      <c r="A72" s="241" t="s">
        <v>339</v>
      </c>
      <c r="B72" s="262"/>
      <c r="C72" s="262"/>
      <c r="D72" s="123"/>
      <c r="E72" s="336"/>
      <c r="F72" s="267"/>
      <c r="G72" s="262"/>
      <c r="H72" s="123"/>
      <c r="I72" s="336"/>
      <c r="J72" s="267"/>
      <c r="K72" s="262"/>
      <c r="L72" s="123"/>
      <c r="M72" s="20"/>
    </row>
    <row r="73" spans="1:13" x14ac:dyDescent="0.2">
      <c r="A73" s="241" t="s">
        <v>12</v>
      </c>
      <c r="B73" s="183"/>
      <c r="C73" s="237"/>
      <c r="D73" s="123"/>
      <c r="E73" s="336"/>
      <c r="F73" s="267"/>
      <c r="G73" s="262"/>
      <c r="H73" s="123"/>
      <c r="I73" s="336"/>
      <c r="J73" s="267"/>
      <c r="K73" s="262"/>
      <c r="L73" s="123"/>
      <c r="M73" s="20"/>
    </row>
    <row r="74" spans="1:13" x14ac:dyDescent="0.2">
      <c r="A74" s="241" t="s">
        <v>13</v>
      </c>
      <c r="B74" s="183"/>
      <c r="C74" s="237"/>
      <c r="D74" s="123"/>
      <c r="E74" s="336"/>
      <c r="F74" s="267"/>
      <c r="G74" s="262"/>
      <c r="H74" s="123"/>
      <c r="I74" s="336"/>
      <c r="J74" s="267"/>
      <c r="K74" s="262"/>
      <c r="L74" s="123"/>
      <c r="M74" s="20"/>
    </row>
    <row r="75" spans="1:13" x14ac:dyDescent="0.2">
      <c r="A75" s="18" t="s">
        <v>310</v>
      </c>
      <c r="B75" s="182"/>
      <c r="C75" s="109"/>
      <c r="D75" s="123"/>
      <c r="E75" s="336"/>
      <c r="F75" s="36"/>
      <c r="G75" s="109"/>
      <c r="H75" s="123"/>
      <c r="I75" s="336"/>
      <c r="J75" s="36"/>
      <c r="K75" s="36"/>
      <c r="L75" s="207"/>
      <c r="M75" s="23"/>
    </row>
    <row r="76" spans="1:13" x14ac:dyDescent="0.2">
      <c r="A76" s="18" t="s">
        <v>309</v>
      </c>
      <c r="B76" s="182">
        <v>10315</v>
      </c>
      <c r="C76" s="109">
        <v>13354</v>
      </c>
      <c r="D76" s="123">
        <f t="shared" si="7"/>
        <v>29.5</v>
      </c>
      <c r="E76" s="336">
        <f>IFERROR(100/'Skjema total MA'!C77*C76,0)</f>
        <v>0.48956576963105042</v>
      </c>
      <c r="F76" s="36"/>
      <c r="G76" s="109"/>
      <c r="H76" s="123"/>
      <c r="I76" s="336"/>
      <c r="J76" s="36">
        <f t="shared" si="8"/>
        <v>10315</v>
      </c>
      <c r="K76" s="36">
        <f t="shared" si="8"/>
        <v>13354</v>
      </c>
      <c r="L76" s="207">
        <f t="shared" si="9"/>
        <v>29.5</v>
      </c>
      <c r="M76" s="23">
        <f>IFERROR(100/'Skjema total MA'!I77*K76,0)</f>
        <v>4.3835150905532985E-2</v>
      </c>
    </row>
    <row r="77" spans="1:13" ht="15.75" x14ac:dyDescent="0.2">
      <c r="A77" s="18" t="s">
        <v>340</v>
      </c>
      <c r="B77" s="182"/>
      <c r="C77" s="182"/>
      <c r="D77" s="123"/>
      <c r="E77" s="336"/>
      <c r="F77" s="36"/>
      <c r="G77" s="109"/>
      <c r="H77" s="123"/>
      <c r="I77" s="336"/>
      <c r="J77" s="36"/>
      <c r="K77" s="36"/>
      <c r="L77" s="207"/>
      <c r="M77" s="23"/>
    </row>
    <row r="78" spans="1:13" x14ac:dyDescent="0.2">
      <c r="A78" s="18" t="s">
        <v>9</v>
      </c>
      <c r="B78" s="182"/>
      <c r="C78" s="109"/>
      <c r="D78" s="123"/>
      <c r="E78" s="336"/>
      <c r="F78" s="36"/>
      <c r="G78" s="109"/>
      <c r="H78" s="123"/>
      <c r="I78" s="336"/>
      <c r="J78" s="36"/>
      <c r="K78" s="36"/>
      <c r="L78" s="207"/>
      <c r="M78" s="23"/>
    </row>
    <row r="79" spans="1:13" x14ac:dyDescent="0.2">
      <c r="A79" s="18" t="s">
        <v>368</v>
      </c>
      <c r="B79" s="239"/>
      <c r="C79" s="240"/>
      <c r="D79" s="123"/>
      <c r="E79" s="336"/>
      <c r="F79" s="143"/>
      <c r="G79" s="240"/>
      <c r="H79" s="123"/>
      <c r="I79" s="336"/>
      <c r="J79" s="36"/>
      <c r="K79" s="36"/>
      <c r="L79" s="207"/>
      <c r="M79" s="23"/>
    </row>
    <row r="80" spans="1:13" ht="15.75" x14ac:dyDescent="0.2">
      <c r="A80" s="241" t="s">
        <v>338</v>
      </c>
      <c r="B80" s="262"/>
      <c r="C80" s="262"/>
      <c r="D80" s="123"/>
      <c r="E80" s="336"/>
      <c r="F80" s="267"/>
      <c r="G80" s="262"/>
      <c r="H80" s="123"/>
      <c r="I80" s="336"/>
      <c r="J80" s="267"/>
      <c r="K80" s="262"/>
      <c r="L80" s="123"/>
      <c r="M80" s="20"/>
    </row>
    <row r="81" spans="1:13" x14ac:dyDescent="0.2">
      <c r="A81" s="241" t="s">
        <v>12</v>
      </c>
      <c r="B81" s="262"/>
      <c r="C81" s="262"/>
      <c r="D81" s="123"/>
      <c r="E81" s="336"/>
      <c r="F81" s="267"/>
      <c r="G81" s="262"/>
      <c r="H81" s="123"/>
      <c r="I81" s="336"/>
      <c r="J81" s="267"/>
      <c r="K81" s="262"/>
      <c r="L81" s="123"/>
      <c r="M81" s="20"/>
    </row>
    <row r="82" spans="1:13" x14ac:dyDescent="0.2">
      <c r="A82" s="241" t="s">
        <v>13</v>
      </c>
      <c r="B82" s="262"/>
      <c r="C82" s="262"/>
      <c r="D82" s="123"/>
      <c r="E82" s="336"/>
      <c r="F82" s="267"/>
      <c r="G82" s="262"/>
      <c r="H82" s="123"/>
      <c r="I82" s="336"/>
      <c r="J82" s="267"/>
      <c r="K82" s="262"/>
      <c r="L82" s="123"/>
      <c r="M82" s="20"/>
    </row>
    <row r="83" spans="1:13" ht="15.75" x14ac:dyDescent="0.2">
      <c r="A83" s="241" t="s">
        <v>339</v>
      </c>
      <c r="B83" s="262"/>
      <c r="C83" s="262"/>
      <c r="D83" s="123"/>
      <c r="E83" s="336"/>
      <c r="F83" s="267"/>
      <c r="G83" s="262"/>
      <c r="H83" s="123"/>
      <c r="I83" s="336"/>
      <c r="J83" s="267"/>
      <c r="K83" s="262"/>
      <c r="L83" s="123"/>
      <c r="M83" s="20"/>
    </row>
    <row r="84" spans="1:13" x14ac:dyDescent="0.2">
      <c r="A84" s="241" t="s">
        <v>12</v>
      </c>
      <c r="B84" s="183"/>
      <c r="C84" s="237"/>
      <c r="D84" s="123"/>
      <c r="E84" s="336"/>
      <c r="F84" s="267"/>
      <c r="G84" s="262"/>
      <c r="H84" s="123"/>
      <c r="I84" s="336"/>
      <c r="J84" s="267"/>
      <c r="K84" s="262"/>
      <c r="L84" s="123"/>
      <c r="M84" s="20"/>
    </row>
    <row r="85" spans="1:13" x14ac:dyDescent="0.2">
      <c r="A85" s="241" t="s">
        <v>13</v>
      </c>
      <c r="B85" s="183"/>
      <c r="C85" s="237"/>
      <c r="D85" s="123"/>
      <c r="E85" s="336"/>
      <c r="F85" s="267"/>
      <c r="G85" s="262"/>
      <c r="H85" s="123"/>
      <c r="I85" s="336"/>
      <c r="J85" s="267"/>
      <c r="K85" s="262"/>
      <c r="L85" s="123"/>
      <c r="M85" s="20"/>
    </row>
    <row r="86" spans="1:13" ht="15.75" x14ac:dyDescent="0.2">
      <c r="A86" s="18" t="s">
        <v>341</v>
      </c>
      <c r="B86" s="182"/>
      <c r="C86" s="109"/>
      <c r="D86" s="123"/>
      <c r="E86" s="336"/>
      <c r="F86" s="36"/>
      <c r="G86" s="109"/>
      <c r="H86" s="123"/>
      <c r="I86" s="336"/>
      <c r="J86" s="36"/>
      <c r="K86" s="36"/>
      <c r="L86" s="207"/>
      <c r="M86" s="23"/>
    </row>
    <row r="87" spans="1:13" ht="15.75" x14ac:dyDescent="0.2">
      <c r="A87" s="10" t="s">
        <v>323</v>
      </c>
      <c r="B87" s="289">
        <v>37470</v>
      </c>
      <c r="C87" s="289">
        <v>39431</v>
      </c>
      <c r="D87" s="127">
        <f t="shared" si="7"/>
        <v>5.2</v>
      </c>
      <c r="E87" s="350">
        <f>IFERROR(100/'Skjema total MA'!C87*C87,0)</f>
        <v>9.581799038358289E-3</v>
      </c>
      <c r="F87" s="226"/>
      <c r="G87" s="288"/>
      <c r="H87" s="127"/>
      <c r="I87" s="350"/>
      <c r="J87" s="184">
        <f t="shared" ref="J87:K111" si="10">SUM(B87,F87)</f>
        <v>37470</v>
      </c>
      <c r="K87" s="184">
        <f t="shared" si="10"/>
        <v>39431</v>
      </c>
      <c r="L87" s="344">
        <f t="shared" si="9"/>
        <v>5.2</v>
      </c>
      <c r="M87" s="8">
        <f>IFERROR(100/'Skjema total MA'!I87*K87,0)</f>
        <v>3.5006919135066234E-3</v>
      </c>
    </row>
    <row r="88" spans="1:13" x14ac:dyDescent="0.2">
      <c r="A88" s="18" t="s">
        <v>9</v>
      </c>
      <c r="B88" s="182"/>
      <c r="C88" s="109"/>
      <c r="D88" s="123"/>
      <c r="E88" s="336"/>
      <c r="F88" s="36"/>
      <c r="G88" s="109"/>
      <c r="H88" s="123"/>
      <c r="I88" s="336"/>
      <c r="J88" s="36"/>
      <c r="K88" s="36"/>
      <c r="L88" s="207"/>
      <c r="M88" s="23"/>
    </row>
    <row r="89" spans="1:13" x14ac:dyDescent="0.2">
      <c r="A89" s="18" t="s">
        <v>10</v>
      </c>
      <c r="B89" s="182"/>
      <c r="C89" s="109"/>
      <c r="D89" s="123"/>
      <c r="E89" s="336"/>
      <c r="F89" s="36"/>
      <c r="G89" s="109"/>
      <c r="H89" s="123"/>
      <c r="I89" s="336"/>
      <c r="J89" s="36"/>
      <c r="K89" s="36"/>
      <c r="L89" s="207"/>
      <c r="M89" s="23"/>
    </row>
    <row r="90" spans="1:13" ht="15.75" x14ac:dyDescent="0.2">
      <c r="A90" s="241" t="s">
        <v>338</v>
      </c>
      <c r="B90" s="262"/>
      <c r="C90" s="262"/>
      <c r="D90" s="123"/>
      <c r="E90" s="336"/>
      <c r="F90" s="267"/>
      <c r="G90" s="262"/>
      <c r="H90" s="123"/>
      <c r="I90" s="336"/>
      <c r="J90" s="267"/>
      <c r="K90" s="262"/>
      <c r="L90" s="123"/>
      <c r="M90" s="20"/>
    </row>
    <row r="91" spans="1:13" x14ac:dyDescent="0.2">
      <c r="A91" s="241" t="s">
        <v>12</v>
      </c>
      <c r="B91" s="262"/>
      <c r="C91" s="262"/>
      <c r="D91" s="123"/>
      <c r="E91" s="336"/>
      <c r="F91" s="267"/>
      <c r="G91" s="262"/>
      <c r="H91" s="123"/>
      <c r="I91" s="336"/>
      <c r="J91" s="267"/>
      <c r="K91" s="262"/>
      <c r="L91" s="123"/>
      <c r="M91" s="20"/>
    </row>
    <row r="92" spans="1:13" x14ac:dyDescent="0.2">
      <c r="A92" s="241" t="s">
        <v>13</v>
      </c>
      <c r="B92" s="262"/>
      <c r="C92" s="262"/>
      <c r="D92" s="123"/>
      <c r="E92" s="336"/>
      <c r="F92" s="267"/>
      <c r="G92" s="262"/>
      <c r="H92" s="123"/>
      <c r="I92" s="336"/>
      <c r="J92" s="267"/>
      <c r="K92" s="262"/>
      <c r="L92" s="123"/>
      <c r="M92" s="20"/>
    </row>
    <row r="93" spans="1:13" ht="15.75" x14ac:dyDescent="0.2">
      <c r="A93" s="241" t="s">
        <v>339</v>
      </c>
      <c r="B93" s="262"/>
      <c r="C93" s="262"/>
      <c r="D93" s="123"/>
      <c r="E93" s="336"/>
      <c r="F93" s="267"/>
      <c r="G93" s="262"/>
      <c r="H93" s="123"/>
      <c r="I93" s="336"/>
      <c r="J93" s="267"/>
      <c r="K93" s="262"/>
      <c r="L93" s="123"/>
      <c r="M93" s="20"/>
    </row>
    <row r="94" spans="1:13" x14ac:dyDescent="0.2">
      <c r="A94" s="241" t="s">
        <v>12</v>
      </c>
      <c r="B94" s="183"/>
      <c r="C94" s="237"/>
      <c r="D94" s="123"/>
      <c r="E94" s="336"/>
      <c r="F94" s="267"/>
      <c r="G94" s="262"/>
      <c r="H94" s="123"/>
      <c r="I94" s="336"/>
      <c r="J94" s="267"/>
      <c r="K94" s="262"/>
      <c r="L94" s="123"/>
      <c r="M94" s="20"/>
    </row>
    <row r="95" spans="1:13" x14ac:dyDescent="0.2">
      <c r="A95" s="241" t="s">
        <v>13</v>
      </c>
      <c r="B95" s="183"/>
      <c r="C95" s="237"/>
      <c r="D95" s="123"/>
      <c r="E95" s="336"/>
      <c r="F95" s="267"/>
      <c r="G95" s="262"/>
      <c r="H95" s="123"/>
      <c r="I95" s="336"/>
      <c r="J95" s="267"/>
      <c r="K95" s="262"/>
      <c r="L95" s="123"/>
      <c r="M95" s="20"/>
    </row>
    <row r="96" spans="1:13" x14ac:dyDescent="0.2">
      <c r="A96" s="18" t="s">
        <v>308</v>
      </c>
      <c r="B96" s="182"/>
      <c r="C96" s="109"/>
      <c r="D96" s="123"/>
      <c r="E96" s="336"/>
      <c r="F96" s="36"/>
      <c r="G96" s="109"/>
      <c r="H96" s="123"/>
      <c r="I96" s="336"/>
      <c r="J96" s="36"/>
      <c r="K96" s="36"/>
      <c r="L96" s="207"/>
      <c r="M96" s="23"/>
    </row>
    <row r="97" spans="1:13" x14ac:dyDescent="0.2">
      <c r="A97" s="18" t="s">
        <v>307</v>
      </c>
      <c r="B97" s="182">
        <v>37470</v>
      </c>
      <c r="C97" s="109">
        <v>39431</v>
      </c>
      <c r="D97" s="123">
        <f t="shared" si="7"/>
        <v>5.2</v>
      </c>
      <c r="E97" s="336">
        <f>IFERROR(100/'Skjema total MA'!C98*C97,0)</f>
        <v>1.020855853335133E-2</v>
      </c>
      <c r="F97" s="36"/>
      <c r="G97" s="109"/>
      <c r="H97" s="123"/>
      <c r="I97" s="336"/>
      <c r="J97" s="36">
        <f t="shared" si="10"/>
        <v>37470</v>
      </c>
      <c r="K97" s="36">
        <f t="shared" si="10"/>
        <v>39431</v>
      </c>
      <c r="L97" s="207">
        <f t="shared" si="9"/>
        <v>5.2</v>
      </c>
      <c r="M97" s="23">
        <f>IFERROR(100/'Skjema total MA'!I98*K97,0)</f>
        <v>3.6194436524785156E-3</v>
      </c>
    </row>
    <row r="98" spans="1:13" ht="15.75" x14ac:dyDescent="0.2">
      <c r="A98" s="18" t="s">
        <v>340</v>
      </c>
      <c r="B98" s="182"/>
      <c r="C98" s="182"/>
      <c r="D98" s="123"/>
      <c r="E98" s="336"/>
      <c r="F98" s="143"/>
      <c r="G98" s="239"/>
      <c r="H98" s="123"/>
      <c r="I98" s="336"/>
      <c r="J98" s="36"/>
      <c r="K98" s="36"/>
      <c r="L98" s="207"/>
      <c r="M98" s="23"/>
    </row>
    <row r="99" spans="1:13" x14ac:dyDescent="0.2">
      <c r="A99" s="18" t="s">
        <v>9</v>
      </c>
      <c r="B99" s="239"/>
      <c r="C99" s="240"/>
      <c r="D99" s="123"/>
      <c r="E99" s="336"/>
      <c r="F99" s="36"/>
      <c r="G99" s="109"/>
      <c r="H99" s="123"/>
      <c r="I99" s="336"/>
      <c r="J99" s="36"/>
      <c r="K99" s="36"/>
      <c r="L99" s="207"/>
      <c r="M99" s="23"/>
    </row>
    <row r="100" spans="1:13" x14ac:dyDescent="0.2">
      <c r="A100" s="18" t="s">
        <v>368</v>
      </c>
      <c r="B100" s="239"/>
      <c r="C100" s="240"/>
      <c r="D100" s="123"/>
      <c r="E100" s="336"/>
      <c r="F100" s="36"/>
      <c r="G100" s="182"/>
      <c r="H100" s="123"/>
      <c r="I100" s="336"/>
      <c r="J100" s="36"/>
      <c r="K100" s="36"/>
      <c r="L100" s="207"/>
      <c r="M100" s="23"/>
    </row>
    <row r="101" spans="1:13" ht="15.75" x14ac:dyDescent="0.2">
      <c r="A101" s="241" t="s">
        <v>338</v>
      </c>
      <c r="B101" s="262"/>
      <c r="C101" s="262"/>
      <c r="D101" s="123"/>
      <c r="E101" s="336"/>
      <c r="F101" s="267"/>
      <c r="G101" s="262"/>
      <c r="H101" s="123"/>
      <c r="I101" s="336"/>
      <c r="J101" s="267"/>
      <c r="K101" s="262"/>
      <c r="L101" s="123"/>
      <c r="M101" s="20"/>
    </row>
    <row r="102" spans="1:13" x14ac:dyDescent="0.2">
      <c r="A102" s="241" t="s">
        <v>12</v>
      </c>
      <c r="B102" s="262"/>
      <c r="C102" s="262"/>
      <c r="D102" s="123"/>
      <c r="E102" s="336"/>
      <c r="F102" s="267"/>
      <c r="G102" s="262"/>
      <c r="H102" s="123"/>
      <c r="I102" s="336"/>
      <c r="J102" s="267"/>
      <c r="K102" s="262"/>
      <c r="L102" s="123"/>
      <c r="M102" s="20"/>
    </row>
    <row r="103" spans="1:13" x14ac:dyDescent="0.2">
      <c r="A103" s="241" t="s">
        <v>13</v>
      </c>
      <c r="B103" s="262"/>
      <c r="C103" s="262"/>
      <c r="D103" s="123"/>
      <c r="E103" s="336"/>
      <c r="F103" s="267"/>
      <c r="G103" s="262"/>
      <c r="H103" s="123"/>
      <c r="I103" s="336"/>
      <c r="J103" s="267"/>
      <c r="K103" s="262"/>
      <c r="L103" s="123"/>
      <c r="M103" s="20"/>
    </row>
    <row r="104" spans="1:13" ht="15.75" x14ac:dyDescent="0.2">
      <c r="A104" s="241" t="s">
        <v>339</v>
      </c>
      <c r="B104" s="262"/>
      <c r="C104" s="262"/>
      <c r="D104" s="123"/>
      <c r="E104" s="336"/>
      <c r="F104" s="267"/>
      <c r="G104" s="262"/>
      <c r="H104" s="123"/>
      <c r="I104" s="336"/>
      <c r="J104" s="267"/>
      <c r="K104" s="262"/>
      <c r="L104" s="123"/>
      <c r="M104" s="20"/>
    </row>
    <row r="105" spans="1:13" x14ac:dyDescent="0.2">
      <c r="A105" s="241" t="s">
        <v>12</v>
      </c>
      <c r="B105" s="183"/>
      <c r="C105" s="237"/>
      <c r="D105" s="123"/>
      <c r="E105" s="336"/>
      <c r="F105" s="267"/>
      <c r="G105" s="262"/>
      <c r="H105" s="123"/>
      <c r="I105" s="336"/>
      <c r="J105" s="267"/>
      <c r="K105" s="262"/>
      <c r="L105" s="123"/>
      <c r="M105" s="20"/>
    </row>
    <row r="106" spans="1:13" x14ac:dyDescent="0.2">
      <c r="A106" s="241" t="s">
        <v>13</v>
      </c>
      <c r="B106" s="183"/>
      <c r="C106" s="237"/>
      <c r="D106" s="123"/>
      <c r="E106" s="336"/>
      <c r="F106" s="267"/>
      <c r="G106" s="262"/>
      <c r="H106" s="123"/>
      <c r="I106" s="336"/>
      <c r="J106" s="267"/>
      <c r="K106" s="262"/>
      <c r="L106" s="123"/>
      <c r="M106" s="20"/>
    </row>
    <row r="107" spans="1:13" ht="15.75" x14ac:dyDescent="0.2">
      <c r="A107" s="18" t="s">
        <v>341</v>
      </c>
      <c r="B107" s="182"/>
      <c r="C107" s="109"/>
      <c r="D107" s="123"/>
      <c r="E107" s="336"/>
      <c r="F107" s="36"/>
      <c r="G107" s="109"/>
      <c r="H107" s="123"/>
      <c r="I107" s="336"/>
      <c r="J107" s="36"/>
      <c r="K107" s="36"/>
      <c r="L107" s="207"/>
      <c r="M107" s="23"/>
    </row>
    <row r="108" spans="1:13" ht="15.75" x14ac:dyDescent="0.2">
      <c r="A108" s="18" t="s">
        <v>342</v>
      </c>
      <c r="B108" s="182"/>
      <c r="C108" s="182"/>
      <c r="D108" s="123"/>
      <c r="E108" s="336"/>
      <c r="F108" s="36"/>
      <c r="G108" s="182"/>
      <c r="H108" s="123"/>
      <c r="I108" s="336"/>
      <c r="J108" s="36"/>
      <c r="K108" s="36"/>
      <c r="L108" s="207"/>
      <c r="M108" s="23"/>
    </row>
    <row r="109" spans="1:13" ht="15.75" x14ac:dyDescent="0.2">
      <c r="A109" s="18" t="s">
        <v>382</v>
      </c>
      <c r="B109" s="182"/>
      <c r="C109" s="182"/>
      <c r="D109" s="123"/>
      <c r="E109" s="336"/>
      <c r="F109" s="36"/>
      <c r="G109" s="182"/>
      <c r="H109" s="123"/>
      <c r="I109" s="336"/>
      <c r="J109" s="36"/>
      <c r="K109" s="36"/>
      <c r="L109" s="207"/>
      <c r="M109" s="23"/>
    </row>
    <row r="110" spans="1:13" ht="15.75" x14ac:dyDescent="0.2">
      <c r="A110" s="18" t="s">
        <v>343</v>
      </c>
      <c r="B110" s="182"/>
      <c r="C110" s="182"/>
      <c r="D110" s="123"/>
      <c r="E110" s="336"/>
      <c r="F110" s="36"/>
      <c r="G110" s="182"/>
      <c r="H110" s="123"/>
      <c r="I110" s="336"/>
      <c r="J110" s="36"/>
      <c r="K110" s="36"/>
      <c r="L110" s="207"/>
      <c r="M110" s="23"/>
    </row>
    <row r="111" spans="1:13" ht="15.75" x14ac:dyDescent="0.2">
      <c r="A111" s="10" t="s">
        <v>324</v>
      </c>
      <c r="B111" s="251">
        <v>5226</v>
      </c>
      <c r="C111" s="118">
        <v>2085</v>
      </c>
      <c r="D111" s="127">
        <f t="shared" si="7"/>
        <v>-60.1</v>
      </c>
      <c r="E111" s="350">
        <f>IFERROR(100/'Skjema total MA'!C111*C111,0)</f>
        <v>0.15782843461672039</v>
      </c>
      <c r="F111" s="184"/>
      <c r="G111" s="118"/>
      <c r="H111" s="127"/>
      <c r="I111" s="350"/>
      <c r="J111" s="184">
        <f t="shared" si="10"/>
        <v>5226</v>
      </c>
      <c r="K111" s="184">
        <f t="shared" si="10"/>
        <v>2085</v>
      </c>
      <c r="L111" s="344">
        <f t="shared" si="9"/>
        <v>-60.1</v>
      </c>
      <c r="M111" s="8">
        <f>IFERROR(100/'Skjema total MA'!I111*K111,0)</f>
        <v>5.7017190616240158E-3</v>
      </c>
    </row>
    <row r="112" spans="1:13" x14ac:dyDescent="0.2">
      <c r="A112" s="18" t="s">
        <v>9</v>
      </c>
      <c r="B112" s="182"/>
      <c r="C112" s="109"/>
      <c r="D112" s="123"/>
      <c r="E112" s="336"/>
      <c r="F112" s="36"/>
      <c r="G112" s="109"/>
      <c r="H112" s="123"/>
      <c r="I112" s="336"/>
      <c r="J112" s="36"/>
      <c r="K112" s="36"/>
      <c r="L112" s="207"/>
      <c r="M112" s="23"/>
    </row>
    <row r="113" spans="1:13" x14ac:dyDescent="0.2">
      <c r="A113" s="18" t="s">
        <v>10</v>
      </c>
      <c r="B113" s="182"/>
      <c r="C113" s="109"/>
      <c r="D113" s="123"/>
      <c r="E113" s="336"/>
      <c r="F113" s="36"/>
      <c r="G113" s="109"/>
      <c r="H113" s="123"/>
      <c r="I113" s="336"/>
      <c r="J113" s="36"/>
      <c r="K113" s="36"/>
      <c r="L113" s="207"/>
      <c r="M113" s="23"/>
    </row>
    <row r="114" spans="1:13" x14ac:dyDescent="0.2">
      <c r="A114" s="18" t="s">
        <v>26</v>
      </c>
      <c r="B114" s="182">
        <v>5226</v>
      </c>
      <c r="C114" s="109">
        <v>2085</v>
      </c>
      <c r="D114" s="123">
        <f t="shared" si="7"/>
        <v>-60.1</v>
      </c>
      <c r="E114" s="336">
        <f>IFERROR(100/'Skjema total MA'!C114*C114,0)</f>
        <v>2.0384491596114493</v>
      </c>
      <c r="F114" s="36"/>
      <c r="G114" s="109"/>
      <c r="H114" s="123"/>
      <c r="I114" s="336"/>
      <c r="J114" s="36">
        <f t="shared" ref="J114:K122" si="11">SUM(B114,F114)</f>
        <v>5226</v>
      </c>
      <c r="K114" s="36">
        <f t="shared" si="11"/>
        <v>2085</v>
      </c>
      <c r="L114" s="207">
        <f t="shared" si="9"/>
        <v>-60.1</v>
      </c>
      <c r="M114" s="23">
        <f>IFERROR(100/'Skjema total MA'!I114*K114,0)</f>
        <v>2.0384491596114493</v>
      </c>
    </row>
    <row r="115" spans="1:13" x14ac:dyDescent="0.2">
      <c r="A115" s="241" t="s">
        <v>15</v>
      </c>
      <c r="B115" s="229"/>
      <c r="C115" s="229"/>
      <c r="D115" s="123"/>
      <c r="E115" s="336"/>
      <c r="F115" s="229"/>
      <c r="G115" s="229"/>
      <c r="H115" s="123"/>
      <c r="I115" s="336"/>
      <c r="J115" s="238"/>
      <c r="K115" s="238"/>
      <c r="L115" s="123"/>
      <c r="M115" s="20"/>
    </row>
    <row r="116" spans="1:13" ht="15.75" x14ac:dyDescent="0.2">
      <c r="A116" s="18" t="s">
        <v>344</v>
      </c>
      <c r="B116" s="182"/>
      <c r="C116" s="182"/>
      <c r="D116" s="123"/>
      <c r="E116" s="336"/>
      <c r="F116" s="36"/>
      <c r="G116" s="182"/>
      <c r="H116" s="123"/>
      <c r="I116" s="336"/>
      <c r="J116" s="36"/>
      <c r="K116" s="36"/>
      <c r="L116" s="207"/>
      <c r="M116" s="23"/>
    </row>
    <row r="117" spans="1:13" ht="15.75" x14ac:dyDescent="0.2">
      <c r="A117" s="18" t="s">
        <v>382</v>
      </c>
      <c r="B117" s="182"/>
      <c r="C117" s="182"/>
      <c r="D117" s="123"/>
      <c r="E117" s="336"/>
      <c r="F117" s="36"/>
      <c r="G117" s="182"/>
      <c r="H117" s="123"/>
      <c r="I117" s="336"/>
      <c r="J117" s="36"/>
      <c r="K117" s="36"/>
      <c r="L117" s="207"/>
      <c r="M117" s="23"/>
    </row>
    <row r="118" spans="1:13" ht="15.75" x14ac:dyDescent="0.2">
      <c r="A118" s="18" t="s">
        <v>343</v>
      </c>
      <c r="B118" s="182"/>
      <c r="C118" s="182"/>
      <c r="D118" s="123"/>
      <c r="E118" s="336"/>
      <c r="F118" s="36"/>
      <c r="G118" s="182"/>
      <c r="H118" s="123"/>
      <c r="I118" s="336"/>
      <c r="J118" s="36"/>
      <c r="K118" s="36"/>
      <c r="L118" s="207"/>
      <c r="M118" s="23"/>
    </row>
    <row r="119" spans="1:13" ht="15.75" x14ac:dyDescent="0.2">
      <c r="A119" s="10" t="s">
        <v>325</v>
      </c>
      <c r="B119" s="251">
        <v>2959</v>
      </c>
      <c r="C119" s="118">
        <v>3002</v>
      </c>
      <c r="D119" s="127">
        <f t="shared" si="7"/>
        <v>1.5</v>
      </c>
      <c r="E119" s="350">
        <f>IFERROR(100/'Skjema total MA'!C119*C119,0)</f>
        <v>0.81589561727608384</v>
      </c>
      <c r="F119" s="184"/>
      <c r="G119" s="118"/>
      <c r="H119" s="127"/>
      <c r="I119" s="350"/>
      <c r="J119" s="184">
        <f t="shared" si="11"/>
        <v>2959</v>
      </c>
      <c r="K119" s="184">
        <f t="shared" si="11"/>
        <v>3002</v>
      </c>
      <c r="L119" s="344">
        <f t="shared" si="9"/>
        <v>1.5</v>
      </c>
      <c r="M119" s="8">
        <f>IFERROR(100/'Skjema total MA'!I119*K119,0)</f>
        <v>8.0344901878473176E-3</v>
      </c>
    </row>
    <row r="120" spans="1:13" x14ac:dyDescent="0.2">
      <c r="A120" s="18" t="s">
        <v>9</v>
      </c>
      <c r="B120" s="182"/>
      <c r="C120" s="109"/>
      <c r="D120" s="123"/>
      <c r="E120" s="336"/>
      <c r="F120" s="36"/>
      <c r="G120" s="109"/>
      <c r="H120" s="123"/>
      <c r="I120" s="336"/>
      <c r="J120" s="36"/>
      <c r="K120" s="36"/>
      <c r="L120" s="207"/>
      <c r="M120" s="23"/>
    </row>
    <row r="121" spans="1:13" x14ac:dyDescent="0.2">
      <c r="A121" s="18" t="s">
        <v>10</v>
      </c>
      <c r="B121" s="182"/>
      <c r="C121" s="109"/>
      <c r="D121" s="123"/>
      <c r="E121" s="336"/>
      <c r="F121" s="36"/>
      <c r="G121" s="109"/>
      <c r="H121" s="123"/>
      <c r="I121" s="336"/>
      <c r="J121" s="36"/>
      <c r="K121" s="36"/>
      <c r="L121" s="207"/>
      <c r="M121" s="23"/>
    </row>
    <row r="122" spans="1:13" x14ac:dyDescent="0.2">
      <c r="A122" s="18" t="s">
        <v>26</v>
      </c>
      <c r="B122" s="182">
        <v>2959</v>
      </c>
      <c r="C122" s="109">
        <v>3002</v>
      </c>
      <c r="D122" s="123">
        <f t="shared" si="7"/>
        <v>1.5</v>
      </c>
      <c r="E122" s="336">
        <f>IFERROR(100/'Skjema total MA'!C122*C122,0)</f>
        <v>1.3232487788677223</v>
      </c>
      <c r="F122" s="36"/>
      <c r="G122" s="109"/>
      <c r="H122" s="123"/>
      <c r="I122" s="336"/>
      <c r="J122" s="36">
        <f t="shared" si="11"/>
        <v>2959</v>
      </c>
      <c r="K122" s="36">
        <f t="shared" si="11"/>
        <v>3002</v>
      </c>
      <c r="L122" s="207">
        <f t="shared" si="9"/>
        <v>1.5</v>
      </c>
      <c r="M122" s="23">
        <f>IFERROR(100/'Skjema total MA'!I122*K122,0)</f>
        <v>1.3232487788677223</v>
      </c>
    </row>
    <row r="123" spans="1:13" x14ac:dyDescent="0.2">
      <c r="A123" s="241" t="s">
        <v>14</v>
      </c>
      <c r="B123" s="251"/>
      <c r="C123" s="251"/>
      <c r="D123" s="123"/>
      <c r="E123" s="336"/>
      <c r="F123" s="184"/>
      <c r="G123" s="251"/>
      <c r="H123" s="123"/>
      <c r="I123" s="336"/>
      <c r="J123" s="238"/>
      <c r="K123" s="238"/>
      <c r="L123" s="123"/>
      <c r="M123" s="20"/>
    </row>
    <row r="124" spans="1:13" ht="15.75" x14ac:dyDescent="0.2">
      <c r="A124" s="18" t="s">
        <v>349</v>
      </c>
      <c r="B124" s="182"/>
      <c r="C124" s="182"/>
      <c r="D124" s="123"/>
      <c r="E124" s="336"/>
      <c r="F124" s="36"/>
      <c r="G124" s="182"/>
      <c r="H124" s="123"/>
      <c r="I124" s="336"/>
      <c r="J124" s="36"/>
      <c r="K124" s="36"/>
      <c r="L124" s="207"/>
      <c r="M124" s="23"/>
    </row>
    <row r="125" spans="1:13" ht="15.75" x14ac:dyDescent="0.2">
      <c r="A125" s="18" t="s">
        <v>382</v>
      </c>
      <c r="B125" s="182"/>
      <c r="C125" s="182"/>
      <c r="D125" s="123"/>
      <c r="E125" s="336"/>
      <c r="F125" s="36"/>
      <c r="G125" s="182"/>
      <c r="H125" s="123"/>
      <c r="I125" s="336"/>
      <c r="J125" s="36"/>
      <c r="K125" s="36"/>
      <c r="L125" s="207"/>
      <c r="M125" s="23"/>
    </row>
    <row r="126" spans="1:13" ht="15.75" x14ac:dyDescent="0.2">
      <c r="A126" s="7" t="s">
        <v>343</v>
      </c>
      <c r="B126" s="37"/>
      <c r="C126" s="37"/>
      <c r="D126" s="124"/>
      <c r="E126" s="552"/>
      <c r="F126" s="37"/>
      <c r="G126" s="37"/>
      <c r="H126" s="124"/>
      <c r="I126" s="553"/>
      <c r="J126" s="37"/>
      <c r="K126" s="37"/>
      <c r="L126" s="208"/>
      <c r="M126" s="19"/>
    </row>
    <row r="127" spans="1:13" x14ac:dyDescent="0.2">
      <c r="A127" s="115"/>
    </row>
    <row r="129" spans="1:15" ht="15.75" x14ac:dyDescent="0.25">
      <c r="A129" s="110" t="s">
        <v>27</v>
      </c>
    </row>
    <row r="130" spans="1:15" ht="15.75" x14ac:dyDescent="0.25">
      <c r="B130" s="580"/>
      <c r="C130" s="580"/>
      <c r="D130" s="580"/>
      <c r="E130" s="243"/>
      <c r="F130" s="580"/>
      <c r="G130" s="580"/>
      <c r="H130" s="580"/>
      <c r="I130" s="243"/>
      <c r="J130" s="580"/>
      <c r="K130" s="580"/>
      <c r="L130" s="580"/>
      <c r="M130" s="243"/>
    </row>
    <row r="131" spans="1:15" x14ac:dyDescent="0.2">
      <c r="A131" s="108"/>
      <c r="B131" s="581" t="s">
        <v>0</v>
      </c>
      <c r="C131" s="582"/>
      <c r="D131" s="582"/>
      <c r="E131" s="245"/>
      <c r="F131" s="581" t="s">
        <v>1</v>
      </c>
      <c r="G131" s="582"/>
      <c r="H131" s="582"/>
      <c r="I131" s="247"/>
      <c r="J131" s="581" t="s">
        <v>2</v>
      </c>
      <c r="K131" s="582"/>
      <c r="L131" s="582"/>
      <c r="M131" s="247"/>
    </row>
    <row r="132" spans="1:15" x14ac:dyDescent="0.2">
      <c r="A132" s="105"/>
      <c r="B132" s="113" t="s">
        <v>417</v>
      </c>
      <c r="C132" s="113" t="s">
        <v>418</v>
      </c>
      <c r="D132" s="194" t="s">
        <v>3</v>
      </c>
      <c r="E132" s="248" t="s">
        <v>29</v>
      </c>
      <c r="F132" s="113" t="s">
        <v>417</v>
      </c>
      <c r="G132" s="113" t="s">
        <v>418</v>
      </c>
      <c r="H132" s="158" t="s">
        <v>3</v>
      </c>
      <c r="I132" s="121" t="s">
        <v>29</v>
      </c>
      <c r="J132" s="195" t="s">
        <v>417</v>
      </c>
      <c r="K132" s="195" t="s">
        <v>418</v>
      </c>
      <c r="L132" s="196" t="s">
        <v>3</v>
      </c>
      <c r="M132" s="121" t="s">
        <v>29</v>
      </c>
    </row>
    <row r="133" spans="1:15" x14ac:dyDescent="0.2">
      <c r="A133" s="546"/>
      <c r="B133" s="116"/>
      <c r="C133" s="116"/>
      <c r="D133" s="196" t="s">
        <v>4</v>
      </c>
      <c r="E133" s="116" t="s">
        <v>30</v>
      </c>
      <c r="F133" s="120"/>
      <c r="G133" s="120"/>
      <c r="H133" s="158" t="s">
        <v>4</v>
      </c>
      <c r="I133" s="116" t="s">
        <v>30</v>
      </c>
      <c r="J133" s="116"/>
      <c r="K133" s="116"/>
      <c r="L133" s="111" t="s">
        <v>4</v>
      </c>
      <c r="M133" s="116" t="s">
        <v>30</v>
      </c>
    </row>
    <row r="134" spans="1:15" ht="15.75" x14ac:dyDescent="0.2">
      <c r="A134" s="11" t="s">
        <v>345</v>
      </c>
      <c r="B134" s="184"/>
      <c r="C134" s="252"/>
      <c r="D134" s="286"/>
      <c r="E134" s="8"/>
      <c r="F134" s="259"/>
      <c r="G134" s="260"/>
      <c r="H134" s="347"/>
      <c r="I134" s="21"/>
      <c r="J134" s="261"/>
      <c r="K134" s="261"/>
      <c r="L134" s="343"/>
      <c r="M134" s="8"/>
    </row>
    <row r="135" spans="1:15" ht="15.75" x14ac:dyDescent="0.2">
      <c r="A135" s="10" t="s">
        <v>350</v>
      </c>
      <c r="B135" s="184"/>
      <c r="C135" s="252"/>
      <c r="D135" s="127"/>
      <c r="E135" s="8"/>
      <c r="F135" s="184"/>
      <c r="G135" s="252"/>
      <c r="H135" s="348"/>
      <c r="I135" s="21"/>
      <c r="J135" s="251"/>
      <c r="K135" s="251"/>
      <c r="L135" s="344"/>
      <c r="M135" s="8"/>
    </row>
    <row r="136" spans="1:15" ht="15.75" x14ac:dyDescent="0.2">
      <c r="A136" s="10" t="s">
        <v>347</v>
      </c>
      <c r="B136" s="184"/>
      <c r="C136" s="252"/>
      <c r="D136" s="127"/>
      <c r="E136" s="8"/>
      <c r="F136" s="184"/>
      <c r="G136" s="252"/>
      <c r="H136" s="348"/>
      <c r="I136" s="21"/>
      <c r="J136" s="251"/>
      <c r="K136" s="251"/>
      <c r="L136" s="344"/>
      <c r="M136" s="8"/>
    </row>
    <row r="137" spans="1:15" ht="15.75" x14ac:dyDescent="0.2">
      <c r="A137" s="33" t="s">
        <v>348</v>
      </c>
      <c r="B137" s="224"/>
      <c r="C137" s="258"/>
      <c r="D137" s="125"/>
      <c r="E137" s="6"/>
      <c r="F137" s="224"/>
      <c r="G137" s="258"/>
      <c r="H137" s="349"/>
      <c r="I137" s="30"/>
      <c r="J137" s="257"/>
      <c r="K137" s="257"/>
      <c r="L137" s="345"/>
      <c r="M137" s="30"/>
    </row>
    <row r="138" spans="1:15" x14ac:dyDescent="0.2">
      <c r="A138" s="107"/>
      <c r="B138" s="27"/>
      <c r="C138" s="27"/>
      <c r="D138" s="118"/>
      <c r="E138" s="118"/>
      <c r="F138" s="27"/>
      <c r="G138" s="27"/>
      <c r="H138" s="118"/>
      <c r="I138" s="118"/>
      <c r="J138" s="27"/>
      <c r="K138" s="27"/>
      <c r="L138" s="118"/>
      <c r="M138" s="118"/>
    </row>
    <row r="139" spans="1:15" x14ac:dyDescent="0.2">
      <c r="A139" s="107"/>
      <c r="B139" s="27"/>
      <c r="C139" s="27"/>
      <c r="D139" s="118"/>
      <c r="E139" s="118"/>
      <c r="F139" s="27"/>
      <c r="G139" s="27"/>
      <c r="H139" s="118"/>
      <c r="I139" s="118"/>
      <c r="J139" s="27"/>
      <c r="K139" s="27"/>
      <c r="L139" s="118"/>
      <c r="M139" s="118"/>
    </row>
    <row r="140" spans="1:15" x14ac:dyDescent="0.2">
      <c r="A140" s="107"/>
      <c r="B140" s="27"/>
      <c r="C140" s="27"/>
      <c r="D140" s="118"/>
      <c r="E140" s="118"/>
      <c r="F140" s="27"/>
      <c r="G140" s="27"/>
      <c r="H140" s="118"/>
      <c r="I140" s="118"/>
      <c r="J140" s="27"/>
      <c r="K140" s="27"/>
      <c r="L140" s="118"/>
      <c r="M140" s="118"/>
    </row>
    <row r="142" spans="1:15" ht="15.75" x14ac:dyDescent="0.25">
      <c r="B142" s="106"/>
      <c r="C142" s="106"/>
      <c r="D142" s="106"/>
      <c r="E142" s="106"/>
      <c r="F142" s="106"/>
      <c r="G142" s="106"/>
      <c r="H142" s="106"/>
      <c r="I142" s="106"/>
      <c r="J142" s="106"/>
      <c r="K142" s="106"/>
      <c r="L142" s="106"/>
      <c r="M142" s="106"/>
      <c r="N142" s="106"/>
    </row>
    <row r="143" spans="1:15" ht="15.75" x14ac:dyDescent="0.25">
      <c r="B143" s="106"/>
      <c r="C143" s="106"/>
      <c r="D143" s="106"/>
      <c r="E143" s="106"/>
      <c r="F143" s="106"/>
      <c r="G143" s="106"/>
      <c r="H143" s="106"/>
      <c r="I143" s="106"/>
      <c r="J143" s="106"/>
      <c r="K143" s="106"/>
      <c r="L143" s="106"/>
      <c r="M143" s="106"/>
      <c r="N143" s="106"/>
      <c r="O143" s="106"/>
    </row>
    <row r="144" spans="1:15" ht="15.75" x14ac:dyDescent="0.25">
      <c r="B144" s="106"/>
      <c r="C144" s="106"/>
      <c r="D144" s="106"/>
      <c r="E144" s="106"/>
      <c r="F144" s="106"/>
      <c r="G144" s="106"/>
      <c r="H144" s="106"/>
      <c r="I144" s="106"/>
      <c r="J144" s="106"/>
      <c r="K144" s="106"/>
      <c r="L144" s="106"/>
      <c r="M144" s="106"/>
      <c r="N144" s="106"/>
      <c r="O144" s="106"/>
    </row>
  </sheetData>
  <mergeCells count="31">
    <mergeCell ref="B2:D2"/>
    <mergeCell ref="F2:H2"/>
    <mergeCell ref="J2:L2"/>
    <mergeCell ref="B4:D4"/>
    <mergeCell ref="F4:H4"/>
    <mergeCell ref="J4:L4"/>
    <mergeCell ref="B18:D18"/>
    <mergeCell ref="F18:H18"/>
    <mergeCell ref="J18:L18"/>
    <mergeCell ref="B19:D19"/>
    <mergeCell ref="F19:H19"/>
    <mergeCell ref="J19:L19"/>
    <mergeCell ref="D40:F40"/>
    <mergeCell ref="G40:I40"/>
    <mergeCell ref="J40:L40"/>
    <mergeCell ref="B42:D42"/>
    <mergeCell ref="F42:H42"/>
    <mergeCell ref="J42:L42"/>
    <mergeCell ref="B44:D44"/>
    <mergeCell ref="B62:D62"/>
    <mergeCell ref="F62:H62"/>
    <mergeCell ref="J62:L62"/>
    <mergeCell ref="B63:D63"/>
    <mergeCell ref="F63:H63"/>
    <mergeCell ref="J63:L63"/>
    <mergeCell ref="B130:D130"/>
    <mergeCell ref="F130:H130"/>
    <mergeCell ref="J130:L130"/>
    <mergeCell ref="B131:D131"/>
    <mergeCell ref="F131:H131"/>
    <mergeCell ref="J131:L131"/>
  </mergeCells>
  <conditionalFormatting sqref="B115">
    <cfRule type="expression" dxfId="205" priority="42">
      <formula>kvartal &lt; 4</formula>
    </cfRule>
  </conditionalFormatting>
  <conditionalFormatting sqref="C115">
    <cfRule type="expression" dxfId="204" priority="41">
      <formula>kvartal &lt; 4</formula>
    </cfRule>
  </conditionalFormatting>
  <conditionalFormatting sqref="F115">
    <cfRule type="expression" dxfId="203" priority="28">
      <formula>kvartal &lt; 4</formula>
    </cfRule>
  </conditionalFormatting>
  <conditionalFormatting sqref="G115">
    <cfRule type="expression" dxfId="202" priority="27">
      <formula>kvartal &lt; 4</formula>
    </cfRule>
  </conditionalFormatting>
  <conditionalFormatting sqref="J115:K115">
    <cfRule type="expression" dxfId="201" priority="9">
      <formula>kvartal &lt; 4</formula>
    </cfRule>
  </conditionalFormatting>
  <conditionalFormatting sqref="J123:K123">
    <cfRule type="expression" dxfId="200" priority="8">
      <formula>kvartal &lt; 4</formula>
    </cfRule>
  </conditionalFormatting>
  <conditionalFormatting sqref="A50:A52">
    <cfRule type="expression" dxfId="199" priority="7">
      <formula>kvartal &lt; 4</formula>
    </cfRule>
  </conditionalFormatting>
  <conditionalFormatting sqref="A69:A74">
    <cfRule type="expression" dxfId="198" priority="6">
      <formula>kvartal &lt; 4</formula>
    </cfRule>
  </conditionalFormatting>
  <conditionalFormatting sqref="A80:A85">
    <cfRule type="expression" dxfId="197" priority="5">
      <formula>kvartal &lt; 4</formula>
    </cfRule>
  </conditionalFormatting>
  <conditionalFormatting sqref="A90:A95">
    <cfRule type="expression" dxfId="196" priority="4">
      <formula>kvartal &lt; 4</formula>
    </cfRule>
  </conditionalFormatting>
  <conditionalFormatting sqref="A101:A106">
    <cfRule type="expression" dxfId="195" priority="3">
      <formula>kvartal &lt; 4</formula>
    </cfRule>
  </conditionalFormatting>
  <conditionalFormatting sqref="A115">
    <cfRule type="expression" dxfId="194" priority="2">
      <formula>kvartal &lt; 4</formula>
    </cfRule>
  </conditionalFormatting>
  <conditionalFormatting sqref="A123">
    <cfRule type="expression" dxfId="193"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E6044-2CB6-449D-AC95-3178BBB2285A}">
  <dimension ref="A1:AK62"/>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123.5703125" style="366" customWidth="1"/>
    <col min="2" max="37" width="11.7109375" style="366" customWidth="1"/>
    <col min="38" max="16384" width="11.42578125" style="366"/>
  </cols>
  <sheetData>
    <row r="1" spans="1:37" ht="20.25" x14ac:dyDescent="0.3">
      <c r="A1" s="369" t="s">
        <v>256</v>
      </c>
      <c r="B1" s="370"/>
      <c r="C1" s="370"/>
      <c r="D1" s="370"/>
      <c r="E1" s="370"/>
      <c r="F1" s="370"/>
      <c r="G1" s="370"/>
      <c r="H1" s="370"/>
      <c r="I1" s="370"/>
      <c r="J1" s="370"/>
    </row>
    <row r="2" spans="1:37" ht="20.25" x14ac:dyDescent="0.3">
      <c r="A2" s="369" t="s">
        <v>228</v>
      </c>
      <c r="B2" s="486"/>
      <c r="C2" s="486"/>
      <c r="D2" s="487"/>
      <c r="E2" s="487"/>
      <c r="F2" s="488"/>
      <c r="G2" s="367"/>
      <c r="H2" s="367"/>
      <c r="I2" s="367"/>
      <c r="J2" s="367"/>
      <c r="K2" s="367"/>
      <c r="L2" s="367"/>
      <c r="M2" s="367"/>
      <c r="N2" s="367"/>
      <c r="O2" s="367"/>
      <c r="P2" s="367"/>
      <c r="Q2" s="367"/>
      <c r="R2" s="367"/>
      <c r="S2" s="367"/>
      <c r="T2" s="367"/>
      <c r="U2" s="367"/>
      <c r="V2" s="367"/>
      <c r="W2" s="367"/>
      <c r="X2" s="367"/>
      <c r="Y2" s="367"/>
      <c r="Z2" s="367"/>
      <c r="AA2" s="489"/>
      <c r="AB2" s="367"/>
      <c r="AC2" s="367"/>
      <c r="AD2" s="489"/>
      <c r="AE2" s="367"/>
      <c r="AF2" s="367"/>
      <c r="AG2" s="367"/>
      <c r="AH2" s="367"/>
      <c r="AI2" s="367"/>
      <c r="AJ2" s="367"/>
      <c r="AK2" s="367"/>
    </row>
    <row r="3" spans="1:37" ht="18.75" x14ac:dyDescent="0.3">
      <c r="A3" s="490" t="s">
        <v>257</v>
      </c>
      <c r="B3" s="491"/>
      <c r="C3" s="491"/>
      <c r="D3" s="491"/>
      <c r="E3" s="487"/>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row>
    <row r="4" spans="1:37" ht="18.75" customHeight="1" x14ac:dyDescent="0.25">
      <c r="A4" s="492" t="s">
        <v>364</v>
      </c>
      <c r="B4" s="493"/>
      <c r="C4" s="494"/>
      <c r="D4" s="495"/>
      <c r="E4" s="493"/>
      <c r="F4" s="494"/>
      <c r="G4" s="495"/>
      <c r="H4" s="493"/>
      <c r="I4" s="494"/>
      <c r="J4" s="495"/>
      <c r="K4" s="372"/>
      <c r="L4" s="372"/>
      <c r="M4" s="372"/>
      <c r="N4" s="373"/>
      <c r="O4" s="372"/>
      <c r="P4" s="374"/>
      <c r="Q4" s="373"/>
      <c r="R4" s="372"/>
      <c r="S4" s="374"/>
      <c r="T4" s="373"/>
      <c r="U4" s="372"/>
      <c r="V4" s="374"/>
      <c r="W4" s="373"/>
      <c r="X4" s="372"/>
      <c r="Y4" s="374"/>
      <c r="Z4" s="373"/>
      <c r="AA4" s="372"/>
      <c r="AB4" s="374"/>
      <c r="AC4" s="373"/>
      <c r="AD4" s="372"/>
      <c r="AE4" s="374"/>
      <c r="AF4" s="496"/>
      <c r="AG4" s="497"/>
      <c r="AH4" s="498"/>
      <c r="AI4" s="373"/>
      <c r="AJ4" s="372"/>
      <c r="AK4" s="499"/>
    </row>
    <row r="5" spans="1:37" ht="18.75" customHeight="1" x14ac:dyDescent="0.3">
      <c r="A5" s="430" t="s">
        <v>94</v>
      </c>
      <c r="B5" s="589" t="s">
        <v>157</v>
      </c>
      <c r="C5" s="590"/>
      <c r="D5" s="591"/>
      <c r="E5" s="589"/>
      <c r="F5" s="590"/>
      <c r="G5" s="591"/>
      <c r="H5" s="589" t="s">
        <v>158</v>
      </c>
      <c r="I5" s="590"/>
      <c r="J5" s="591"/>
      <c r="K5" s="589" t="s">
        <v>159</v>
      </c>
      <c r="L5" s="590"/>
      <c r="M5" s="591"/>
      <c r="N5" s="589"/>
      <c r="O5" s="590"/>
      <c r="P5" s="591"/>
      <c r="Q5" s="534"/>
      <c r="R5" s="535"/>
      <c r="S5" s="536"/>
      <c r="T5" s="589" t="s">
        <v>161</v>
      </c>
      <c r="U5" s="590"/>
      <c r="V5" s="591"/>
      <c r="W5" s="589" t="s">
        <v>65</v>
      </c>
      <c r="X5" s="590"/>
      <c r="Y5" s="591"/>
      <c r="Z5" s="589" t="s">
        <v>68</v>
      </c>
      <c r="AA5" s="590"/>
      <c r="AB5" s="591"/>
      <c r="AC5" s="589" t="s">
        <v>373</v>
      </c>
      <c r="AD5" s="590"/>
      <c r="AE5" s="591"/>
      <c r="AF5" s="589" t="s">
        <v>2</v>
      </c>
      <c r="AG5" s="590"/>
      <c r="AH5" s="591"/>
      <c r="AI5" s="589" t="s">
        <v>258</v>
      </c>
      <c r="AJ5" s="590"/>
      <c r="AK5" s="591"/>
    </row>
    <row r="6" spans="1:37" ht="21" customHeight="1" x14ac:dyDescent="0.3">
      <c r="A6" s="431"/>
      <c r="B6" s="586" t="s">
        <v>163</v>
      </c>
      <c r="C6" s="587"/>
      <c r="D6" s="588"/>
      <c r="E6" s="586" t="s">
        <v>357</v>
      </c>
      <c r="F6" s="587"/>
      <c r="G6" s="588"/>
      <c r="H6" s="586" t="s">
        <v>163</v>
      </c>
      <c r="I6" s="587"/>
      <c r="J6" s="588"/>
      <c r="K6" s="586" t="s">
        <v>164</v>
      </c>
      <c r="L6" s="587"/>
      <c r="M6" s="588"/>
      <c r="N6" s="586" t="s">
        <v>61</v>
      </c>
      <c r="O6" s="587"/>
      <c r="P6" s="588"/>
      <c r="Q6" s="586" t="s">
        <v>63</v>
      </c>
      <c r="R6" s="587"/>
      <c r="S6" s="588"/>
      <c r="T6" s="586" t="s">
        <v>162</v>
      </c>
      <c r="U6" s="587"/>
      <c r="V6" s="588"/>
      <c r="W6" s="586" t="s">
        <v>369</v>
      </c>
      <c r="X6" s="587"/>
      <c r="Y6" s="588"/>
      <c r="Z6" s="586" t="s">
        <v>163</v>
      </c>
      <c r="AA6" s="587"/>
      <c r="AB6" s="588"/>
      <c r="AC6" s="586" t="s">
        <v>163</v>
      </c>
      <c r="AD6" s="587"/>
      <c r="AE6" s="588"/>
      <c r="AF6" s="586" t="s">
        <v>259</v>
      </c>
      <c r="AG6" s="587"/>
      <c r="AH6" s="588"/>
      <c r="AI6" s="586" t="s">
        <v>260</v>
      </c>
      <c r="AJ6" s="587"/>
      <c r="AK6" s="588"/>
    </row>
    <row r="7" spans="1:37" ht="18.75" customHeight="1" x14ac:dyDescent="0.3">
      <c r="A7" s="431"/>
      <c r="B7" s="431"/>
      <c r="C7" s="431"/>
      <c r="D7" s="432" t="s">
        <v>76</v>
      </c>
      <c r="E7" s="431"/>
      <c r="F7" s="431"/>
      <c r="G7" s="432" t="s">
        <v>76</v>
      </c>
      <c r="H7" s="431"/>
      <c r="I7" s="431"/>
      <c r="J7" s="432" t="s">
        <v>76</v>
      </c>
      <c r="K7" s="431"/>
      <c r="L7" s="431"/>
      <c r="M7" s="432" t="s">
        <v>76</v>
      </c>
      <c r="N7" s="431"/>
      <c r="O7" s="431"/>
      <c r="P7" s="432" t="s">
        <v>76</v>
      </c>
      <c r="Q7" s="431"/>
      <c r="R7" s="431"/>
      <c r="S7" s="432" t="s">
        <v>76</v>
      </c>
      <c r="T7" s="431"/>
      <c r="U7" s="431"/>
      <c r="V7" s="432" t="s">
        <v>76</v>
      </c>
      <c r="W7" s="431"/>
      <c r="X7" s="431"/>
      <c r="Y7" s="432" t="s">
        <v>76</v>
      </c>
      <c r="Z7" s="431"/>
      <c r="AA7" s="431"/>
      <c r="AB7" s="432" t="s">
        <v>76</v>
      </c>
      <c r="AC7" s="431"/>
      <c r="AD7" s="431"/>
      <c r="AE7" s="432" t="s">
        <v>76</v>
      </c>
      <c r="AF7" s="431"/>
      <c r="AG7" s="431"/>
      <c r="AH7" s="432" t="s">
        <v>76</v>
      </c>
      <c r="AI7" s="431"/>
      <c r="AJ7" s="431"/>
      <c r="AK7" s="432" t="s">
        <v>76</v>
      </c>
    </row>
    <row r="8" spans="1:37" ht="18.75" customHeight="1" x14ac:dyDescent="0.25">
      <c r="A8" s="433" t="s">
        <v>261</v>
      </c>
      <c r="B8" s="421">
        <v>2024</v>
      </c>
      <c r="C8" s="421">
        <v>2025</v>
      </c>
      <c r="D8" s="434" t="s">
        <v>78</v>
      </c>
      <c r="E8" s="421">
        <f>$B$8</f>
        <v>2024</v>
      </c>
      <c r="F8" s="421">
        <f>$C$8</f>
        <v>2025</v>
      </c>
      <c r="G8" s="434" t="s">
        <v>78</v>
      </c>
      <c r="H8" s="421">
        <f>$B$8</f>
        <v>2024</v>
      </c>
      <c r="I8" s="421">
        <f>$C$8</f>
        <v>2025</v>
      </c>
      <c r="J8" s="434" t="s">
        <v>78</v>
      </c>
      <c r="K8" s="421">
        <f>$B$8</f>
        <v>2024</v>
      </c>
      <c r="L8" s="421">
        <f>$C$8</f>
        <v>2025</v>
      </c>
      <c r="M8" s="434" t="s">
        <v>78</v>
      </c>
      <c r="N8" s="421">
        <f>$B$8</f>
        <v>2024</v>
      </c>
      <c r="O8" s="421">
        <f>$C$8</f>
        <v>2025</v>
      </c>
      <c r="P8" s="434" t="s">
        <v>78</v>
      </c>
      <c r="Q8" s="421">
        <f>$B$8</f>
        <v>2024</v>
      </c>
      <c r="R8" s="421">
        <f>$C$8</f>
        <v>2025</v>
      </c>
      <c r="S8" s="434" t="s">
        <v>78</v>
      </c>
      <c r="T8" s="421">
        <f>$B$8</f>
        <v>2024</v>
      </c>
      <c r="U8" s="421">
        <f>$C$8</f>
        <v>2025</v>
      </c>
      <c r="V8" s="434" t="s">
        <v>78</v>
      </c>
      <c r="W8" s="421">
        <f>$B$8</f>
        <v>2024</v>
      </c>
      <c r="X8" s="421">
        <f>$C$8</f>
        <v>2025</v>
      </c>
      <c r="Y8" s="434" t="s">
        <v>78</v>
      </c>
      <c r="Z8" s="421">
        <f>$B$8</f>
        <v>2024</v>
      </c>
      <c r="AA8" s="421">
        <f>$C$8</f>
        <v>2025</v>
      </c>
      <c r="AB8" s="434" t="s">
        <v>78</v>
      </c>
      <c r="AC8" s="421">
        <f>$B$8</f>
        <v>2024</v>
      </c>
      <c r="AD8" s="421">
        <f>$C$8</f>
        <v>2025</v>
      </c>
      <c r="AE8" s="434" t="s">
        <v>78</v>
      </c>
      <c r="AF8" s="421">
        <f>$B$8</f>
        <v>2024</v>
      </c>
      <c r="AG8" s="421">
        <f>$C$8</f>
        <v>2025</v>
      </c>
      <c r="AH8" s="434" t="s">
        <v>78</v>
      </c>
      <c r="AI8" s="421">
        <f>$B$8</f>
        <v>2024</v>
      </c>
      <c r="AJ8" s="421">
        <f>$C$8</f>
        <v>2025</v>
      </c>
      <c r="AK8" s="434" t="s">
        <v>78</v>
      </c>
    </row>
    <row r="9" spans="1:37" ht="18.75" customHeight="1" x14ac:dyDescent="0.3">
      <c r="A9" s="431" t="s">
        <v>262</v>
      </c>
      <c r="B9" s="389"/>
      <c r="C9" s="389"/>
      <c r="D9" s="391"/>
      <c r="E9" s="528"/>
      <c r="F9" s="389"/>
      <c r="G9" s="391"/>
      <c r="H9" s="528"/>
      <c r="I9" s="389"/>
      <c r="J9" s="391"/>
      <c r="K9" s="528"/>
      <c r="L9" s="389"/>
      <c r="M9" s="389"/>
      <c r="N9" s="539"/>
      <c r="O9" s="391"/>
      <c r="P9" s="391"/>
      <c r="Q9" s="528"/>
      <c r="R9" s="389"/>
      <c r="S9" s="391"/>
      <c r="T9" s="539"/>
      <c r="U9" s="391"/>
      <c r="V9" s="391"/>
      <c r="W9" s="389"/>
      <c r="X9" s="389"/>
      <c r="Y9" s="391"/>
      <c r="Z9" s="528"/>
      <c r="AA9" s="389"/>
      <c r="AB9" s="391"/>
      <c r="AC9" s="528"/>
      <c r="AD9" s="389"/>
      <c r="AE9" s="391"/>
      <c r="AF9" s="391"/>
      <c r="AG9" s="391"/>
      <c r="AH9" s="391"/>
      <c r="AI9" s="435"/>
      <c r="AJ9" s="435"/>
      <c r="AK9" s="435"/>
    </row>
    <row r="10" spans="1:37" s="367" customFormat="1" ht="18.75" customHeight="1" x14ac:dyDescent="0.3">
      <c r="A10" s="429" t="s">
        <v>388</v>
      </c>
      <c r="B10" s="352"/>
      <c r="C10" s="352"/>
      <c r="D10" s="278"/>
      <c r="E10" s="436"/>
      <c r="F10" s="352"/>
      <c r="G10" s="278"/>
      <c r="H10" s="436"/>
      <c r="I10" s="352"/>
      <c r="J10" s="278"/>
      <c r="K10" s="436"/>
      <c r="L10" s="352"/>
      <c r="M10" s="352"/>
      <c r="N10" s="437"/>
      <c r="O10" s="278"/>
      <c r="P10" s="278"/>
      <c r="Q10" s="436"/>
      <c r="R10" s="352"/>
      <c r="S10" s="278"/>
      <c r="T10" s="437"/>
      <c r="U10" s="278"/>
      <c r="V10" s="278"/>
      <c r="W10" s="352"/>
      <c r="X10" s="352"/>
      <c r="Y10" s="278"/>
      <c r="Z10" s="436"/>
      <c r="AA10" s="352"/>
      <c r="AB10" s="278"/>
      <c r="AC10" s="436"/>
      <c r="AD10" s="352"/>
      <c r="AE10" s="278"/>
      <c r="AF10" s="278"/>
      <c r="AG10" s="278"/>
      <c r="AH10" s="278"/>
      <c r="AI10" s="438"/>
      <c r="AJ10" s="438"/>
      <c r="AK10" s="438"/>
    </row>
    <row r="11" spans="1:37" s="367" customFormat="1" ht="18.75" customHeight="1" x14ac:dyDescent="0.3">
      <c r="A11" s="429" t="s">
        <v>263</v>
      </c>
      <c r="B11" s="278">
        <v>11044.421</v>
      </c>
      <c r="C11" s="278">
        <v>11787.390176969997</v>
      </c>
      <c r="D11" s="278">
        <f t="shared" ref="D11:D17" si="0">IF(B11=0, "    ---- ", IF(ABS(ROUND(100/B11*C11-100,1))&lt;999,ROUND(100/B11*C11-100,1),IF(ROUND(100/B11*C11-100,1)&gt;999,999,-999)))</f>
        <v>6.7</v>
      </c>
      <c r="E11" s="437">
        <v>2210.6781109499998</v>
      </c>
      <c r="F11" s="278">
        <v>2365.7046519299997</v>
      </c>
      <c r="G11" s="278">
        <f t="shared" ref="G11:G17" si="1">IF(E11=0, "    ---- ", IF(ABS(ROUND(100/E11*F11-100,1))&lt;999,ROUND(100/E11*F11-100,1),IF(ROUND(100/E11*F11-100,1)&gt;999,999,-999)))</f>
        <v>7</v>
      </c>
      <c r="H11" s="437">
        <v>754.69622900000002</v>
      </c>
      <c r="I11" s="278">
        <v>856.86599999999999</v>
      </c>
      <c r="J11" s="278">
        <f t="shared" ref="J11:J15" si="2">IF(H11=0, "    ---- ", IF(ABS(ROUND(100/H11*I11-100,1))&lt;999,ROUND(100/H11*I11-100,1),IF(ROUND(100/H11*I11-100,1)&gt;999,999,-999)))</f>
        <v>13.5</v>
      </c>
      <c r="K11" s="437">
        <v>3770</v>
      </c>
      <c r="L11" s="278">
        <v>4159</v>
      </c>
      <c r="M11" s="278">
        <f t="shared" ref="M11:M17" si="3">IF(K11=0, "    ---- ", IF(ABS(ROUND(100/K11*L11-100,1))&lt;999,ROUND(100/K11*L11-100,1),IF(ROUND(100/K11*L11-100,1)&gt;999,999,-999)))</f>
        <v>10.3</v>
      </c>
      <c r="N11" s="437">
        <v>37256.211964670001</v>
      </c>
      <c r="O11" s="278">
        <v>42670.965330260005</v>
      </c>
      <c r="P11" s="278">
        <f t="shared" ref="P11:P17" si="4">IF(N11=0, "    ---- ", IF(ABS(ROUND(100/N11*O11-100,1))&lt;999,ROUND(100/N11*O11-100,1),IF(ROUND(100/N11*O11-100,1)&gt;999,999,-999)))</f>
        <v>14.5</v>
      </c>
      <c r="Q11" s="437">
        <v>11921.91</v>
      </c>
      <c r="R11" s="278">
        <v>10465.299999999999</v>
      </c>
      <c r="S11" s="278">
        <f t="shared" ref="S11:S17" si="5">IF(Q11=0, "    ---- ", IF(ABS(ROUND(100/Q11*R11-100,1))&lt;999,ROUND(100/Q11*R11-100,1),IF(ROUND(100/Q11*R11-100,1)&gt;999,999,-999)))</f>
        <v>-12.2</v>
      </c>
      <c r="T11" s="437">
        <v>1975</v>
      </c>
      <c r="U11" s="278">
        <v>1994</v>
      </c>
      <c r="V11" s="278">
        <f t="shared" ref="V11:V17" si="6">IF(T11=0, "    ---- ", IF(ABS(ROUND(100/T11*U11-100,1))&lt;999,ROUND(100/T11*U11-100,1),IF(ROUND(100/T11*U11-100,1)&gt;999,999,-999)))</f>
        <v>1</v>
      </c>
      <c r="W11" s="278">
        <v>4231.2598671199985</v>
      </c>
      <c r="X11" s="278">
        <v>4665.1306999999997</v>
      </c>
      <c r="Y11" s="278">
        <f t="shared" ref="Y11:Y17" si="7">IF(W11=0, "    ---- ", IF(ABS(ROUND(100/W11*X11-100,1))&lt;999,ROUND(100/W11*X11-100,1),IF(ROUND(100/W11*X11-100,1)&gt;999,999,-999)))</f>
        <v>10.3</v>
      </c>
      <c r="Z11" s="437">
        <v>13799.516487549998</v>
      </c>
      <c r="AA11" s="278">
        <v>14994.421924800001</v>
      </c>
      <c r="AB11" s="278">
        <f t="shared" ref="AB11:AB17" si="8">IF(Z11=0, "    ---- ", IF(ABS(ROUND(100/Z11*AA11-100,1))&lt;999,ROUND(100/Z11*AA11-100,1),IF(ROUND(100/Z11*AA11-100,1)&gt;999,999,-999)))</f>
        <v>8.6999999999999993</v>
      </c>
      <c r="AC11" s="437">
        <v>90</v>
      </c>
      <c r="AD11" s="278">
        <v>135</v>
      </c>
      <c r="AE11" s="278">
        <f t="shared" ref="AE11:AE15" si="9">IF(AC11=0, "    ---- ", IF(ABS(ROUND(100/AC11*AD11-100,1))&lt;999,ROUND(100/AC11*AD11-100,1),IF(ROUND(100/AC11*AD11-100,1)&gt;999,999,-999)))</f>
        <v>50</v>
      </c>
      <c r="AF11" s="278">
        <f t="shared" ref="AF11:AG26" si="10">B11+E11+H11+K11+N11+Q11+T11+W11+Z11</f>
        <v>86963.693659290002</v>
      </c>
      <c r="AG11" s="278">
        <f t="shared" si="10"/>
        <v>93958.778783959991</v>
      </c>
      <c r="AH11" s="278">
        <f t="shared" ref="AH11:AH46" si="11">IF(AF11=0, "    ---- ", IF(ABS(ROUND(100/AF11*AG11-100,1))&lt;999,ROUND(100/AF11*AG11-100,1),IF(ROUND(100/AF11*AG11-100,1)&gt;999,999,-999)))</f>
        <v>8</v>
      </c>
      <c r="AI11" s="355">
        <f t="shared" ref="AI11:AJ21" si="12">B11+E11+H11+K11+N11+Q11+T11+W11+Z11+AC11</f>
        <v>87053.693659290002</v>
      </c>
      <c r="AJ11" s="355">
        <f t="shared" si="12"/>
        <v>94093.778783959991</v>
      </c>
      <c r="AK11" s="278">
        <f t="shared" ref="AK11:AK17" si="13">IF(AI11=0, "    ---- ", IF(ABS(ROUND(100/AI11*AJ11-100,1))&lt;999,ROUND(100/AI11*AJ11-100,1),IF(ROUND(100/AI11*AJ11-100,1)&gt;999,999,-999)))</f>
        <v>8.1</v>
      </c>
    </row>
    <row r="12" spans="1:37" s="367" customFormat="1" ht="18.75" customHeight="1" x14ac:dyDescent="0.3">
      <c r="A12" s="429" t="s">
        <v>264</v>
      </c>
      <c r="B12" s="278">
        <v>-129.96199999999999</v>
      </c>
      <c r="C12" s="278">
        <v>-145.6559312</v>
      </c>
      <c r="D12" s="278">
        <f t="shared" si="0"/>
        <v>12.1</v>
      </c>
      <c r="E12" s="437">
        <v>-24.058307810000002</v>
      </c>
      <c r="F12" s="278">
        <v>-25.657083770000003</v>
      </c>
      <c r="G12" s="278">
        <f t="shared" si="1"/>
        <v>6.6</v>
      </c>
      <c r="H12" s="437">
        <v>-10.859382</v>
      </c>
      <c r="I12" s="278">
        <v>-3.8809999999999998</v>
      </c>
      <c r="J12" s="278">
        <f t="shared" si="2"/>
        <v>-64.3</v>
      </c>
      <c r="K12" s="437">
        <v>-55</v>
      </c>
      <c r="L12" s="278">
        <v>-11</v>
      </c>
      <c r="M12" s="278">
        <f t="shared" si="3"/>
        <v>-80</v>
      </c>
      <c r="N12" s="437"/>
      <c r="O12" s="278"/>
      <c r="P12" s="278"/>
      <c r="Q12" s="437">
        <v>-55</v>
      </c>
      <c r="R12" s="278">
        <v>-61.12</v>
      </c>
      <c r="S12" s="278">
        <f t="shared" si="5"/>
        <v>11.1</v>
      </c>
      <c r="T12" s="437">
        <v>0</v>
      </c>
      <c r="U12" s="278"/>
      <c r="V12" s="278"/>
      <c r="W12" s="278">
        <v>-3.819</v>
      </c>
      <c r="X12" s="278">
        <v>-4.8449999999999998</v>
      </c>
      <c r="Y12" s="278">
        <f t="shared" si="7"/>
        <v>26.9</v>
      </c>
      <c r="Z12" s="437">
        <v>-23.295499850000006</v>
      </c>
      <c r="AA12" s="278">
        <v>-12.27060575</v>
      </c>
      <c r="AB12" s="278">
        <f t="shared" si="8"/>
        <v>-47.3</v>
      </c>
      <c r="AC12" s="437">
        <v>-16</v>
      </c>
      <c r="AD12" s="278">
        <v>-47</v>
      </c>
      <c r="AE12" s="278">
        <f t="shared" si="9"/>
        <v>193.8</v>
      </c>
      <c r="AF12" s="278">
        <f t="shared" si="10"/>
        <v>-301.99418966000002</v>
      </c>
      <c r="AG12" s="278">
        <f t="shared" si="10"/>
        <v>-264.42962072</v>
      </c>
      <c r="AH12" s="278">
        <f t="shared" si="11"/>
        <v>-12.4</v>
      </c>
      <c r="AI12" s="355">
        <f t="shared" si="12"/>
        <v>-317.99418966000002</v>
      </c>
      <c r="AJ12" s="355">
        <f t="shared" si="12"/>
        <v>-311.42962072</v>
      </c>
      <c r="AK12" s="278">
        <f t="shared" si="13"/>
        <v>-2.1</v>
      </c>
    </row>
    <row r="13" spans="1:37" s="367" customFormat="1" ht="18.75" customHeight="1" x14ac:dyDescent="0.3">
      <c r="A13" s="429" t="s">
        <v>389</v>
      </c>
      <c r="B13" s="278">
        <v>7183.2129999999997</v>
      </c>
      <c r="C13" s="278">
        <v>10288.947303590001</v>
      </c>
      <c r="D13" s="278">
        <f t="shared" si="0"/>
        <v>43.2</v>
      </c>
      <c r="E13" s="437"/>
      <c r="F13" s="278"/>
      <c r="G13" s="278"/>
      <c r="H13" s="437"/>
      <c r="I13" s="278"/>
      <c r="J13" s="278"/>
      <c r="K13" s="437">
        <v>5222</v>
      </c>
      <c r="L13" s="278">
        <v>7603</v>
      </c>
      <c r="M13" s="278">
        <f t="shared" si="3"/>
        <v>45.6</v>
      </c>
      <c r="N13" s="437">
        <v>1.2145630000000001</v>
      </c>
      <c r="O13" s="278">
        <v>40.408749</v>
      </c>
      <c r="P13" s="278">
        <f t="shared" si="4"/>
        <v>999</v>
      </c>
      <c r="Q13" s="437">
        <v>5953.09</v>
      </c>
      <c r="R13" s="278">
        <v>7153.82</v>
      </c>
      <c r="S13" s="278">
        <f t="shared" si="5"/>
        <v>20.2</v>
      </c>
      <c r="T13" s="437"/>
      <c r="U13" s="278"/>
      <c r="V13" s="278"/>
      <c r="W13" s="278">
        <v>2934.8966299899994</v>
      </c>
      <c r="X13" s="278">
        <v>4959.6171000000004</v>
      </c>
      <c r="Y13" s="278">
        <f t="shared" si="7"/>
        <v>69</v>
      </c>
      <c r="Z13" s="437">
        <v>7761.6229764300006</v>
      </c>
      <c r="AA13" s="278">
        <v>10012.795314679999</v>
      </c>
      <c r="AB13" s="278">
        <f t="shared" si="8"/>
        <v>29</v>
      </c>
      <c r="AC13" s="437">
        <v>5</v>
      </c>
      <c r="AD13" s="278">
        <v>2</v>
      </c>
      <c r="AE13" s="278">
        <f t="shared" si="9"/>
        <v>-60</v>
      </c>
      <c r="AF13" s="278">
        <f t="shared" si="10"/>
        <v>29056.03716942</v>
      </c>
      <c r="AG13" s="278">
        <f t="shared" si="10"/>
        <v>40058.588467269998</v>
      </c>
      <c r="AH13" s="278">
        <f t="shared" si="11"/>
        <v>37.9</v>
      </c>
      <c r="AI13" s="355">
        <f t="shared" si="12"/>
        <v>29061.03716942</v>
      </c>
      <c r="AJ13" s="355">
        <f t="shared" si="12"/>
        <v>40060.588467269998</v>
      </c>
      <c r="AK13" s="278">
        <f t="shared" si="13"/>
        <v>37.799999999999997</v>
      </c>
    </row>
    <row r="14" spans="1:37" s="367" customFormat="1" ht="18.75" customHeight="1" x14ac:dyDescent="0.3">
      <c r="A14" s="429" t="s">
        <v>265</v>
      </c>
      <c r="B14" s="352">
        <v>18097.671999999999</v>
      </c>
      <c r="C14" s="352">
        <v>21930.681549359997</v>
      </c>
      <c r="D14" s="278">
        <f t="shared" si="0"/>
        <v>21.2</v>
      </c>
      <c r="E14" s="436">
        <f>SUM(E11:E13)</f>
        <v>2186.6198031399999</v>
      </c>
      <c r="F14" s="352">
        <f>SUM(F11:F13)</f>
        <v>2340.0475681599996</v>
      </c>
      <c r="G14" s="278">
        <f t="shared" si="1"/>
        <v>7</v>
      </c>
      <c r="H14" s="436">
        <f>SUM(H11:H13)</f>
        <v>743.83684700000003</v>
      </c>
      <c r="I14" s="352">
        <f>SUM(I11:I13)</f>
        <v>852.98500000000001</v>
      </c>
      <c r="J14" s="278">
        <f t="shared" si="2"/>
        <v>14.7</v>
      </c>
      <c r="K14" s="436">
        <f>SUM(K11:K13)</f>
        <v>8937</v>
      </c>
      <c r="L14" s="352">
        <f>SUM(L11:L13)</f>
        <v>11751</v>
      </c>
      <c r="M14" s="278">
        <f t="shared" si="3"/>
        <v>31.5</v>
      </c>
      <c r="N14" s="436">
        <v>37257.426527670003</v>
      </c>
      <c r="O14" s="352">
        <v>42711.374079260007</v>
      </c>
      <c r="P14" s="278">
        <f t="shared" si="4"/>
        <v>14.6</v>
      </c>
      <c r="Q14" s="436">
        <f>SUM(Q11:Q13)</f>
        <v>17820</v>
      </c>
      <c r="R14" s="352">
        <f>SUM(R11:R13)</f>
        <v>17558</v>
      </c>
      <c r="S14" s="278">
        <f t="shared" si="5"/>
        <v>-1.5</v>
      </c>
      <c r="T14" s="436">
        <f>SUM(T11:T13)</f>
        <v>1975</v>
      </c>
      <c r="U14" s="352">
        <f>SUM(U11:U13)</f>
        <v>1994</v>
      </c>
      <c r="V14" s="278">
        <f t="shared" si="6"/>
        <v>1</v>
      </c>
      <c r="W14" s="352">
        <v>7162.3374971099975</v>
      </c>
      <c r="X14" s="352">
        <v>9619.9027999999998</v>
      </c>
      <c r="Y14" s="278">
        <f t="shared" si="7"/>
        <v>34.299999999999997</v>
      </c>
      <c r="Z14" s="436">
        <f>SUM(Z11:Z13)</f>
        <v>21537.843964129999</v>
      </c>
      <c r="AA14" s="352">
        <f>SUM(AA11:AA13)</f>
        <v>24994.94663373</v>
      </c>
      <c r="AB14" s="278">
        <f t="shared" si="8"/>
        <v>16.100000000000001</v>
      </c>
      <c r="AC14" s="436">
        <f>SUM(AC11:AC13)</f>
        <v>79</v>
      </c>
      <c r="AD14" s="352">
        <f>SUM(AD11:AD13)</f>
        <v>90</v>
      </c>
      <c r="AE14" s="278">
        <f t="shared" si="9"/>
        <v>13.9</v>
      </c>
      <c r="AF14" s="278">
        <f t="shared" si="10"/>
        <v>115717.73663904998</v>
      </c>
      <c r="AG14" s="278">
        <f t="shared" si="10"/>
        <v>133752.93763051002</v>
      </c>
      <c r="AH14" s="278">
        <f t="shared" si="11"/>
        <v>15.6</v>
      </c>
      <c r="AI14" s="355">
        <f t="shared" si="12"/>
        <v>115796.73663904998</v>
      </c>
      <c r="AJ14" s="355">
        <f t="shared" si="12"/>
        <v>133842.93763051002</v>
      </c>
      <c r="AK14" s="278">
        <f t="shared" si="13"/>
        <v>15.6</v>
      </c>
    </row>
    <row r="15" spans="1:37" s="367" customFormat="1" ht="18.75" customHeight="1" x14ac:dyDescent="0.3">
      <c r="A15" s="429" t="s">
        <v>266</v>
      </c>
      <c r="B15" s="355">
        <v>4320.7150000000001</v>
      </c>
      <c r="C15" s="355">
        <v>4631.9393445399983</v>
      </c>
      <c r="D15" s="278">
        <f t="shared" si="0"/>
        <v>7.2</v>
      </c>
      <c r="E15" s="529">
        <v>243.34543891000001</v>
      </c>
      <c r="F15" s="392">
        <v>275.27486302999995</v>
      </c>
      <c r="G15" s="278">
        <f t="shared" si="1"/>
        <v>13.1</v>
      </c>
      <c r="H15" s="529">
        <v>54.445999999999998</v>
      </c>
      <c r="I15" s="392">
        <v>77.853999999999999</v>
      </c>
      <c r="J15" s="278">
        <f t="shared" si="2"/>
        <v>43</v>
      </c>
      <c r="K15" s="148">
        <v>170</v>
      </c>
      <c r="L15" s="355">
        <v>198</v>
      </c>
      <c r="M15" s="278">
        <f t="shared" si="3"/>
        <v>16.5</v>
      </c>
      <c r="N15" s="148">
        <v>33410.315925449999</v>
      </c>
      <c r="O15" s="355">
        <v>24659.200924299999</v>
      </c>
      <c r="P15" s="278">
        <f t="shared" si="4"/>
        <v>-26.2</v>
      </c>
      <c r="Q15" s="148">
        <v>1263</v>
      </c>
      <c r="R15" s="355">
        <v>1455</v>
      </c>
      <c r="S15" s="278">
        <f t="shared" si="5"/>
        <v>15.2</v>
      </c>
      <c r="T15" s="148">
        <v>4702</v>
      </c>
      <c r="U15" s="355">
        <v>5011</v>
      </c>
      <c r="V15" s="278">
        <f t="shared" si="6"/>
        <v>6.6</v>
      </c>
      <c r="W15" s="379">
        <v>628.9388947599972</v>
      </c>
      <c r="X15" s="379">
        <v>707.17909999999995</v>
      </c>
      <c r="Y15" s="278">
        <f t="shared" si="7"/>
        <v>12.4</v>
      </c>
      <c r="Z15" s="148">
        <v>5165.9098250999996</v>
      </c>
      <c r="AA15" s="355">
        <v>5466.1951783300065</v>
      </c>
      <c r="AB15" s="278">
        <f t="shared" si="8"/>
        <v>5.8</v>
      </c>
      <c r="AC15" s="148">
        <v>1</v>
      </c>
      <c r="AD15" s="355">
        <v>1</v>
      </c>
      <c r="AE15" s="278">
        <f t="shared" si="9"/>
        <v>0</v>
      </c>
      <c r="AF15" s="278">
        <f t="shared" si="10"/>
        <v>49958.671084219997</v>
      </c>
      <c r="AG15" s="278">
        <f t="shared" si="10"/>
        <v>42481.643410200006</v>
      </c>
      <c r="AH15" s="278">
        <f t="shared" si="11"/>
        <v>-15</v>
      </c>
      <c r="AI15" s="355">
        <f t="shared" si="12"/>
        <v>49959.671084219997</v>
      </c>
      <c r="AJ15" s="355">
        <f t="shared" si="12"/>
        <v>42482.643410200006</v>
      </c>
      <c r="AK15" s="278">
        <f t="shared" si="13"/>
        <v>-15</v>
      </c>
    </row>
    <row r="16" spans="1:37" s="367" customFormat="1" ht="18.75" customHeight="1" x14ac:dyDescent="0.3">
      <c r="A16" s="429" t="s">
        <v>267</v>
      </c>
      <c r="B16" s="355">
        <v>16061.666999999999</v>
      </c>
      <c r="C16" s="355">
        <v>10057.112410249991</v>
      </c>
      <c r="D16" s="278">
        <f t="shared" si="0"/>
        <v>-37.4</v>
      </c>
      <c r="E16" s="529"/>
      <c r="F16" s="392"/>
      <c r="G16" s="278"/>
      <c r="H16" s="529"/>
      <c r="I16" s="392"/>
      <c r="J16" s="278"/>
      <c r="K16" s="148">
        <v>5702</v>
      </c>
      <c r="L16" s="355">
        <v>2194</v>
      </c>
      <c r="M16" s="352">
        <f t="shared" si="3"/>
        <v>-61.5</v>
      </c>
      <c r="N16" s="148">
        <v>163.03068356</v>
      </c>
      <c r="O16" s="355">
        <v>96.660568639999994</v>
      </c>
      <c r="P16" s="439">
        <f t="shared" si="4"/>
        <v>-40.700000000000003</v>
      </c>
      <c r="Q16" s="148">
        <v>13545</v>
      </c>
      <c r="R16" s="355">
        <v>6969</v>
      </c>
      <c r="S16" s="278">
        <f t="shared" si="5"/>
        <v>-48.5</v>
      </c>
      <c r="T16" s="148"/>
      <c r="U16" s="355"/>
      <c r="V16" s="278"/>
      <c r="W16" s="379">
        <v>5892.5288276799993</v>
      </c>
      <c r="X16" s="379">
        <v>3065.0549000000001</v>
      </c>
      <c r="Y16" s="278">
        <f t="shared" si="7"/>
        <v>-48</v>
      </c>
      <c r="Z16" s="148">
        <v>18350.406657589996</v>
      </c>
      <c r="AA16" s="355">
        <v>10321.938743600002</v>
      </c>
      <c r="AB16" s="278">
        <f t="shared" si="8"/>
        <v>-43.8</v>
      </c>
      <c r="AC16" s="148"/>
      <c r="AD16" s="355"/>
      <c r="AE16" s="278"/>
      <c r="AF16" s="278">
        <f t="shared" si="10"/>
        <v>59714.633168829998</v>
      </c>
      <c r="AG16" s="278">
        <f t="shared" si="10"/>
        <v>32703.766622489988</v>
      </c>
      <c r="AH16" s="278">
        <f t="shared" si="11"/>
        <v>-45.2</v>
      </c>
      <c r="AI16" s="355">
        <f t="shared" si="12"/>
        <v>59714.633168829998</v>
      </c>
      <c r="AJ16" s="355">
        <f t="shared" si="12"/>
        <v>32703.766622489988</v>
      </c>
      <c r="AK16" s="278">
        <f t="shared" si="13"/>
        <v>-45.2</v>
      </c>
    </row>
    <row r="17" spans="1:37" s="367" customFormat="1" ht="18.75" customHeight="1" x14ac:dyDescent="0.3">
      <c r="A17" s="429" t="s">
        <v>268</v>
      </c>
      <c r="B17" s="355">
        <v>28.77</v>
      </c>
      <c r="C17" s="355">
        <v>28.668042840000002</v>
      </c>
      <c r="D17" s="278">
        <f t="shared" si="0"/>
        <v>-0.4</v>
      </c>
      <c r="E17" s="529">
        <v>6.9678834600000004</v>
      </c>
      <c r="F17" s="392">
        <v>7.4575135899999996</v>
      </c>
      <c r="G17" s="278">
        <f t="shared" si="1"/>
        <v>7</v>
      </c>
      <c r="H17" s="529"/>
      <c r="I17" s="392"/>
      <c r="J17" s="278"/>
      <c r="K17" s="148">
        <v>156</v>
      </c>
      <c r="L17" s="355">
        <v>181</v>
      </c>
      <c r="M17" s="352">
        <f t="shared" si="3"/>
        <v>16</v>
      </c>
      <c r="N17" s="148">
        <v>717.88130799999999</v>
      </c>
      <c r="O17" s="355">
        <v>723.39958100000001</v>
      </c>
      <c r="P17" s="278">
        <f t="shared" si="4"/>
        <v>0.8</v>
      </c>
      <c r="Q17" s="148">
        <v>170</v>
      </c>
      <c r="R17" s="355">
        <v>208</v>
      </c>
      <c r="S17" s="278">
        <f t="shared" si="5"/>
        <v>22.4</v>
      </c>
      <c r="T17" s="148">
        <v>85</v>
      </c>
      <c r="U17" s="355">
        <v>0</v>
      </c>
      <c r="V17" s="278">
        <f t="shared" si="6"/>
        <v>-100</v>
      </c>
      <c r="W17" s="379">
        <v>181.61011849000005</v>
      </c>
      <c r="X17" s="379">
        <v>285.7869</v>
      </c>
      <c r="Y17" s="278">
        <f t="shared" si="7"/>
        <v>57.4</v>
      </c>
      <c r="Z17" s="148">
        <v>473.18021410999989</v>
      </c>
      <c r="AA17" s="355">
        <v>499.44683683</v>
      </c>
      <c r="AB17" s="278">
        <f t="shared" si="8"/>
        <v>5.6</v>
      </c>
      <c r="AC17" s="148"/>
      <c r="AD17" s="355"/>
      <c r="AE17" s="278"/>
      <c r="AF17" s="278">
        <f t="shared" si="10"/>
        <v>1819.40952406</v>
      </c>
      <c r="AG17" s="278">
        <f t="shared" si="10"/>
        <v>1933.7588742600001</v>
      </c>
      <c r="AH17" s="278">
        <f t="shared" si="11"/>
        <v>6.3</v>
      </c>
      <c r="AI17" s="355">
        <f t="shared" si="12"/>
        <v>1819.40952406</v>
      </c>
      <c r="AJ17" s="355">
        <f t="shared" si="12"/>
        <v>1933.7588742600001</v>
      </c>
      <c r="AK17" s="278">
        <f t="shared" si="13"/>
        <v>6.3</v>
      </c>
    </row>
    <row r="18" spans="1:37" s="367" customFormat="1" ht="18.75" customHeight="1" x14ac:dyDescent="0.3">
      <c r="A18" s="429" t="s">
        <v>269</v>
      </c>
      <c r="B18" s="355"/>
      <c r="C18" s="355"/>
      <c r="D18" s="278"/>
      <c r="E18" s="529"/>
      <c r="F18" s="392"/>
      <c r="G18" s="278"/>
      <c r="H18" s="529"/>
      <c r="I18" s="392"/>
      <c r="J18" s="278"/>
      <c r="K18" s="148"/>
      <c r="L18" s="355"/>
      <c r="M18" s="352"/>
      <c r="N18" s="148"/>
      <c r="O18" s="355"/>
      <c r="P18" s="278"/>
      <c r="Q18" s="537"/>
      <c r="R18" s="380"/>
      <c r="S18" s="278"/>
      <c r="T18" s="148"/>
      <c r="U18" s="355"/>
      <c r="V18" s="278"/>
      <c r="W18" s="379"/>
      <c r="X18" s="379"/>
      <c r="Y18" s="278"/>
      <c r="Z18" s="148"/>
      <c r="AA18" s="355"/>
      <c r="AB18" s="278"/>
      <c r="AC18" s="148"/>
      <c r="AD18" s="355"/>
      <c r="AE18" s="278"/>
      <c r="AF18" s="278"/>
      <c r="AG18" s="278"/>
      <c r="AH18" s="278"/>
      <c r="AI18" s="355"/>
      <c r="AJ18" s="355"/>
      <c r="AK18" s="438"/>
    </row>
    <row r="19" spans="1:37" s="367" customFormat="1" ht="18.75" customHeight="1" x14ac:dyDescent="0.3">
      <c r="A19" s="429" t="s">
        <v>270</v>
      </c>
      <c r="B19" s="352">
        <v>-8124.9120000000003</v>
      </c>
      <c r="C19" s="352">
        <v>-8581.1385877400044</v>
      </c>
      <c r="D19" s="278">
        <f>IF(B19=0, "    ---- ", IF(ABS(ROUND(100/B19*C19-100,1))&lt;999,ROUND(100/B19*C19-100,1),IF(ROUND(100/B19*C19-100,1)&gt;999,999,-999)))</f>
        <v>5.6</v>
      </c>
      <c r="E19" s="436">
        <v>-924.63832304999994</v>
      </c>
      <c r="F19" s="352">
        <v>-1032.4214216800001</v>
      </c>
      <c r="G19" s="278">
        <f>IF(E19=0, "    ---- ", IF(ABS(ROUND(100/E19*F19-100,1))&lt;999,ROUND(100/E19*F19-100,1),IF(ROUND(100/E19*F19-100,1)&gt;999,999,-999)))</f>
        <v>11.7</v>
      </c>
      <c r="H19" s="436">
        <v>-84.393000000000001</v>
      </c>
      <c r="I19" s="352">
        <v>-95.426000000000002</v>
      </c>
      <c r="J19" s="278">
        <f>IF(H19=0, "    ---- ", IF(ABS(ROUND(100/H19*I19-100,1))&lt;999,ROUND(100/H19*I19-100,1),IF(ROUND(100/H19*I19-100,1)&gt;999,999,-999)))</f>
        <v>13.1</v>
      </c>
      <c r="K19" s="436">
        <v>-609</v>
      </c>
      <c r="L19" s="352">
        <v>-754</v>
      </c>
      <c r="M19" s="278">
        <f>IF(K19=0, "    ---- ", IF(ABS(ROUND(100/K19*L19-100,1))&lt;999,ROUND(100/K19*L19-100,1),IF(ROUND(100/K19*L19-100,1)&gt;999,999,-999)))</f>
        <v>23.8</v>
      </c>
      <c r="N19" s="436">
        <v>-13713.181347040001</v>
      </c>
      <c r="O19" s="352">
        <v>-14289.384673680001</v>
      </c>
      <c r="P19" s="278">
        <f>IF(N19=0, "    ---- ", IF(ABS(ROUND(100/N19*O19-100,1))&lt;999,ROUND(100/N19*O19-100,1),IF(ROUND(100/N19*O19-100,1)&gt;999,999,-999)))</f>
        <v>4.2</v>
      </c>
      <c r="Q19" s="436">
        <v>-4782</v>
      </c>
      <c r="R19" s="352">
        <v>-10389</v>
      </c>
      <c r="S19" s="278">
        <f>IF(Q19=0, "    ---- ", IF(ABS(ROUND(100/Q19*R19-100,1))&lt;999,ROUND(100/Q19*R19-100,1),IF(ROUND(100/Q19*R19-100,1)&gt;999,999,-999)))</f>
        <v>117.3</v>
      </c>
      <c r="T19" s="436">
        <v>-1842</v>
      </c>
      <c r="U19" s="352">
        <v>-1923</v>
      </c>
      <c r="V19" s="278">
        <f>IF(T19=0, "    ---- ", IF(ABS(ROUND(100/T19*U19-100,1))&lt;999,ROUND(100/T19*U19-100,1),IF(ROUND(100/T19*U19-100,1)&gt;999,999,-999)))</f>
        <v>4.4000000000000004</v>
      </c>
      <c r="W19" s="381">
        <v>-1030.5212056199998</v>
      </c>
      <c r="X19" s="381">
        <v>-1183.9375</v>
      </c>
      <c r="Y19" s="278">
        <f>IF(W19=0, "    ---- ", IF(ABS(ROUND(100/W19*X19-100,1))&lt;999,ROUND(100/W19*X19-100,1),IF(ROUND(100/W19*X19-100,1)&gt;999,999,-999)))</f>
        <v>14.9</v>
      </c>
      <c r="Z19" s="436">
        <v>-7815.3545051600004</v>
      </c>
      <c r="AA19" s="352">
        <v>-8518.7036826000021</v>
      </c>
      <c r="AB19" s="278">
        <f>IF(Z19=0, "    ---- ", IF(ABS(ROUND(100/Z19*AA19-100,1))&lt;999,ROUND(100/Z19*AA19-100,1),IF(ROUND(100/Z19*AA19-100,1)&gt;999,999,-999)))</f>
        <v>9</v>
      </c>
      <c r="AC19" s="436">
        <v>-2</v>
      </c>
      <c r="AD19" s="352">
        <v>-5</v>
      </c>
      <c r="AE19" s="278">
        <f>IF(AC19=0, "    ---- ", IF(ABS(ROUND(100/AC19*AD19-100,1))&lt;999,ROUND(100/AC19*AD19-100,1),IF(ROUND(100/AC19*AD19-100,1)&gt;999,999,-999)))</f>
        <v>150</v>
      </c>
      <c r="AF19" s="278">
        <f t="shared" si="10"/>
        <v>-38926.000380869998</v>
      </c>
      <c r="AG19" s="278">
        <f t="shared" si="10"/>
        <v>-46767.011865700006</v>
      </c>
      <c r="AH19" s="278">
        <f t="shared" si="11"/>
        <v>20.100000000000001</v>
      </c>
      <c r="AI19" s="355">
        <f t="shared" si="12"/>
        <v>-38928.000380869998</v>
      </c>
      <c r="AJ19" s="355">
        <f t="shared" si="12"/>
        <v>-46772.011865700006</v>
      </c>
      <c r="AK19" s="278">
        <f>IF(AI19=0, "    ---- ", IF(ABS(ROUND(100/AI19*AJ19-100,1))&lt;999,ROUND(100/AI19*AJ19-100,1),IF(ROUND(100/AI19*AJ19-100,1)&gt;999,999,-999)))</f>
        <v>20.2</v>
      </c>
    </row>
    <row r="20" spans="1:37" s="367" customFormat="1" ht="18.75" x14ac:dyDescent="0.3">
      <c r="A20" s="558" t="s">
        <v>408</v>
      </c>
      <c r="B20" s="278">
        <v>-9186.241</v>
      </c>
      <c r="C20" s="278">
        <v>-10603.95746964</v>
      </c>
      <c r="D20" s="278">
        <f>IF(B20=0, "    ---- ", IF(ABS(ROUND(100/B20*C20-100,1))&lt;999,ROUND(100/B20*C20-100,1),IF(ROUND(100/B20*C20-100,1)&gt;999,999,-999)))</f>
        <v>15.4</v>
      </c>
      <c r="E20" s="437">
        <v>53.08324103999999</v>
      </c>
      <c r="F20" s="278">
        <v>52.743060780000008</v>
      </c>
      <c r="G20" s="278">
        <f>IF(E20=0, "    ---- ", IF(ABS(ROUND(100/E20*F20-100,1))&lt;999,ROUND(100/E20*F20-100,1),IF(ROUND(100/E20*F20-100,1)&gt;999,999,-999)))</f>
        <v>-0.6</v>
      </c>
      <c r="H20" s="437"/>
      <c r="I20" s="278"/>
      <c r="J20" s="278"/>
      <c r="K20" s="437">
        <v>-3948</v>
      </c>
      <c r="L20" s="278">
        <v>-5415</v>
      </c>
      <c r="M20" s="278">
        <f>IF(K20=0, "    ---- ", IF(ABS(ROUND(100/K20*L20-100,1))&lt;999,ROUND(100/K20*L20-100,1),IF(ROUND(100/K20*L20-100,1)&gt;999,999,-999)))</f>
        <v>37.200000000000003</v>
      </c>
      <c r="N20" s="437">
        <v>-2418.81369</v>
      </c>
      <c r="O20" s="278">
        <v>-4132.2991659999998</v>
      </c>
      <c r="P20" s="278">
        <f>IF(N20=0, "    ---- ", IF(ABS(ROUND(100/N20*O20-100,1))&lt;999,ROUND(100/N20*O20-100,1),IF(ROUND(100/N20*O20-100,1)&gt;999,999,-999)))</f>
        <v>70.8</v>
      </c>
      <c r="Q20" s="538">
        <v>-5776</v>
      </c>
      <c r="R20" s="382">
        <v>-6975</v>
      </c>
      <c r="S20" s="278">
        <f>IF(Q20=0, "    ---- ", IF(ABS(ROUND(100/Q20*R20-100,1))&lt;999,ROUND(100/Q20*R20-100,1),IF(ROUND(100/Q20*R20-100,1)&gt;999,999,-999)))</f>
        <v>20.8</v>
      </c>
      <c r="T20" s="538">
        <v>-121</v>
      </c>
      <c r="U20" s="382">
        <v>0</v>
      </c>
      <c r="V20" s="278"/>
      <c r="W20" s="382">
        <v>-3134.9768061800009</v>
      </c>
      <c r="X20" s="382">
        <v>-4192.5472</v>
      </c>
      <c r="Y20" s="278">
        <f>IF(W20=0, "    ---- ", IF(ABS(ROUND(100/W20*X20-100,1))&lt;999,ROUND(100/W20*X20-100,1),IF(ROUND(100/W20*X20-100,1)&gt;999,999,-999)))</f>
        <v>33.700000000000003</v>
      </c>
      <c r="Z20" s="436">
        <v>-7348.0482780499997</v>
      </c>
      <c r="AA20" s="278">
        <v>-10575.37548454</v>
      </c>
      <c r="AB20" s="278">
        <f>IF(Z20=0, "    ---- ", IF(ABS(ROUND(100/Z20*AA20-100,1))&lt;999,ROUND(100/Z20*AA20-100,1),IF(ROUND(100/Z20*AA20-100,1)&gt;999,999,-999)))</f>
        <v>43.9</v>
      </c>
      <c r="AC20" s="437">
        <v>-3</v>
      </c>
      <c r="AD20" s="278">
        <v>-3</v>
      </c>
      <c r="AE20" s="278">
        <f>IF(AC20=0, "    ---- ", IF(ABS(ROUND(100/AC20*AD20-100,1))&lt;999,ROUND(100/AC20*AD20-100,1),IF(ROUND(100/AC20*AD20-100,1)&gt;999,999,-999)))</f>
        <v>0</v>
      </c>
      <c r="AF20" s="278">
        <f t="shared" si="10"/>
        <v>-31879.996533190002</v>
      </c>
      <c r="AG20" s="278">
        <f t="shared" si="10"/>
        <v>-41841.436259399998</v>
      </c>
      <c r="AH20" s="278">
        <f>IF(AF20=0, "    ---- ", IF(ABS(ROUND(100/AF20*AG20-100,1))&lt;999,ROUND(100/AF20*AG20-100,1),IF(ROUND(100/AF20*AG20-100,1)&gt;999,999,-999)))</f>
        <v>31.2</v>
      </c>
      <c r="AI20" s="355">
        <f t="shared" si="12"/>
        <v>-31882.996533190002</v>
      </c>
      <c r="AJ20" s="355">
        <f t="shared" si="12"/>
        <v>-41844.436259399998</v>
      </c>
      <c r="AK20" s="278">
        <f>IF(AI20=0, "    ---- ", IF(ABS(ROUND(100/AI20*AJ20-100,1))&lt;999,ROUND(100/AI20*AJ20-100,1),IF(ROUND(100/AI20*AJ20-100,1)&gt;999,999,-999)))</f>
        <v>31.2</v>
      </c>
    </row>
    <row r="21" spans="1:37" s="367" customFormat="1" ht="18.75" customHeight="1" x14ac:dyDescent="0.3">
      <c r="A21" s="429" t="s">
        <v>271</v>
      </c>
      <c r="B21" s="352">
        <v>-17311.152999999998</v>
      </c>
      <c r="C21" s="352">
        <v>-19185.096057380004</v>
      </c>
      <c r="D21" s="278">
        <f>IF(B21=0, "    ---- ", IF(ABS(ROUND(100/B21*C21-100,1))&lt;999,ROUND(100/B21*C21-100,1),IF(ROUND(100/B21*C21-100,1)&gt;999,999,-999)))</f>
        <v>10.8</v>
      </c>
      <c r="E21" s="436">
        <v>-871.55508200999998</v>
      </c>
      <c r="F21" s="352">
        <f>SUM(F19:F20)</f>
        <v>-979.67836090000014</v>
      </c>
      <c r="G21" s="278">
        <f>IF(E21=0, "    ---- ", IF(ABS(ROUND(100/E21*F21-100,1))&lt;999,ROUND(100/E21*F21-100,1),IF(ROUND(100/E21*F21-100,1)&gt;999,999,-999)))</f>
        <v>12.4</v>
      </c>
      <c r="H21" s="436">
        <f>SUM(H19:H20)</f>
        <v>-84.393000000000001</v>
      </c>
      <c r="I21" s="352">
        <f>SUM(I19:I20)</f>
        <v>-95.426000000000002</v>
      </c>
      <c r="J21" s="278">
        <f>IF(H21=0, "    ---- ", IF(ABS(ROUND(100/H21*I21-100,1))&lt;999,ROUND(100/H21*I21-100,1),IF(ROUND(100/H21*I21-100,1)&gt;999,999,-999)))</f>
        <v>13.1</v>
      </c>
      <c r="K21" s="436">
        <f>SUM(K19:K20)</f>
        <v>-4557</v>
      </c>
      <c r="L21" s="352">
        <f>SUM(L19:L20)</f>
        <v>-6169</v>
      </c>
      <c r="M21" s="278">
        <f>IF(K21=0, "    ---- ", IF(ABS(ROUND(100/K21*L21-100,1))&lt;999,ROUND(100/K21*L21-100,1),IF(ROUND(100/K21*L21-100,1)&gt;999,999,-999)))</f>
        <v>35.4</v>
      </c>
      <c r="N21" s="436">
        <v>-16131.99503704</v>
      </c>
      <c r="O21" s="352">
        <v>-18421.683839680001</v>
      </c>
      <c r="P21" s="278">
        <f>IF(N21=0, "    ---- ", IF(ABS(ROUND(100/N21*O21-100,1))&lt;999,ROUND(100/N21*O21-100,1),IF(ROUND(100/N21*O21-100,1)&gt;999,999,-999)))</f>
        <v>14.2</v>
      </c>
      <c r="Q21" s="436">
        <f>SUM(Q19:Q20)</f>
        <v>-10558</v>
      </c>
      <c r="R21" s="352">
        <f>SUM(R19:R20)</f>
        <v>-17364</v>
      </c>
      <c r="S21" s="278">
        <f>IF(Q21=0, "    ---- ", IF(ABS(ROUND(100/Q21*R21-100,1))&lt;999,ROUND(100/Q21*R21-100,1),IF(ROUND(100/Q21*R21-100,1)&gt;999,999,-999)))</f>
        <v>64.5</v>
      </c>
      <c r="T21" s="436">
        <f>SUM(T19:T20)</f>
        <v>-1963</v>
      </c>
      <c r="U21" s="352">
        <f>SUM(U19:U20)</f>
        <v>-1923</v>
      </c>
      <c r="V21" s="278">
        <f>IF(T21=0, "    ---- ", IF(ABS(ROUND(100/T21*U21-100,1))&lt;999,ROUND(100/T21*U21-100,1),IF(ROUND(100/T21*U21-100,1)&gt;999,999,-999)))</f>
        <v>-2</v>
      </c>
      <c r="W21" s="352">
        <v>-4165.4980118000003</v>
      </c>
      <c r="X21" s="352">
        <v>-5376.4847</v>
      </c>
      <c r="Y21" s="278">
        <f>IF(W21=0, "    ---- ", IF(ABS(ROUND(100/W21*X21-100,1))&lt;999,ROUND(100/W21*X21-100,1),IF(ROUND(100/W21*X21-100,1)&gt;999,999,-999)))</f>
        <v>29.1</v>
      </c>
      <c r="Z21" s="436">
        <f>SUM(Z19:Z20)</f>
        <v>-15163.40278321</v>
      </c>
      <c r="AA21" s="352">
        <f>SUM(AA19:AA20)</f>
        <v>-19094.07916714</v>
      </c>
      <c r="AB21" s="278">
        <f>IF(Z21=0, "    ---- ", IF(ABS(ROUND(100/Z21*AA21-100,1))&lt;999,ROUND(100/Z21*AA21-100,1),IF(ROUND(100/Z21*AA21-100,1)&gt;999,999,-999)))</f>
        <v>25.9</v>
      </c>
      <c r="AC21" s="436">
        <f>SUM(AC19:AC20)</f>
        <v>-5</v>
      </c>
      <c r="AD21" s="352">
        <f>SUM(AD19:AD20)</f>
        <v>-8</v>
      </c>
      <c r="AE21" s="278">
        <f>IF(AC21=0, "    ---- ", IF(ABS(ROUND(100/AC21*AD21-100,1))&lt;999,ROUND(100/AC21*AD21-100,1),IF(ROUND(100/AC21*AD21-100,1)&gt;999,999,-999)))</f>
        <v>60</v>
      </c>
      <c r="AF21" s="278">
        <f t="shared" si="10"/>
        <v>-70805.996914060001</v>
      </c>
      <c r="AG21" s="278">
        <f t="shared" si="10"/>
        <v>-88608.448125099996</v>
      </c>
      <c r="AH21" s="278">
        <f t="shared" si="11"/>
        <v>25.1</v>
      </c>
      <c r="AI21" s="355">
        <f t="shared" si="12"/>
        <v>-70810.996914060001</v>
      </c>
      <c r="AJ21" s="355">
        <f t="shared" si="12"/>
        <v>-88616.448125099996</v>
      </c>
      <c r="AK21" s="278">
        <f>IF(AI21=0, "    ---- ", IF(ABS(ROUND(100/AI21*AJ21-100,1))&lt;999,ROUND(100/AI21*AJ21-100,1),IF(ROUND(100/AI21*AJ21-100,1)&gt;999,999,-999)))</f>
        <v>25.1</v>
      </c>
    </row>
    <row r="22" spans="1:37" s="367" customFormat="1" ht="18.75" customHeight="1" x14ac:dyDescent="0.3">
      <c r="A22" s="429" t="s">
        <v>272</v>
      </c>
      <c r="B22" s="355"/>
      <c r="C22" s="355"/>
      <c r="D22" s="278"/>
      <c r="E22" s="530"/>
      <c r="F22" s="390"/>
      <c r="G22" s="278"/>
      <c r="H22" s="530"/>
      <c r="I22" s="390"/>
      <c r="J22" s="278"/>
      <c r="K22" s="148"/>
      <c r="L22" s="355"/>
      <c r="M22" s="278"/>
      <c r="N22" s="148"/>
      <c r="O22" s="355"/>
      <c r="P22" s="278"/>
      <c r="Q22" s="530"/>
      <c r="R22" s="390"/>
      <c r="S22" s="278"/>
      <c r="T22" s="530"/>
      <c r="U22" s="390"/>
      <c r="V22" s="278"/>
      <c r="W22" s="390"/>
      <c r="X22" s="390"/>
      <c r="Y22" s="278"/>
      <c r="Z22" s="148"/>
      <c r="AA22" s="355"/>
      <c r="AB22" s="278"/>
      <c r="AC22" s="148"/>
      <c r="AD22" s="355"/>
      <c r="AE22" s="278"/>
      <c r="AF22" s="278"/>
      <c r="AG22" s="278"/>
      <c r="AH22" s="278"/>
      <c r="AI22" s="278"/>
      <c r="AJ22" s="278"/>
      <c r="AK22" s="278"/>
    </row>
    <row r="23" spans="1:37" s="367" customFormat="1" ht="18.75" customHeight="1" x14ac:dyDescent="0.3">
      <c r="A23" s="429" t="s">
        <v>383</v>
      </c>
      <c r="B23" s="278">
        <v>2564.482</v>
      </c>
      <c r="C23" s="278">
        <v>2369.9389187699976</v>
      </c>
      <c r="D23" s="278">
        <f t="shared" ref="D23:D30" si="14">IF(B23=0, "    ---- ", IF(ABS(ROUND(100/B23*C23-100,1))&lt;999,ROUND(100/B23*C23-100,1),IF(ROUND(100/B23*C23-100,1)&gt;999,999,-999)))</f>
        <v>-7.6</v>
      </c>
      <c r="E23" s="437">
        <v>-515.22871190000023</v>
      </c>
      <c r="F23" s="278">
        <v>-425.72864093999999</v>
      </c>
      <c r="G23" s="278">
        <f>IF(E23=0, "    ---- ", IF(ABS(ROUND(100/E23*F23-100,1))&lt;999,ROUND(100/E23*F23-100,1),IF(ROUND(100/E23*F23-100,1)&gt;999,999,-999)))</f>
        <v>-17.399999999999999</v>
      </c>
      <c r="H23" s="437">
        <v>-471.34199999999998</v>
      </c>
      <c r="I23" s="278">
        <v>-595.64</v>
      </c>
      <c r="J23" s="278">
        <f>IF(H23=0, "    ---- ", IF(ABS(ROUND(100/H23*I23-100,1))&lt;999,ROUND(100/H23*I23-100,1),IF(ROUND(100/H23*I23-100,1)&gt;999,999,-999)))</f>
        <v>26.4</v>
      </c>
      <c r="K23" s="437">
        <v>-423</v>
      </c>
      <c r="L23" s="278">
        <v>-547</v>
      </c>
      <c r="M23" s="278">
        <f t="shared" ref="M23:M32" si="15">IF(K23=0, "    ---- ", IF(ABS(ROUND(100/K23*L23-100,1))&lt;999,ROUND(100/K23*L23-100,1),IF(ROUND(100/K23*L23-100,1)&gt;999,999,-999)))</f>
        <v>29.3</v>
      </c>
      <c r="N23" s="437">
        <v>-27082.191081700003</v>
      </c>
      <c r="O23" s="278">
        <v>-30736.810886430001</v>
      </c>
      <c r="P23" s="278">
        <f t="shared" ref="P23:P31" si="16">IF(N23=0, "    ---- ", IF(ABS(ROUND(100/N23*O23-100,1))&lt;999,ROUND(100/N23*O23-100,1),IF(ROUND(100/N23*O23-100,1)&gt;999,999,-999)))</f>
        <v>13.5</v>
      </c>
      <c r="Q23" s="437">
        <v>-56</v>
      </c>
      <c r="R23" s="278">
        <v>-186</v>
      </c>
      <c r="S23" s="278">
        <f t="shared" ref="S23:S30" si="17">IF(Q23=0, "    ---- ", IF(ABS(ROUND(100/Q23*R23-100,1))&lt;999,ROUND(100/Q23*R23-100,1),IF(ROUND(100/Q23*R23-100,1)&gt;999,999,-999)))</f>
        <v>232.1</v>
      </c>
      <c r="T23" s="437">
        <v>-698</v>
      </c>
      <c r="U23" s="278">
        <v>-767</v>
      </c>
      <c r="V23" s="278">
        <f>IF(T23=0, "    ---- ", IF(ABS(ROUND(100/T23*U23-100,1))&lt;999,ROUND(100/T23*U23-100,1),IF(ROUND(100/T23*U23-100,1)&gt;999,999,-999)))</f>
        <v>9.9</v>
      </c>
      <c r="W23" s="278">
        <v>-145.85303269999997</v>
      </c>
      <c r="X23" s="278">
        <v>-1114.2817</v>
      </c>
      <c r="Y23" s="278">
        <f t="shared" ref="Y23:Y30" si="18">IF(W23=0, "    ---- ", IF(ABS(ROUND(100/W23*X23-100,1))&lt;999,ROUND(100/W23*X23-100,1),IF(ROUND(100/W23*X23-100,1)&gt;999,999,-999)))</f>
        <v>664</v>
      </c>
      <c r="Z23" s="437">
        <v>-3007.190800780003</v>
      </c>
      <c r="AA23" s="278">
        <v>-4303.4632872600005</v>
      </c>
      <c r="AB23" s="278">
        <f t="shared" ref="AB23:AB30" si="19">IF(Z23=0, "    ---- ", IF(ABS(ROUND(100/Z23*AA23-100,1))&lt;999,ROUND(100/Z23*AA23-100,1),IF(ROUND(100/Z23*AA23-100,1)&gt;999,999,-999)))</f>
        <v>43.1</v>
      </c>
      <c r="AC23" s="437">
        <v>-58</v>
      </c>
      <c r="AD23" s="278">
        <v>-49</v>
      </c>
      <c r="AE23" s="278">
        <f t="shared" ref="AE23:AE30" si="20">IF(AC23=0, "    ---- ", IF(ABS(ROUND(100/AC23*AD23-100,1))&lt;999,ROUND(100/AC23*AD23-100,1),IF(ROUND(100/AC23*AD23-100,1)&gt;999,999,-999)))</f>
        <v>-15.5</v>
      </c>
      <c r="AF23" s="278">
        <f t="shared" si="10"/>
        <v>-29834.323627080004</v>
      </c>
      <c r="AG23" s="278">
        <f t="shared" si="10"/>
        <v>-36305.985595860002</v>
      </c>
      <c r="AH23" s="278">
        <f t="shared" si="11"/>
        <v>21.7</v>
      </c>
      <c r="AI23" s="278"/>
      <c r="AJ23" s="278"/>
      <c r="AK23" s="278"/>
    </row>
    <row r="24" spans="1:37" s="367" customFormat="1" ht="18.75" customHeight="1" x14ac:dyDescent="0.3">
      <c r="A24" s="429" t="s">
        <v>390</v>
      </c>
      <c r="B24" s="278">
        <v>-12.510999999999999</v>
      </c>
      <c r="C24" s="278">
        <v>-1250.78476808</v>
      </c>
      <c r="D24" s="278">
        <f>IF(B24=0, "    ---- ", IF(ABS(ROUND(100/B24*C24-100,1))&lt;999,ROUND(100/B24*C24-100,1),IF(ROUND(100/B24*C24-100,1)&gt;999,999,-999)))</f>
        <v>999</v>
      </c>
      <c r="E24" s="437"/>
      <c r="F24" s="278"/>
      <c r="G24" s="278"/>
      <c r="H24" s="437"/>
      <c r="I24" s="278"/>
      <c r="J24" s="278"/>
      <c r="K24" s="437">
        <v>-3</v>
      </c>
      <c r="L24" s="278">
        <v>-7</v>
      </c>
      <c r="M24" s="278">
        <f>IF(K24=0, "    ---- ", IF(ABS(ROUND(100/K24*L24-100,1))&lt;999,ROUND(100/K24*L24-100,1),IF(ROUND(100/K24*L24-100,1)&gt;999,999,-999)))</f>
        <v>133.30000000000001</v>
      </c>
      <c r="N24" s="437"/>
      <c r="O24" s="278"/>
      <c r="P24" s="278"/>
      <c r="Q24" s="437">
        <v>-276</v>
      </c>
      <c r="R24" s="278">
        <v>-255</v>
      </c>
      <c r="S24" s="278">
        <f>IF(Q24=0, "    ---- ", IF(ABS(ROUND(100/Q24*R24-100,1))&lt;999,ROUND(100/Q24*R24-100,1),IF(ROUND(100/Q24*R24-100,1)&gt;999,999,-999)))</f>
        <v>-7.6</v>
      </c>
      <c r="T24" s="437"/>
      <c r="U24" s="278"/>
      <c r="V24" s="278"/>
      <c r="W24" s="278">
        <v>35.639471139999969</v>
      </c>
      <c r="X24" s="278">
        <v>109.723</v>
      </c>
      <c r="Y24" s="278">
        <f>IF(W24=0, "    ---- ", IF(ABS(ROUND(100/W24*X24-100,1))&lt;999,ROUND(100/W24*X24-100,1),IF(ROUND(100/W24*X24-100,1)&gt;999,999,-999)))</f>
        <v>207.9</v>
      </c>
      <c r="Z24" s="437">
        <v>-406.05959296000003</v>
      </c>
      <c r="AA24" s="278">
        <v>-1857.232816</v>
      </c>
      <c r="AB24" s="278">
        <f>IF(Z24=0, "    ---- ", IF(ABS(ROUND(100/Z24*AA24-100,1))&lt;999,ROUND(100/Z24*AA24-100,1),IF(ROUND(100/Z24*AA24-100,1)&gt;999,999,-999)))</f>
        <v>357.4</v>
      </c>
      <c r="AC24" s="437"/>
      <c r="AD24" s="278"/>
      <c r="AE24" s="278"/>
      <c r="AF24" s="278">
        <f t="shared" si="10"/>
        <v>-661.93112182000004</v>
      </c>
      <c r="AG24" s="278">
        <f t="shared" si="10"/>
        <v>-3260.2945840800003</v>
      </c>
      <c r="AH24" s="278">
        <f>IF(AF24=0, "    ---- ", IF(ABS(ROUND(100/AF24*AG24-100,1))&lt;999,ROUND(100/AF24*AG24-100,1),IF(ROUND(100/AF24*AG24-100,1)&gt;999,999,-999)))</f>
        <v>392.5</v>
      </c>
      <c r="AI24" s="278"/>
      <c r="AJ24" s="278"/>
      <c r="AK24" s="278"/>
    </row>
    <row r="25" spans="1:37" s="367" customFormat="1" ht="18.75" customHeight="1" x14ac:dyDescent="0.3">
      <c r="A25" s="559" t="s">
        <v>413</v>
      </c>
      <c r="B25" s="278"/>
      <c r="C25" s="355"/>
      <c r="D25" s="278"/>
      <c r="E25" s="437"/>
      <c r="F25" s="278"/>
      <c r="G25" s="278"/>
      <c r="H25" s="437"/>
      <c r="I25" s="278"/>
      <c r="J25" s="278"/>
      <c r="K25" s="437"/>
      <c r="L25" s="278"/>
      <c r="M25" s="278"/>
      <c r="N25" s="437"/>
      <c r="O25" s="278"/>
      <c r="P25" s="278"/>
      <c r="Q25" s="437"/>
      <c r="R25" s="278"/>
      <c r="S25" s="278"/>
      <c r="T25" s="437"/>
      <c r="U25" s="278"/>
      <c r="V25" s="278"/>
      <c r="W25" s="278"/>
      <c r="X25" s="278"/>
      <c r="Y25" s="278"/>
      <c r="Z25" s="437"/>
      <c r="AA25" s="278"/>
      <c r="AB25" s="278"/>
      <c r="AC25" s="437"/>
      <c r="AD25" s="278"/>
      <c r="AE25" s="278"/>
      <c r="AF25" s="278">
        <f t="shared" si="10"/>
        <v>0</v>
      </c>
      <c r="AG25" s="278">
        <f>C25+F25+I25+L25+O25+R25+U25+X25+AA25</f>
        <v>0</v>
      </c>
      <c r="AH25" s="278" t="str">
        <f>IF(AF25=0, "    ---- ", IF(ABS(ROUND(100/AF25*AG25-100,1))&lt;999,ROUND(100/AF25*AG25-100,1),IF(ROUND(100/AF25*AG25-100,1)&gt;999,999,-999)))</f>
        <v xml:space="preserve">    ---- </v>
      </c>
      <c r="AI25" s="278"/>
      <c r="AJ25" s="278"/>
      <c r="AK25" s="278"/>
    </row>
    <row r="26" spans="1:37" s="367" customFormat="1" ht="18.75" customHeight="1" x14ac:dyDescent="0.3">
      <c r="A26" s="429" t="s">
        <v>391</v>
      </c>
      <c r="B26" s="278">
        <v>-3.6230000000000002</v>
      </c>
      <c r="C26" s="278">
        <v>-2.2608496499999999</v>
      </c>
      <c r="D26" s="278">
        <f>IF(B26=0, "    ---- ", IF(ABS(ROUND(100/B26*C26-100,1))&lt;999,ROUND(100/B26*C26-100,1),IF(ROUND(100/B26*C26-100,1)&gt;999,999,-999)))</f>
        <v>-37.6</v>
      </c>
      <c r="E26" s="437"/>
      <c r="F26" s="278"/>
      <c r="G26" s="278"/>
      <c r="H26" s="148"/>
      <c r="I26" s="278"/>
      <c r="J26" s="278"/>
      <c r="K26" s="437">
        <v>17</v>
      </c>
      <c r="L26" s="278">
        <v>33</v>
      </c>
      <c r="M26" s="352">
        <f t="shared" ref="M26" si="21">IF(K26=0, "    ---- ", IF(ABS(ROUND(100/K26*L26-100,1))&lt;999,ROUND(100/K26*L26-100,1),IF(ROUND(100/K26*L26-100,1)&gt;999,999,-999)))</f>
        <v>94.1</v>
      </c>
      <c r="N26" s="437">
        <v>-418.67653000000001</v>
      </c>
      <c r="O26" s="278">
        <v>-619.626665</v>
      </c>
      <c r="P26" s="278">
        <f>IF(N26=0, "    ---- ", IF(ABS(ROUND(100/N26*O26-100,1))&lt;999,ROUND(100/N26*O26-100,1),IF(ROUND(100/N26*O26-100,1)&gt;999,999,-999)))</f>
        <v>48</v>
      </c>
      <c r="Q26" s="437">
        <v>-2</v>
      </c>
      <c r="R26" s="278">
        <v>-3</v>
      </c>
      <c r="S26" s="278">
        <f>IF(Q26=0, "    ---- ", IF(ABS(ROUND(100/Q26*R26-100,1))&lt;999,ROUND(100/Q26*R26-100,1),IF(ROUND(100/Q26*R26-100,1)&gt;999,999,-999)))</f>
        <v>50</v>
      </c>
      <c r="T26" s="437">
        <v>-41</v>
      </c>
      <c r="U26" s="278">
        <v>-60</v>
      </c>
      <c r="V26" s="278">
        <f>IF(T26=0, "    ---- ", IF(ABS(ROUND(100/T26*U26-100,1))&lt;999,ROUND(100/T26*U26-100,1),IF(ROUND(100/T26*U26-100,1)&gt;999,999,-999)))</f>
        <v>46.3</v>
      </c>
      <c r="W26" s="278">
        <v>1.206429</v>
      </c>
      <c r="X26" s="278">
        <v>1.0115000000000001</v>
      </c>
      <c r="Y26" s="278">
        <f>IF(W26=0, "    ---- ", IF(ABS(ROUND(100/W26*X26-100,1))&lt;999,ROUND(100/W26*X26-100,1),IF(ROUND(100/W26*X26-100,1)&gt;999,999,-999)))</f>
        <v>-16.2</v>
      </c>
      <c r="Z26" s="437"/>
      <c r="AA26" s="278">
        <v>-0.92488700000000001</v>
      </c>
      <c r="AB26" s="278" t="str">
        <f>IF(Z26=0, "    ---- ", IF(ABS(ROUND(100/Z26*AA26-100,1))&lt;999,ROUND(100/Z26*AA26-100,1),IF(ROUND(100/Z26*AA26-100,1)&gt;999,999,-999)))</f>
        <v xml:space="preserve">    ---- </v>
      </c>
      <c r="AC26" s="437"/>
      <c r="AD26" s="278"/>
      <c r="AE26" s="278"/>
      <c r="AF26" s="278">
        <f t="shared" si="10"/>
        <v>-447.09310099999999</v>
      </c>
      <c r="AG26" s="278">
        <f>C26+F26+I26+L26+O26+R26+U26+X26+AA26</f>
        <v>-651.80090165000001</v>
      </c>
      <c r="AH26" s="278">
        <f>IF(AF26=0, "    ---- ", IF(ABS(ROUND(100/AF26*AG26-100,1))&lt;999,ROUND(100/AF26*AG26-100,1),IF(ROUND(100/AF26*AG26-100,1)&gt;999,999,-999)))</f>
        <v>45.8</v>
      </c>
      <c r="AI26" s="278"/>
      <c r="AJ26" s="278"/>
      <c r="AK26" s="278"/>
    </row>
    <row r="27" spans="1:37" s="367" customFormat="1" ht="18.75" customHeight="1" x14ac:dyDescent="0.3">
      <c r="A27" s="559" t="s">
        <v>412</v>
      </c>
      <c r="B27" s="278"/>
      <c r="C27" s="355"/>
      <c r="D27" s="278"/>
      <c r="E27" s="437"/>
      <c r="F27" s="278"/>
      <c r="G27" s="278"/>
      <c r="H27" s="148">
        <v>-8</v>
      </c>
      <c r="I27" s="278">
        <v>-6</v>
      </c>
      <c r="J27" s="278">
        <f>IF(H27=0, "    ---- ", IF(ABS(ROUND(100/H27*I27-100,1))&lt;999,ROUND(100/H27*I27-100,1),IF(ROUND(100/H27*I27-100,1)&gt;999,999,-999)))</f>
        <v>-25</v>
      </c>
      <c r="K27" s="437"/>
      <c r="L27" s="278"/>
      <c r="M27" s="278"/>
      <c r="N27" s="437"/>
      <c r="O27" s="278"/>
      <c r="P27" s="278"/>
      <c r="Q27" s="437"/>
      <c r="R27" s="278"/>
      <c r="S27" s="278"/>
      <c r="T27" s="437"/>
      <c r="U27" s="278"/>
      <c r="V27" s="278"/>
      <c r="W27" s="278"/>
      <c r="X27" s="278"/>
      <c r="Y27" s="278"/>
      <c r="Z27" s="148">
        <v>-27.190971319999992</v>
      </c>
      <c r="AA27" s="278">
        <v>-45.008138090000003</v>
      </c>
      <c r="AB27" s="278">
        <f t="shared" si="19"/>
        <v>65.5</v>
      </c>
      <c r="AC27" s="437"/>
      <c r="AD27" s="278"/>
      <c r="AE27" s="278"/>
      <c r="AF27" s="278">
        <f t="shared" ref="AF27:AG35" si="22">B27+E27+H27+K27+N27+Q27+T27+W27+Z27</f>
        <v>-35.190971319999989</v>
      </c>
      <c r="AG27" s="278">
        <f>C27+F27+I27+L27+O27+R27+U27+X27+AA27</f>
        <v>-51.008138090000003</v>
      </c>
      <c r="AH27" s="278">
        <f>IF(AF27=0, "    ---- ", IF(ABS(ROUND(100/AF27*AG27-100,1))&lt;999,ROUND(100/AF27*AG27-100,1),IF(ROUND(100/AF27*AG27-100,1)&gt;999,999,-999)))</f>
        <v>44.9</v>
      </c>
      <c r="AI27" s="278"/>
      <c r="AJ27" s="278"/>
      <c r="AK27" s="278"/>
    </row>
    <row r="28" spans="1:37" s="367" customFormat="1" ht="18.75" customHeight="1" x14ac:dyDescent="0.3">
      <c r="A28" s="429" t="s">
        <v>392</v>
      </c>
      <c r="B28" s="278">
        <v>-740.26499999999999</v>
      </c>
      <c r="C28" s="278">
        <v>-342.32967991999999</v>
      </c>
      <c r="D28" s="278">
        <f t="shared" si="14"/>
        <v>-53.8</v>
      </c>
      <c r="E28" s="437"/>
      <c r="F28" s="278"/>
      <c r="G28" s="278"/>
      <c r="H28" s="437">
        <v>-4.0819999999999999</v>
      </c>
      <c r="I28" s="278">
        <v>-6.9729999999999999</v>
      </c>
      <c r="J28" s="278">
        <f>IF(H28=0, "    ---- ", IF(ABS(ROUND(100/H28*I28-100,1))&lt;999,ROUND(100/H28*I28-100,1),IF(ROUND(100/H28*I28-100,1)&gt;999,999,-999)))</f>
        <v>70.8</v>
      </c>
      <c r="K28" s="437"/>
      <c r="L28" s="278"/>
      <c r="M28" s="278"/>
      <c r="N28" s="437">
        <v>366.35661199999998</v>
      </c>
      <c r="O28" s="278">
        <v>693.34764299999995</v>
      </c>
      <c r="P28" s="278">
        <f t="shared" si="16"/>
        <v>89.3</v>
      </c>
      <c r="Q28" s="437"/>
      <c r="R28" s="278"/>
      <c r="S28" s="278"/>
      <c r="T28" s="437">
        <v>0</v>
      </c>
      <c r="U28" s="278"/>
      <c r="V28" s="278"/>
      <c r="W28" s="278"/>
      <c r="X28" s="278"/>
      <c r="Y28" s="278"/>
      <c r="Z28" s="437">
        <v>-47.408607020000005</v>
      </c>
      <c r="AA28" s="278">
        <v>-94.828079310000021</v>
      </c>
      <c r="AB28" s="278">
        <f t="shared" si="19"/>
        <v>100</v>
      </c>
      <c r="AC28" s="437"/>
      <c r="AD28" s="278"/>
      <c r="AE28" s="278"/>
      <c r="AF28" s="278">
        <f t="shared" si="22"/>
        <v>-425.39899502000003</v>
      </c>
      <c r="AG28" s="278">
        <f t="shared" si="22"/>
        <v>249.21688376999992</v>
      </c>
      <c r="AH28" s="278">
        <f t="shared" si="11"/>
        <v>-158.6</v>
      </c>
      <c r="AI28" s="278"/>
      <c r="AJ28" s="278"/>
      <c r="AK28" s="278"/>
    </row>
    <row r="29" spans="1:37" s="367" customFormat="1" ht="18.75" x14ac:dyDescent="0.3">
      <c r="A29" s="558" t="s">
        <v>407</v>
      </c>
      <c r="B29" s="278">
        <v>19.722999999999999</v>
      </c>
      <c r="C29" s="278">
        <v>9.5181019400000011</v>
      </c>
      <c r="D29" s="278">
        <f t="shared" si="14"/>
        <v>-51.7</v>
      </c>
      <c r="E29" s="437"/>
      <c r="F29" s="278"/>
      <c r="G29" s="278"/>
      <c r="H29" s="437"/>
      <c r="I29" s="278"/>
      <c r="J29" s="278"/>
      <c r="K29" s="437"/>
      <c r="L29" s="278"/>
      <c r="M29" s="278"/>
      <c r="N29" s="437"/>
      <c r="O29" s="278"/>
      <c r="P29" s="278"/>
      <c r="Q29" s="437"/>
      <c r="R29" s="278">
        <v>2</v>
      </c>
      <c r="S29" s="278" t="str">
        <f t="shared" si="17"/>
        <v xml:space="preserve">    ---- </v>
      </c>
      <c r="T29" s="437"/>
      <c r="U29" s="278"/>
      <c r="V29" s="278"/>
      <c r="W29" s="278"/>
      <c r="X29" s="278"/>
      <c r="Y29" s="278"/>
      <c r="Z29" s="437">
        <v>438.61332099999998</v>
      </c>
      <c r="AA29" s="278">
        <v>590.32388400000002</v>
      </c>
      <c r="AB29" s="278">
        <f t="shared" si="19"/>
        <v>34.6</v>
      </c>
      <c r="AC29" s="437">
        <v>1</v>
      </c>
      <c r="AD29" s="278"/>
      <c r="AE29" s="278">
        <f t="shared" si="20"/>
        <v>-100</v>
      </c>
      <c r="AF29" s="278">
        <f t="shared" si="22"/>
        <v>458.336321</v>
      </c>
      <c r="AG29" s="278">
        <f t="shared" si="22"/>
        <v>601.84198593999997</v>
      </c>
      <c r="AH29" s="278">
        <f t="shared" si="11"/>
        <v>31.3</v>
      </c>
      <c r="AI29" s="278"/>
      <c r="AJ29" s="278"/>
      <c r="AK29" s="278"/>
    </row>
    <row r="30" spans="1:37" s="367" customFormat="1" ht="18.75" customHeight="1" x14ac:dyDescent="0.3">
      <c r="A30" s="429" t="s">
        <v>273</v>
      </c>
      <c r="B30" s="278">
        <v>1827.806</v>
      </c>
      <c r="C30" s="278">
        <v>784.08172305999756</v>
      </c>
      <c r="D30" s="278">
        <f t="shared" si="14"/>
        <v>-57.1</v>
      </c>
      <c r="E30" s="437">
        <f>SUM(E23:E29)</f>
        <v>-515.22871190000023</v>
      </c>
      <c r="F30" s="278">
        <f>SUM(F23:F29)</f>
        <v>-425.72864093999999</v>
      </c>
      <c r="G30" s="278">
        <f>IF(E30=0, "    ---- ", IF(ABS(ROUND(100/E30*F30-100,1))&lt;999,ROUND(100/E30*F30-100,1),IF(ROUND(100/E30*F30-100,1)&gt;999,999,-999)))</f>
        <v>-17.399999999999999</v>
      </c>
      <c r="H30" s="437">
        <f>SUM(H23:H29)</f>
        <v>-483.42399999999998</v>
      </c>
      <c r="I30" s="278">
        <f>SUM(I23:I29)</f>
        <v>-608.61299999999994</v>
      </c>
      <c r="J30" s="278">
        <f>IF(H30=0, "    ---- ", IF(ABS(ROUND(100/H30*I30-100,1))&lt;999,ROUND(100/H30*I30-100,1),IF(ROUND(100/H30*I30-100,1)&gt;999,999,-999)))</f>
        <v>25.9</v>
      </c>
      <c r="K30" s="437">
        <f>SUM(K23:K29)</f>
        <v>-409</v>
      </c>
      <c r="L30" s="278">
        <f>SUM(L23:L29)</f>
        <v>-521</v>
      </c>
      <c r="M30" s="278">
        <f t="shared" si="15"/>
        <v>27.4</v>
      </c>
      <c r="N30" s="437">
        <v>-27134.510999700004</v>
      </c>
      <c r="O30" s="278">
        <v>-30663.08990843</v>
      </c>
      <c r="P30" s="278">
        <f t="shared" si="16"/>
        <v>13</v>
      </c>
      <c r="Q30" s="437">
        <f>SUM(Q23:Q29)</f>
        <v>-334</v>
      </c>
      <c r="R30" s="278">
        <f>SUM(R23:R29)</f>
        <v>-442</v>
      </c>
      <c r="S30" s="278">
        <f t="shared" si="17"/>
        <v>32.299999999999997</v>
      </c>
      <c r="T30" s="437">
        <f>SUM(T23:T29)</f>
        <v>-739</v>
      </c>
      <c r="U30" s="278">
        <f>SUM(U23:U29)</f>
        <v>-827</v>
      </c>
      <c r="V30" s="278">
        <f>IF(T30=0, "    ---- ", IF(ABS(ROUND(100/T30*U30-100,1))&lt;999,ROUND(100/T30*U30-100,1),IF(ROUND(100/T30*U30-100,1)&gt;999,999,-999)))</f>
        <v>11.9</v>
      </c>
      <c r="W30" s="278">
        <v>-109.00713256</v>
      </c>
      <c r="X30" s="278">
        <v>-1003.5472000000001</v>
      </c>
      <c r="Y30" s="278">
        <f t="shared" si="18"/>
        <v>820.6</v>
      </c>
      <c r="Z30" s="437">
        <f>SUM(Z23:Z29)</f>
        <v>-3049.236651080003</v>
      </c>
      <c r="AA30" s="278">
        <f>SUM(AA23:AA29)</f>
        <v>-5711.1333236600003</v>
      </c>
      <c r="AB30" s="278">
        <f t="shared" si="19"/>
        <v>87.3</v>
      </c>
      <c r="AC30" s="437">
        <f>SUM(AC23:AC29)</f>
        <v>-57</v>
      </c>
      <c r="AD30" s="278">
        <f>SUM(AD23:AD29)</f>
        <v>-49</v>
      </c>
      <c r="AE30" s="278">
        <f t="shared" si="20"/>
        <v>-14</v>
      </c>
      <c r="AF30" s="278">
        <f t="shared" si="22"/>
        <v>-30945.601495240007</v>
      </c>
      <c r="AG30" s="278">
        <f>C30+F30+I30+L30+O30+R30+U30+X30+AA30</f>
        <v>-39418.030349969995</v>
      </c>
      <c r="AH30" s="278">
        <f t="shared" si="11"/>
        <v>27.4</v>
      </c>
      <c r="AI30" s="278"/>
      <c r="AJ30" s="278"/>
      <c r="AK30" s="278"/>
    </row>
    <row r="31" spans="1:37" s="367" customFormat="1" ht="18.75" customHeight="1" x14ac:dyDescent="0.3">
      <c r="A31" s="429" t="s">
        <v>274</v>
      </c>
      <c r="B31" s="278">
        <v>-20318.53</v>
      </c>
      <c r="C31" s="278">
        <v>-16429.437027479999</v>
      </c>
      <c r="D31" s="278">
        <f>IF(B31=0, "    ---- ", IF(ABS(ROUND(100/B31*C31-100,1))&lt;999,ROUND(100/B31*C31-100,1),IF(ROUND(100/B31*C31-100,1)&gt;999,999,-999)))</f>
        <v>-19.100000000000001</v>
      </c>
      <c r="E31" s="437"/>
      <c r="F31" s="278"/>
      <c r="G31" s="278"/>
      <c r="H31" s="437"/>
      <c r="I31" s="278"/>
      <c r="J31" s="278"/>
      <c r="K31" s="437">
        <v>-9615</v>
      </c>
      <c r="L31" s="278">
        <v>-7162</v>
      </c>
      <c r="M31" s="278">
        <f t="shared" si="15"/>
        <v>-25.5</v>
      </c>
      <c r="N31" s="437">
        <v>-94.503294999999994</v>
      </c>
      <c r="O31" s="278">
        <v>-106.90393899999999</v>
      </c>
      <c r="P31" s="278">
        <f t="shared" si="16"/>
        <v>13.1</v>
      </c>
      <c r="Q31" s="437">
        <v>-20569</v>
      </c>
      <c r="R31" s="278">
        <v>-6894</v>
      </c>
      <c r="S31" s="278">
        <f>IF(Q31=0, "    ---- ", IF(ABS(ROUND(100/Q31*R31-100,1))&lt;999,ROUND(100/Q31*R31-100,1),IF(ROUND(100/Q31*R31-100,1)&gt;999,999,-999)))</f>
        <v>-66.5</v>
      </c>
      <c r="T31" s="437"/>
      <c r="U31" s="278"/>
      <c r="V31" s="278"/>
      <c r="W31" s="278">
        <v>-8701.8481822500016</v>
      </c>
      <c r="X31" s="278">
        <v>-6317.7183999999997</v>
      </c>
      <c r="Y31" s="278">
        <f>IF(W31=0, "    ---- ", IF(ABS(ROUND(100/W31*X31-100,1))&lt;999,ROUND(100/W31*X31-100,1),IF(ROUND(100/W31*X31-100,1)&gt;999,999,-999)))</f>
        <v>-27.4</v>
      </c>
      <c r="Z31" s="437">
        <v>-23140.239622429996</v>
      </c>
      <c r="AA31" s="278">
        <v>-13389.538726273526</v>
      </c>
      <c r="AB31" s="278">
        <f>IF(Z31=0, "    ---- ", IF(ABS(ROUND(100/Z31*AA31-100,1))&lt;999,ROUND(100/Z31*AA31-100,1),IF(ROUND(100/Z31*AA31-100,1)&gt;999,999,-999)))</f>
        <v>-42.1</v>
      </c>
      <c r="AC31" s="437"/>
      <c r="AD31" s="278"/>
      <c r="AE31" s="278"/>
      <c r="AF31" s="278">
        <f t="shared" si="22"/>
        <v>-82439.121099679993</v>
      </c>
      <c r="AG31" s="278">
        <f t="shared" si="22"/>
        <v>-50299.59809275352</v>
      </c>
      <c r="AH31" s="278">
        <f t="shared" si="11"/>
        <v>-39</v>
      </c>
      <c r="AI31" s="278"/>
      <c r="AJ31" s="278"/>
      <c r="AK31" s="278"/>
    </row>
    <row r="32" spans="1:37" s="367" customFormat="1" ht="18.75" customHeight="1" x14ac:dyDescent="0.3">
      <c r="A32" s="429" t="s">
        <v>275</v>
      </c>
      <c r="B32" s="278">
        <v>-1510.4449999999999</v>
      </c>
      <c r="C32" s="278">
        <v>-405.14248255999996</v>
      </c>
      <c r="D32" s="278">
        <f>IF(B32=0, "    ---- ", IF(ABS(ROUND(100/B32*C32-100,1))&lt;999,ROUND(100/B32*C32-100,1),IF(ROUND(100/B32*C32-100,1)&gt;999,999,-999)))</f>
        <v>-73.2</v>
      </c>
      <c r="E32" s="437">
        <v>-3.4884450300000003</v>
      </c>
      <c r="F32" s="278">
        <v>-4.1358862799999994</v>
      </c>
      <c r="G32" s="278">
        <f>IF(E32=0, "    ---- ", IF(ABS(ROUND(100/E32*F32-100,1))&lt;999,ROUND(100/E32*F32-100,1),IF(ROUND(100/E32*F32-100,1)&gt;999,999,-999)))</f>
        <v>18.600000000000001</v>
      </c>
      <c r="H32" s="437"/>
      <c r="I32" s="278"/>
      <c r="J32" s="278"/>
      <c r="K32" s="437">
        <v>-38</v>
      </c>
      <c r="L32" s="278">
        <v>-74</v>
      </c>
      <c r="M32" s="278">
        <f t="shared" si="15"/>
        <v>94.7</v>
      </c>
      <c r="N32" s="437">
        <v>-26432.201879</v>
      </c>
      <c r="O32" s="278">
        <v>-17229.234165000002</v>
      </c>
      <c r="P32" s="278">
        <f>IF(N32=0, "    ---- ", IF(ABS(ROUND(100/N32*O32-100,1))&lt;999,ROUND(100/N32*O32-100,1),IF(ROUND(100/N32*O32-100,1)&gt;999,999,-999)))</f>
        <v>-34.799999999999997</v>
      </c>
      <c r="Q32" s="437">
        <v>-220</v>
      </c>
      <c r="R32" s="278">
        <v>-348</v>
      </c>
      <c r="S32" s="278">
        <f>IF(Q32=0, "    ---- ", IF(ABS(ROUND(100/Q32*R32-100,1))&lt;999,ROUND(100/Q32*R32-100,1),IF(ROUND(100/Q32*R32-100,1)&gt;999,999,-999)))</f>
        <v>58.2</v>
      </c>
      <c r="T32" s="437">
        <v>-3657</v>
      </c>
      <c r="U32" s="278">
        <v>-3839</v>
      </c>
      <c r="V32" s="278">
        <f>IF(T32=0, "    ---- ", IF(ABS(ROUND(100/T32*U32-100,1))&lt;999,ROUND(100/T32*U32-100,1),IF(ROUND(100/T32*U32-100,1)&gt;999,999,-999)))</f>
        <v>5</v>
      </c>
      <c r="W32" s="278">
        <v>-395.56932032999998</v>
      </c>
      <c r="X32" s="278">
        <v>-455.91539999999998</v>
      </c>
      <c r="Y32" s="278">
        <f>IF(W32=0, "    ---- ", IF(ABS(ROUND(100/W32*X32-100,1))&lt;999,ROUND(100/W32*X32-100,1),IF(ROUND(100/W32*X32-100,1)&gt;999,999,-999)))</f>
        <v>15.3</v>
      </c>
      <c r="Z32" s="437">
        <v>-2391.7568250000004</v>
      </c>
      <c r="AA32" s="278">
        <v>-1239.8287620000001</v>
      </c>
      <c r="AB32" s="278">
        <f>IF(Z32=0, "    ---- ", IF(ABS(ROUND(100/Z32*AA32-100,1))&lt;999,ROUND(100/Z32*AA32-100,1),IF(ROUND(100/Z32*AA32-100,1)&gt;999,999,-999)))</f>
        <v>-48.2</v>
      </c>
      <c r="AC32" s="437">
        <v>-1</v>
      </c>
      <c r="AD32" s="278"/>
      <c r="AE32" s="278">
        <f>IF(AC32=0, "    ---- ", IF(ABS(ROUND(100/AC32*AD32-100,1))&lt;999,ROUND(100/AC32*AD32-100,1),IF(ROUND(100/AC32*AD32-100,1)&gt;999,999,-999)))</f>
        <v>-100</v>
      </c>
      <c r="AF32" s="278">
        <f t="shared" si="22"/>
        <v>-34648.461469360002</v>
      </c>
      <c r="AG32" s="278">
        <f t="shared" si="22"/>
        <v>-23595.256695840006</v>
      </c>
      <c r="AH32" s="278">
        <f t="shared" si="11"/>
        <v>-31.9</v>
      </c>
      <c r="AI32" s="278"/>
      <c r="AJ32" s="278"/>
      <c r="AK32" s="278"/>
    </row>
    <row r="33" spans="1:37" s="367" customFormat="1" ht="18.75" customHeight="1" x14ac:dyDescent="0.3">
      <c r="A33" s="429" t="s">
        <v>276</v>
      </c>
      <c r="B33" s="278">
        <v>-642.67899999999997</v>
      </c>
      <c r="C33" s="278">
        <v>-632.97267116723083</v>
      </c>
      <c r="D33" s="278">
        <f>IF(B33=0, "    ---- ", IF(ABS(ROUND(100/B33*C33-100,1))&lt;999,ROUND(100/B33*C33-100,1),IF(ROUND(100/B33*C33-100,1)&gt;999,999,-999)))</f>
        <v>-1.5</v>
      </c>
      <c r="E33" s="437">
        <v>-492.63111220999997</v>
      </c>
      <c r="F33" s="278">
        <v>-520.75729938000006</v>
      </c>
      <c r="G33" s="278">
        <f>IF(E33=0, "    ---- ", IF(ABS(ROUND(100/E33*F33-100,1))&lt;999,ROUND(100/E33*F33-100,1),IF(ROUND(100/E33*F33-100,1)&gt;999,999,-999)))</f>
        <v>5.7</v>
      </c>
      <c r="H33" s="437">
        <v>-138.64500000000001</v>
      </c>
      <c r="I33" s="278">
        <v>-161.51300000000001</v>
      </c>
      <c r="J33" s="278">
        <f>IF(H33=0, "    ---- ", IF(ABS(ROUND(100/H33*I33-100,1))&lt;999,ROUND(100/H33*I33-100,1),IF(ROUND(100/H33*I33-100,1)&gt;999,999,-999)))</f>
        <v>16.5</v>
      </c>
      <c r="K33" s="437">
        <v>-229</v>
      </c>
      <c r="L33" s="278">
        <v>-267</v>
      </c>
      <c r="M33" s="278">
        <f>IF(K33=0, "    ---- ", IF(ABS(ROUND(100/K33*L33-100,1))&lt;999,ROUND(100/K33*L33-100,1),IF(ROUND(100/K33*L33-100,1)&gt;999,999,-999)))</f>
        <v>16.600000000000001</v>
      </c>
      <c r="N33" s="437">
        <v>-793.17143609000004</v>
      </c>
      <c r="O33" s="278">
        <v>-876.74682816999996</v>
      </c>
      <c r="P33" s="278">
        <f>IF(N33=0, "    ---- ", IF(ABS(ROUND(100/N33*O33-100,1))&lt;999,ROUND(100/N33*O33-100,1),IF(ROUND(100/N33*O33-100,1)&gt;999,999,-999)))</f>
        <v>10.5</v>
      </c>
      <c r="Q33" s="437">
        <v>-423</v>
      </c>
      <c r="R33" s="278">
        <v>-487</v>
      </c>
      <c r="S33" s="278">
        <f>IF(Q33=0, "    ---- ", IF(ABS(ROUND(100/Q33*R33-100,1))&lt;999,ROUND(100/Q33*R33-100,1),IF(ROUND(100/Q33*R33-100,1)&gt;999,999,-999)))</f>
        <v>15.1</v>
      </c>
      <c r="T33" s="437"/>
      <c r="U33" s="278"/>
      <c r="V33" s="278"/>
      <c r="W33" s="278">
        <v>-453.93713067720057</v>
      </c>
      <c r="X33" s="278">
        <v>-485.59879999999998</v>
      </c>
      <c r="Y33" s="278">
        <f>IF(W33=0, "    ---- ", IF(ABS(ROUND(100/W33*X33-100,1))&lt;999,ROUND(100/W33*X33-100,1),IF(ROUND(100/W33*X33-100,1)&gt;999,999,-999)))</f>
        <v>7</v>
      </c>
      <c r="Z33" s="437">
        <v>-841.17335184000001</v>
      </c>
      <c r="AA33" s="278">
        <v>-932.70430260000001</v>
      </c>
      <c r="AB33" s="278">
        <f>IF(Z33=0, "    ---- ", IF(ABS(ROUND(100/Z33*AA33-100,1))&lt;999,ROUND(100/Z33*AA33-100,1),IF(ROUND(100/Z33*AA33-100,1)&gt;999,999,-999)))</f>
        <v>10.9</v>
      </c>
      <c r="AC33" s="437">
        <v>-36</v>
      </c>
      <c r="AD33" s="278">
        <v>-43</v>
      </c>
      <c r="AE33" s="278">
        <f>IF(AC33=0, "    ---- ", IF(ABS(ROUND(100/AC33*AD33-100,1))&lt;999,ROUND(100/AC33*AD33-100,1),IF(ROUND(100/AC33*AD33-100,1)&gt;999,999,-999)))</f>
        <v>19.399999999999999</v>
      </c>
      <c r="AF33" s="278">
        <f t="shared" si="22"/>
        <v>-4014.2370308172003</v>
      </c>
      <c r="AG33" s="278">
        <f t="shared" si="22"/>
        <v>-4364.2929013172306</v>
      </c>
      <c r="AH33" s="278">
        <f t="shared" si="11"/>
        <v>8.6999999999999993</v>
      </c>
      <c r="AI33" s="278"/>
      <c r="AJ33" s="278"/>
      <c r="AK33" s="278"/>
    </row>
    <row r="34" spans="1:37" s="367" customFormat="1" ht="18.75" customHeight="1" x14ac:dyDescent="0.3">
      <c r="A34" s="429" t="s">
        <v>277</v>
      </c>
      <c r="B34" s="355">
        <v>-6.6429999999999998</v>
      </c>
      <c r="C34" s="355">
        <v>5.6282024299999973</v>
      </c>
      <c r="D34" s="355">
        <f>IF(B34=0, "    ---- ", IF(ABS(ROUND(100/B34*C34-100,1))&lt;999,ROUND(100/B34*C34-100,1),IF(ROUND(100/B34*C34-100,1)&gt;999,999,-999)))</f>
        <v>-184.7</v>
      </c>
      <c r="E34" s="148">
        <v>-11.18912839</v>
      </c>
      <c r="F34" s="355">
        <v>-6.4607302600000001</v>
      </c>
      <c r="G34" s="278">
        <f>IF(E34=0, "    ---- ", IF(ABS(ROUND(100/E34*F34-100,1))&lt;999,ROUND(100/E34*F34-100,1),IF(ROUND(100/E34*F34-100,1)&gt;999,999,-999)))</f>
        <v>-42.3</v>
      </c>
      <c r="H34" s="148"/>
      <c r="I34" s="355"/>
      <c r="J34" s="355"/>
      <c r="K34" s="148"/>
      <c r="L34" s="355"/>
      <c r="M34" s="355"/>
      <c r="N34" s="148">
        <v>-721.45176300000003</v>
      </c>
      <c r="O34" s="355">
        <v>-729.37304800000004</v>
      </c>
      <c r="P34" s="355">
        <f>IF(N34=0, "    ---- ", IF(ABS(ROUND(100/N34*O34-100,1))&lt;999,ROUND(100/N34*O34-100,1),IF(ROUND(100/N34*O34-100,1)&gt;999,999,-999)))</f>
        <v>1.1000000000000001</v>
      </c>
      <c r="Q34" s="148">
        <v>-9.9999677899999995</v>
      </c>
      <c r="R34" s="355">
        <v>-9.9999976899999989</v>
      </c>
      <c r="S34" s="355">
        <f>IF(Q34=0, "    ---- ", IF(ABS(ROUND(100/Q34*R34-100,1))&lt;999,ROUND(100/Q34*R34-100,1),IF(ROUND(100/Q34*R34-100,1)&gt;999,999,-999)))</f>
        <v>0</v>
      </c>
      <c r="T34" s="148">
        <v>-147</v>
      </c>
      <c r="U34" s="355">
        <v>-146</v>
      </c>
      <c r="V34" s="278">
        <f>IF(T34=0, "    ---- ", IF(ABS(ROUND(100/T34*U34-100,1))&lt;999,ROUND(100/T34*U34-100,1),IF(ROUND(100/T34*U34-100,1)&gt;999,999,-999)))</f>
        <v>-0.7</v>
      </c>
      <c r="W34" s="355">
        <v>-1.7086838100000001</v>
      </c>
      <c r="X34" s="355">
        <v>-1.1952</v>
      </c>
      <c r="Y34" s="355">
        <f>IF(W34=0, "    ---- ", IF(ABS(ROUND(100/W34*X34-100,1))&lt;999,ROUND(100/W34*X34-100,1),IF(ROUND(100/W34*X34-100,1)&gt;999,999,-999)))</f>
        <v>-30.1</v>
      </c>
      <c r="Z34" s="148">
        <v>-18.614766679998091</v>
      </c>
      <c r="AA34" s="355">
        <v>-22.526066470001712</v>
      </c>
      <c r="AB34" s="355">
        <f>IF(Z34=0, "    ---- ", IF(ABS(ROUND(100/Z34*AA34-100,1))&lt;999,ROUND(100/Z34*AA34-100,1),IF(ROUND(100/Z34*AA34-100,1)&gt;999,999,-999)))</f>
        <v>21</v>
      </c>
      <c r="AC34" s="148"/>
      <c r="AD34" s="355"/>
      <c r="AE34" s="355"/>
      <c r="AF34" s="278">
        <f t="shared" si="22"/>
        <v>-916.60730966999813</v>
      </c>
      <c r="AG34" s="278">
        <f t="shared" si="22"/>
        <v>-909.92683999000178</v>
      </c>
      <c r="AH34" s="355">
        <f t="shared" si="11"/>
        <v>-0.7</v>
      </c>
      <c r="AI34" s="355"/>
      <c r="AJ34" s="355"/>
      <c r="AK34" s="355"/>
    </row>
    <row r="35" spans="1:37" s="375" customFormat="1" ht="18.75" customHeight="1" x14ac:dyDescent="0.3">
      <c r="A35" s="440" t="s">
        <v>278</v>
      </c>
      <c r="B35" s="359">
        <v>547.17999999999654</v>
      </c>
      <c r="C35" s="359">
        <v>785.46303389275101</v>
      </c>
      <c r="D35" s="360">
        <f>IF(B35=0, "    ---- ", IF(ABS(ROUND(100/B35*C35-100,1))&lt;999,ROUND(100/B35*C35-100,1),IF(ROUND(100/B35*C35-100,1)&gt;999,999,-999)))</f>
        <v>43.5</v>
      </c>
      <c r="E35" s="151">
        <f>SUM(E14+E15+E16+E17+E21+E30+E31+E32+E33+E34)</f>
        <v>542.84064596999985</v>
      </c>
      <c r="F35" s="359">
        <f>SUM(F14+F15+F16+F17+F21+F30+F31+F32+F33+F34)</f>
        <v>686.01902701999904</v>
      </c>
      <c r="G35" s="360">
        <f>IF(E35=0, "    ---- ", IF(ABS(ROUND(100/E35*F35-100,1))&lt;999,ROUND(100/E35*F35-100,1),IF(ROUND(100/E35*F35-100,1)&gt;999,999,-999)))</f>
        <v>26.4</v>
      </c>
      <c r="H35" s="151">
        <f>SUM(H14+H15+H16+H17+H21+H30+H31+H32+H33+H34)</f>
        <v>91.820847000000043</v>
      </c>
      <c r="I35" s="359">
        <f>SUM(I14+I15+I16+I17+I21+I30+I31+I32+I33+I34)</f>
        <v>65.287000000000063</v>
      </c>
      <c r="J35" s="360">
        <f>IF(H35=0, "    ---- ", IF(ABS(ROUND(100/H35*I35-100,1))&lt;999,ROUND(100/H35*I35-100,1),IF(ROUND(100/H35*I35-100,1)&gt;999,999,-999)))</f>
        <v>-28.9</v>
      </c>
      <c r="K35" s="151">
        <f>SUM(K14+K15+K16+K17+K21+K30+K31+K32+K33+K34)</f>
        <v>117</v>
      </c>
      <c r="L35" s="359">
        <f>SUM(L14+L15+L16+L17+L21+L30+L31+L32+L33+L34)</f>
        <v>131</v>
      </c>
      <c r="M35" s="360">
        <f>IF(K35=0, "    ---- ", IF(ABS(ROUND(100/K35*L35-100,1))&lt;999,ROUND(100/K35*L35-100,1),IF(ROUND(100/K35*L35-100,1)&gt;999,999,-999)))</f>
        <v>12</v>
      </c>
      <c r="N35" s="151">
        <v>240.8200348500045</v>
      </c>
      <c r="O35" s="359">
        <v>163.60342492000905</v>
      </c>
      <c r="P35" s="360">
        <f>IF(N35=0, "    ---- ", IF(ABS(ROUND(100/N35*O35-100,1))&lt;999,ROUND(100/N35*O35-100,1),IF(ROUND(100/N35*O35-100,1)&gt;999,999,-999)))</f>
        <v>-32.1</v>
      </c>
      <c r="Q35" s="151">
        <f>SUM(Q14+Q15+Q16+Q17+Q21+Q30+Q31+Q32+Q33+Q34)</f>
        <v>684.00003220999997</v>
      </c>
      <c r="R35" s="359">
        <f>SUM(R14+R15+R16+R17+R21+R30+R31+R32+R33+R34)</f>
        <v>645.00000231000001</v>
      </c>
      <c r="S35" s="360">
        <f>IF(Q35=0, "    ---- ", IF(ABS(ROUND(100/Q35*R35-100,1))&lt;999,ROUND(100/Q35*R35-100,1),IF(ROUND(100/Q35*R35-100,1)&gt;999,999,-999)))</f>
        <v>-5.7</v>
      </c>
      <c r="T35" s="151">
        <f>SUM(T14+T15+T16+T17+T21+T30+T31+T32+T33+T34)</f>
        <v>256</v>
      </c>
      <c r="U35" s="359">
        <f>SUM(U14+U15+U16+U17+U21+U30+U31+U32+U33+U34)</f>
        <v>270</v>
      </c>
      <c r="V35" s="360">
        <f>IF(T35=0, "    ---- ", IF(ABS(ROUND(100/T35*U35-100,1))&lt;999,ROUND(100/T35*U35-100,1),IF(ROUND(100/T35*U35-100,1)&gt;999,999,-999)))</f>
        <v>5.5</v>
      </c>
      <c r="W35" s="359">
        <v>37.846876612792158</v>
      </c>
      <c r="X35" s="359">
        <v>37.463999999998805</v>
      </c>
      <c r="Y35" s="360">
        <f>IF(W35=0, "    ---- ", IF(ABS(ROUND(100/W35*X35-100,1))&lt;999,ROUND(100/W35*X35-100,1),IF(ROUND(100/W35*X35-100,1)&gt;999,999,-999)))</f>
        <v>-1</v>
      </c>
      <c r="Z35" s="151">
        <f>SUM(Z14+Z15+Z16+Z17+Z21+Z30+Z31+Z32+Z33+Z34)</f>
        <v>922.91666068999666</v>
      </c>
      <c r="AA35" s="359">
        <f>SUM(AA14+AA15+AA16+AA17+AA21+AA30+AA31+AA32+AA33+AA34)</f>
        <v>892.71704434648211</v>
      </c>
      <c r="AB35" s="360">
        <f>IF(Z35=0, "    ---- ", IF(ABS(ROUND(100/Z35*AA35-100,1))&lt;999,ROUND(100/Z35*AA35-100,1),IF(ROUND(100/Z35*AA35-100,1)&gt;999,999,-999)))</f>
        <v>-3.3</v>
      </c>
      <c r="AC35" s="151">
        <f>SUM(AC14+AC15+AC16+AC17+AC21+AC30+AC31+AC32+AC33+AC34)</f>
        <v>-19</v>
      </c>
      <c r="AD35" s="359">
        <f>SUM(AD14+AD15+AD16+AD17+AD21+AD30+AD31+AD32+AD33+AD34)</f>
        <v>-9</v>
      </c>
      <c r="AE35" s="360">
        <f>IF(AC35=0, "    ---- ", IF(ABS(ROUND(100/AC35*AD35-100,1))&lt;999,ROUND(100/AC35*AD35-100,1),IF(ROUND(100/AC35*AD35-100,1)&gt;999,999,-999)))</f>
        <v>-52.6</v>
      </c>
      <c r="AF35" s="360">
        <f t="shared" si="22"/>
        <v>3440.4250973327898</v>
      </c>
      <c r="AG35" s="360">
        <f t="shared" si="22"/>
        <v>3676.5535324892398</v>
      </c>
      <c r="AH35" s="360">
        <f t="shared" si="11"/>
        <v>6.9</v>
      </c>
      <c r="AI35" s="360"/>
      <c r="AJ35" s="360"/>
      <c r="AK35" s="360"/>
    </row>
    <row r="36" spans="1:37" s="375" customFormat="1" ht="18.75" customHeight="1" x14ac:dyDescent="0.3">
      <c r="A36" s="441"/>
      <c r="B36" s="383"/>
      <c r="C36" s="383"/>
      <c r="D36" s="353"/>
      <c r="E36" s="531"/>
      <c r="F36" s="383"/>
      <c r="G36" s="353"/>
      <c r="H36" s="531"/>
      <c r="I36" s="383"/>
      <c r="J36" s="353"/>
      <c r="K36" s="531"/>
      <c r="L36" s="383"/>
      <c r="M36" s="353"/>
      <c r="N36" s="531"/>
      <c r="O36" s="383"/>
      <c r="P36" s="353"/>
      <c r="Q36" s="531"/>
      <c r="R36" s="383"/>
      <c r="S36" s="353"/>
      <c r="T36" s="531"/>
      <c r="U36" s="383"/>
      <c r="V36" s="353"/>
      <c r="W36" s="383"/>
      <c r="X36" s="383"/>
      <c r="Y36" s="442"/>
      <c r="Z36" s="531"/>
      <c r="AA36" s="383"/>
      <c r="AB36" s="442"/>
      <c r="AC36" s="531"/>
      <c r="AD36" s="383"/>
      <c r="AE36" s="442"/>
      <c r="AF36" s="442"/>
      <c r="AG36" s="442"/>
      <c r="AH36" s="442"/>
      <c r="AI36" s="443"/>
      <c r="AJ36" s="444"/>
      <c r="AK36" s="445"/>
    </row>
    <row r="37" spans="1:37" s="375" customFormat="1" ht="18.75" customHeight="1" x14ac:dyDescent="0.3">
      <c r="A37" s="431" t="s">
        <v>279</v>
      </c>
      <c r="B37" s="383"/>
      <c r="C37" s="383"/>
      <c r="D37" s="353"/>
      <c r="E37" s="531"/>
      <c r="F37" s="383"/>
      <c r="G37" s="353"/>
      <c r="H37" s="531"/>
      <c r="I37" s="383"/>
      <c r="J37" s="353"/>
      <c r="K37" s="531"/>
      <c r="L37" s="383"/>
      <c r="M37" s="353"/>
      <c r="N37" s="531"/>
      <c r="O37" s="383"/>
      <c r="P37" s="353"/>
      <c r="Q37" s="531"/>
      <c r="R37" s="383"/>
      <c r="S37" s="353"/>
      <c r="T37" s="531"/>
      <c r="U37" s="383"/>
      <c r="V37" s="353"/>
      <c r="W37" s="383"/>
      <c r="X37" s="383"/>
      <c r="Y37" s="353"/>
      <c r="Z37" s="531"/>
      <c r="AA37" s="383"/>
      <c r="AB37" s="353"/>
      <c r="AC37" s="531"/>
      <c r="AD37" s="383"/>
      <c r="AE37" s="353"/>
      <c r="AF37" s="353"/>
      <c r="AG37" s="353"/>
      <c r="AH37" s="353"/>
      <c r="AI37" s="446"/>
      <c r="AJ37" s="447"/>
      <c r="AK37" s="448"/>
    </row>
    <row r="38" spans="1:37" s="365" customFormat="1" ht="18.75" customHeight="1" x14ac:dyDescent="0.3">
      <c r="A38" s="429" t="s">
        <v>280</v>
      </c>
      <c r="B38" s="378">
        <v>729.15599999999995</v>
      </c>
      <c r="C38" s="378">
        <v>745.58164064000005</v>
      </c>
      <c r="D38" s="278">
        <f t="shared" ref="D38:D44" si="23">IF(B38=0, "    ---- ", IF(ABS(ROUND(100/B38*C38-100,1))&lt;999,ROUND(100/B38*C38-100,1),IF(ROUND(100/B38*C38-100,1)&gt;999,999,-999)))</f>
        <v>2.2999999999999998</v>
      </c>
      <c r="E38" s="532">
        <v>64.99592973</v>
      </c>
      <c r="F38" s="378">
        <v>87.498942</v>
      </c>
      <c r="G38" s="278">
        <f t="shared" ref="G38:G44" si="24">IF(E38=0, "    ---- ", IF(ABS(ROUND(100/E38*F38-100,1))&lt;999,ROUND(100/E38*F38-100,1),IF(ROUND(100/E38*F38-100,1)&gt;999,999,-999)))</f>
        <v>34.6</v>
      </c>
      <c r="H38" s="532">
        <v>13.115</v>
      </c>
      <c r="I38" s="378">
        <v>20.010999999999999</v>
      </c>
      <c r="J38" s="278">
        <f t="shared" ref="J38:J44" si="25">IF(H38=0, "    ---- ", IF(ABS(ROUND(100/H38*I38-100,1))&lt;999,ROUND(100/H38*I38-100,1),IF(ROUND(100/H38*I38-100,1)&gt;999,999,-999)))</f>
        <v>52.6</v>
      </c>
      <c r="K38" s="532">
        <v>26</v>
      </c>
      <c r="L38" s="378">
        <v>32</v>
      </c>
      <c r="M38" s="278">
        <f t="shared" ref="M38:M44" si="26">IF(K38=0, "    ---- ", IF(ABS(ROUND(100/K38*L38-100,1))&lt;999,ROUND(100/K38*L38-100,1),IF(ROUND(100/K38*L38-100,1)&gt;999,999,-999)))</f>
        <v>23.1</v>
      </c>
      <c r="N38" s="532">
        <v>734.21568309000008</v>
      </c>
      <c r="O38" s="378">
        <v>1118.9346090699999</v>
      </c>
      <c r="P38" s="278">
        <f t="shared" ref="P38:P45" si="27">IF(N38=0, "    ---- ", IF(ABS(ROUND(100/N38*O38-100,1))&lt;999,ROUND(100/N38*O38-100,1),IF(ROUND(100/N38*O38-100,1)&gt;999,999,-999)))</f>
        <v>52.4</v>
      </c>
      <c r="Q38" s="532">
        <v>292.3</v>
      </c>
      <c r="R38" s="378">
        <v>250</v>
      </c>
      <c r="S38" s="278">
        <f t="shared" ref="S38:S45" si="28">IF(Q38=0, "    ---- ", IF(ABS(ROUND(100/Q38*R38-100,1))&lt;999,ROUND(100/Q38*R38-100,1),IF(ROUND(100/Q38*R38-100,1)&gt;999,999,-999)))</f>
        <v>-14.5</v>
      </c>
      <c r="T38" s="532">
        <v>365</v>
      </c>
      <c r="U38" s="378">
        <v>391</v>
      </c>
      <c r="V38" s="278">
        <f t="shared" ref="V38:V44" si="29">IF(T38=0, "    ---- ", IF(ABS(ROUND(100/T38*U38-100,1))&lt;999,ROUND(100/T38*U38-100,1),IF(ROUND(100/T38*U38-100,1)&gt;999,999,-999)))</f>
        <v>7.1</v>
      </c>
      <c r="W38" s="378">
        <v>118.06399480000167</v>
      </c>
      <c r="X38" s="378">
        <v>158.1001</v>
      </c>
      <c r="Y38" s="278">
        <f t="shared" ref="Y38:Y44" si="30">IF(W38=0, "    ---- ", IF(ABS(ROUND(100/W38*X38-100,1))&lt;999,ROUND(100/W38*X38-100,1),IF(ROUND(100/W38*X38-100,1)&gt;999,999,-999)))</f>
        <v>33.9</v>
      </c>
      <c r="Z38" s="532">
        <v>1548.8857788700002</v>
      </c>
      <c r="AA38" s="378">
        <v>1735.5041904500004</v>
      </c>
      <c r="AB38" s="278">
        <f t="shared" ref="AB38:AB44" si="31">IF(Z38=0, "    ---- ", IF(ABS(ROUND(100/Z38*AA38-100,1))&lt;999,ROUND(100/Z38*AA38-100,1),IF(ROUND(100/Z38*AA38-100,1)&gt;999,999,-999)))</f>
        <v>12</v>
      </c>
      <c r="AC38" s="532">
        <v>1</v>
      </c>
      <c r="AD38" s="378">
        <v>2</v>
      </c>
      <c r="AE38" s="278">
        <f t="shared" ref="AE38:AE45" si="32">IF(AC38=0, "    ---- ", IF(ABS(ROUND(100/AC38*AD38-100,1))&lt;999,ROUND(100/AC38*AD38-100,1),IF(ROUND(100/AC38*AD38-100,1)&gt;999,999,-999)))</f>
        <v>100</v>
      </c>
      <c r="AF38" s="278">
        <f t="shared" ref="AF38:AG46" si="33">B38+E38+H38+K38+N38+Q38+T38+W38+Z38</f>
        <v>3891.7323864900018</v>
      </c>
      <c r="AG38" s="278">
        <f t="shared" si="33"/>
        <v>4538.6304821600006</v>
      </c>
      <c r="AH38" s="278">
        <f t="shared" si="11"/>
        <v>16.600000000000001</v>
      </c>
      <c r="AI38" s="438"/>
      <c r="AJ38" s="449"/>
      <c r="AK38" s="390"/>
    </row>
    <row r="39" spans="1:37" s="365" customFormat="1" ht="18.75" customHeight="1" x14ac:dyDescent="0.3">
      <c r="A39" s="429" t="s">
        <v>281</v>
      </c>
      <c r="B39" s="378">
        <v>4.84</v>
      </c>
      <c r="C39" s="378">
        <v>5.5920719999999999</v>
      </c>
      <c r="D39" s="278">
        <f t="shared" si="23"/>
        <v>15.5</v>
      </c>
      <c r="E39" s="532"/>
      <c r="F39" s="378"/>
      <c r="G39" s="278"/>
      <c r="H39" s="532"/>
      <c r="I39" s="378"/>
      <c r="J39" s="278"/>
      <c r="K39" s="532"/>
      <c r="L39" s="378"/>
      <c r="M39" s="278"/>
      <c r="N39" s="532">
        <v>30.275390980000001</v>
      </c>
      <c r="O39" s="378">
        <v>37.144111369999997</v>
      </c>
      <c r="P39" s="278">
        <f t="shared" si="27"/>
        <v>22.7</v>
      </c>
      <c r="Q39" s="532">
        <v>1</v>
      </c>
      <c r="R39" s="378">
        <v>1</v>
      </c>
      <c r="S39" s="278">
        <f t="shared" si="28"/>
        <v>0</v>
      </c>
      <c r="T39" s="532">
        <v>20</v>
      </c>
      <c r="U39" s="378">
        <v>0</v>
      </c>
      <c r="V39" s="278">
        <f t="shared" si="29"/>
        <v>-100</v>
      </c>
      <c r="W39" s="378">
        <v>12.88985252</v>
      </c>
      <c r="X39" s="378">
        <v>18.274899999999999</v>
      </c>
      <c r="Y39" s="278">
        <f t="shared" si="30"/>
        <v>41.8</v>
      </c>
      <c r="Z39" s="532">
        <v>36.914798349999984</v>
      </c>
      <c r="AA39" s="378">
        <v>31.232037490000007</v>
      </c>
      <c r="AB39" s="278">
        <f t="shared" si="31"/>
        <v>-15.4</v>
      </c>
      <c r="AC39" s="532"/>
      <c r="AD39" s="378"/>
      <c r="AE39" s="278"/>
      <c r="AF39" s="278">
        <f t="shared" si="33"/>
        <v>105.92004184999999</v>
      </c>
      <c r="AG39" s="278">
        <f t="shared" si="33"/>
        <v>93.243120860000005</v>
      </c>
      <c r="AH39" s="278">
        <f t="shared" si="11"/>
        <v>-12</v>
      </c>
      <c r="AI39" s="278"/>
      <c r="AJ39" s="450"/>
      <c r="AK39" s="278"/>
    </row>
    <row r="40" spans="1:37" s="365" customFormat="1" ht="18.75" customHeight="1" x14ac:dyDescent="0.3">
      <c r="A40" s="429" t="s">
        <v>282</v>
      </c>
      <c r="B40" s="378">
        <v>-267.25400000000002</v>
      </c>
      <c r="C40" s="378">
        <v>-266.33594733276942</v>
      </c>
      <c r="D40" s="278">
        <f t="shared" si="23"/>
        <v>-0.3</v>
      </c>
      <c r="E40" s="532">
        <v>-20.867016829999997</v>
      </c>
      <c r="F40" s="378">
        <v>-13.949906140000003</v>
      </c>
      <c r="G40" s="278">
        <f t="shared" si="24"/>
        <v>-33.1</v>
      </c>
      <c r="H40" s="532"/>
      <c r="I40" s="378"/>
      <c r="J40" s="278"/>
      <c r="K40" s="532">
        <v>-10</v>
      </c>
      <c r="L40" s="378">
        <v>-9</v>
      </c>
      <c r="M40" s="278">
        <f t="shared" si="26"/>
        <v>-10</v>
      </c>
      <c r="N40" s="532">
        <v>-155.22948941999999</v>
      </c>
      <c r="O40" s="378">
        <v>-152.83352422999999</v>
      </c>
      <c r="P40" s="278">
        <f t="shared" si="27"/>
        <v>-1.5</v>
      </c>
      <c r="Q40" s="532">
        <v>-87</v>
      </c>
      <c r="R40" s="378">
        <v>-99</v>
      </c>
      <c r="S40" s="278">
        <f t="shared" si="28"/>
        <v>13.8</v>
      </c>
      <c r="T40" s="532">
        <v>-17</v>
      </c>
      <c r="U40" s="378">
        <v>-16</v>
      </c>
      <c r="V40" s="278">
        <f t="shared" si="29"/>
        <v>-5.9</v>
      </c>
      <c r="W40" s="378">
        <v>-6.1293489128000012</v>
      </c>
      <c r="X40" s="378">
        <v>-7.4423000000000004</v>
      </c>
      <c r="Y40" s="278">
        <f t="shared" si="30"/>
        <v>21.4</v>
      </c>
      <c r="Z40" s="532">
        <v>-472.80913882000004</v>
      </c>
      <c r="AA40" s="378">
        <v>-422.04769252</v>
      </c>
      <c r="AB40" s="278">
        <f t="shared" si="31"/>
        <v>-10.7</v>
      </c>
      <c r="AC40" s="532"/>
      <c r="AD40" s="378"/>
      <c r="AE40" s="278"/>
      <c r="AF40" s="278">
        <f t="shared" si="33"/>
        <v>-1036.2889939828001</v>
      </c>
      <c r="AG40" s="278">
        <f t="shared" si="33"/>
        <v>-986.60937022276948</v>
      </c>
      <c r="AH40" s="278">
        <f t="shared" si="11"/>
        <v>-4.8</v>
      </c>
      <c r="AI40" s="278"/>
      <c r="AJ40" s="450"/>
      <c r="AK40" s="278"/>
    </row>
    <row r="41" spans="1:37" s="452" customFormat="1" ht="18.75" customHeight="1" x14ac:dyDescent="0.3">
      <c r="A41" s="441" t="s">
        <v>283</v>
      </c>
      <c r="B41" s="383">
        <v>466.74199999999996</v>
      </c>
      <c r="C41" s="383">
        <v>484.83776530723065</v>
      </c>
      <c r="D41" s="353">
        <f t="shared" si="23"/>
        <v>3.9</v>
      </c>
      <c r="E41" s="531">
        <f>SUM(E38:E40)</f>
        <v>44.128912900000003</v>
      </c>
      <c r="F41" s="383">
        <f>SUM(F38:F40)</f>
        <v>73.549035860000004</v>
      </c>
      <c r="G41" s="353">
        <f t="shared" si="24"/>
        <v>66.7</v>
      </c>
      <c r="H41" s="531">
        <f>SUM(H38:H40)</f>
        <v>13.115</v>
      </c>
      <c r="I41" s="383">
        <f>SUM(I38:I40)</f>
        <v>20.010999999999999</v>
      </c>
      <c r="J41" s="353">
        <f t="shared" si="25"/>
        <v>52.6</v>
      </c>
      <c r="K41" s="531">
        <f>SUM(K38:K40)</f>
        <v>16</v>
      </c>
      <c r="L41" s="383">
        <f>SUM(L38:L40)</f>
        <v>23</v>
      </c>
      <c r="M41" s="353">
        <f t="shared" si="26"/>
        <v>43.8</v>
      </c>
      <c r="N41" s="531">
        <v>609.26158465000003</v>
      </c>
      <c r="O41" s="383">
        <v>1003.2451962099999</v>
      </c>
      <c r="P41" s="353">
        <f t="shared" si="27"/>
        <v>64.7</v>
      </c>
      <c r="Q41" s="531">
        <f>SUM(Q38:Q40)</f>
        <v>206.3</v>
      </c>
      <c r="R41" s="383">
        <f>SUM(R38:R40)</f>
        <v>152</v>
      </c>
      <c r="S41" s="353">
        <f t="shared" si="28"/>
        <v>-26.3</v>
      </c>
      <c r="T41" s="531">
        <f>SUM(T38:T40)</f>
        <v>368</v>
      </c>
      <c r="U41" s="383">
        <f>SUM(U38:U40)</f>
        <v>375</v>
      </c>
      <c r="V41" s="353">
        <f t="shared" si="29"/>
        <v>1.9</v>
      </c>
      <c r="W41" s="383">
        <v>124.82449840720167</v>
      </c>
      <c r="X41" s="383">
        <v>168.93270000000001</v>
      </c>
      <c r="Y41" s="353">
        <f t="shared" si="30"/>
        <v>35.299999999999997</v>
      </c>
      <c r="Z41" s="531">
        <f>SUM(Z38:Z40)</f>
        <v>1112.9914384000001</v>
      </c>
      <c r="AA41" s="383">
        <f>SUM(AA38:AA40)</f>
        <v>1344.6885354200003</v>
      </c>
      <c r="AB41" s="353">
        <f t="shared" si="31"/>
        <v>20.8</v>
      </c>
      <c r="AC41" s="531">
        <f>SUM(AC38:AC40)</f>
        <v>1</v>
      </c>
      <c r="AD41" s="383">
        <f>SUM(AD38:AD40)</f>
        <v>2</v>
      </c>
      <c r="AE41" s="353">
        <f t="shared" si="32"/>
        <v>100</v>
      </c>
      <c r="AF41" s="353">
        <f t="shared" si="33"/>
        <v>2961.3634343572016</v>
      </c>
      <c r="AG41" s="353">
        <f t="shared" si="33"/>
        <v>3645.2642327972308</v>
      </c>
      <c r="AH41" s="353">
        <f t="shared" si="11"/>
        <v>23.1</v>
      </c>
      <c r="AI41" s="353"/>
      <c r="AJ41" s="451"/>
      <c r="AK41" s="353"/>
    </row>
    <row r="42" spans="1:37" s="452" customFormat="1" ht="18.75" customHeight="1" x14ac:dyDescent="0.3">
      <c r="A42" s="441" t="s">
        <v>284</v>
      </c>
      <c r="B42" s="383">
        <v>1013.9219999999965</v>
      </c>
      <c r="C42" s="383">
        <v>1270.3007991999816</v>
      </c>
      <c r="D42" s="353">
        <f t="shared" si="23"/>
        <v>25.3</v>
      </c>
      <c r="E42" s="531">
        <f>E35+E41</f>
        <v>586.9695588699999</v>
      </c>
      <c r="F42" s="383">
        <f>F35+F41</f>
        <v>759.56806287999905</v>
      </c>
      <c r="G42" s="353">
        <f t="shared" si="24"/>
        <v>29.4</v>
      </c>
      <c r="H42" s="531">
        <f>H35+H41</f>
        <v>104.93584700000004</v>
      </c>
      <c r="I42" s="383">
        <f>I35+I41</f>
        <v>85.298000000000059</v>
      </c>
      <c r="J42" s="353">
        <f t="shared" si="25"/>
        <v>-18.7</v>
      </c>
      <c r="K42" s="531">
        <f>K35+K41</f>
        <v>133</v>
      </c>
      <c r="L42" s="383">
        <f>L35+L41</f>
        <v>154</v>
      </c>
      <c r="M42" s="353">
        <f t="shared" si="26"/>
        <v>15.8</v>
      </c>
      <c r="N42" s="531">
        <v>850.08161950000454</v>
      </c>
      <c r="O42" s="383">
        <v>1166.848621130009</v>
      </c>
      <c r="P42" s="353">
        <f t="shared" si="27"/>
        <v>37.299999999999997</v>
      </c>
      <c r="Q42" s="531">
        <f>Q35+Q41</f>
        <v>890.30003220999993</v>
      </c>
      <c r="R42" s="383">
        <f>R35+R41</f>
        <v>797.00000231000001</v>
      </c>
      <c r="S42" s="353">
        <f t="shared" si="28"/>
        <v>-10.5</v>
      </c>
      <c r="T42" s="531">
        <f>T35+T41</f>
        <v>624</v>
      </c>
      <c r="U42" s="383">
        <f>U35+U41</f>
        <v>645</v>
      </c>
      <c r="V42" s="353">
        <f t="shared" si="29"/>
        <v>3.4</v>
      </c>
      <c r="W42" s="383">
        <v>162.67137501999383</v>
      </c>
      <c r="X42" s="383">
        <v>206.39669999999882</v>
      </c>
      <c r="Y42" s="353">
        <f t="shared" si="30"/>
        <v>26.9</v>
      </c>
      <c r="Z42" s="531">
        <f>Z35+Z41</f>
        <v>2035.9080990899968</v>
      </c>
      <c r="AA42" s="383">
        <f>AA35+AA41</f>
        <v>2237.4055797664823</v>
      </c>
      <c r="AB42" s="353">
        <f t="shared" si="31"/>
        <v>9.9</v>
      </c>
      <c r="AC42" s="531">
        <f>AC35+AC41</f>
        <v>-18</v>
      </c>
      <c r="AD42" s="383">
        <f>AD35+AD41</f>
        <v>-7</v>
      </c>
      <c r="AE42" s="353">
        <f t="shared" si="32"/>
        <v>-61.1</v>
      </c>
      <c r="AF42" s="353">
        <f t="shared" si="33"/>
        <v>6401.7885316899919</v>
      </c>
      <c r="AG42" s="353">
        <f t="shared" si="33"/>
        <v>7321.8177652864706</v>
      </c>
      <c r="AH42" s="353">
        <f t="shared" si="11"/>
        <v>14.4</v>
      </c>
      <c r="AI42" s="353"/>
      <c r="AJ42" s="451"/>
      <c r="AK42" s="353"/>
    </row>
    <row r="43" spans="1:37" s="365" customFormat="1" ht="18.75" customHeight="1" x14ac:dyDescent="0.3">
      <c r="A43" s="429" t="s">
        <v>285</v>
      </c>
      <c r="B43" s="378">
        <v>-223.68100000000001</v>
      </c>
      <c r="C43" s="378">
        <v>-295.63479100000001</v>
      </c>
      <c r="D43" s="278">
        <f t="shared" si="23"/>
        <v>32.200000000000003</v>
      </c>
      <c r="E43" s="532">
        <v>-159.65602053999999</v>
      </c>
      <c r="F43" s="378">
        <v>-204.29892454</v>
      </c>
      <c r="G43" s="278">
        <f t="shared" si="24"/>
        <v>28</v>
      </c>
      <c r="H43" s="532"/>
      <c r="I43" s="378"/>
      <c r="J43" s="278"/>
      <c r="K43" s="532"/>
      <c r="L43" s="378"/>
      <c r="M43" s="278"/>
      <c r="N43" s="532">
        <v>-181.88421647500002</v>
      </c>
      <c r="O43" s="378">
        <v>-222.04339247500002</v>
      </c>
      <c r="P43" s="278">
        <f t="shared" si="27"/>
        <v>22.1</v>
      </c>
      <c r="Q43" s="532">
        <v>-222</v>
      </c>
      <c r="R43" s="378">
        <v>-199</v>
      </c>
      <c r="S43" s="278">
        <f t="shared" si="28"/>
        <v>-10.4</v>
      </c>
      <c r="T43" s="532">
        <v>-178</v>
      </c>
      <c r="U43" s="378">
        <v>-128</v>
      </c>
      <c r="V43" s="278">
        <f t="shared" si="29"/>
        <v>-28.1</v>
      </c>
      <c r="W43" s="378">
        <v>-37.318801560000004</v>
      </c>
      <c r="X43" s="378">
        <v>-47.544899999999998</v>
      </c>
      <c r="Y43" s="278">
        <f t="shared" si="30"/>
        <v>27.4</v>
      </c>
      <c r="Z43" s="532">
        <v>-236.03488637999999</v>
      </c>
      <c r="AA43" s="378">
        <v>-106.17330353</v>
      </c>
      <c r="AB43" s="278">
        <f t="shared" si="31"/>
        <v>-55</v>
      </c>
      <c r="AC43" s="532"/>
      <c r="AD43" s="378"/>
      <c r="AE43" s="278"/>
      <c r="AF43" s="278">
        <f t="shared" si="33"/>
        <v>-1238.5749249549999</v>
      </c>
      <c r="AG43" s="278">
        <f t="shared" si="33"/>
        <v>-1202.6953115450001</v>
      </c>
      <c r="AH43" s="278">
        <f t="shared" si="11"/>
        <v>-2.9</v>
      </c>
      <c r="AI43" s="278"/>
      <c r="AJ43" s="450"/>
      <c r="AK43" s="278"/>
    </row>
    <row r="44" spans="1:37" s="452" customFormat="1" ht="18.75" customHeight="1" x14ac:dyDescent="0.3">
      <c r="A44" s="441" t="s">
        <v>384</v>
      </c>
      <c r="B44" s="383">
        <v>790.24099999999646</v>
      </c>
      <c r="C44" s="383">
        <v>974.66600819998166</v>
      </c>
      <c r="D44" s="353">
        <f t="shared" si="23"/>
        <v>23.3</v>
      </c>
      <c r="E44" s="531">
        <f>E42+E43</f>
        <v>427.31353832999991</v>
      </c>
      <c r="F44" s="383">
        <f>F42+F43</f>
        <v>555.26913833999902</v>
      </c>
      <c r="G44" s="353">
        <f t="shared" si="24"/>
        <v>29.9</v>
      </c>
      <c r="H44" s="531">
        <f>H42+H43</f>
        <v>104.93584700000004</v>
      </c>
      <c r="I44" s="383">
        <f>I42+I43</f>
        <v>85.298000000000059</v>
      </c>
      <c r="J44" s="353">
        <f t="shared" si="25"/>
        <v>-18.7</v>
      </c>
      <c r="K44" s="531">
        <f>K42+K43</f>
        <v>133</v>
      </c>
      <c r="L44" s="383">
        <f>L42+L43</f>
        <v>154</v>
      </c>
      <c r="M44" s="353">
        <f t="shared" si="26"/>
        <v>15.8</v>
      </c>
      <c r="N44" s="531">
        <v>668.19740302500452</v>
      </c>
      <c r="O44" s="383">
        <v>944.80522865500893</v>
      </c>
      <c r="P44" s="353">
        <f t="shared" si="27"/>
        <v>41.4</v>
      </c>
      <c r="Q44" s="531">
        <f>Q42+Q43</f>
        <v>668.30003220999993</v>
      </c>
      <c r="R44" s="383">
        <f>R42+R43</f>
        <v>598.00000231000001</v>
      </c>
      <c r="S44" s="353">
        <f t="shared" si="28"/>
        <v>-10.5</v>
      </c>
      <c r="T44" s="531">
        <f>T42+T43</f>
        <v>446</v>
      </c>
      <c r="U44" s="383">
        <f>U42+U43</f>
        <v>517</v>
      </c>
      <c r="V44" s="353">
        <f t="shared" si="29"/>
        <v>15.9</v>
      </c>
      <c r="W44" s="383">
        <v>125.35257345999383</v>
      </c>
      <c r="X44" s="383">
        <v>158.85179999999883</v>
      </c>
      <c r="Y44" s="353">
        <f t="shared" si="30"/>
        <v>26.7</v>
      </c>
      <c r="Z44" s="531">
        <f>Z42+Z43</f>
        <v>1799.8732127099968</v>
      </c>
      <c r="AA44" s="383">
        <f>AA42+AA43</f>
        <v>2131.2322762364824</v>
      </c>
      <c r="AB44" s="353">
        <f t="shared" si="31"/>
        <v>18.399999999999999</v>
      </c>
      <c r="AC44" s="531">
        <f>AC42+AC43</f>
        <v>-18</v>
      </c>
      <c r="AD44" s="383">
        <f>AD42+AD43</f>
        <v>-7</v>
      </c>
      <c r="AE44" s="353">
        <f t="shared" si="32"/>
        <v>-61.1</v>
      </c>
      <c r="AF44" s="353">
        <f t="shared" si="33"/>
        <v>5163.213606734992</v>
      </c>
      <c r="AG44" s="353">
        <f t="shared" si="33"/>
        <v>6119.122453741471</v>
      </c>
      <c r="AH44" s="353">
        <f t="shared" si="11"/>
        <v>18.5</v>
      </c>
      <c r="AI44" s="353"/>
      <c r="AJ44" s="451"/>
      <c r="AK44" s="353"/>
    </row>
    <row r="45" spans="1:37" s="365" customFormat="1" ht="18.75" customHeight="1" x14ac:dyDescent="0.3">
      <c r="A45" s="429" t="s">
        <v>385</v>
      </c>
      <c r="B45" s="378"/>
      <c r="C45" s="378"/>
      <c r="D45" s="278"/>
      <c r="E45" s="532"/>
      <c r="F45" s="378"/>
      <c r="G45" s="278"/>
      <c r="H45" s="532"/>
      <c r="I45" s="378"/>
      <c r="J45" s="278"/>
      <c r="K45" s="532"/>
      <c r="L45" s="378"/>
      <c r="M45" s="278"/>
      <c r="N45" s="532">
        <v>257.31031661499998</v>
      </c>
      <c r="O45" s="378">
        <v>-81.826402195</v>
      </c>
      <c r="P45" s="278">
        <f t="shared" si="27"/>
        <v>-131.80000000000001</v>
      </c>
      <c r="Q45" s="532">
        <v>12</v>
      </c>
      <c r="R45" s="378">
        <v>-12</v>
      </c>
      <c r="S45" s="278">
        <f t="shared" si="28"/>
        <v>-200</v>
      </c>
      <c r="T45" s="532"/>
      <c r="U45" s="378"/>
      <c r="V45" s="278"/>
      <c r="W45" s="378"/>
      <c r="X45" s="378"/>
      <c r="Y45" s="278"/>
      <c r="Z45" s="532"/>
      <c r="AA45" s="378"/>
      <c r="AB45" s="278"/>
      <c r="AC45" s="532"/>
      <c r="AD45" s="378">
        <v>-1</v>
      </c>
      <c r="AE45" s="278" t="str">
        <f t="shared" si="32"/>
        <v xml:space="preserve">    ---- </v>
      </c>
      <c r="AF45" s="278">
        <f t="shared" si="33"/>
        <v>269.31031661499998</v>
      </c>
      <c r="AG45" s="278">
        <f t="shared" si="33"/>
        <v>-93.826402195</v>
      </c>
      <c r="AH45" s="278">
        <f t="shared" si="11"/>
        <v>-134.80000000000001</v>
      </c>
      <c r="AI45" s="278"/>
      <c r="AJ45" s="450"/>
      <c r="AK45" s="278"/>
    </row>
    <row r="46" spans="1:37" s="452" customFormat="1" ht="18.75" customHeight="1" x14ac:dyDescent="0.3">
      <c r="A46" s="440" t="s">
        <v>286</v>
      </c>
      <c r="B46" s="384">
        <v>790.24099999999646</v>
      </c>
      <c r="C46" s="384">
        <v>974.66600819998166</v>
      </c>
      <c r="D46" s="360">
        <f>IF(B46=0, "    ---- ", IF(ABS(ROUND(100/B46*C46-100,1))&lt;999,ROUND(100/B46*C46-100,1),IF(ROUND(100/B46*C46-100,1)&gt;999,999,-999)))</f>
        <v>23.3</v>
      </c>
      <c r="E46" s="533">
        <f>E44+E45</f>
        <v>427.31353832999991</v>
      </c>
      <c r="F46" s="384">
        <f>F44+F45</f>
        <v>555.26913833999902</v>
      </c>
      <c r="G46" s="360">
        <f>IF(E46=0, "    ---- ", IF(ABS(ROUND(100/E46*F46-100,1))&lt;999,ROUND(100/E46*F46-100,1),IF(ROUND(100/E46*F46-100,1)&gt;999,999,-999)))</f>
        <v>29.9</v>
      </c>
      <c r="H46" s="533">
        <f>H44+H45</f>
        <v>104.93584700000004</v>
      </c>
      <c r="I46" s="384">
        <f>I44+I45</f>
        <v>85.298000000000059</v>
      </c>
      <c r="J46" s="360">
        <f>IF(H46=0, "    ---- ", IF(ABS(ROUND(100/H46*I46-100,1))&lt;999,ROUND(100/H46*I46-100,1),IF(ROUND(100/H46*I46-100,1)&gt;999,999,-999)))</f>
        <v>-18.7</v>
      </c>
      <c r="K46" s="533">
        <f>K44+K45</f>
        <v>133</v>
      </c>
      <c r="L46" s="384">
        <f>L44+L45</f>
        <v>154</v>
      </c>
      <c r="M46" s="360">
        <f>IF(K46=0, "    ---- ", IF(ABS(ROUND(100/K46*L46-100,1))&lt;999,ROUND(100/K46*L46-100,1),IF(ROUND(100/K46*L46-100,1)&gt;999,999,-999)))</f>
        <v>15.8</v>
      </c>
      <c r="N46" s="533">
        <v>925.50771964000455</v>
      </c>
      <c r="O46" s="384">
        <v>862.97882646000892</v>
      </c>
      <c r="P46" s="360">
        <f>IF(N46=0, "    ---- ", IF(ABS(ROUND(100/N46*O46-100,1))&lt;999,ROUND(100/N46*O46-100,1),IF(ROUND(100/N46*O46-100,1)&gt;999,999,-999)))</f>
        <v>-6.8</v>
      </c>
      <c r="Q46" s="533">
        <f>Q44+Q45</f>
        <v>680.30003220999993</v>
      </c>
      <c r="R46" s="384">
        <f>R44+R45</f>
        <v>586.00000231000001</v>
      </c>
      <c r="S46" s="360">
        <f>IF(Q46=0, "    ---- ", IF(ABS(ROUND(100/Q46*R46-100,1))&lt;999,ROUND(100/Q46*R46-100,1),IF(ROUND(100/Q46*R46-100,1)&gt;999,999,-999)))</f>
        <v>-13.9</v>
      </c>
      <c r="T46" s="533">
        <f>T44+T45</f>
        <v>446</v>
      </c>
      <c r="U46" s="384">
        <f>U44+U45</f>
        <v>517</v>
      </c>
      <c r="V46" s="360">
        <f>IF(T46=0, "    ---- ", IF(ABS(ROUND(100/T46*U46-100,1))&lt;999,ROUND(100/T46*U46-100,1),IF(ROUND(100/T46*U46-100,1)&gt;999,999,-999)))</f>
        <v>15.9</v>
      </c>
      <c r="W46" s="384">
        <v>125.35257345999383</v>
      </c>
      <c r="X46" s="384">
        <v>158.85179999999883</v>
      </c>
      <c r="Y46" s="360">
        <f>IF(W46=0, "    ---- ", IF(ABS(ROUND(100/W46*X46-100,1))&lt;999,ROUND(100/W46*X46-100,1),IF(ROUND(100/W46*X46-100,1)&gt;999,999,-999)))</f>
        <v>26.7</v>
      </c>
      <c r="Z46" s="533">
        <f>Z44+Z45</f>
        <v>1799.8732127099968</v>
      </c>
      <c r="AA46" s="384">
        <f>AA44+AA45</f>
        <v>2131.2322762364824</v>
      </c>
      <c r="AB46" s="360">
        <f>IF(Z46=0, "    ---- ", IF(ABS(ROUND(100/Z46*AA46-100,1))&lt;999,ROUND(100/Z46*AA46-100,1),IF(ROUND(100/Z46*AA46-100,1)&gt;999,999,-999)))</f>
        <v>18.399999999999999</v>
      </c>
      <c r="AC46" s="533">
        <f>AC44+AC45</f>
        <v>-18</v>
      </c>
      <c r="AD46" s="384">
        <f>AD44+AD45</f>
        <v>-8</v>
      </c>
      <c r="AE46" s="360">
        <f>IF(AC46=0, "    ---- ", IF(ABS(ROUND(100/AC46*AD46-100,1))&lt;999,ROUND(100/AC46*AD46-100,1),IF(ROUND(100/AC46*AD46-100,1)&gt;999,999,-999)))</f>
        <v>-55.6</v>
      </c>
      <c r="AF46" s="353">
        <f t="shared" si="33"/>
        <v>5432.5239233499915</v>
      </c>
      <c r="AG46" s="353">
        <f t="shared" si="33"/>
        <v>6025.2960515464711</v>
      </c>
      <c r="AH46" s="360">
        <f t="shared" si="11"/>
        <v>10.9</v>
      </c>
      <c r="AI46" s="453"/>
      <c r="AJ46" s="454"/>
      <c r="AK46" s="455"/>
    </row>
    <row r="47" spans="1:37" s="452" customFormat="1" ht="18.75" customHeight="1" x14ac:dyDescent="0.3">
      <c r="A47" s="456"/>
      <c r="B47" s="457"/>
      <c r="C47" s="457"/>
      <c r="D47" s="442"/>
      <c r="E47" s="457"/>
      <c r="F47" s="457"/>
      <c r="G47" s="442"/>
      <c r="H47" s="457"/>
      <c r="I47" s="457"/>
      <c r="J47" s="442"/>
      <c r="K47" s="457"/>
      <c r="L47" s="457"/>
      <c r="M47" s="458"/>
      <c r="N47" s="457"/>
      <c r="O47" s="457"/>
      <c r="P47" s="442"/>
      <c r="Q47" s="457"/>
      <c r="R47" s="457"/>
      <c r="S47" s="442"/>
      <c r="T47" s="457"/>
      <c r="U47" s="457"/>
      <c r="V47" s="442"/>
      <c r="W47" s="457"/>
      <c r="X47" s="457"/>
      <c r="Y47" s="442"/>
      <c r="Z47" s="457"/>
      <c r="AA47" s="457"/>
      <c r="AB47" s="442"/>
      <c r="AC47" s="457"/>
      <c r="AD47" s="457"/>
      <c r="AE47" s="442"/>
      <c r="AF47" s="458"/>
      <c r="AG47" s="458"/>
      <c r="AH47" s="442"/>
      <c r="AI47" s="459"/>
      <c r="AJ47" s="459"/>
      <c r="AK47" s="460"/>
    </row>
    <row r="48" spans="1:37" s="452" customFormat="1" ht="18.75" customHeight="1" x14ac:dyDescent="0.3">
      <c r="A48" s="387" t="s">
        <v>287</v>
      </c>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row>
    <row r="49" spans="1:37" s="365" customFormat="1" ht="18.75" customHeight="1" x14ac:dyDescent="0.3">
      <c r="A49" s="461" t="s">
        <v>288</v>
      </c>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row>
    <row r="50" spans="1:37" s="365" customFormat="1" ht="18.75" customHeight="1" x14ac:dyDescent="0.3">
      <c r="A50" s="461" t="s">
        <v>289</v>
      </c>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row>
    <row r="51" spans="1:37" s="365" customFormat="1" ht="18.75" customHeight="1" x14ac:dyDescent="0.3">
      <c r="A51" s="461" t="s">
        <v>290</v>
      </c>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row>
    <row r="52" spans="1:37" s="365" customFormat="1" ht="18.75" customHeight="1" x14ac:dyDescent="0.3">
      <c r="A52" s="461" t="s">
        <v>291</v>
      </c>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row>
    <row r="53" spans="1:37" s="365" customFormat="1" ht="18.75" customHeight="1" x14ac:dyDescent="0.3">
      <c r="A53" s="461" t="s">
        <v>292</v>
      </c>
      <c r="B53" s="461"/>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row>
    <row r="54" spans="1:37" s="365" customFormat="1" ht="18.75" customHeight="1" x14ac:dyDescent="0.3">
      <c r="A54" s="461" t="s">
        <v>293</v>
      </c>
      <c r="B54" s="461"/>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row>
    <row r="55" spans="1:37" s="365" customFormat="1" ht="18.75" customHeight="1" x14ac:dyDescent="0.3">
      <c r="A55" s="461" t="s">
        <v>294</v>
      </c>
      <c r="B55" s="461"/>
      <c r="C55" s="461"/>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row>
    <row r="56" spans="1:37" s="365" customFormat="1" ht="18.75" customHeight="1" x14ac:dyDescent="0.3">
      <c r="A56" s="461" t="s">
        <v>295</v>
      </c>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row>
    <row r="57" spans="1:37" s="365" customFormat="1" ht="18.75" customHeight="1" x14ac:dyDescent="0.3">
      <c r="A57" s="461" t="s">
        <v>296</v>
      </c>
      <c r="B57" s="461"/>
      <c r="C57" s="461"/>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row>
    <row r="58" spans="1:37" s="452" customFormat="1" ht="18.75" customHeight="1" x14ac:dyDescent="0.3">
      <c r="A58" s="388" t="s">
        <v>297</v>
      </c>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row>
    <row r="59" spans="1:37" s="368" customFormat="1" ht="18.75" customHeight="1" x14ac:dyDescent="0.3">
      <c r="A59" s="365" t="s">
        <v>224</v>
      </c>
    </row>
    <row r="60" spans="1:37" s="368" customFormat="1" ht="18.75" customHeight="1" x14ac:dyDescent="0.3">
      <c r="A60" s="365" t="s">
        <v>225</v>
      </c>
    </row>
    <row r="61" spans="1:37" s="368" customFormat="1" ht="18.75" customHeight="1" x14ac:dyDescent="0.3">
      <c r="A61" s="365" t="s">
        <v>226</v>
      </c>
    </row>
    <row r="62" spans="1:37" s="368" customFormat="1" ht="18.75" x14ac:dyDescent="0.3"/>
  </sheetData>
  <mergeCells count="23">
    <mergeCell ref="T5:V5"/>
    <mergeCell ref="B5:D5"/>
    <mergeCell ref="E5:G5"/>
    <mergeCell ref="H5:J5"/>
    <mergeCell ref="K5:M5"/>
    <mergeCell ref="N5:P5"/>
    <mergeCell ref="B6:D6"/>
    <mergeCell ref="E6:G6"/>
    <mergeCell ref="H6:J6"/>
    <mergeCell ref="K6:M6"/>
    <mergeCell ref="N6:P6"/>
    <mergeCell ref="W5:Y5"/>
    <mergeCell ref="Z5:AB5"/>
    <mergeCell ref="AC5:AE5"/>
    <mergeCell ref="AF5:AH5"/>
    <mergeCell ref="AI5:AK5"/>
    <mergeCell ref="AI6:AK6"/>
    <mergeCell ref="Q6:S6"/>
    <mergeCell ref="T6:V6"/>
    <mergeCell ref="W6:Y6"/>
    <mergeCell ref="Z6:AB6"/>
    <mergeCell ref="AC6:AE6"/>
    <mergeCell ref="AF6:AH6"/>
  </mergeCells>
  <conditionalFormatting sqref="B30">
    <cfRule type="expression" dxfId="192" priority="147">
      <formula>#REF! ="30≠24+25+26+27+28+29"</formula>
    </cfRule>
  </conditionalFormatting>
  <conditionalFormatting sqref="B35">
    <cfRule type="expression" dxfId="191" priority="148">
      <formula>#REF! ="35≠14+15+16+17+22+30+31+32+33+34"</formula>
    </cfRule>
  </conditionalFormatting>
  <conditionalFormatting sqref="B46">
    <cfRule type="expression" dxfId="190" priority="149">
      <formula>#REF! ="46≠35+38+39+40+43+45"</formula>
    </cfRule>
  </conditionalFormatting>
  <conditionalFormatting sqref="B14">
    <cfRule type="expression" dxfId="189" priority="150">
      <formula>#REF! ="14≠11+12+13"</formula>
    </cfRule>
  </conditionalFormatting>
  <conditionalFormatting sqref="B21">
    <cfRule type="expression" dxfId="188" priority="151">
      <formula>#REF! ="22≠19+20+21"</formula>
    </cfRule>
  </conditionalFormatting>
  <conditionalFormatting sqref="W30">
    <cfRule type="expression" dxfId="187" priority="107">
      <formula>#REF! ="30≠24+25+26+27+28+29"</formula>
    </cfRule>
  </conditionalFormatting>
  <conditionalFormatting sqref="W35">
    <cfRule type="expression" dxfId="186" priority="108">
      <formula>#REF! ="35≠14+15+16+17+22+30+31+32+33+34"</formula>
    </cfRule>
  </conditionalFormatting>
  <conditionalFormatting sqref="W46">
    <cfRule type="expression" dxfId="185" priority="109">
      <formula>#REF! ="46≠35+38+39+40+43+45"</formula>
    </cfRule>
  </conditionalFormatting>
  <conditionalFormatting sqref="W14">
    <cfRule type="expression" dxfId="184" priority="110">
      <formula>#REF! ="14≠11+12+13"</formula>
    </cfRule>
  </conditionalFormatting>
  <conditionalFormatting sqref="W21">
    <cfRule type="expression" dxfId="183" priority="111">
      <formula>#REF! ="22≠19+20+21"</formula>
    </cfRule>
  </conditionalFormatting>
  <conditionalFormatting sqref="E14">
    <cfRule type="expression" dxfId="182" priority="71">
      <formula>#REF! ="14≠11+12+13"</formula>
    </cfRule>
  </conditionalFormatting>
  <conditionalFormatting sqref="E21">
    <cfRule type="expression" dxfId="181" priority="72">
      <formula>#REF! ="22≠19+20+21"</formula>
    </cfRule>
  </conditionalFormatting>
  <conditionalFormatting sqref="E30">
    <cfRule type="expression" dxfId="180" priority="73">
      <formula>#REF! ="30≠24+25+26+27+28+29"</formula>
    </cfRule>
  </conditionalFormatting>
  <conditionalFormatting sqref="E35">
    <cfRule type="expression" dxfId="179" priority="75">
      <formula>#REF! ="35≠14+15+16+17+22+30+31+32+33+34"</formula>
    </cfRule>
  </conditionalFormatting>
  <conditionalFormatting sqref="E46">
    <cfRule type="expression" dxfId="178" priority="74">
      <formula>#REF! ="46≠35+38+39+40+43+45"</formula>
    </cfRule>
  </conditionalFormatting>
  <conditionalFormatting sqref="Q14">
    <cfRule type="expression" dxfId="177" priority="61">
      <formula>#REF! ="14≠11+12+13"</formula>
    </cfRule>
  </conditionalFormatting>
  <conditionalFormatting sqref="Q21">
    <cfRule type="expression" dxfId="176" priority="62">
      <formula>#REF! ="22≠19+20+21"</formula>
    </cfRule>
  </conditionalFormatting>
  <conditionalFormatting sqref="Q30">
    <cfRule type="expression" dxfId="175" priority="63">
      <formula>#REF! ="30≠24+25+26+27+28+29"</formula>
    </cfRule>
  </conditionalFormatting>
  <conditionalFormatting sqref="Q35">
    <cfRule type="expression" dxfId="174" priority="64">
      <formula>#REF! ="35≠14+15+16+17+22+30+31+32+33+34"</formula>
    </cfRule>
  </conditionalFormatting>
  <conditionalFormatting sqref="Q46">
    <cfRule type="expression" dxfId="173" priority="65">
      <formula>#REF! ="46≠35+38+39+40+43+45"</formula>
    </cfRule>
  </conditionalFormatting>
  <conditionalFormatting sqref="K14">
    <cfRule type="expression" dxfId="172" priority="51">
      <formula>#REF! ="14≠11+12+13"</formula>
    </cfRule>
  </conditionalFormatting>
  <conditionalFormatting sqref="K21">
    <cfRule type="expression" dxfId="171" priority="52">
      <formula>#REF! ="22≠19+20+21"</formula>
    </cfRule>
  </conditionalFormatting>
  <conditionalFormatting sqref="K30">
    <cfRule type="expression" dxfId="170" priority="53">
      <formula>#REF! ="30≠24+25+26+27+28+29"</formula>
    </cfRule>
  </conditionalFormatting>
  <conditionalFormatting sqref="K35">
    <cfRule type="expression" dxfId="169" priority="54">
      <formula>#REF! ="35≠14+15+16+17+22+30+31+32+33+34"</formula>
    </cfRule>
  </conditionalFormatting>
  <conditionalFormatting sqref="K46">
    <cfRule type="expression" dxfId="168" priority="55">
      <formula>#REF! ="46≠35+38+39+40+43+45"</formula>
    </cfRule>
  </conditionalFormatting>
  <conditionalFormatting sqref="N14">
    <cfRule type="expression" dxfId="167" priority="41">
      <formula>#REF! ="14≠11+12+13"</formula>
    </cfRule>
  </conditionalFormatting>
  <conditionalFormatting sqref="N21">
    <cfRule type="expression" dxfId="166" priority="42">
      <formula>#REF! ="22≠19+20+21"</formula>
    </cfRule>
  </conditionalFormatting>
  <conditionalFormatting sqref="N30">
    <cfRule type="expression" dxfId="165" priority="43">
      <formula>#REF! ="30≠24+25+26+27+28+29"</formula>
    </cfRule>
  </conditionalFormatting>
  <conditionalFormatting sqref="N35">
    <cfRule type="expression" dxfId="164" priority="44">
      <formula>#REF! ="35≠14+15+16+17+22+30+31+32+33+34"</formula>
    </cfRule>
  </conditionalFormatting>
  <conditionalFormatting sqref="N46">
    <cfRule type="expression" dxfId="163" priority="45">
      <formula>#REF! ="46≠35+38+39+40+43+45"</formula>
    </cfRule>
  </conditionalFormatting>
  <conditionalFormatting sqref="T14">
    <cfRule type="expression" dxfId="162" priority="31">
      <formula>#REF! ="14≠11+12+13"</formula>
    </cfRule>
  </conditionalFormatting>
  <conditionalFormatting sqref="T21">
    <cfRule type="expression" dxfId="161" priority="32">
      <formula>#REF! ="22≠19+20+21"</formula>
    </cfRule>
  </conditionalFormatting>
  <conditionalFormatting sqref="T30">
    <cfRule type="expression" dxfId="160" priority="33">
      <formula>#REF! ="30≠24+25+26+27+28+29"</formula>
    </cfRule>
  </conditionalFormatting>
  <conditionalFormatting sqref="T35">
    <cfRule type="expression" dxfId="159" priority="34">
      <formula>#REF! ="35≠14+15+16+17+22+30+31+32+33+34"</formula>
    </cfRule>
  </conditionalFormatting>
  <conditionalFormatting sqref="T46">
    <cfRule type="expression" dxfId="158" priority="35">
      <formula>#REF! ="46≠35+38+39+40+43+45"</formula>
    </cfRule>
  </conditionalFormatting>
  <conditionalFormatting sqref="AC14">
    <cfRule type="expression" dxfId="157" priority="21">
      <formula>#REF! ="14≠11+12+13"</formula>
    </cfRule>
  </conditionalFormatting>
  <conditionalFormatting sqref="AC21">
    <cfRule type="expression" dxfId="156" priority="22">
      <formula>#REF! ="22≠19+20+21"</formula>
    </cfRule>
  </conditionalFormatting>
  <conditionalFormatting sqref="AC30">
    <cfRule type="expression" dxfId="155" priority="23">
      <formula>#REF! ="30≠24+25+26+27+28+29"</formula>
    </cfRule>
  </conditionalFormatting>
  <conditionalFormatting sqref="AC35">
    <cfRule type="expression" dxfId="154" priority="24">
      <formula>#REF! ="35≠14+15+16+17+22+30+31+32+33+34"</formula>
    </cfRule>
  </conditionalFormatting>
  <conditionalFormatting sqref="AC46">
    <cfRule type="expression" dxfId="153" priority="25">
      <formula>#REF! ="46≠35+38+39+40+43+45"</formula>
    </cfRule>
  </conditionalFormatting>
  <conditionalFormatting sqref="Z14">
    <cfRule type="expression" dxfId="152" priority="11">
      <formula>#REF! ="14≠11+12+13"</formula>
    </cfRule>
  </conditionalFormatting>
  <conditionalFormatting sqref="Z20:Z21">
    <cfRule type="expression" dxfId="151" priority="15">
      <formula>#REF! ="22≠19+20+21"</formula>
    </cfRule>
  </conditionalFormatting>
  <conditionalFormatting sqref="Z30">
    <cfRule type="expression" dxfId="150" priority="12">
      <formula>#REF! ="30≠24+25+26+27+28+29"</formula>
    </cfRule>
  </conditionalFormatting>
  <conditionalFormatting sqref="Z35">
    <cfRule type="expression" dxfId="149" priority="13">
      <formula>#REF! ="35≠14+15+16+17+22+30+31+32+33+34"</formula>
    </cfRule>
  </conditionalFormatting>
  <conditionalFormatting sqref="Z46">
    <cfRule type="expression" dxfId="148" priority="14">
      <formula>#REF! ="46≠35+38+39+40+43+45"</formula>
    </cfRule>
  </conditionalFormatting>
  <conditionalFormatting sqref="H14">
    <cfRule type="expression" dxfId="147" priority="1">
      <formula>#REF! ="14≠11+12+13"</formula>
    </cfRule>
  </conditionalFormatting>
  <conditionalFormatting sqref="H21">
    <cfRule type="expression" dxfId="146" priority="2">
      <formula>#REF! ="22≠19+20+21"</formula>
    </cfRule>
  </conditionalFormatting>
  <conditionalFormatting sqref="H30">
    <cfRule type="expression" dxfId="145" priority="3">
      <formula>#REF! ="30≠24+25+26+27+28+29"</formula>
    </cfRule>
  </conditionalFormatting>
  <conditionalFormatting sqref="H35">
    <cfRule type="expression" dxfId="144" priority="4">
      <formula>#REF! ="35≠14+15+16+17+22+30+31+32+33+34"</formula>
    </cfRule>
  </conditionalFormatting>
  <conditionalFormatting sqref="H46">
    <cfRule type="expression" dxfId="143" priority="5">
      <formula>#REF! ="46≠35+38+39+40+43+45"</formula>
    </cfRule>
  </conditionalFormatting>
  <conditionalFormatting sqref="C14 X14 F14 R14 L14 O14 U14 AD14 AA14 I14">
    <cfRule type="expression" dxfId="142" priority="399">
      <formula>#REF! ="14≠11+12+13"</formula>
    </cfRule>
  </conditionalFormatting>
  <conditionalFormatting sqref="C21 X21 F21 R21 L21 O21 U21 AD21 AA21 I21">
    <cfRule type="expression" dxfId="141" priority="401">
      <formula>#REF! ="22≠19+20+21"</formula>
    </cfRule>
  </conditionalFormatting>
  <conditionalFormatting sqref="C30 X30 AI30:AJ30 F30 R30 L30 O30 U30 AD30 AA30 I30">
    <cfRule type="expression" dxfId="140" priority="403">
      <formula>#REF! ="30≠24+25+26+27+28+29"</formula>
    </cfRule>
  </conditionalFormatting>
  <conditionalFormatting sqref="C35 X35 AI35:AJ35 AF35:AG35 F35 R35 L35 O35 U35 AD35 AA35 I35">
    <cfRule type="expression" dxfId="139" priority="406">
      <formula>#REF! ="35≠14+15+16+17+22+30+31+32+33+34"</formula>
    </cfRule>
  </conditionalFormatting>
  <conditionalFormatting sqref="C46 X46 AI46:AJ46 F46 R46 L46 O46 U46 AD46 AA46 I46">
    <cfRule type="expression" dxfId="138" priority="410">
      <formula>#REF! ="46≠35+38+39+40+43+45"</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444-C37C-499D-8F4D-6A034CA46052}">
  <dimension ref="A1:AY114"/>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KL1" sqref="KL1"/>
    </sheetView>
  </sheetViews>
  <sheetFormatPr baseColWidth="10" defaultColWidth="11.42578125" defaultRowHeight="12.75" x14ac:dyDescent="0.2"/>
  <cols>
    <col min="1" max="1" width="111.28515625" style="366" customWidth="1"/>
    <col min="2" max="31" width="11.7109375" style="366" customWidth="1"/>
    <col min="32" max="32" width="15.140625" style="366" customWidth="1"/>
    <col min="33" max="33" width="13" style="366" customWidth="1"/>
    <col min="34" max="34" width="11.7109375" style="366" customWidth="1"/>
    <col min="35" max="36" width="13" style="366" customWidth="1"/>
    <col min="37" max="37" width="11.7109375" style="366" customWidth="1"/>
    <col min="38" max="16384" width="11.42578125" style="366"/>
  </cols>
  <sheetData>
    <row r="1" spans="1:51" ht="20.25" customHeight="1" x14ac:dyDescent="0.3">
      <c r="A1" s="369" t="s">
        <v>154</v>
      </c>
      <c r="B1" s="370"/>
      <c r="C1" s="370"/>
      <c r="D1" s="370"/>
      <c r="E1" s="370"/>
      <c r="F1" s="370"/>
      <c r="G1" s="370"/>
      <c r="H1" s="370"/>
      <c r="I1" s="370"/>
      <c r="J1" s="370"/>
    </row>
    <row r="2" spans="1:51" ht="20.100000000000001" customHeight="1" x14ac:dyDescent="0.3">
      <c r="A2" s="369" t="s">
        <v>155</v>
      </c>
      <c r="C2" s="487"/>
      <c r="D2" s="488"/>
      <c r="E2" s="488"/>
    </row>
    <row r="3" spans="1:51" ht="20.100000000000001" customHeight="1" x14ac:dyDescent="0.3">
      <c r="A3" s="371" t="s">
        <v>156</v>
      </c>
      <c r="B3" s="500"/>
      <c r="C3" s="500"/>
      <c r="D3" s="500"/>
      <c r="E3" s="500"/>
      <c r="F3" s="500"/>
      <c r="G3" s="500"/>
      <c r="H3" s="500"/>
      <c r="I3" s="500"/>
      <c r="J3" s="500"/>
    </row>
    <row r="4" spans="1:51" ht="18.75" customHeight="1" x14ac:dyDescent="0.25">
      <c r="A4" s="492" t="s">
        <v>364</v>
      </c>
      <c r="B4" s="501"/>
      <c r="C4" s="501"/>
      <c r="D4" s="502"/>
      <c r="E4" s="503"/>
      <c r="F4" s="501"/>
      <c r="G4" s="502"/>
      <c r="H4" s="503"/>
      <c r="I4" s="501"/>
      <c r="J4" s="502"/>
      <c r="K4" s="372"/>
      <c r="L4" s="372"/>
      <c r="M4" s="372"/>
      <c r="N4" s="373"/>
      <c r="O4" s="372"/>
      <c r="P4" s="374"/>
      <c r="Q4" s="373"/>
      <c r="R4" s="372"/>
      <c r="S4" s="374"/>
      <c r="T4" s="373"/>
      <c r="U4" s="372"/>
      <c r="V4" s="374"/>
      <c r="W4" s="373"/>
      <c r="X4" s="372"/>
      <c r="Y4" s="374"/>
      <c r="Z4" s="373"/>
      <c r="AA4" s="372"/>
      <c r="AB4" s="374"/>
      <c r="AC4" s="373"/>
      <c r="AD4" s="372"/>
      <c r="AE4" s="374"/>
      <c r="AF4" s="373"/>
      <c r="AG4" s="372"/>
      <c r="AH4" s="374"/>
      <c r="AI4" s="373"/>
      <c r="AJ4" s="372"/>
      <c r="AK4" s="374"/>
      <c r="AL4" s="504"/>
      <c r="AM4" s="504"/>
      <c r="AN4" s="504"/>
      <c r="AO4" s="504"/>
      <c r="AP4" s="504"/>
      <c r="AQ4" s="504"/>
      <c r="AR4" s="504"/>
      <c r="AS4" s="504"/>
      <c r="AT4" s="504"/>
      <c r="AU4" s="504"/>
      <c r="AV4" s="504"/>
      <c r="AW4" s="504"/>
      <c r="AX4" s="504"/>
      <c r="AY4" s="504"/>
    </row>
    <row r="5" spans="1:51" ht="18.75" customHeight="1" x14ac:dyDescent="0.3">
      <c r="A5" s="430" t="s">
        <v>94</v>
      </c>
      <c r="B5" s="589" t="s">
        <v>157</v>
      </c>
      <c r="C5" s="590"/>
      <c r="D5" s="591"/>
      <c r="E5" s="589"/>
      <c r="F5" s="590"/>
      <c r="G5" s="591"/>
      <c r="H5" s="589" t="s">
        <v>158</v>
      </c>
      <c r="I5" s="590"/>
      <c r="J5" s="591"/>
      <c r="K5" s="589" t="s">
        <v>159</v>
      </c>
      <c r="L5" s="590"/>
      <c r="M5" s="591"/>
      <c r="N5" s="534" t="s">
        <v>160</v>
      </c>
      <c r="O5" s="535"/>
      <c r="P5" s="536"/>
      <c r="Q5" s="534"/>
      <c r="R5" s="535"/>
      <c r="S5" s="536"/>
      <c r="T5" s="589" t="s">
        <v>161</v>
      </c>
      <c r="U5" s="590"/>
      <c r="V5" s="591"/>
      <c r="W5" s="589" t="s">
        <v>65</v>
      </c>
      <c r="X5" s="590"/>
      <c r="Y5" s="591"/>
      <c r="Z5" s="589" t="s">
        <v>68</v>
      </c>
      <c r="AA5" s="590"/>
      <c r="AB5" s="591"/>
      <c r="AC5" s="589" t="s">
        <v>373</v>
      </c>
      <c r="AD5" s="590"/>
      <c r="AE5" s="591"/>
      <c r="AF5" s="589" t="s">
        <v>2</v>
      </c>
      <c r="AG5" s="590"/>
      <c r="AH5" s="591"/>
      <c r="AI5" s="589" t="s">
        <v>2</v>
      </c>
      <c r="AJ5" s="590"/>
      <c r="AK5" s="591"/>
      <c r="AL5" s="515"/>
      <c r="AM5" s="515"/>
      <c r="AN5" s="592"/>
      <c r="AO5" s="592"/>
      <c r="AP5" s="592"/>
      <c r="AQ5" s="592"/>
      <c r="AR5" s="592"/>
      <c r="AS5" s="592"/>
      <c r="AT5" s="592"/>
      <c r="AU5" s="592"/>
      <c r="AV5" s="592"/>
      <c r="AW5" s="592"/>
      <c r="AX5" s="592"/>
      <c r="AY5" s="592"/>
    </row>
    <row r="6" spans="1:51" ht="21" customHeight="1" x14ac:dyDescent="0.3">
      <c r="A6" s="431"/>
      <c r="B6" s="586" t="s">
        <v>163</v>
      </c>
      <c r="C6" s="587"/>
      <c r="D6" s="588"/>
      <c r="E6" s="586" t="s">
        <v>357</v>
      </c>
      <c r="F6" s="587"/>
      <c r="G6" s="588"/>
      <c r="H6" s="586" t="s">
        <v>163</v>
      </c>
      <c r="I6" s="587"/>
      <c r="J6" s="588"/>
      <c r="K6" s="586" t="s">
        <v>164</v>
      </c>
      <c r="L6" s="587"/>
      <c r="M6" s="588"/>
      <c r="N6" s="586" t="s">
        <v>61</v>
      </c>
      <c r="O6" s="587"/>
      <c r="P6" s="588"/>
      <c r="Q6" s="586" t="s">
        <v>63</v>
      </c>
      <c r="R6" s="587"/>
      <c r="S6" s="588"/>
      <c r="T6" s="586" t="s">
        <v>162</v>
      </c>
      <c r="U6" s="587"/>
      <c r="V6" s="588"/>
      <c r="W6" s="586" t="s">
        <v>369</v>
      </c>
      <c r="X6" s="587"/>
      <c r="Y6" s="588"/>
      <c r="Z6" s="586" t="s">
        <v>163</v>
      </c>
      <c r="AA6" s="587"/>
      <c r="AB6" s="588"/>
      <c r="AC6" s="586" t="s">
        <v>163</v>
      </c>
      <c r="AD6" s="587"/>
      <c r="AE6" s="588"/>
      <c r="AF6" s="586" t="s">
        <v>393</v>
      </c>
      <c r="AG6" s="587"/>
      <c r="AH6" s="588"/>
      <c r="AI6" s="586" t="s">
        <v>165</v>
      </c>
      <c r="AJ6" s="587"/>
      <c r="AK6" s="588"/>
      <c r="AL6" s="515"/>
      <c r="AM6" s="515"/>
      <c r="AN6" s="592"/>
      <c r="AO6" s="592"/>
      <c r="AP6" s="592"/>
      <c r="AQ6" s="592"/>
      <c r="AR6" s="592"/>
      <c r="AS6" s="592"/>
      <c r="AT6" s="592"/>
      <c r="AU6" s="592"/>
      <c r="AV6" s="592"/>
      <c r="AW6" s="592"/>
      <c r="AX6" s="592"/>
      <c r="AY6" s="592"/>
    </row>
    <row r="7" spans="1:51" ht="18.75" customHeight="1" x14ac:dyDescent="0.3">
      <c r="A7" s="431"/>
      <c r="B7" s="505"/>
      <c r="C7" s="505"/>
      <c r="D7" s="432" t="s">
        <v>76</v>
      </c>
      <c r="E7" s="505"/>
      <c r="F7" s="505"/>
      <c r="G7" s="432" t="s">
        <v>76</v>
      </c>
      <c r="H7" s="505"/>
      <c r="I7" s="505"/>
      <c r="J7" s="432" t="s">
        <v>76</v>
      </c>
      <c r="K7" s="505"/>
      <c r="L7" s="505"/>
      <c r="M7" s="432" t="s">
        <v>76</v>
      </c>
      <c r="N7" s="505"/>
      <c r="O7" s="505"/>
      <c r="P7" s="432" t="s">
        <v>76</v>
      </c>
      <c r="Q7" s="505"/>
      <c r="R7" s="505"/>
      <c r="S7" s="432" t="s">
        <v>76</v>
      </c>
      <c r="T7" s="505"/>
      <c r="U7" s="505"/>
      <c r="V7" s="432" t="s">
        <v>76</v>
      </c>
      <c r="W7" s="505"/>
      <c r="X7" s="505"/>
      <c r="Y7" s="432" t="s">
        <v>76</v>
      </c>
      <c r="Z7" s="505"/>
      <c r="AA7" s="505"/>
      <c r="AB7" s="432" t="s">
        <v>76</v>
      </c>
      <c r="AC7" s="505"/>
      <c r="AD7" s="505"/>
      <c r="AE7" s="432" t="s">
        <v>76</v>
      </c>
      <c r="AF7" s="505"/>
      <c r="AG7" s="505"/>
      <c r="AH7" s="432" t="s">
        <v>76</v>
      </c>
      <c r="AI7" s="505"/>
      <c r="AJ7" s="505"/>
      <c r="AK7" s="432" t="s">
        <v>76</v>
      </c>
      <c r="AL7" s="515"/>
      <c r="AM7" s="515"/>
      <c r="AN7" s="515"/>
      <c r="AO7" s="515"/>
      <c r="AP7" s="515"/>
      <c r="AQ7" s="515"/>
      <c r="AR7" s="515"/>
      <c r="AS7" s="515"/>
      <c r="AT7" s="515"/>
      <c r="AU7" s="515"/>
      <c r="AV7" s="515"/>
      <c r="AW7" s="515"/>
      <c r="AX7" s="515"/>
      <c r="AY7" s="515"/>
    </row>
    <row r="8" spans="1:51" ht="18.75" customHeight="1" x14ac:dyDescent="0.25">
      <c r="A8" s="362" t="s">
        <v>166</v>
      </c>
      <c r="B8" s="420">
        <v>2024</v>
      </c>
      <c r="C8" s="420">
        <v>2025</v>
      </c>
      <c r="D8" s="434" t="s">
        <v>78</v>
      </c>
      <c r="E8" s="420">
        <f>B8</f>
        <v>2024</v>
      </c>
      <c r="F8" s="420">
        <f>C8</f>
        <v>2025</v>
      </c>
      <c r="G8" s="434" t="s">
        <v>78</v>
      </c>
      <c r="H8" s="420">
        <f>E8</f>
        <v>2024</v>
      </c>
      <c r="I8" s="420">
        <f>F8</f>
        <v>2025</v>
      </c>
      <c r="J8" s="434" t="s">
        <v>78</v>
      </c>
      <c r="K8" s="420">
        <f>H8</f>
        <v>2024</v>
      </c>
      <c r="L8" s="420">
        <f>I8</f>
        <v>2025</v>
      </c>
      <c r="M8" s="434" t="s">
        <v>78</v>
      </c>
      <c r="N8" s="420">
        <f>K8</f>
        <v>2024</v>
      </c>
      <c r="O8" s="420">
        <f>L8</f>
        <v>2025</v>
      </c>
      <c r="P8" s="434" t="s">
        <v>78</v>
      </c>
      <c r="Q8" s="420">
        <f>N8</f>
        <v>2024</v>
      </c>
      <c r="R8" s="420">
        <f>O8</f>
        <v>2025</v>
      </c>
      <c r="S8" s="434" t="s">
        <v>78</v>
      </c>
      <c r="T8" s="420">
        <f>Q8</f>
        <v>2024</v>
      </c>
      <c r="U8" s="420">
        <f>R8</f>
        <v>2025</v>
      </c>
      <c r="V8" s="434" t="s">
        <v>78</v>
      </c>
      <c r="W8" s="420">
        <f>T8</f>
        <v>2024</v>
      </c>
      <c r="X8" s="420">
        <f>U8</f>
        <v>2025</v>
      </c>
      <c r="Y8" s="434" t="s">
        <v>78</v>
      </c>
      <c r="Z8" s="420">
        <f>W8</f>
        <v>2024</v>
      </c>
      <c r="AA8" s="420">
        <f>X8</f>
        <v>2025</v>
      </c>
      <c r="AB8" s="434" t="s">
        <v>78</v>
      </c>
      <c r="AC8" s="420">
        <f>Z8</f>
        <v>2024</v>
      </c>
      <c r="AD8" s="420">
        <f>AA8</f>
        <v>2025</v>
      </c>
      <c r="AE8" s="434" t="s">
        <v>78</v>
      </c>
      <c r="AF8" s="420">
        <f>AC8</f>
        <v>2024</v>
      </c>
      <c r="AG8" s="420">
        <f>AD8</f>
        <v>2025</v>
      </c>
      <c r="AH8" s="434" t="s">
        <v>78</v>
      </c>
      <c r="AI8" s="420">
        <f>AF8</f>
        <v>2024</v>
      </c>
      <c r="AJ8" s="420">
        <f>AG8</f>
        <v>2025</v>
      </c>
      <c r="AK8" s="434" t="s">
        <v>78</v>
      </c>
      <c r="AL8" s="506"/>
      <c r="AM8" s="507"/>
      <c r="AN8" s="506"/>
      <c r="AO8" s="506"/>
      <c r="AP8" s="507"/>
      <c r="AQ8" s="506"/>
      <c r="AR8" s="506"/>
      <c r="AS8" s="507"/>
      <c r="AT8" s="506"/>
      <c r="AU8" s="506"/>
      <c r="AV8" s="507"/>
      <c r="AW8" s="506"/>
      <c r="AX8" s="506"/>
      <c r="AY8" s="507"/>
    </row>
    <row r="9" spans="1:51" ht="18.75" customHeight="1" x14ac:dyDescent="0.3">
      <c r="A9" s="363"/>
      <c r="B9" s="463"/>
      <c r="C9" s="353"/>
      <c r="D9" s="351"/>
      <c r="E9" s="463"/>
      <c r="F9" s="351"/>
      <c r="G9" s="351"/>
      <c r="H9" s="463"/>
      <c r="I9" s="351"/>
      <c r="J9" s="351"/>
      <c r="K9" s="352"/>
      <c r="L9" s="352"/>
      <c r="M9" s="352"/>
      <c r="N9" s="436"/>
      <c r="O9" s="352"/>
      <c r="P9" s="278"/>
      <c r="Q9" s="436"/>
      <c r="R9" s="352"/>
      <c r="S9" s="278"/>
      <c r="T9" s="436"/>
      <c r="U9" s="352"/>
      <c r="V9" s="278"/>
      <c r="W9" s="436"/>
      <c r="X9" s="352"/>
      <c r="Y9" s="278"/>
      <c r="Z9" s="436"/>
      <c r="AA9" s="352"/>
      <c r="AB9" s="278"/>
      <c r="AC9" s="436"/>
      <c r="AD9" s="352"/>
      <c r="AE9" s="278"/>
      <c r="AF9" s="352"/>
      <c r="AG9" s="352"/>
      <c r="AH9" s="278"/>
      <c r="AI9" s="352"/>
      <c r="AJ9" s="352"/>
      <c r="AK9" s="278"/>
    </row>
    <row r="10" spans="1:51" s="367" customFormat="1" ht="18.75" customHeight="1" x14ac:dyDescent="0.3">
      <c r="A10" s="441" t="s">
        <v>167</v>
      </c>
      <c r="B10" s="464"/>
      <c r="C10" s="353"/>
      <c r="D10" s="353"/>
      <c r="E10" s="464"/>
      <c r="F10" s="353"/>
      <c r="G10" s="353"/>
      <c r="H10" s="464"/>
      <c r="I10" s="353"/>
      <c r="J10" s="353"/>
      <c r="K10" s="352"/>
      <c r="L10" s="352"/>
      <c r="M10" s="352"/>
      <c r="N10" s="436"/>
      <c r="O10" s="352"/>
      <c r="P10" s="278"/>
      <c r="Q10" s="436"/>
      <c r="R10" s="352"/>
      <c r="S10" s="278"/>
      <c r="T10" s="436"/>
      <c r="U10" s="352"/>
      <c r="V10" s="278"/>
      <c r="W10" s="436"/>
      <c r="X10" s="352"/>
      <c r="Y10" s="278"/>
      <c r="Z10" s="436"/>
      <c r="AA10" s="352"/>
      <c r="AB10" s="278"/>
      <c r="AC10" s="436"/>
      <c r="AD10" s="352"/>
      <c r="AE10" s="278"/>
      <c r="AF10" s="352"/>
      <c r="AG10" s="352"/>
      <c r="AH10" s="278"/>
      <c r="AI10" s="352"/>
      <c r="AJ10" s="352"/>
      <c r="AK10" s="278"/>
    </row>
    <row r="11" spans="1:51" s="367" customFormat="1" ht="18.75" customHeight="1" x14ac:dyDescent="0.3">
      <c r="A11" s="364"/>
      <c r="B11" s="464"/>
      <c r="C11" s="353"/>
      <c r="D11" s="353"/>
      <c r="E11" s="464"/>
      <c r="F11" s="353"/>
      <c r="G11" s="353"/>
      <c r="H11" s="464"/>
      <c r="I11" s="353"/>
      <c r="J11" s="353"/>
      <c r="K11" s="352"/>
      <c r="L11" s="352"/>
      <c r="M11" s="352"/>
      <c r="N11" s="436"/>
      <c r="O11" s="352"/>
      <c r="P11" s="278"/>
      <c r="Q11" s="436"/>
      <c r="R11" s="352"/>
      <c r="S11" s="278"/>
      <c r="T11" s="436"/>
      <c r="U11" s="352"/>
      <c r="V11" s="278"/>
      <c r="W11" s="436"/>
      <c r="X11" s="352"/>
      <c r="Y11" s="278"/>
      <c r="Z11" s="436"/>
      <c r="AA11" s="352"/>
      <c r="AB11" s="278"/>
      <c r="AC11" s="436"/>
      <c r="AD11" s="352"/>
      <c r="AE11" s="278"/>
      <c r="AF11" s="352"/>
      <c r="AG11" s="352"/>
      <c r="AH11" s="278"/>
      <c r="AI11" s="352"/>
      <c r="AJ11" s="352"/>
      <c r="AK11" s="278"/>
    </row>
    <row r="12" spans="1:51" s="367" customFormat="1" ht="20.100000000000001" customHeight="1" x14ac:dyDescent="0.3">
      <c r="A12" s="441" t="s">
        <v>168</v>
      </c>
      <c r="B12" s="150"/>
      <c r="C12" s="354"/>
      <c r="D12" s="354"/>
      <c r="E12" s="150"/>
      <c r="F12" s="354"/>
      <c r="G12" s="354"/>
      <c r="H12" s="150"/>
      <c r="I12" s="354"/>
      <c r="J12" s="354"/>
      <c r="K12" s="352"/>
      <c r="L12" s="352"/>
      <c r="M12" s="352"/>
      <c r="N12" s="436"/>
      <c r="O12" s="352"/>
      <c r="P12" s="278"/>
      <c r="Q12" s="436"/>
      <c r="R12" s="352"/>
      <c r="S12" s="278"/>
      <c r="T12" s="436"/>
      <c r="U12" s="352"/>
      <c r="V12" s="278"/>
      <c r="W12" s="436"/>
      <c r="X12" s="352"/>
      <c r="Y12" s="278"/>
      <c r="Z12" s="436"/>
      <c r="AA12" s="352"/>
      <c r="AB12" s="278"/>
      <c r="AC12" s="436"/>
      <c r="AD12" s="352"/>
      <c r="AE12" s="278"/>
      <c r="AF12" s="352"/>
      <c r="AG12" s="352"/>
      <c r="AH12" s="278"/>
      <c r="AI12" s="352"/>
      <c r="AJ12" s="352"/>
      <c r="AK12" s="278"/>
    </row>
    <row r="13" spans="1:51" s="367" customFormat="1" ht="20.100000000000001" customHeight="1" x14ac:dyDescent="0.3">
      <c r="A13" s="441" t="s">
        <v>169</v>
      </c>
      <c r="B13" s="150"/>
      <c r="C13" s="354"/>
      <c r="D13" s="354"/>
      <c r="E13" s="150"/>
      <c r="F13" s="354"/>
      <c r="G13" s="354"/>
      <c r="H13" s="150"/>
      <c r="I13" s="354"/>
      <c r="J13" s="354"/>
      <c r="K13" s="397"/>
      <c r="L13" s="397"/>
      <c r="M13" s="397"/>
      <c r="N13" s="76"/>
      <c r="O13" s="397"/>
      <c r="P13" s="355"/>
      <c r="Q13" s="76"/>
      <c r="R13" s="397"/>
      <c r="S13" s="355"/>
      <c r="T13" s="76"/>
      <c r="U13" s="397"/>
      <c r="V13" s="355"/>
      <c r="W13" s="76"/>
      <c r="X13" s="397"/>
      <c r="Y13" s="355"/>
      <c r="Z13" s="76"/>
      <c r="AA13" s="397"/>
      <c r="AB13" s="355"/>
      <c r="AC13" s="76"/>
      <c r="AD13" s="397"/>
      <c r="AE13" s="355"/>
      <c r="AF13" s="397"/>
      <c r="AG13" s="397"/>
      <c r="AH13" s="355"/>
      <c r="AI13" s="397"/>
      <c r="AJ13" s="397"/>
      <c r="AK13" s="355"/>
    </row>
    <row r="14" spans="1:51" s="367" customFormat="1" ht="20.100000000000001" customHeight="1" x14ac:dyDescent="0.3">
      <c r="A14" s="429" t="s">
        <v>170</v>
      </c>
      <c r="B14" s="148"/>
      <c r="C14" s="355"/>
      <c r="D14" s="355"/>
      <c r="E14" s="148"/>
      <c r="F14" s="355"/>
      <c r="G14" s="355"/>
      <c r="H14" s="148"/>
      <c r="I14" s="355"/>
      <c r="J14" s="355"/>
      <c r="K14" s="397">
        <v>27</v>
      </c>
      <c r="L14" s="397">
        <v>24</v>
      </c>
      <c r="M14" s="397">
        <f t="shared" ref="M14" si="0">IF(K14=0, "    ---- ", IF(ABS(ROUND(100/K14*L14-100,1))&lt;999,ROUND(100/K14*L14-100,1),IF(ROUND(100/K14*L14-100,1)&gt;999,999,-999)))</f>
        <v>-11.1</v>
      </c>
      <c r="N14" s="76">
        <v>1321.99222975</v>
      </c>
      <c r="O14" s="397">
        <v>1322.1865066300002</v>
      </c>
      <c r="P14" s="355">
        <f t="shared" ref="P14:P28" si="1">IF(N14=0, "    ---- ", IF(ABS(ROUND(100/N14*O14-100,1))&lt;999,ROUND(100/N14*O14-100,1),IF(ROUND(100/N14*O14-100,1)&gt;999,999,-999)))</f>
        <v>0</v>
      </c>
      <c r="Q14" s="76"/>
      <c r="R14" s="397"/>
      <c r="S14" s="355"/>
      <c r="T14" s="76"/>
      <c r="U14" s="397"/>
      <c r="V14" s="355"/>
      <c r="W14" s="76"/>
      <c r="X14" s="397"/>
      <c r="Y14" s="355"/>
      <c r="Z14" s="76"/>
      <c r="AA14" s="397"/>
      <c r="AB14" s="355"/>
      <c r="AC14" s="76"/>
      <c r="AD14" s="397"/>
      <c r="AE14" s="355"/>
      <c r="AF14" s="397">
        <f t="shared" ref="AF14:AG22" si="2">B14+E14+H14+K14+N14+Q14+T14+W14+Z14</f>
        <v>1348.99222975</v>
      </c>
      <c r="AG14" s="397">
        <f t="shared" si="2"/>
        <v>1346.1865066300002</v>
      </c>
      <c r="AH14" s="355">
        <f t="shared" ref="AH14:AH28" si="3">IF(AF14=0, "    ---- ", IF(ABS(ROUND(100/AF14*AG14-100,1))&lt;999,ROUND(100/AF14*AG14-100,1),IF(ROUND(100/AF14*AG14-100,1)&gt;999,999,-999)))</f>
        <v>-0.2</v>
      </c>
      <c r="AI14" s="397">
        <f t="shared" ref="AI14:AJ22" si="4">B14+E14+H14+K14+N14+Q14+T14+W14+Z14+AC14</f>
        <v>1348.99222975</v>
      </c>
      <c r="AJ14" s="397">
        <f t="shared" si="4"/>
        <v>1346.1865066300002</v>
      </c>
      <c r="AK14" s="355">
        <f t="shared" ref="AK14:AK29" si="5">IF(AI14=0, "    ---- ", IF(ABS(ROUND(100/AI14*AJ14-100,1))&lt;999,ROUND(100/AI14*AJ14-100,1),IF(ROUND(100/AI14*AJ14-100,1)&gt;999,999,-999)))</f>
        <v>-0.2</v>
      </c>
    </row>
    <row r="15" spans="1:51" s="367" customFormat="1" ht="20.100000000000001" customHeight="1" x14ac:dyDescent="0.3">
      <c r="A15" s="429" t="s">
        <v>171</v>
      </c>
      <c r="B15" s="148">
        <v>1174.8503049399999</v>
      </c>
      <c r="C15" s="355">
        <v>1134.4224275800002</v>
      </c>
      <c r="D15" s="355">
        <f t="shared" ref="D15:D28" si="6">IF(B15=0, "    ---- ", IF(ABS(ROUND(100/B15*C15-100,1))&lt;999,ROUND(100/B15*C15-100,1),IF(ROUND(100/B15*C15-100,1)&gt;999,999,-999)))</f>
        <v>-3.4</v>
      </c>
      <c r="E15" s="148"/>
      <c r="F15" s="355"/>
      <c r="G15" s="355"/>
      <c r="H15" s="148"/>
      <c r="I15" s="355"/>
      <c r="J15" s="355"/>
      <c r="K15" s="397"/>
      <c r="L15" s="397"/>
      <c r="M15" s="397"/>
      <c r="N15" s="76">
        <v>9466.4101861100007</v>
      </c>
      <c r="O15" s="397">
        <v>10185.65027686</v>
      </c>
      <c r="P15" s="355">
        <f t="shared" si="1"/>
        <v>7.6</v>
      </c>
      <c r="Q15" s="76">
        <v>6</v>
      </c>
      <c r="R15" s="397">
        <v>0</v>
      </c>
      <c r="S15" s="355">
        <f t="shared" ref="S15:S18" si="7">IF(Q15=0, "    ---- ", IF(ABS(ROUND(100/Q15*R15-100,1))&lt;999,ROUND(100/Q15*R15-100,1),IF(ROUND(100/Q15*R15-100,1)&gt;999,999,-999)))</f>
        <v>-100</v>
      </c>
      <c r="T15" s="76">
        <v>1354</v>
      </c>
      <c r="U15" s="397">
        <f>1065+385</f>
        <v>1450</v>
      </c>
      <c r="V15" s="355">
        <f t="shared" ref="V15:V28" si="8">IF(T15=0, "    ---- ", IF(ABS(ROUND(100/T15*U15-100,1))&lt;999,ROUND(100/T15*U15-100,1),IF(ROUND(100/T15*U15-100,1)&gt;999,999,-999)))</f>
        <v>7.1</v>
      </c>
      <c r="W15" s="76">
        <v>1366.8019999999999</v>
      </c>
      <c r="X15" s="397">
        <v>1377.3</v>
      </c>
      <c r="Y15" s="355">
        <f t="shared" ref="Y15:Y28" si="9">IF(W15=0, "    ---- ", IF(ABS(ROUND(100/W15*X15-100,1))&lt;999,ROUND(100/W15*X15-100,1),IF(ROUND(100/W15*X15-100,1)&gt;999,999,-999)))</f>
        <v>0.8</v>
      </c>
      <c r="Z15" s="76">
        <v>13015.23685465</v>
      </c>
      <c r="AA15" s="397">
        <v>13669.751955240001</v>
      </c>
      <c r="AB15" s="355">
        <f t="shared" ref="AB15:AB28" si="10">IF(Z15=0, "    ---- ", IF(ABS(ROUND(100/Z15*AA15-100,1))&lt;999,ROUND(100/Z15*AA15-100,1),IF(ROUND(100/Z15*AA15-100,1)&gt;999,999,-999)))</f>
        <v>5</v>
      </c>
      <c r="AC15" s="76"/>
      <c r="AD15" s="397"/>
      <c r="AE15" s="355"/>
      <c r="AF15" s="397">
        <f t="shared" si="2"/>
        <v>26383.299345700001</v>
      </c>
      <c r="AG15" s="397">
        <f t="shared" si="2"/>
        <v>27817.124659680001</v>
      </c>
      <c r="AH15" s="355">
        <f t="shared" si="3"/>
        <v>5.4</v>
      </c>
      <c r="AI15" s="397">
        <f>B15+E15+H15+K15+N15+Q15+T15+W15+Z15+AC15</f>
        <v>26383.299345700001</v>
      </c>
      <c r="AJ15" s="397">
        <f t="shared" si="4"/>
        <v>27817.124659680001</v>
      </c>
      <c r="AK15" s="355">
        <f t="shared" si="5"/>
        <v>5.4</v>
      </c>
      <c r="AM15" s="541"/>
      <c r="AN15" s="541"/>
      <c r="AO15" s="541"/>
    </row>
    <row r="16" spans="1:51" s="367" customFormat="1" ht="20.100000000000001" customHeight="1" x14ac:dyDescent="0.3">
      <c r="A16" s="429" t="s">
        <v>172</v>
      </c>
      <c r="B16" s="148">
        <f>SUM(B17+B19)</f>
        <v>18203.775946599999</v>
      </c>
      <c r="C16" s="355">
        <f>SUM(C17+C19)</f>
        <v>16572.828466050003</v>
      </c>
      <c r="D16" s="355"/>
      <c r="E16" s="148">
        <v>740.18803657000001</v>
      </c>
      <c r="F16" s="355">
        <f>SUM(F17+F19)</f>
        <v>811</v>
      </c>
      <c r="G16" s="355">
        <f t="shared" ref="G16:G18" si="11">IF(E16=0, "    ---- ", IF(ABS(ROUND(100/E16*F16-100,1))&lt;999,ROUND(100/E16*F16-100,1),IF(ROUND(100/E16*F16-100,1)&gt;999,999,-999)))</f>
        <v>9.6</v>
      </c>
      <c r="H16" s="148">
        <f>SUM(H17+H19)</f>
        <v>136.52500000000001</v>
      </c>
      <c r="I16" s="355">
        <f>SUM(I17+I19)</f>
        <v>0</v>
      </c>
      <c r="J16" s="355">
        <f t="shared" ref="J16:J17" si="12">IF(H16=0, "    ---- ", IF(ABS(ROUND(100/H16*I16-100,1))&lt;999,ROUND(100/H16*I16-100,1),IF(ROUND(100/H16*I16-100,1)&gt;999,999,-999)))</f>
        <v>-100</v>
      </c>
      <c r="K16" s="397">
        <v>154</v>
      </c>
      <c r="L16" s="397">
        <v>139</v>
      </c>
      <c r="M16" s="397">
        <f t="shared" ref="M16" si="13">IF(K16=0, "    ---- ", IF(ABS(ROUND(100/K16*L16-100,1))&lt;999,ROUND(100/K16*L16-100,1),IF(ROUND(100/K16*L16-100,1)&gt;999,999,-999)))</f>
        <v>-9.6999999999999993</v>
      </c>
      <c r="N16" s="76">
        <v>21620.361483889999</v>
      </c>
      <c r="O16" s="397">
        <v>16849.470974299998</v>
      </c>
      <c r="P16" s="355">
        <f t="shared" si="1"/>
        <v>-22.1</v>
      </c>
      <c r="Q16" s="76">
        <f>SUM(Q17+Q19)</f>
        <v>8834.75</v>
      </c>
      <c r="R16" s="397">
        <f>SUM(R17+R19)</f>
        <v>8877.5499999999993</v>
      </c>
      <c r="S16" s="355">
        <f t="shared" si="7"/>
        <v>0.5</v>
      </c>
      <c r="T16" s="76">
        <f>SUM(T17+T19)</f>
        <v>4955</v>
      </c>
      <c r="U16" s="397">
        <f>SUM(U17+U19)</f>
        <v>5561</v>
      </c>
      <c r="V16" s="355">
        <f t="shared" si="8"/>
        <v>12.2</v>
      </c>
      <c r="W16" s="76">
        <f>SUM(W17+W19)</f>
        <v>1357.7170000000001</v>
      </c>
      <c r="X16" s="397">
        <f>SUM(X17+X19)</f>
        <v>1298.557</v>
      </c>
      <c r="Y16" s="355">
        <f t="shared" si="9"/>
        <v>-4.4000000000000004</v>
      </c>
      <c r="Z16" s="76">
        <f>SUM(Z17+Z19)</f>
        <v>15171.932627730001</v>
      </c>
      <c r="AA16" s="397">
        <f>SUM(AA17+AA19)</f>
        <v>13994.461513259999</v>
      </c>
      <c r="AB16" s="355">
        <f t="shared" si="10"/>
        <v>-7.8</v>
      </c>
      <c r="AC16" s="76"/>
      <c r="AD16" s="397"/>
      <c r="AE16" s="355"/>
      <c r="AF16" s="397">
        <f t="shared" si="2"/>
        <v>71174.250094789997</v>
      </c>
      <c r="AG16" s="397">
        <f t="shared" si="2"/>
        <v>64103.86795361001</v>
      </c>
      <c r="AH16" s="355">
        <f t="shared" si="3"/>
        <v>-9.9</v>
      </c>
      <c r="AI16" s="397">
        <f t="shared" si="4"/>
        <v>71174.250094789997</v>
      </c>
      <c r="AJ16" s="397">
        <f t="shared" si="4"/>
        <v>64103.86795361001</v>
      </c>
      <c r="AK16" s="355">
        <f t="shared" si="5"/>
        <v>-9.9</v>
      </c>
    </row>
    <row r="17" spans="1:37" s="367" customFormat="1" ht="20.100000000000001" customHeight="1" x14ac:dyDescent="0.3">
      <c r="A17" s="601" t="s">
        <v>399</v>
      </c>
      <c r="B17" s="148">
        <v>17599.42555335</v>
      </c>
      <c r="C17" s="355">
        <v>15968.313153210001</v>
      </c>
      <c r="D17" s="355"/>
      <c r="E17" s="148">
        <v>740</v>
      </c>
      <c r="F17" s="355">
        <v>811</v>
      </c>
      <c r="G17" s="355">
        <f t="shared" si="11"/>
        <v>9.6</v>
      </c>
      <c r="H17" s="148">
        <v>136.52500000000001</v>
      </c>
      <c r="I17" s="355">
        <v>0</v>
      </c>
      <c r="J17" s="355">
        <f t="shared" si="12"/>
        <v>-100</v>
      </c>
      <c r="K17" s="397"/>
      <c r="L17" s="397"/>
      <c r="M17" s="397"/>
      <c r="N17" s="76">
        <v>7541.8824149399998</v>
      </c>
      <c r="O17" s="397">
        <v>719.38571120000006</v>
      </c>
      <c r="P17" s="355">
        <f t="shared" si="1"/>
        <v>-90.5</v>
      </c>
      <c r="Q17" s="76">
        <v>8834.75</v>
      </c>
      <c r="R17" s="397">
        <v>8877.5499999999993</v>
      </c>
      <c r="S17" s="355">
        <f t="shared" si="7"/>
        <v>0.5</v>
      </c>
      <c r="T17" s="76">
        <v>2885</v>
      </c>
      <c r="U17" s="397">
        <v>2895</v>
      </c>
      <c r="V17" s="355">
        <f t="shared" si="8"/>
        <v>0.3</v>
      </c>
      <c r="W17" s="76">
        <v>1357.7170000000001</v>
      </c>
      <c r="X17" s="397">
        <v>1298.557</v>
      </c>
      <c r="Y17" s="355">
        <f t="shared" si="9"/>
        <v>-4.4000000000000004</v>
      </c>
      <c r="Z17" s="76"/>
      <c r="AA17" s="397"/>
      <c r="AB17" s="355"/>
      <c r="AC17" s="76"/>
      <c r="AD17" s="397"/>
      <c r="AE17" s="355"/>
      <c r="AF17" s="397">
        <f t="shared" si="2"/>
        <v>39095.299968289997</v>
      </c>
      <c r="AG17" s="397">
        <f t="shared" si="2"/>
        <v>30569.805864410002</v>
      </c>
      <c r="AH17" s="355">
        <f t="shared" si="3"/>
        <v>-21.8</v>
      </c>
      <c r="AI17" s="397">
        <f t="shared" si="4"/>
        <v>39095.299968289997</v>
      </c>
      <c r="AJ17" s="397">
        <f t="shared" si="4"/>
        <v>30569.805864410002</v>
      </c>
      <c r="AK17" s="355">
        <f t="shared" si="5"/>
        <v>-21.8</v>
      </c>
    </row>
    <row r="18" spans="1:37" s="367" customFormat="1" ht="20.100000000000001" customHeight="1" x14ac:dyDescent="0.3">
      <c r="A18" s="429" t="s">
        <v>173</v>
      </c>
      <c r="B18" s="148">
        <v>17599.42555335</v>
      </c>
      <c r="C18" s="355">
        <v>15968.313153210001</v>
      </c>
      <c r="D18" s="355"/>
      <c r="E18" s="148">
        <v>740.18803657000001</v>
      </c>
      <c r="F18" s="355">
        <v>811.04294535999998</v>
      </c>
      <c r="G18" s="355">
        <f t="shared" si="11"/>
        <v>9.6</v>
      </c>
      <c r="H18" s="148"/>
      <c r="I18" s="355"/>
      <c r="J18" s="355"/>
      <c r="K18" s="397"/>
      <c r="L18" s="397"/>
      <c r="M18" s="397"/>
      <c r="N18" s="76">
        <v>7541.8824149399998</v>
      </c>
      <c r="O18" s="397">
        <v>719.38571120000006</v>
      </c>
      <c r="P18" s="355">
        <f t="shared" si="1"/>
        <v>-90.5</v>
      </c>
      <c r="Q18" s="76">
        <v>8834.75</v>
      </c>
      <c r="R18" s="397">
        <v>8877.5499999999993</v>
      </c>
      <c r="S18" s="355">
        <f t="shared" si="7"/>
        <v>0.5</v>
      </c>
      <c r="T18" s="76"/>
      <c r="U18" s="397"/>
      <c r="V18" s="355"/>
      <c r="W18" s="76">
        <v>9.8791019799996711</v>
      </c>
      <c r="X18" s="397">
        <v>1298.5574999999999</v>
      </c>
      <c r="Y18" s="355">
        <f t="shared" si="9"/>
        <v>999</v>
      </c>
      <c r="Z18" s="76"/>
      <c r="AA18" s="397"/>
      <c r="AB18" s="355"/>
      <c r="AC18" s="76"/>
      <c r="AD18" s="397"/>
      <c r="AE18" s="355"/>
      <c r="AF18" s="397">
        <f t="shared" si="2"/>
        <v>34726.125106840002</v>
      </c>
      <c r="AG18" s="397">
        <f t="shared" si="2"/>
        <v>27674.849309770001</v>
      </c>
      <c r="AH18" s="355">
        <f t="shared" si="3"/>
        <v>-20.3</v>
      </c>
      <c r="AI18" s="397">
        <f t="shared" si="4"/>
        <v>34726.125106840002</v>
      </c>
      <c r="AJ18" s="397">
        <f t="shared" si="4"/>
        <v>27674.849309770001</v>
      </c>
      <c r="AK18" s="355">
        <f t="shared" si="5"/>
        <v>-20.3</v>
      </c>
    </row>
    <row r="19" spans="1:37" s="367" customFormat="1" ht="20.100000000000001" customHeight="1" x14ac:dyDescent="0.3">
      <c r="A19" s="429" t="s">
        <v>174</v>
      </c>
      <c r="B19" s="148">
        <v>604.35039325000002</v>
      </c>
      <c r="C19" s="355">
        <v>604.51531283999998</v>
      </c>
      <c r="D19" s="355"/>
      <c r="E19" s="148"/>
      <c r="F19" s="355"/>
      <c r="G19" s="355"/>
      <c r="H19" s="148"/>
      <c r="I19" s="355"/>
      <c r="J19" s="355"/>
      <c r="K19" s="397">
        <v>154</v>
      </c>
      <c r="L19" s="397">
        <v>139</v>
      </c>
      <c r="M19" s="397">
        <f t="shared" ref="M19:M28" si="14">IF(K19=0, "    ---- ", IF(ABS(ROUND(100/K19*L19-100,1))&lt;999,ROUND(100/K19*L19-100,1),IF(ROUND(100/K19*L19-100,1)&gt;999,999,-999)))</f>
        <v>-9.6999999999999993</v>
      </c>
      <c r="N19" s="76">
        <v>14078.479068950001</v>
      </c>
      <c r="O19" s="397">
        <v>16130.0852631</v>
      </c>
      <c r="P19" s="355">
        <f t="shared" si="1"/>
        <v>14.6</v>
      </c>
      <c r="Q19" s="76"/>
      <c r="R19" s="397"/>
      <c r="S19" s="355"/>
      <c r="T19" s="76">
        <v>2070</v>
      </c>
      <c r="U19" s="397">
        <v>2666</v>
      </c>
      <c r="V19" s="355">
        <f t="shared" si="8"/>
        <v>28.8</v>
      </c>
      <c r="W19" s="76"/>
      <c r="X19" s="397"/>
      <c r="Y19" s="355"/>
      <c r="Z19" s="76">
        <v>15171.932627730001</v>
      </c>
      <c r="AA19" s="397">
        <v>13994.461513259999</v>
      </c>
      <c r="AB19" s="355">
        <f t="shared" si="10"/>
        <v>-7.8</v>
      </c>
      <c r="AC19" s="76"/>
      <c r="AD19" s="397"/>
      <c r="AE19" s="355"/>
      <c r="AF19" s="397">
        <f t="shared" si="2"/>
        <v>32078.762089930002</v>
      </c>
      <c r="AG19" s="397">
        <f t="shared" si="2"/>
        <v>33534.062089200001</v>
      </c>
      <c r="AH19" s="355">
        <f t="shared" si="3"/>
        <v>4.5</v>
      </c>
      <c r="AI19" s="397">
        <f t="shared" si="4"/>
        <v>32078.762089930002</v>
      </c>
      <c r="AJ19" s="397">
        <f t="shared" si="4"/>
        <v>33534.062089200001</v>
      </c>
      <c r="AK19" s="355">
        <f t="shared" si="5"/>
        <v>4.5</v>
      </c>
    </row>
    <row r="20" spans="1:37" s="367" customFormat="1" ht="20.100000000000001" customHeight="1" x14ac:dyDescent="0.3">
      <c r="A20" s="429" t="s">
        <v>175</v>
      </c>
      <c r="B20" s="148">
        <f>B21+B22+B23+B24+B25</f>
        <v>12443.673310769998</v>
      </c>
      <c r="C20" s="355">
        <f>C21+C22+C23+C24+C25</f>
        <v>12463.809091149995</v>
      </c>
      <c r="D20" s="355">
        <f t="shared" si="6"/>
        <v>0.2</v>
      </c>
      <c r="E20" s="148">
        <v>2096.9803982800004</v>
      </c>
      <c r="F20" s="355">
        <f>F21+F22+F23+F24+F25</f>
        <v>1994.2660826200001</v>
      </c>
      <c r="G20" s="355">
        <f>IF(E20=0, "    ---- ", IF(ABS(ROUND(100/E20*F20-100,1))&lt;999,ROUND(100/E20*F20-100,1),IF(ROUND(100/E20*F20-100,1)&gt;999,999,-999)))</f>
        <v>-4.9000000000000004</v>
      </c>
      <c r="H20" s="148">
        <f>H21+H22+H23+H24+H25</f>
        <v>310.85000000000002</v>
      </c>
      <c r="I20" s="355">
        <f>I21+I22+I23+I24+I25</f>
        <v>446.702</v>
      </c>
      <c r="J20" s="355">
        <f t="shared" ref="J20:J28" si="15">IF(H20=0, "    ---- ", IF(ABS(ROUND(100/H20*I20-100,1))&lt;999,ROUND(100/H20*I20-100,1),IF(ROUND(100/H20*I20-100,1)&gt;999,999,-999)))</f>
        <v>43.7</v>
      </c>
      <c r="K20" s="397">
        <v>966</v>
      </c>
      <c r="L20" s="355">
        <v>1722</v>
      </c>
      <c r="M20" s="397">
        <f t="shared" si="14"/>
        <v>78.3</v>
      </c>
      <c r="N20" s="148">
        <v>13314.16134672</v>
      </c>
      <c r="O20" s="355">
        <v>18053.30547182</v>
      </c>
      <c r="P20" s="355">
        <f t="shared" si="1"/>
        <v>35.6</v>
      </c>
      <c r="Q20" s="148">
        <f>Q21+Q22+Q23+Q24+Q25</f>
        <v>2392.2499999999995</v>
      </c>
      <c r="R20" s="355">
        <f>R21+R22+R23+R24+R25</f>
        <v>985.26</v>
      </c>
      <c r="S20" s="355">
        <f t="shared" ref="S20:S28" si="16">IF(Q20=0, "    ---- ", IF(ABS(ROUND(100/Q20*R20-100,1))&lt;999,ROUND(100/Q20*R20-100,1),IF(ROUND(100/Q20*R20-100,1)&gt;999,999,-999)))</f>
        <v>-58.8</v>
      </c>
      <c r="T20" s="148">
        <f>T21+T22+T23+T24+T25</f>
        <v>4500</v>
      </c>
      <c r="U20" s="355">
        <f>U21+U22+U23+U24+U25</f>
        <v>4781</v>
      </c>
      <c r="V20" s="355">
        <f t="shared" si="8"/>
        <v>6.2</v>
      </c>
      <c r="W20" s="148">
        <f>W21+W22+W23+W24+W25</f>
        <v>3161.7359999999999</v>
      </c>
      <c r="X20" s="355">
        <f>X21+X22+X23+X24+X25</f>
        <v>3034.8389999999999</v>
      </c>
      <c r="Y20" s="355">
        <f t="shared" si="9"/>
        <v>-4</v>
      </c>
      <c r="Z20" s="148">
        <f>Z21+Z22+Z23+Z24+Z25</f>
        <v>5475.2966593300016</v>
      </c>
      <c r="AA20" s="355">
        <f>AA21+AA22+AA23+AA24+AA25</f>
        <v>5239.4941931599997</v>
      </c>
      <c r="AB20" s="355">
        <f t="shared" si="10"/>
        <v>-4.3</v>
      </c>
      <c r="AC20" s="148"/>
      <c r="AD20" s="355">
        <f>AD21+AD22+AD23+AD24+AD25</f>
        <v>71</v>
      </c>
      <c r="AE20" s="355" t="str">
        <f t="shared" ref="AE20:AE23" si="17">IF(AC20=0, "    ---- ", IF(ABS(ROUND(100/AC20*AD20-100,1))&lt;999,ROUND(100/AC20*AD20-100,1),IF(ROUND(100/AC20*AD20-100,1)&gt;999,999,-999)))</f>
        <v xml:space="preserve">    ---- </v>
      </c>
      <c r="AF20" s="397">
        <f t="shared" si="2"/>
        <v>44660.947715099996</v>
      </c>
      <c r="AG20" s="397">
        <f t="shared" si="2"/>
        <v>48720.675838749994</v>
      </c>
      <c r="AH20" s="355">
        <f t="shared" si="3"/>
        <v>9.1</v>
      </c>
      <c r="AI20" s="397">
        <f t="shared" si="4"/>
        <v>44660.947715099996</v>
      </c>
      <c r="AJ20" s="397">
        <f t="shared" si="4"/>
        <v>48791.675838749994</v>
      </c>
      <c r="AK20" s="355">
        <f t="shared" si="5"/>
        <v>9.1999999999999993</v>
      </c>
    </row>
    <row r="21" spans="1:37" s="367" customFormat="1" ht="20.100000000000001" customHeight="1" x14ac:dyDescent="0.3">
      <c r="A21" s="429" t="s">
        <v>176</v>
      </c>
      <c r="B21" s="148">
        <v>1207.4405292000001</v>
      </c>
      <c r="C21" s="355">
        <v>1239.0065192899999</v>
      </c>
      <c r="D21" s="355">
        <f t="shared" si="6"/>
        <v>2.6</v>
      </c>
      <c r="E21" s="148"/>
      <c r="F21" s="355"/>
      <c r="G21" s="355"/>
      <c r="H21" s="148">
        <v>47.438000000000002</v>
      </c>
      <c r="I21" s="355">
        <v>61.716000000000001</v>
      </c>
      <c r="J21" s="355">
        <f t="shared" si="15"/>
        <v>30.1</v>
      </c>
      <c r="K21" s="397">
        <v>19</v>
      </c>
      <c r="L21" s="397">
        <v>12</v>
      </c>
      <c r="M21" s="397">
        <f t="shared" si="14"/>
        <v>-36.799999999999997</v>
      </c>
      <c r="N21" s="76">
        <v>3.8961000000000001</v>
      </c>
      <c r="O21" s="397">
        <v>1510.84211478</v>
      </c>
      <c r="P21" s="355">
        <f t="shared" si="1"/>
        <v>999</v>
      </c>
      <c r="Q21" s="76">
        <v>3.89</v>
      </c>
      <c r="R21" s="397">
        <v>10.99</v>
      </c>
      <c r="S21" s="355">
        <f t="shared" si="16"/>
        <v>182.5</v>
      </c>
      <c r="T21" s="76">
        <v>2160</v>
      </c>
      <c r="U21" s="397">
        <v>2224</v>
      </c>
      <c r="V21" s="355">
        <f t="shared" si="8"/>
        <v>3</v>
      </c>
      <c r="W21" s="76">
        <v>1.92</v>
      </c>
      <c r="X21" s="397">
        <v>2.2410000000000001</v>
      </c>
      <c r="Y21" s="355">
        <f t="shared" si="9"/>
        <v>16.7</v>
      </c>
      <c r="Z21" s="76">
        <v>403.44106757000009</v>
      </c>
      <c r="AA21" s="397">
        <v>437.49464207</v>
      </c>
      <c r="AB21" s="355">
        <f t="shared" si="10"/>
        <v>8.4</v>
      </c>
      <c r="AC21" s="76"/>
      <c r="AD21" s="397"/>
      <c r="AE21" s="355"/>
      <c r="AF21" s="397">
        <f t="shared" si="2"/>
        <v>3847.0256967700006</v>
      </c>
      <c r="AG21" s="397">
        <f t="shared" si="2"/>
        <v>5498.2902761399992</v>
      </c>
      <c r="AH21" s="355">
        <f t="shared" si="3"/>
        <v>42.9</v>
      </c>
      <c r="AI21" s="397">
        <f t="shared" si="4"/>
        <v>3847.0256967700006</v>
      </c>
      <c r="AJ21" s="397">
        <f t="shared" si="4"/>
        <v>5498.2902761399992</v>
      </c>
      <c r="AK21" s="355">
        <f t="shared" si="5"/>
        <v>42.9</v>
      </c>
    </row>
    <row r="22" spans="1:37" s="367" customFormat="1" ht="20.100000000000001" customHeight="1" x14ac:dyDescent="0.3">
      <c r="A22" s="601" t="s">
        <v>400</v>
      </c>
      <c r="B22" s="148">
        <v>11073.736813869999</v>
      </c>
      <c r="C22" s="355">
        <v>11085.046344979995</v>
      </c>
      <c r="D22" s="355">
        <f t="shared" si="6"/>
        <v>0.1</v>
      </c>
      <c r="E22" s="148">
        <v>1999.5807045600004</v>
      </c>
      <c r="F22" s="355">
        <v>1878.9330342800001</v>
      </c>
      <c r="G22" s="355">
        <f>IF(E22=0, "    ---- ", IF(ABS(ROUND(100/E22*F22-100,1))&lt;999,ROUND(100/E22*F22-100,1),IF(ROUND(100/E22*F22-100,1)&gt;999,999,-999)))</f>
        <v>-6</v>
      </c>
      <c r="H22" s="148">
        <v>196.482</v>
      </c>
      <c r="I22" s="355">
        <v>278.81799999999998</v>
      </c>
      <c r="J22" s="355">
        <f t="shared" si="15"/>
        <v>41.9</v>
      </c>
      <c r="K22" s="397">
        <v>947</v>
      </c>
      <c r="L22" s="397">
        <v>1710</v>
      </c>
      <c r="M22" s="397">
        <f t="shared" si="14"/>
        <v>80.599999999999994</v>
      </c>
      <c r="N22" s="76">
        <v>12061.6247542</v>
      </c>
      <c r="O22" s="397">
        <v>13994.491741760001</v>
      </c>
      <c r="P22" s="355">
        <f t="shared" si="1"/>
        <v>16</v>
      </c>
      <c r="Q22" s="76">
        <v>2374.58</v>
      </c>
      <c r="R22" s="397">
        <v>955.34</v>
      </c>
      <c r="S22" s="355">
        <f t="shared" si="16"/>
        <v>-59.8</v>
      </c>
      <c r="T22" s="76">
        <v>2332</v>
      </c>
      <c r="U22" s="397">
        <v>2495</v>
      </c>
      <c r="V22" s="355">
        <f t="shared" si="8"/>
        <v>7</v>
      </c>
      <c r="W22" s="76">
        <v>2517.248</v>
      </c>
      <c r="X22" s="397">
        <v>2567.9760000000001</v>
      </c>
      <c r="Y22" s="355">
        <f t="shared" si="9"/>
        <v>2</v>
      </c>
      <c r="Z22" s="76">
        <v>4983.695300370001</v>
      </c>
      <c r="AA22" s="397">
        <v>4524.5967062399995</v>
      </c>
      <c r="AB22" s="355">
        <f t="shared" si="10"/>
        <v>-9.1999999999999993</v>
      </c>
      <c r="AC22" s="76"/>
      <c r="AD22" s="397"/>
      <c r="AE22" s="355"/>
      <c r="AF22" s="397">
        <f t="shared" si="2"/>
        <v>38485.947573000005</v>
      </c>
      <c r="AG22" s="397">
        <f t="shared" si="2"/>
        <v>39490.201827259996</v>
      </c>
      <c r="AH22" s="355">
        <f t="shared" si="3"/>
        <v>2.6</v>
      </c>
      <c r="AI22" s="397">
        <f t="shared" si="4"/>
        <v>38485.947573000005</v>
      </c>
      <c r="AJ22" s="397">
        <f t="shared" si="4"/>
        <v>39490.201827259996</v>
      </c>
      <c r="AK22" s="355">
        <f t="shared" si="5"/>
        <v>2.6</v>
      </c>
    </row>
    <row r="23" spans="1:37" s="367" customFormat="1" ht="20.100000000000001" customHeight="1" x14ac:dyDescent="0.3">
      <c r="A23" s="429" t="s">
        <v>177</v>
      </c>
      <c r="B23" s="148">
        <v>4.6090882000000004</v>
      </c>
      <c r="C23" s="355">
        <v>0.81948188999999994</v>
      </c>
      <c r="D23" s="355">
        <f t="shared" si="6"/>
        <v>-82.2</v>
      </c>
      <c r="E23" s="148">
        <v>91.086556729999984</v>
      </c>
      <c r="F23" s="355">
        <v>111.62955574000001</v>
      </c>
      <c r="G23" s="355">
        <f>IF(E23=0, "    ---- ", IF(ABS(ROUND(100/E23*F23-100,1))&lt;999,ROUND(100/E23*F23-100,1),IF(ROUND(100/E23*F23-100,1)&gt;999,999,-999)))</f>
        <v>22.6</v>
      </c>
      <c r="H23" s="148"/>
      <c r="I23" s="355"/>
      <c r="J23" s="355"/>
      <c r="K23" s="397"/>
      <c r="L23" s="397"/>
      <c r="M23" s="397"/>
      <c r="N23" s="76">
        <v>795.24225985999999</v>
      </c>
      <c r="O23" s="397">
        <v>2199.6393315199998</v>
      </c>
      <c r="P23" s="355">
        <f t="shared" si="1"/>
        <v>176.6</v>
      </c>
      <c r="Q23" s="76">
        <v>0.1</v>
      </c>
      <c r="R23" s="397">
        <v>0.1</v>
      </c>
      <c r="S23" s="355">
        <f t="shared" si="16"/>
        <v>0</v>
      </c>
      <c r="T23" s="76"/>
      <c r="U23" s="397"/>
      <c r="V23" s="355"/>
      <c r="W23" s="76">
        <v>-3.472</v>
      </c>
      <c r="X23" s="397">
        <v>55.61</v>
      </c>
      <c r="Y23" s="355">
        <f t="shared" si="9"/>
        <v>-999</v>
      </c>
      <c r="Z23" s="76"/>
      <c r="AA23" s="397"/>
      <c r="AB23" s="355"/>
      <c r="AC23" s="76"/>
      <c r="AD23" s="397">
        <v>71</v>
      </c>
      <c r="AE23" s="355" t="str">
        <f t="shared" si="17"/>
        <v xml:space="preserve">    ---- </v>
      </c>
      <c r="AF23" s="397">
        <f>B23+E23+H23+K23+N23+Q23+T23+W23+Z23</f>
        <v>887.56590478999999</v>
      </c>
      <c r="AG23" s="397">
        <f>C23+F23+I23+L23+O23+R23+U23+X23+AA23</f>
        <v>2367.7983691499999</v>
      </c>
      <c r="AH23" s="355">
        <f t="shared" si="3"/>
        <v>166.8</v>
      </c>
      <c r="AI23" s="397">
        <f>B23+E23+H23+K23+N23+Q23+T23+W23+Z23+AC23</f>
        <v>887.56590478999999</v>
      </c>
      <c r="AJ23" s="397">
        <f>C23+F23+I23+L23+O23+R23+U23+X23+AA23+AD23</f>
        <v>2438.7983691499999</v>
      </c>
      <c r="AK23" s="355">
        <f t="shared" si="5"/>
        <v>174.8</v>
      </c>
    </row>
    <row r="24" spans="1:37" s="367" customFormat="1" ht="20.100000000000001" customHeight="1" x14ac:dyDescent="0.3">
      <c r="A24" s="429" t="s">
        <v>178</v>
      </c>
      <c r="B24" s="148">
        <v>11.231670390000001</v>
      </c>
      <c r="C24" s="355">
        <v>30.483814840000001</v>
      </c>
      <c r="D24" s="355">
        <f t="shared" si="6"/>
        <v>171.4</v>
      </c>
      <c r="E24" s="148"/>
      <c r="F24" s="355"/>
      <c r="G24" s="355"/>
      <c r="H24" s="148"/>
      <c r="I24" s="355"/>
      <c r="J24" s="355"/>
      <c r="K24" s="397"/>
      <c r="L24" s="397"/>
      <c r="M24" s="397"/>
      <c r="N24" s="76">
        <v>401.66937875000002</v>
      </c>
      <c r="O24" s="397">
        <v>348.09482219</v>
      </c>
      <c r="P24" s="355">
        <f t="shared" si="1"/>
        <v>-13.3</v>
      </c>
      <c r="Q24" s="76">
        <v>0.35</v>
      </c>
      <c r="R24" s="397">
        <v>0.03</v>
      </c>
      <c r="S24" s="355">
        <f t="shared" si="16"/>
        <v>-91.4</v>
      </c>
      <c r="T24" s="76">
        <v>8</v>
      </c>
      <c r="U24" s="397">
        <v>62</v>
      </c>
      <c r="V24" s="355">
        <f t="shared" si="8"/>
        <v>675</v>
      </c>
      <c r="W24" s="76">
        <v>9.0839999999999996</v>
      </c>
      <c r="X24" s="397">
        <v>17.696000000000002</v>
      </c>
      <c r="Y24" s="355">
        <f t="shared" si="9"/>
        <v>94.8</v>
      </c>
      <c r="Z24" s="76">
        <v>88.160291390000211</v>
      </c>
      <c r="AA24" s="397">
        <v>277.40284484999995</v>
      </c>
      <c r="AB24" s="355">
        <f t="shared" si="10"/>
        <v>214.7</v>
      </c>
      <c r="AC24" s="76"/>
      <c r="AD24" s="397"/>
      <c r="AE24" s="355"/>
      <c r="AF24" s="397">
        <f t="shared" ref="AF24:AG29" si="18">B24+E24+H24+K24+N24+Q24+T24+W24+Z24</f>
        <v>518.49534053000025</v>
      </c>
      <c r="AG24" s="397">
        <f t="shared" si="18"/>
        <v>735.70748187999993</v>
      </c>
      <c r="AH24" s="355">
        <f t="shared" si="3"/>
        <v>41.9</v>
      </c>
      <c r="AI24" s="397">
        <f t="shared" ref="AI24:AJ29" si="19">B24+E24+H24+K24+N24+Q24+T24+W24+Z24+AC24</f>
        <v>518.49534053000025</v>
      </c>
      <c r="AJ24" s="397">
        <f t="shared" si="19"/>
        <v>735.70748187999993</v>
      </c>
      <c r="AK24" s="355">
        <f t="shared" si="5"/>
        <v>41.9</v>
      </c>
    </row>
    <row r="25" spans="1:37" s="367" customFormat="1" ht="20.100000000000001" customHeight="1" x14ac:dyDescent="0.3">
      <c r="A25" s="429" t="s">
        <v>179</v>
      </c>
      <c r="B25" s="148">
        <v>146.65520910999999</v>
      </c>
      <c r="C25" s="355">
        <v>108.45293015000013</v>
      </c>
      <c r="D25" s="355">
        <f t="shared" si="6"/>
        <v>-26</v>
      </c>
      <c r="E25" s="148">
        <v>6.3131369900000021</v>
      </c>
      <c r="F25" s="355">
        <v>3.703492599999993</v>
      </c>
      <c r="G25" s="355">
        <f>IF(E25=0, "    ---- ", IF(ABS(ROUND(100/E25*F25-100,1))&lt;999,ROUND(100/E25*F25-100,1),IF(ROUND(100/E25*F25-100,1)&gt;999,999,-999)))</f>
        <v>-41.3</v>
      </c>
      <c r="H25" s="148">
        <v>66.930000000000007</v>
      </c>
      <c r="I25" s="355">
        <v>106.16800000000001</v>
      </c>
      <c r="J25" s="355">
        <f t="shared" si="15"/>
        <v>58.6</v>
      </c>
      <c r="K25" s="397"/>
      <c r="L25" s="397"/>
      <c r="M25" s="397"/>
      <c r="N25" s="76">
        <v>51.728853909999998</v>
      </c>
      <c r="O25" s="397">
        <v>0.23746157000000001</v>
      </c>
      <c r="P25" s="355">
        <f t="shared" si="1"/>
        <v>-99.5</v>
      </c>
      <c r="Q25" s="76">
        <v>13.33</v>
      </c>
      <c r="R25" s="397">
        <v>18.8</v>
      </c>
      <c r="S25" s="355">
        <f t="shared" si="16"/>
        <v>41</v>
      </c>
      <c r="T25" s="76"/>
      <c r="U25" s="397"/>
      <c r="V25" s="355"/>
      <c r="W25" s="76">
        <v>636.95600000000002</v>
      </c>
      <c r="X25" s="397">
        <v>391.31599999999997</v>
      </c>
      <c r="Y25" s="355">
        <f t="shared" si="9"/>
        <v>-38.6</v>
      </c>
      <c r="Z25" s="76"/>
      <c r="AA25" s="397"/>
      <c r="AB25" s="355"/>
      <c r="AC25" s="76"/>
      <c r="AD25" s="397"/>
      <c r="AE25" s="355"/>
      <c r="AF25" s="397">
        <f t="shared" si="18"/>
        <v>921.91320001000008</v>
      </c>
      <c r="AG25" s="397">
        <f t="shared" si="18"/>
        <v>628.67788432000009</v>
      </c>
      <c r="AH25" s="355">
        <f t="shared" si="3"/>
        <v>-31.8</v>
      </c>
      <c r="AI25" s="397">
        <f t="shared" si="19"/>
        <v>921.91320001000008</v>
      </c>
      <c r="AJ25" s="397">
        <f t="shared" si="19"/>
        <v>628.67788432000009</v>
      </c>
      <c r="AK25" s="355">
        <f t="shared" si="5"/>
        <v>-31.8</v>
      </c>
    </row>
    <row r="26" spans="1:37" s="367" customFormat="1" ht="20.100000000000001" customHeight="1" x14ac:dyDescent="0.3">
      <c r="A26" s="429" t="s">
        <v>180</v>
      </c>
      <c r="B26" s="148"/>
      <c r="C26" s="355"/>
      <c r="D26" s="355"/>
      <c r="E26" s="148"/>
      <c r="F26" s="355"/>
      <c r="G26" s="355"/>
      <c r="H26" s="148"/>
      <c r="I26" s="355"/>
      <c r="J26" s="355"/>
      <c r="K26" s="397"/>
      <c r="L26" s="397"/>
      <c r="M26" s="397"/>
      <c r="N26" s="76"/>
      <c r="O26" s="397"/>
      <c r="P26" s="355"/>
      <c r="Q26" s="76"/>
      <c r="R26" s="397"/>
      <c r="S26" s="355"/>
      <c r="T26" s="76"/>
      <c r="U26" s="397"/>
      <c r="V26" s="355"/>
      <c r="W26" s="76"/>
      <c r="X26" s="397"/>
      <c r="Y26" s="355"/>
      <c r="Z26" s="76"/>
      <c r="AA26" s="397"/>
      <c r="AB26" s="355"/>
      <c r="AC26" s="76"/>
      <c r="AD26" s="397"/>
      <c r="AE26" s="355"/>
      <c r="AF26" s="397">
        <f t="shared" si="18"/>
        <v>0</v>
      </c>
      <c r="AG26" s="397">
        <f t="shared" si="18"/>
        <v>0</v>
      </c>
      <c r="AH26" s="355" t="str">
        <f t="shared" si="3"/>
        <v xml:space="preserve">    ---- </v>
      </c>
      <c r="AI26" s="397">
        <f t="shared" si="19"/>
        <v>0</v>
      </c>
      <c r="AJ26" s="397">
        <f t="shared" si="19"/>
        <v>0</v>
      </c>
      <c r="AK26" s="355" t="str">
        <f t="shared" si="5"/>
        <v xml:space="preserve">    ---- </v>
      </c>
    </row>
    <row r="27" spans="1:37" s="367" customFormat="1" ht="20.100000000000001" customHeight="1" x14ac:dyDescent="0.3">
      <c r="A27" s="465" t="s">
        <v>181</v>
      </c>
      <c r="B27" s="148">
        <f>SUM(B14+B15+B16+B20+B26)</f>
        <v>31822.299562309996</v>
      </c>
      <c r="C27" s="355">
        <f>SUM(C14+C15+C16+C20+C26)</f>
        <v>30171.059984779997</v>
      </c>
      <c r="D27" s="355">
        <f t="shared" si="6"/>
        <v>-5.2</v>
      </c>
      <c r="E27" s="148">
        <f>SUM(E14+E15+E16+E20+E26)</f>
        <v>2837.1684348500003</v>
      </c>
      <c r="F27" s="355">
        <f>SUM(F14+F15+F16+F20+F26)</f>
        <v>2805.2660826199999</v>
      </c>
      <c r="G27" s="355">
        <f>IF(E27=0, "    ---- ", IF(ABS(ROUND(100/E27*F27-100,1))&lt;999,ROUND(100/E27*F27-100,1),IF(ROUND(100/E27*F27-100,1)&gt;999,999,-999)))</f>
        <v>-1.1000000000000001</v>
      </c>
      <c r="H27" s="148">
        <f>SUM(H14+H15+H16+H20+H26)</f>
        <v>447.375</v>
      </c>
      <c r="I27" s="355">
        <f>SUM(I14+I15+I16+I20+I26)</f>
        <v>446.702</v>
      </c>
      <c r="J27" s="355">
        <f t="shared" si="15"/>
        <v>-0.2</v>
      </c>
      <c r="K27" s="397">
        <v>1147</v>
      </c>
      <c r="L27" s="397">
        <v>1885</v>
      </c>
      <c r="M27" s="397">
        <f t="shared" si="14"/>
        <v>64.3</v>
      </c>
      <c r="N27" s="76">
        <v>45722.925246469997</v>
      </c>
      <c r="O27" s="397">
        <v>46410.613229609997</v>
      </c>
      <c r="P27" s="355">
        <f t="shared" si="1"/>
        <v>1.5</v>
      </c>
      <c r="Q27" s="76">
        <f>SUM(Q14+Q15+Q16+Q20+Q26)</f>
        <v>11233</v>
      </c>
      <c r="R27" s="397">
        <f>SUM(R14+R15+R16+R20+R26)</f>
        <v>9862.81</v>
      </c>
      <c r="S27" s="355">
        <f t="shared" si="16"/>
        <v>-12.2</v>
      </c>
      <c r="T27" s="76">
        <f>SUM(T14+T15+T16+T20+T26)</f>
        <v>10809</v>
      </c>
      <c r="U27" s="397">
        <f>SUM(U14+U15+U16+U20+U26)</f>
        <v>11792</v>
      </c>
      <c r="V27" s="355">
        <f t="shared" si="8"/>
        <v>9.1</v>
      </c>
      <c r="W27" s="76">
        <f>SUM(W14+W15+W16+W20+W26)</f>
        <v>5886.2550000000001</v>
      </c>
      <c r="X27" s="397">
        <f>SUM(X14+X15+X16+X20+X26)</f>
        <v>5710.6959999999999</v>
      </c>
      <c r="Y27" s="355">
        <f t="shared" si="9"/>
        <v>-3</v>
      </c>
      <c r="Z27" s="76">
        <f>SUM(Z14+Z15+Z16+Z20+Z26)</f>
        <v>33662.46614171</v>
      </c>
      <c r="AA27" s="397">
        <f>SUM(AA14+AA15+AA16+AA20+AA26)</f>
        <v>32903.707661659995</v>
      </c>
      <c r="AB27" s="355">
        <f t="shared" si="10"/>
        <v>-2.2999999999999998</v>
      </c>
      <c r="AC27" s="76"/>
      <c r="AD27" s="397">
        <f>SUM(AD14+AD15+AD16+AD20+AD26)</f>
        <v>71</v>
      </c>
      <c r="AE27" s="355" t="str">
        <f>IF(AC27=0, "    ---- ", IF(ABS(ROUND(100/AC27*AD27-100,1))&lt;999,ROUND(100/AC27*AD27-100,1),IF(ROUND(100/AC27*AD27-100,1)&gt;999,999,-999)))</f>
        <v xml:space="preserve">    ---- </v>
      </c>
      <c r="AF27" s="397">
        <f t="shared" si="18"/>
        <v>143567.48938534001</v>
      </c>
      <c r="AG27" s="397">
        <f t="shared" si="18"/>
        <v>141987.85495866998</v>
      </c>
      <c r="AH27" s="355">
        <f t="shared" si="3"/>
        <v>-1.1000000000000001</v>
      </c>
      <c r="AI27" s="397">
        <f t="shared" si="19"/>
        <v>143567.48938534001</v>
      </c>
      <c r="AJ27" s="397">
        <f t="shared" si="19"/>
        <v>142058.85495866998</v>
      </c>
      <c r="AK27" s="355">
        <f t="shared" si="5"/>
        <v>-1.1000000000000001</v>
      </c>
    </row>
    <row r="28" spans="1:37" s="367" customFormat="1" ht="20.100000000000001" customHeight="1" x14ac:dyDescent="0.3">
      <c r="A28" s="429" t="s">
        <v>182</v>
      </c>
      <c r="B28" s="148">
        <v>1535.20056901</v>
      </c>
      <c r="C28" s="355">
        <v>1433.1808147099832</v>
      </c>
      <c r="D28" s="355">
        <f t="shared" si="6"/>
        <v>-6.6</v>
      </c>
      <c r="E28" s="148">
        <v>872.54490095999972</v>
      </c>
      <c r="F28" s="355">
        <v>764.51918304999992</v>
      </c>
      <c r="G28" s="355">
        <f>IF(E28=0, "    ---- ", IF(ABS(ROUND(100/E28*F28-100,1))&lt;999,ROUND(100/E28*F28-100,1),IF(ROUND(100/E28*F28-100,1)&gt;999,999,-999)))</f>
        <v>-12.4</v>
      </c>
      <c r="H28" s="148">
        <v>541.25099999999998</v>
      </c>
      <c r="I28" s="355">
        <v>705.00300000000004</v>
      </c>
      <c r="J28" s="355">
        <f t="shared" si="15"/>
        <v>30.3</v>
      </c>
      <c r="K28" s="397">
        <v>417</v>
      </c>
      <c r="L28" s="397">
        <v>409</v>
      </c>
      <c r="M28" s="397">
        <f t="shared" si="14"/>
        <v>-1.9</v>
      </c>
      <c r="N28" s="76">
        <v>25881.868124320001</v>
      </c>
      <c r="O28" s="397">
        <v>34179.494664509999</v>
      </c>
      <c r="P28" s="355">
        <f t="shared" si="1"/>
        <v>32.1</v>
      </c>
      <c r="Q28" s="76">
        <v>1263.04</v>
      </c>
      <c r="R28" s="397">
        <v>1477.67</v>
      </c>
      <c r="S28" s="355">
        <f t="shared" si="16"/>
        <v>17</v>
      </c>
      <c r="T28" s="76">
        <v>1119</v>
      </c>
      <c r="U28" s="397">
        <f>15+149+634+47</f>
        <v>845</v>
      </c>
      <c r="V28" s="355">
        <f t="shared" si="8"/>
        <v>-24.5</v>
      </c>
      <c r="W28" s="76">
        <v>763.76499999999999</v>
      </c>
      <c r="X28" s="397">
        <v>1117.8140000000001</v>
      </c>
      <c r="Y28" s="355">
        <f t="shared" si="9"/>
        <v>46.4</v>
      </c>
      <c r="Z28" s="76">
        <v>41409.653834261495</v>
      </c>
      <c r="AA28" s="397">
        <v>32514.248132719971</v>
      </c>
      <c r="AB28" s="355">
        <f t="shared" si="10"/>
        <v>-21.5</v>
      </c>
      <c r="AC28" s="76">
        <v>112</v>
      </c>
      <c r="AD28" s="397">
        <v>153</v>
      </c>
      <c r="AE28" s="355">
        <f>IF(AC28=0, "    ---- ", IF(ABS(ROUND(100/AC28*AD28-100,1))&lt;999,ROUND(100/AC28*AD28-100,1),IF(ROUND(100/AC28*AD28-100,1)&gt;999,999,-999)))</f>
        <v>36.6</v>
      </c>
      <c r="AF28" s="397">
        <f t="shared" si="18"/>
        <v>73803.323428551492</v>
      </c>
      <c r="AG28" s="397">
        <f t="shared" si="18"/>
        <v>73445.929794989948</v>
      </c>
      <c r="AH28" s="355">
        <f t="shared" si="3"/>
        <v>-0.5</v>
      </c>
      <c r="AI28" s="397">
        <f t="shared" si="19"/>
        <v>73915.323428551492</v>
      </c>
      <c r="AJ28" s="397">
        <f t="shared" si="19"/>
        <v>73598.929794989948</v>
      </c>
      <c r="AK28" s="355">
        <f t="shared" si="5"/>
        <v>-0.4</v>
      </c>
    </row>
    <row r="29" spans="1:37" s="367" customFormat="1" ht="20.100000000000001" customHeight="1" x14ac:dyDescent="0.3">
      <c r="A29" s="429" t="s">
        <v>183</v>
      </c>
      <c r="B29" s="148">
        <f>SUM(B27+B28)</f>
        <v>33357.500131319997</v>
      </c>
      <c r="C29" s="355">
        <f>SUM(C27+C28)</f>
        <v>31604.24079948998</v>
      </c>
      <c r="D29" s="355">
        <f>IF(B29=0, "    ---- ", IF(ABS(ROUND(100/B29*C29-100,1))&lt;999,ROUND(100/B29*C29-100,1),IF(ROUND(100/B29*C29-100,1)&gt;999,999,-999)))</f>
        <v>-5.3</v>
      </c>
      <c r="E29" s="148">
        <f>SUM(E27+E28)</f>
        <v>3709.71333581</v>
      </c>
      <c r="F29" s="355">
        <f>SUM(F27+F28)</f>
        <v>3569.7852656699997</v>
      </c>
      <c r="G29" s="355">
        <f>IF(E29=0, "    ---- ", IF(ABS(ROUND(100/E29*F29-100,1))&lt;999,ROUND(100/E29*F29-100,1),IF(ROUND(100/E29*F29-100,1)&gt;999,999,-999)))</f>
        <v>-3.8</v>
      </c>
      <c r="H29" s="148">
        <f>SUM(H27+H28)</f>
        <v>988.62599999999998</v>
      </c>
      <c r="I29" s="355">
        <f>SUM(I27+I28)</f>
        <v>1151.7049999999999</v>
      </c>
      <c r="J29" s="355">
        <f>IF(H29=0, "    ---- ", IF(ABS(ROUND(100/H29*I29-100,1))&lt;999,ROUND(100/H29*I29-100,1),IF(ROUND(100/H29*I29-100,1)&gt;999,999,-999)))</f>
        <v>16.5</v>
      </c>
      <c r="K29" s="355">
        <v>1564</v>
      </c>
      <c r="L29" s="355">
        <v>2294</v>
      </c>
      <c r="M29" s="355">
        <f>IF(K29=0, "    ---- ", IF(ABS(ROUND(100/K29*L29-100,1))&lt;999,ROUND(100/K29*L29-100,1),IF(ROUND(100/K29*L29-100,1)&gt;999,999,-999)))</f>
        <v>46.7</v>
      </c>
      <c r="N29" s="148">
        <v>71604.793370789994</v>
      </c>
      <c r="O29" s="355">
        <v>80590.107894119996</v>
      </c>
      <c r="P29" s="355">
        <f>IF(N29=0, "    ---- ", IF(ABS(ROUND(100/N29*O29-100,1))&lt;999,ROUND(100/N29*O29-100,1),IF(ROUND(100/N29*O29-100,1)&gt;999,999,-999)))</f>
        <v>12.5</v>
      </c>
      <c r="Q29" s="148">
        <f>SUM(Q27+Q28)</f>
        <v>12496.04</v>
      </c>
      <c r="R29" s="355">
        <f>SUM(R27+R28)</f>
        <v>11340.48</v>
      </c>
      <c r="S29" s="355">
        <f>IF(Q29=0, "    ---- ", IF(ABS(ROUND(100/Q29*R29-100,1))&lt;999,ROUND(100/Q29*R29-100,1),IF(ROUND(100/Q29*R29-100,1)&gt;999,999,-999)))</f>
        <v>-9.1999999999999993</v>
      </c>
      <c r="T29" s="148">
        <f>SUM(T27+T28)</f>
        <v>11928</v>
      </c>
      <c r="U29" s="355">
        <f>SUM(U27+U28)</f>
        <v>12637</v>
      </c>
      <c r="V29" s="355">
        <f>IF(T29=0, "    ---- ", IF(ABS(ROUND(100/T29*U29-100,1))&lt;999,ROUND(100/T29*U29-100,1),IF(ROUND(100/T29*U29-100,1)&gt;999,999,-999)))</f>
        <v>5.9</v>
      </c>
      <c r="W29" s="148">
        <f>SUM(W27+W28)</f>
        <v>6650.02</v>
      </c>
      <c r="X29" s="355">
        <f>SUM(X27+X28)</f>
        <v>6828.51</v>
      </c>
      <c r="Y29" s="355">
        <f>IF(W29=0, "    ---- ", IF(ABS(ROUND(100/W29*X29-100,1))&lt;999,ROUND(100/W29*X29-100,1),IF(ROUND(100/W29*X29-100,1)&gt;999,999,-999)))</f>
        <v>2.7</v>
      </c>
      <c r="Z29" s="148">
        <f>SUM(Z27+Z28)</f>
        <v>75072.119975971495</v>
      </c>
      <c r="AA29" s="355">
        <f>SUM(AA27+AA28)</f>
        <v>65417.955794379966</v>
      </c>
      <c r="AB29" s="355">
        <f>IF(Z29=0, "    ---- ", IF(ABS(ROUND(100/Z29*AA29-100,1))&lt;999,ROUND(100/Z29*AA29-100,1),IF(ROUND(100/Z29*AA29-100,1)&gt;999,999,-999)))</f>
        <v>-12.9</v>
      </c>
      <c r="AC29" s="148">
        <f>SUM(AC27+AC28)</f>
        <v>112</v>
      </c>
      <c r="AD29" s="355">
        <f>SUM(AD27+AD28)</f>
        <v>224</v>
      </c>
      <c r="AE29" s="355">
        <f>IF(AC29=0, "    ---- ", IF(ABS(ROUND(100/AC29*AD29-100,1))&lt;999,ROUND(100/AC29*AD29-100,1),IF(ROUND(100/AC29*AD29-100,1)&gt;999,999,-999)))</f>
        <v>100</v>
      </c>
      <c r="AF29" s="397">
        <f>B29+E29+H29+K29+N29+Q29+T29+W29+Z29</f>
        <v>217370.81281389148</v>
      </c>
      <c r="AG29" s="397">
        <f t="shared" si="18"/>
        <v>215433.78475365994</v>
      </c>
      <c r="AH29" s="355">
        <f>IF(AF29=0, "    ---- ", IF(ABS(ROUND(100/AF29*AG29-100,1))&lt;999,ROUND(100/AF29*AG29-100,1),IF(ROUND(100/AF29*AG29-100,1)&gt;999,999,-999)))</f>
        <v>-0.9</v>
      </c>
      <c r="AI29" s="397">
        <f t="shared" si="19"/>
        <v>217482.81281389148</v>
      </c>
      <c r="AJ29" s="397">
        <f t="shared" si="19"/>
        <v>215657.78475365994</v>
      </c>
      <c r="AK29" s="466">
        <f t="shared" si="5"/>
        <v>-0.8</v>
      </c>
    </row>
    <row r="30" spans="1:37" s="367" customFormat="1" ht="20.100000000000001" customHeight="1" x14ac:dyDescent="0.3">
      <c r="A30" s="429"/>
      <c r="B30" s="436"/>
      <c r="C30" s="352"/>
      <c r="D30" s="355"/>
      <c r="E30" s="436"/>
      <c r="F30" s="352"/>
      <c r="G30" s="355"/>
      <c r="H30" s="436"/>
      <c r="I30" s="352"/>
      <c r="J30" s="355"/>
      <c r="K30" s="355"/>
      <c r="L30" s="355"/>
      <c r="M30" s="352"/>
      <c r="N30" s="436"/>
      <c r="O30" s="352"/>
      <c r="P30" s="278"/>
      <c r="Q30" s="436"/>
      <c r="R30" s="352"/>
      <c r="S30" s="278"/>
      <c r="T30" s="436"/>
      <c r="U30" s="352"/>
      <c r="V30" s="278"/>
      <c r="W30" s="436"/>
      <c r="X30" s="352"/>
      <c r="Y30" s="278"/>
      <c r="Z30" s="436"/>
      <c r="AA30" s="352"/>
      <c r="AB30" s="278"/>
      <c r="AC30" s="436"/>
      <c r="AD30" s="352"/>
      <c r="AE30" s="278"/>
      <c r="AF30" s="352"/>
      <c r="AG30" s="352"/>
      <c r="AH30" s="278"/>
      <c r="AI30" s="352"/>
      <c r="AJ30" s="352"/>
      <c r="AK30" s="356"/>
    </row>
    <row r="31" spans="1:37" s="367" customFormat="1" ht="20.100000000000001" customHeight="1" x14ac:dyDescent="0.3">
      <c r="A31" s="441" t="s">
        <v>184</v>
      </c>
      <c r="B31" s="148"/>
      <c r="C31" s="355"/>
      <c r="D31" s="355"/>
      <c r="E31" s="148"/>
      <c r="F31" s="355"/>
      <c r="G31" s="355"/>
      <c r="H31" s="148"/>
      <c r="I31" s="355"/>
      <c r="J31" s="355"/>
      <c r="K31" s="355"/>
      <c r="L31" s="355"/>
      <c r="M31" s="352"/>
      <c r="N31" s="148"/>
      <c r="O31" s="355"/>
      <c r="P31" s="278"/>
      <c r="Q31" s="148"/>
      <c r="R31" s="355"/>
      <c r="S31" s="278"/>
      <c r="T31" s="148"/>
      <c r="U31" s="355"/>
      <c r="V31" s="278"/>
      <c r="W31" s="148"/>
      <c r="X31" s="355"/>
      <c r="Y31" s="278"/>
      <c r="Z31" s="148"/>
      <c r="AA31" s="355"/>
      <c r="AB31" s="278"/>
      <c r="AC31" s="148"/>
      <c r="AD31" s="355"/>
      <c r="AE31" s="278"/>
      <c r="AF31" s="352"/>
      <c r="AG31" s="352"/>
      <c r="AH31" s="278"/>
      <c r="AI31" s="352"/>
      <c r="AJ31" s="352"/>
      <c r="AK31" s="356"/>
    </row>
    <row r="32" spans="1:37" s="367" customFormat="1" ht="20.100000000000001" customHeight="1" x14ac:dyDescent="0.3">
      <c r="A32" s="441" t="s">
        <v>185</v>
      </c>
      <c r="B32" s="148"/>
      <c r="C32" s="355"/>
      <c r="D32" s="278"/>
      <c r="E32" s="148"/>
      <c r="F32" s="355"/>
      <c r="G32" s="278"/>
      <c r="H32" s="148"/>
      <c r="I32" s="355"/>
      <c r="J32" s="278"/>
      <c r="K32" s="355"/>
      <c r="L32" s="355"/>
      <c r="M32" s="352"/>
      <c r="N32" s="148"/>
      <c r="O32" s="355"/>
      <c r="P32" s="278"/>
      <c r="Q32" s="148"/>
      <c r="R32" s="355"/>
      <c r="S32" s="278"/>
      <c r="T32" s="148"/>
      <c r="U32" s="355"/>
      <c r="V32" s="278"/>
      <c r="W32" s="148"/>
      <c r="X32" s="355"/>
      <c r="Y32" s="278"/>
      <c r="Z32" s="148"/>
      <c r="AA32" s="355"/>
      <c r="AB32" s="278"/>
      <c r="AC32" s="148"/>
      <c r="AD32" s="355"/>
      <c r="AE32" s="278"/>
      <c r="AF32" s="352"/>
      <c r="AG32" s="352"/>
      <c r="AH32" s="278"/>
      <c r="AI32" s="352"/>
      <c r="AJ32" s="352"/>
      <c r="AK32" s="356"/>
    </row>
    <row r="33" spans="1:37" s="367" customFormat="1" ht="20.100000000000001" customHeight="1" x14ac:dyDescent="0.3">
      <c r="A33" s="429" t="s">
        <v>186</v>
      </c>
      <c r="B33" s="148">
        <v>14.22554581</v>
      </c>
      <c r="C33" s="355">
        <v>14.23</v>
      </c>
      <c r="D33" s="355">
        <f t="shared" ref="D33:D93" si="20">IF(B33=0, "    ---- ", IF(ABS(ROUND(100/B33*C33-100,1))&lt;999,ROUND(100/B33*C33-100,1),IF(ROUND(100/B33*C33-100,1)&gt;999,999,-999)))</f>
        <v>0</v>
      </c>
      <c r="E33" s="148"/>
      <c r="F33" s="355"/>
      <c r="G33" s="355"/>
      <c r="H33" s="148"/>
      <c r="I33" s="355"/>
      <c r="J33" s="355"/>
      <c r="K33" s="355"/>
      <c r="L33" s="355"/>
      <c r="M33" s="352"/>
      <c r="N33" s="148"/>
      <c r="O33" s="355"/>
      <c r="P33" s="278"/>
      <c r="Q33" s="148"/>
      <c r="R33" s="355"/>
      <c r="S33" s="278"/>
      <c r="T33" s="148"/>
      <c r="U33" s="355"/>
      <c r="V33" s="278"/>
      <c r="W33" s="148"/>
      <c r="X33" s="355"/>
      <c r="Y33" s="278"/>
      <c r="Z33" s="148"/>
      <c r="AA33" s="355"/>
      <c r="AB33" s="278"/>
      <c r="AC33" s="148"/>
      <c r="AD33" s="355"/>
      <c r="AE33" s="278"/>
      <c r="AF33" s="397">
        <f t="shared" ref="AF33:AG46" si="21">B33+E33+H33+K33+N33+Q33+T33+W33+Z33</f>
        <v>14.22554581</v>
      </c>
      <c r="AG33" s="397">
        <f t="shared" si="21"/>
        <v>14.23</v>
      </c>
      <c r="AH33" s="278">
        <f t="shared" ref="AH33:AH93" si="22">IF(AF33=0, "    ---- ", IF(ABS(ROUND(100/AF33*AG33-100,1))&lt;999,ROUND(100/AF33*AG33-100,1),IF(ROUND(100/AF33*AG33-100,1)&gt;999,999,-999)))</f>
        <v>0</v>
      </c>
      <c r="AI33" s="397">
        <f t="shared" ref="AI33:AJ46" si="23">B33+E33+H33+K33+N33+Q33+T33+W33+Z33+AC33</f>
        <v>14.22554581</v>
      </c>
      <c r="AJ33" s="397">
        <f t="shared" si="23"/>
        <v>14.23</v>
      </c>
      <c r="AK33" s="356">
        <f t="shared" ref="AK33:AK93" si="24">IF(AI33=0, "    ---- ", IF(ABS(ROUND(100/AI33*AJ33-100,1))&lt;999,ROUND(100/AI33*AJ33-100,1),IF(ROUND(100/AI33*AJ33-100,1)&gt;999,999,-999)))</f>
        <v>0</v>
      </c>
    </row>
    <row r="34" spans="1:37" s="367" customFormat="1" ht="20.100000000000001" customHeight="1" x14ac:dyDescent="0.3">
      <c r="A34" s="429" t="s">
        <v>187</v>
      </c>
      <c r="B34" s="148">
        <v>18327.145380579997</v>
      </c>
      <c r="C34" s="355">
        <v>16188.427428049994</v>
      </c>
      <c r="D34" s="355">
        <f t="shared" si="20"/>
        <v>-11.7</v>
      </c>
      <c r="E34" s="148">
        <v>435.46502820999996</v>
      </c>
      <c r="F34" s="355">
        <v>463.07569469999993</v>
      </c>
      <c r="G34" s="355">
        <f t="shared" ref="G33:G35" si="25">IF(E34=0, "    ---- ", IF(ABS(ROUND(100/E34*F34-100,1))&lt;999,ROUND(100/E34*F34-100,1),IF(ROUND(100/E34*F34-100,1)&gt;999,999,-999)))</f>
        <v>6.3</v>
      </c>
      <c r="H34" s="148"/>
      <c r="I34" s="355"/>
      <c r="J34" s="355"/>
      <c r="K34" s="355">
        <v>306</v>
      </c>
      <c r="L34" s="355">
        <v>329</v>
      </c>
      <c r="M34" s="352">
        <f>IF(K34=0, "    ---- ", IF(ABS(ROUND(100/K34*L34-100,1))&lt;999,ROUND(100/K34*L34-100,1),IF(ROUND(100/K34*L34-100,1)&gt;999,999,-999)))</f>
        <v>7.5</v>
      </c>
      <c r="N34" s="148">
        <v>94532.603715160003</v>
      </c>
      <c r="O34" s="355">
        <v>105104.1565601</v>
      </c>
      <c r="P34" s="278">
        <f>IF(N34=0, "    ---- ", IF(ABS(ROUND(100/N34*O34-100,1))&lt;999,ROUND(100/N34*O34-100,1),IF(ROUND(100/N34*O34-100,1)&gt;999,999,-999)))</f>
        <v>11.2</v>
      </c>
      <c r="Q34" s="148">
        <v>5939.5130482300001</v>
      </c>
      <c r="R34" s="355">
        <v>6611.9586025300005</v>
      </c>
      <c r="S34" s="278">
        <f t="shared" ref="S34:S93" si="26">IF(Q34=0, "    ---- ", IF(ABS(ROUND(100/Q34*R34-100,1))&lt;999,ROUND(100/Q34*R34-100,1),IF(ROUND(100/Q34*R34-100,1)&gt;999,999,-999)))</f>
        <v>11.3</v>
      </c>
      <c r="T34" s="148">
        <f>12981+7322</f>
        <v>20303</v>
      </c>
      <c r="U34" s="355">
        <f>14742+6330</f>
        <v>21072</v>
      </c>
      <c r="V34" s="278">
        <f t="shared" ref="V34:V42" si="27">IF(T34=0, "    ---- ", IF(ABS(ROUND(100/T34*U34-100,1))&lt;999,ROUND(100/T34*U34-100,1),IF(ROUND(100/T34*U34-100,1)&gt;999,999,-999)))</f>
        <v>3.8</v>
      </c>
      <c r="W34" s="148">
        <v>4151.9579999999996</v>
      </c>
      <c r="X34" s="355">
        <v>3811.1559999999999</v>
      </c>
      <c r="Y34" s="278">
        <f t="shared" ref="Y34:Y93" si="28">IF(W34=0, "    ---- ", IF(ABS(ROUND(100/W34*X34-100,1))&lt;999,ROUND(100/W34*X34-100,1),IF(ROUND(100/W34*X34-100,1)&gt;999,999,-999)))</f>
        <v>-8.1999999999999993</v>
      </c>
      <c r="Z34" s="148">
        <v>20419.862873570019</v>
      </c>
      <c r="AA34" s="355">
        <v>22202.296078440002</v>
      </c>
      <c r="AB34" s="278">
        <f t="shared" ref="AB34:AB93" si="29">IF(Z34=0, "    ---- ", IF(ABS(ROUND(100/Z34*AA34-100,1))&lt;999,ROUND(100/Z34*AA34-100,1),IF(ROUND(100/Z34*AA34-100,1)&gt;999,999,-999)))</f>
        <v>8.6999999999999993</v>
      </c>
      <c r="AC34" s="148"/>
      <c r="AD34" s="355"/>
      <c r="AE34" s="278"/>
      <c r="AF34" s="397">
        <f t="shared" si="21"/>
        <v>164415.54804575007</v>
      </c>
      <c r="AG34" s="397">
        <f t="shared" si="21"/>
        <v>175782.07036382001</v>
      </c>
      <c r="AH34" s="278">
        <f t="shared" si="22"/>
        <v>6.9</v>
      </c>
      <c r="AI34" s="397">
        <f t="shared" si="23"/>
        <v>164415.54804575007</v>
      </c>
      <c r="AJ34" s="397">
        <f t="shared" si="23"/>
        <v>175782.07036382001</v>
      </c>
      <c r="AK34" s="356">
        <f t="shared" si="24"/>
        <v>6.9</v>
      </c>
    </row>
    <row r="35" spans="1:37" s="367" customFormat="1" ht="20.100000000000001" customHeight="1" x14ac:dyDescent="0.3">
      <c r="A35" s="429" t="s">
        <v>188</v>
      </c>
      <c r="B35" s="148">
        <f>SUM(B36+B38)</f>
        <v>135855.17427674998</v>
      </c>
      <c r="C35" s="355">
        <f>SUM(C36+C38)</f>
        <v>133799.59387437999</v>
      </c>
      <c r="D35" s="355">
        <f t="shared" si="20"/>
        <v>-1.5</v>
      </c>
      <c r="E35" s="148">
        <f>SUM(E36+E38)</f>
        <v>5539.0722045099992</v>
      </c>
      <c r="F35" s="355">
        <f>SUM(F36+F38)</f>
        <v>5775.6734096700011</v>
      </c>
      <c r="G35" s="355">
        <f t="shared" si="25"/>
        <v>4.3</v>
      </c>
      <c r="H35" s="148">
        <f>SUM(H36+H38)</f>
        <v>576.14200000000005</v>
      </c>
      <c r="I35" s="355">
        <f>SUM(I36+I38)</f>
        <v>822.76700000000005</v>
      </c>
      <c r="J35" s="355">
        <f t="shared" ref="J35:J36" si="30">IF(H35=0, "    ---- ", IF(ABS(ROUND(100/H35*I35-100,1))&lt;999,ROUND(100/H35*I35-100,1),IF(ROUND(100/H35*I35-100,1)&gt;999,999,-999)))</f>
        <v>42.8</v>
      </c>
      <c r="K35" s="355">
        <v>8526</v>
      </c>
      <c r="L35" s="355">
        <v>9415</v>
      </c>
      <c r="M35" s="352">
        <f>IF(K35=0, "    ---- ", IF(ABS(ROUND(100/K35*L35-100,1))&lt;999,ROUND(100/K35*L35-100,1),IF(ROUND(100/K35*L35-100,1)&gt;999,999,-999)))</f>
        <v>10.4</v>
      </c>
      <c r="N35" s="148">
        <v>295694.47264358</v>
      </c>
      <c r="O35" s="355">
        <v>298040.09933057002</v>
      </c>
      <c r="P35" s="278">
        <f>IF(N35=0, "    ---- ", IF(ABS(ROUND(100/N35*O35-100,1))&lt;999,ROUND(100/N35*O35-100,1),IF(ROUND(100/N35*O35-100,1)&gt;999,999,-999)))</f>
        <v>0.8</v>
      </c>
      <c r="Q35" s="148">
        <f>SUM(Q36+Q38)</f>
        <v>40674.304473059899</v>
      </c>
      <c r="R35" s="355">
        <f>SUM(R36+R38)</f>
        <v>36839.660009569998</v>
      </c>
      <c r="S35" s="278">
        <f t="shared" si="26"/>
        <v>-9.4</v>
      </c>
      <c r="T35" s="148">
        <f>SUM(T36+T38)</f>
        <v>28879</v>
      </c>
      <c r="U35" s="355">
        <f>SUM(U36+U38)</f>
        <v>31635</v>
      </c>
      <c r="V35" s="278">
        <f t="shared" si="27"/>
        <v>9.5</v>
      </c>
      <c r="W35" s="148">
        <f>SUM(W36+W38)</f>
        <v>10908.986999999999</v>
      </c>
      <c r="X35" s="355">
        <f>SUM(X36+X38)</f>
        <v>12366.057000000001</v>
      </c>
      <c r="Y35" s="278">
        <f t="shared" si="28"/>
        <v>13.4</v>
      </c>
      <c r="Z35" s="148">
        <f>SUM(Z36+Z38)</f>
        <v>165307.44704580013</v>
      </c>
      <c r="AA35" s="355">
        <f>SUM(AA36+AA38)</f>
        <v>168694.21443585999</v>
      </c>
      <c r="AB35" s="278">
        <f t="shared" si="29"/>
        <v>2</v>
      </c>
      <c r="AC35" s="148"/>
      <c r="AD35" s="355"/>
      <c r="AE35" s="278"/>
      <c r="AF35" s="397">
        <f t="shared" si="21"/>
        <v>691960.59964370006</v>
      </c>
      <c r="AG35" s="397">
        <f t="shared" si="21"/>
        <v>697388.06506004999</v>
      </c>
      <c r="AH35" s="278">
        <f t="shared" si="22"/>
        <v>0.8</v>
      </c>
      <c r="AI35" s="397">
        <f t="shared" si="23"/>
        <v>691960.59964370006</v>
      </c>
      <c r="AJ35" s="397">
        <f t="shared" si="23"/>
        <v>697388.06506004999</v>
      </c>
      <c r="AK35" s="356">
        <f t="shared" si="24"/>
        <v>0.8</v>
      </c>
    </row>
    <row r="36" spans="1:37" s="367" customFormat="1" ht="20.100000000000001" customHeight="1" x14ac:dyDescent="0.3">
      <c r="A36" s="601" t="s">
        <v>401</v>
      </c>
      <c r="B36" s="148">
        <v>130519.60143878999</v>
      </c>
      <c r="C36" s="355">
        <v>129796.70721965999</v>
      </c>
      <c r="D36" s="278">
        <f t="shared" si="20"/>
        <v>-0.6</v>
      </c>
      <c r="E36" s="148">
        <v>5539.0722045099992</v>
      </c>
      <c r="F36" s="355">
        <v>5775.6734096700011</v>
      </c>
      <c r="G36" s="355">
        <f t="shared" ref="G36:G37" si="31">IF(E36=0, "    ---- ", IF(ABS(ROUND(100/E36*F36-100,1))&lt;999,ROUND(100/E36*F36-100,1),IF(ROUND(100/E36*F36-100,1)&gt;999,999,-999)))</f>
        <v>4.3</v>
      </c>
      <c r="H36" s="148">
        <v>576.14200000000005</v>
      </c>
      <c r="I36" s="355">
        <v>822.76700000000005</v>
      </c>
      <c r="J36" s="355">
        <f t="shared" si="30"/>
        <v>42.8</v>
      </c>
      <c r="K36" s="355"/>
      <c r="L36" s="355"/>
      <c r="M36" s="352"/>
      <c r="N36" s="148"/>
      <c r="O36" s="355"/>
      <c r="P36" s="278"/>
      <c r="Q36" s="148">
        <v>40674.304473059899</v>
      </c>
      <c r="R36" s="355">
        <v>36839.660009569998</v>
      </c>
      <c r="S36" s="278">
        <f t="shared" si="26"/>
        <v>-9.4</v>
      </c>
      <c r="T36" s="148">
        <v>24501</v>
      </c>
      <c r="U36" s="355">
        <v>26191</v>
      </c>
      <c r="V36" s="278">
        <f t="shared" si="27"/>
        <v>6.9</v>
      </c>
      <c r="W36" s="148">
        <v>10908.986999999999</v>
      </c>
      <c r="X36" s="355">
        <v>12366.057000000001</v>
      </c>
      <c r="Y36" s="278">
        <f t="shared" si="28"/>
        <v>13.4</v>
      </c>
      <c r="Z36" s="148"/>
      <c r="AA36" s="355"/>
      <c r="AB36" s="278"/>
      <c r="AC36" s="148"/>
      <c r="AD36" s="355"/>
      <c r="AE36" s="278"/>
      <c r="AF36" s="397">
        <f t="shared" si="21"/>
        <v>212719.10711635987</v>
      </c>
      <c r="AG36" s="397">
        <f t="shared" si="21"/>
        <v>211791.86463890001</v>
      </c>
      <c r="AH36" s="278">
        <f t="shared" si="22"/>
        <v>-0.4</v>
      </c>
      <c r="AI36" s="397">
        <f t="shared" si="23"/>
        <v>212719.10711635987</v>
      </c>
      <c r="AJ36" s="397">
        <f t="shared" si="23"/>
        <v>211791.86463890001</v>
      </c>
      <c r="AK36" s="356">
        <f t="shared" si="24"/>
        <v>-0.4</v>
      </c>
    </row>
    <row r="37" spans="1:37" s="367" customFormat="1" ht="20.100000000000001" customHeight="1" x14ac:dyDescent="0.3">
      <c r="A37" s="429" t="s">
        <v>173</v>
      </c>
      <c r="B37" s="148">
        <v>130519.60143878999</v>
      </c>
      <c r="C37" s="355">
        <v>129796.70721965999</v>
      </c>
      <c r="D37" s="355">
        <f t="shared" si="20"/>
        <v>-0.6</v>
      </c>
      <c r="E37" s="148">
        <v>5539.0722045099992</v>
      </c>
      <c r="F37" s="355">
        <v>5775.6734096700011</v>
      </c>
      <c r="G37" s="355">
        <f t="shared" si="31"/>
        <v>4.3</v>
      </c>
      <c r="H37" s="148"/>
      <c r="I37" s="355"/>
      <c r="J37" s="355"/>
      <c r="K37" s="355"/>
      <c r="L37" s="355"/>
      <c r="M37" s="352"/>
      <c r="N37" s="148"/>
      <c r="O37" s="355"/>
      <c r="P37" s="278"/>
      <c r="Q37" s="148">
        <v>40674.304473059899</v>
      </c>
      <c r="R37" s="355">
        <v>36839.660009569998</v>
      </c>
      <c r="S37" s="278">
        <f t="shared" si="26"/>
        <v>-9.4</v>
      </c>
      <c r="T37" s="148"/>
      <c r="U37" s="355"/>
      <c r="V37" s="278"/>
      <c r="W37" s="148">
        <v>33.737492500000101</v>
      </c>
      <c r="X37" s="355">
        <v>12366.0571</v>
      </c>
      <c r="Y37" s="278">
        <f t="shared" si="28"/>
        <v>999</v>
      </c>
      <c r="Z37" s="148"/>
      <c r="AA37" s="355"/>
      <c r="AB37" s="278"/>
      <c r="AC37" s="148"/>
      <c r="AD37" s="355"/>
      <c r="AE37" s="278"/>
      <c r="AF37" s="397">
        <f t="shared" si="21"/>
        <v>176766.71560885987</v>
      </c>
      <c r="AG37" s="397">
        <f t="shared" si="21"/>
        <v>184778.09773890002</v>
      </c>
      <c r="AH37" s="278">
        <f t="shared" si="22"/>
        <v>4.5</v>
      </c>
      <c r="AI37" s="397">
        <f t="shared" si="23"/>
        <v>176766.71560885987</v>
      </c>
      <c r="AJ37" s="397">
        <f t="shared" si="23"/>
        <v>184778.09773890002</v>
      </c>
      <c r="AK37" s="356">
        <f t="shared" si="24"/>
        <v>4.5</v>
      </c>
    </row>
    <row r="38" spans="1:37" s="367" customFormat="1" ht="20.100000000000001" customHeight="1" x14ac:dyDescent="0.3">
      <c r="A38" s="429" t="s">
        <v>189</v>
      </c>
      <c r="B38" s="148">
        <v>5335.5728379600005</v>
      </c>
      <c r="C38" s="355">
        <v>4002.8866547200005</v>
      </c>
      <c r="D38" s="355"/>
      <c r="E38" s="148"/>
      <c r="F38" s="355"/>
      <c r="G38" s="355"/>
      <c r="H38" s="148"/>
      <c r="I38" s="355"/>
      <c r="J38" s="355"/>
      <c r="K38" s="355">
        <v>8526</v>
      </c>
      <c r="L38" s="355">
        <v>9415</v>
      </c>
      <c r="M38" s="352">
        <f>IF(K38=0, "    ---- ", IF(ABS(ROUND(100/K38*L38-100,1))&lt;999,ROUND(100/K38*L38-100,1),IF(ROUND(100/K38*L38-100,1)&gt;999,999,-999)))</f>
        <v>10.4</v>
      </c>
      <c r="N38" s="148">
        <v>295694.47264358</v>
      </c>
      <c r="O38" s="355">
        <v>298040.09933057002</v>
      </c>
      <c r="P38" s="278">
        <f t="shared" ref="P38:P45" si="32">IF(N38=0, "    ---- ", IF(ABS(ROUND(100/N38*O38-100,1))&lt;999,ROUND(100/N38*O38-100,1),IF(ROUND(100/N38*O38-100,1)&gt;999,999,-999)))</f>
        <v>0.8</v>
      </c>
      <c r="Q38" s="148"/>
      <c r="R38" s="355"/>
      <c r="S38" s="278"/>
      <c r="T38" s="148">
        <v>4378</v>
      </c>
      <c r="U38" s="355">
        <v>5444</v>
      </c>
      <c r="V38" s="278">
        <f t="shared" si="27"/>
        <v>24.3</v>
      </c>
      <c r="W38" s="148">
        <v>0</v>
      </c>
      <c r="X38" s="355"/>
      <c r="Y38" s="278"/>
      <c r="Z38" s="148">
        <v>165307.44704580013</v>
      </c>
      <c r="AA38" s="355">
        <v>168694.21443585999</v>
      </c>
      <c r="AB38" s="278">
        <f t="shared" si="29"/>
        <v>2</v>
      </c>
      <c r="AC38" s="148"/>
      <c r="AD38" s="355"/>
      <c r="AE38" s="278"/>
      <c r="AF38" s="397">
        <f t="shared" si="21"/>
        <v>479241.49252734007</v>
      </c>
      <c r="AG38" s="397">
        <f t="shared" si="21"/>
        <v>485596.20042115002</v>
      </c>
      <c r="AH38" s="278">
        <f t="shared" si="22"/>
        <v>1.3</v>
      </c>
      <c r="AI38" s="397">
        <f t="shared" si="23"/>
        <v>479241.49252734007</v>
      </c>
      <c r="AJ38" s="397">
        <f t="shared" si="23"/>
        <v>485596.20042115002</v>
      </c>
      <c r="AK38" s="356">
        <f t="shared" si="24"/>
        <v>1.3</v>
      </c>
    </row>
    <row r="39" spans="1:37" s="367" customFormat="1" ht="20.100000000000001" customHeight="1" x14ac:dyDescent="0.3">
      <c r="A39" s="429" t="s">
        <v>190</v>
      </c>
      <c r="B39" s="148">
        <f>SUM(B40+B41+B42+B43+B44)</f>
        <v>34812.521053460005</v>
      </c>
      <c r="C39" s="355">
        <f>SUM(C40+C41+C42+C43+C44)</f>
        <v>38713.115066589955</v>
      </c>
      <c r="D39" s="355">
        <f t="shared" si="20"/>
        <v>11.2</v>
      </c>
      <c r="E39" s="148">
        <f>SUM(E40+E41+E42+E43+E44)</f>
        <v>3431.3986612100007</v>
      </c>
      <c r="F39" s="355">
        <f>SUM(F40+F41+F42+F43+F44)</f>
        <v>3734.0760403600002</v>
      </c>
      <c r="G39" s="355">
        <f>IF(E39=0, "    ---- ", IF(ABS(ROUND(100/E39*F39-100,1))&lt;999,ROUND(100/E39*F39-100,1),IF(ROUND(100/E39*F39-100,1)&gt;999,999,-999)))</f>
        <v>8.8000000000000007</v>
      </c>
      <c r="H39" s="148">
        <f>SUM(H40+H41+H42+H43+H44)</f>
        <v>1311.7979999999998</v>
      </c>
      <c r="I39" s="355">
        <f>SUM(I40+I41+I42+I43+I44)</f>
        <v>1427.4569999999999</v>
      </c>
      <c r="J39" s="355">
        <f t="shared" ref="J39:J46" si="33">IF(H39=0, "    ---- ", IF(ABS(ROUND(100/H39*I39-100,1))&lt;999,ROUND(100/H39*I39-100,1),IF(ROUND(100/H39*I39-100,1)&gt;999,999,-999)))</f>
        <v>8.8000000000000007</v>
      </c>
      <c r="K39" s="355">
        <v>699</v>
      </c>
      <c r="L39" s="355">
        <v>739</v>
      </c>
      <c r="M39" s="397">
        <f>IF(K39=0, "    ---- ", IF(ABS(ROUND(100/K39*L39-100,1))&lt;999,ROUND(100/K39*L39-100,1),IF(ROUND(100/K39*L39-100,1)&gt;999,999,-999)))</f>
        <v>5.7</v>
      </c>
      <c r="N39" s="148">
        <v>371530.36488548998</v>
      </c>
      <c r="O39" s="355">
        <v>422588.41793221002</v>
      </c>
      <c r="P39" s="355">
        <f t="shared" si="32"/>
        <v>13.7</v>
      </c>
      <c r="Q39" s="148">
        <f>SUM(Q40+Q41+Q42+Q43+Q44)</f>
        <v>8847.3934791300017</v>
      </c>
      <c r="R39" s="355">
        <f>SUM(R40+R41+R42+R43+R44)</f>
        <v>12719.914407809991</v>
      </c>
      <c r="S39" s="355">
        <f t="shared" si="26"/>
        <v>43.8</v>
      </c>
      <c r="T39" s="148">
        <f>SUM(T40+T41+T42+T43+T44)</f>
        <v>78980</v>
      </c>
      <c r="U39" s="355">
        <f>SUM(U40+U41+U42+U43+U44)</f>
        <v>84777</v>
      </c>
      <c r="V39" s="355">
        <f t="shared" si="27"/>
        <v>7.3</v>
      </c>
      <c r="W39" s="148">
        <f>SUM(W40+W41+W42+W43+W44)</f>
        <v>8993.6249999999982</v>
      </c>
      <c r="X39" s="355">
        <f>SUM(X40+X41+X42+X43+X44)</f>
        <v>10180.181999999999</v>
      </c>
      <c r="Y39" s="355">
        <f t="shared" si="28"/>
        <v>13.2</v>
      </c>
      <c r="Z39" s="148">
        <f>SUM(Z40+Z41+Z42+Z43+Z44)</f>
        <v>31278.515776600019</v>
      </c>
      <c r="AA39" s="355">
        <f>SUM(AA40+AA41+AA42+AA43+AA44)</f>
        <v>36208.545041630008</v>
      </c>
      <c r="AB39" s="355">
        <f t="shared" si="29"/>
        <v>15.8</v>
      </c>
      <c r="AC39" s="148">
        <f>SUM(AC40+AC41+AC42+AC43+AC44)</f>
        <v>16</v>
      </c>
      <c r="AD39" s="355">
        <f>SUM(AD40+AD41+AD42+AD43+AD44)</f>
        <v>18</v>
      </c>
      <c r="AE39" s="278">
        <f t="shared" ref="AE39:AE45" si="34">IF(AC39=0, "    ---- ", IF(ABS(ROUND(100/AC39*AD39-100,1))&lt;999,ROUND(100/AC39*AD39-100,1),IF(ROUND(100/AC39*AD39-100,1)&gt;999,999,-999)))</f>
        <v>12.5</v>
      </c>
      <c r="AF39" s="397">
        <f t="shared" si="21"/>
        <v>539884.61685589002</v>
      </c>
      <c r="AG39" s="397">
        <f t="shared" si="21"/>
        <v>611087.70748860005</v>
      </c>
      <c r="AH39" s="278">
        <f t="shared" si="22"/>
        <v>13.2</v>
      </c>
      <c r="AI39" s="397">
        <f t="shared" si="23"/>
        <v>539900.61685589002</v>
      </c>
      <c r="AJ39" s="397">
        <f t="shared" si="23"/>
        <v>611105.70748860005</v>
      </c>
      <c r="AK39" s="356">
        <f t="shared" si="24"/>
        <v>13.2</v>
      </c>
    </row>
    <row r="40" spans="1:37" s="367" customFormat="1" ht="20.100000000000001" customHeight="1" x14ac:dyDescent="0.3">
      <c r="A40" s="429" t="s">
        <v>191</v>
      </c>
      <c r="B40" s="148">
        <v>14144.831820700001</v>
      </c>
      <c r="C40" s="355">
        <v>17268.403683719996</v>
      </c>
      <c r="D40" s="278">
        <f t="shared" si="20"/>
        <v>22.1</v>
      </c>
      <c r="E40" s="148">
        <v>787.50056674999996</v>
      </c>
      <c r="F40" s="355">
        <v>1090.26593544</v>
      </c>
      <c r="G40" s="278">
        <f>IF(E40=0, "    ---- ", IF(ABS(ROUND(100/E40*F40-100,1))&lt;999,ROUND(100/E40*F40-100,1),IF(ROUND(100/E40*F40-100,1)&gt;999,999,-999)))</f>
        <v>38.4</v>
      </c>
      <c r="H40" s="148">
        <v>200.19</v>
      </c>
      <c r="I40" s="355">
        <v>197.21700000000001</v>
      </c>
      <c r="J40" s="278">
        <f t="shared" si="33"/>
        <v>-1.5</v>
      </c>
      <c r="K40" s="355">
        <v>25</v>
      </c>
      <c r="L40" s="355">
        <v>47</v>
      </c>
      <c r="M40" s="352">
        <f>IF(K40=0, "    ---- ", IF(ABS(ROUND(100/K40*L40-100,1))&lt;999,ROUND(100/K40*L40-100,1),IF(ROUND(100/K40*L40-100,1)&gt;999,999,-999)))</f>
        <v>88</v>
      </c>
      <c r="N40" s="148">
        <v>251800.86583588002</v>
      </c>
      <c r="O40" s="355">
        <v>288065.02498943999</v>
      </c>
      <c r="P40" s="278">
        <f t="shared" si="32"/>
        <v>14.4</v>
      </c>
      <c r="Q40" s="148">
        <v>6217.2807110600006</v>
      </c>
      <c r="R40" s="355">
        <v>9624.6435592199905</v>
      </c>
      <c r="S40" s="278">
        <f t="shared" si="26"/>
        <v>54.8</v>
      </c>
      <c r="T40" s="148">
        <v>46518</v>
      </c>
      <c r="U40" s="355">
        <v>47042</v>
      </c>
      <c r="V40" s="278">
        <f t="shared" si="27"/>
        <v>1.1000000000000001</v>
      </c>
      <c r="W40" s="148">
        <v>3537.2179999999998</v>
      </c>
      <c r="X40" s="355">
        <v>3337.9</v>
      </c>
      <c r="Y40" s="278">
        <f t="shared" si="28"/>
        <v>-5.6</v>
      </c>
      <c r="Z40" s="148">
        <v>20360.124399690019</v>
      </c>
      <c r="AA40" s="355">
        <v>25303.632958240018</v>
      </c>
      <c r="AB40" s="278">
        <f t="shared" si="29"/>
        <v>24.3</v>
      </c>
      <c r="AC40" s="148"/>
      <c r="AD40" s="355"/>
      <c r="AE40" s="278"/>
      <c r="AF40" s="397">
        <f t="shared" si="21"/>
        <v>343591.01133408002</v>
      </c>
      <c r="AG40" s="397">
        <f t="shared" si="21"/>
        <v>391976.08812606003</v>
      </c>
      <c r="AH40" s="278">
        <f t="shared" si="22"/>
        <v>14.1</v>
      </c>
      <c r="AI40" s="397">
        <f t="shared" si="23"/>
        <v>343591.01133408002</v>
      </c>
      <c r="AJ40" s="397">
        <f t="shared" si="23"/>
        <v>391976.08812606003</v>
      </c>
      <c r="AK40" s="356">
        <f t="shared" si="24"/>
        <v>14.1</v>
      </c>
    </row>
    <row r="41" spans="1:37" s="367" customFormat="1" ht="20.100000000000001" customHeight="1" x14ac:dyDescent="0.3">
      <c r="A41" s="601" t="s">
        <v>402</v>
      </c>
      <c r="B41" s="148">
        <v>18297.787152189998</v>
      </c>
      <c r="C41" s="355">
        <v>17758.353547830011</v>
      </c>
      <c r="D41" s="355">
        <f t="shared" si="20"/>
        <v>-2.9</v>
      </c>
      <c r="E41" s="148">
        <v>2714.7168382300006</v>
      </c>
      <c r="F41" s="355">
        <v>2747.28460326</v>
      </c>
      <c r="G41" s="355">
        <f>IF(E41=0, "    ---- ", IF(ABS(ROUND(100/E41*F41-100,1))&lt;999,ROUND(100/E41*F41-100,1),IF(ROUND(100/E41*F41-100,1)&gt;999,999,-999)))</f>
        <v>1.2</v>
      </c>
      <c r="H41" s="148">
        <v>829.16099999999994</v>
      </c>
      <c r="I41" s="355">
        <v>890.97500000000002</v>
      </c>
      <c r="J41" s="355">
        <f>IF(H41=0, "    ---- ", IF(ABS(ROUND(100/H41*I41-100,1))&lt;999,ROUND(100/H41*I41-100,1),IF(ROUND(100/H41*I41-100,1)&gt;999,999,-999)))</f>
        <v>7.5</v>
      </c>
      <c r="K41" s="355">
        <v>655</v>
      </c>
      <c r="L41" s="355">
        <v>688</v>
      </c>
      <c r="M41" s="352">
        <f>IF(K41=0, "    ---- ", IF(ABS(ROUND(100/K41*L41-100,1))&lt;999,ROUND(100/K41*L41-100,1),IF(ROUND(100/K41*L41-100,1)&gt;999,999,-999)))</f>
        <v>5</v>
      </c>
      <c r="N41" s="148">
        <v>100296.92146332</v>
      </c>
      <c r="O41" s="355">
        <v>114172.17181936999</v>
      </c>
      <c r="P41" s="278">
        <f t="shared" si="32"/>
        <v>13.8</v>
      </c>
      <c r="Q41" s="148">
        <v>2096.0176402699999</v>
      </c>
      <c r="R41" s="355">
        <v>2627.7491758900001</v>
      </c>
      <c r="S41" s="278">
        <f t="shared" si="26"/>
        <v>25.4</v>
      </c>
      <c r="T41" s="148">
        <v>28223</v>
      </c>
      <c r="U41" s="355">
        <v>30811</v>
      </c>
      <c r="V41" s="278">
        <f t="shared" si="27"/>
        <v>9.1999999999999993</v>
      </c>
      <c r="W41" s="148">
        <v>5179.223</v>
      </c>
      <c r="X41" s="355">
        <v>6354.4920000000002</v>
      </c>
      <c r="Y41" s="278">
        <f t="shared" si="28"/>
        <v>22.7</v>
      </c>
      <c r="Z41" s="148">
        <v>9592.5941451399995</v>
      </c>
      <c r="AA41" s="355">
        <v>9638.3163079399928</v>
      </c>
      <c r="AB41" s="278">
        <f t="shared" si="29"/>
        <v>0.5</v>
      </c>
      <c r="AC41" s="148">
        <v>16</v>
      </c>
      <c r="AD41" s="355">
        <v>18</v>
      </c>
      <c r="AE41" s="278">
        <f t="shared" si="34"/>
        <v>12.5</v>
      </c>
      <c r="AF41" s="397">
        <f t="shared" si="21"/>
        <v>167884.42123915002</v>
      </c>
      <c r="AG41" s="397">
        <f t="shared" si="21"/>
        <v>185688.34245428999</v>
      </c>
      <c r="AH41" s="278">
        <f t="shared" si="22"/>
        <v>10.6</v>
      </c>
      <c r="AI41" s="397">
        <f t="shared" si="23"/>
        <v>167900.42123915002</v>
      </c>
      <c r="AJ41" s="397">
        <f t="shared" si="23"/>
        <v>185706.34245428999</v>
      </c>
      <c r="AK41" s="356">
        <f t="shared" si="24"/>
        <v>10.6</v>
      </c>
    </row>
    <row r="42" spans="1:37" s="367" customFormat="1" ht="20.100000000000001" customHeight="1" x14ac:dyDescent="0.3">
      <c r="A42" s="429" t="s">
        <v>192</v>
      </c>
      <c r="B42" s="148">
        <v>907.05283759000008</v>
      </c>
      <c r="C42" s="355">
        <v>1795.86466077</v>
      </c>
      <c r="D42" s="355">
        <f t="shared" si="20"/>
        <v>98</v>
      </c>
      <c r="E42" s="148">
        <v>-91.086556729999984</v>
      </c>
      <c r="F42" s="355">
        <v>-111.62955574000001</v>
      </c>
      <c r="G42" s="355">
        <f t="shared" ref="G42:G43" si="35">IF(E42=0, "    ---- ", IF(ABS(ROUND(100/E42*F42-100,1))&lt;999,ROUND(100/E42*F42-100,1),IF(ROUND(100/E42*F42-100,1)&gt;999,999,-999)))</f>
        <v>22.6</v>
      </c>
      <c r="H42" s="148"/>
      <c r="I42" s="355"/>
      <c r="J42" s="355"/>
      <c r="K42" s="355"/>
      <c r="L42" s="355"/>
      <c r="M42" s="352"/>
      <c r="N42" s="148">
        <v>13780.4459859</v>
      </c>
      <c r="O42" s="355">
        <v>16895.163063939999</v>
      </c>
      <c r="P42" s="278">
        <f t="shared" si="32"/>
        <v>22.6</v>
      </c>
      <c r="Q42" s="148"/>
      <c r="R42" s="355"/>
      <c r="S42" s="278"/>
      <c r="T42" s="148">
        <v>3765</v>
      </c>
      <c r="U42" s="355">
        <v>5721</v>
      </c>
      <c r="V42" s="278">
        <f t="shared" si="27"/>
        <v>52</v>
      </c>
      <c r="W42" s="148">
        <v>33.633000000000003</v>
      </c>
      <c r="X42" s="355">
        <v>-53.912999999999997</v>
      </c>
      <c r="Y42" s="278">
        <f t="shared" si="28"/>
        <v>-260.3</v>
      </c>
      <c r="Z42" s="148"/>
      <c r="AA42" s="355"/>
      <c r="AB42" s="278"/>
      <c r="AC42" s="148"/>
      <c r="AD42" s="355"/>
      <c r="AE42" s="278"/>
      <c r="AF42" s="397">
        <f t="shared" si="21"/>
        <v>18395.045266760004</v>
      </c>
      <c r="AG42" s="397">
        <f t="shared" si="21"/>
        <v>24246.485168969997</v>
      </c>
      <c r="AH42" s="278">
        <f t="shared" si="22"/>
        <v>31.8</v>
      </c>
      <c r="AI42" s="397">
        <f t="shared" si="23"/>
        <v>18395.045266760004</v>
      </c>
      <c r="AJ42" s="397">
        <f t="shared" si="23"/>
        <v>24246.485168969997</v>
      </c>
      <c r="AK42" s="356">
        <f t="shared" si="24"/>
        <v>31.8</v>
      </c>
    </row>
    <row r="43" spans="1:37" s="367" customFormat="1" ht="20.100000000000001" customHeight="1" x14ac:dyDescent="0.3">
      <c r="A43" s="429" t="s">
        <v>193</v>
      </c>
      <c r="B43" s="148">
        <v>382.79243398</v>
      </c>
      <c r="C43" s="355">
        <v>475.21560482000007</v>
      </c>
      <c r="D43" s="355">
        <f t="shared" si="20"/>
        <v>24.1</v>
      </c>
      <c r="E43" s="148"/>
      <c r="F43" s="355"/>
      <c r="G43" s="355"/>
      <c r="H43" s="148"/>
      <c r="I43" s="355"/>
      <c r="J43" s="355"/>
      <c r="K43" s="355"/>
      <c r="L43" s="355"/>
      <c r="M43" s="352"/>
      <c r="N43" s="148">
        <v>2268.0742301099999</v>
      </c>
      <c r="O43" s="355">
        <v>2904.2064629400002</v>
      </c>
      <c r="P43" s="278">
        <f t="shared" si="32"/>
        <v>28</v>
      </c>
      <c r="Q43" s="148">
        <v>37.068926140000002</v>
      </c>
      <c r="R43" s="355">
        <v>301.27209762000001</v>
      </c>
      <c r="S43" s="278">
        <f t="shared" si="26"/>
        <v>712.7</v>
      </c>
      <c r="T43" s="148">
        <v>474</v>
      </c>
      <c r="U43" s="355">
        <v>1203</v>
      </c>
      <c r="V43" s="278">
        <f>IF(T43=0, "    ---- ", IF(ABS(ROUND(100/T43*U43-100,1))&lt;999,ROUND(100/T43*U43-100,1),IF(ROUND(100/T43*U43-100,1)&gt;999,999,-999)))</f>
        <v>153.80000000000001</v>
      </c>
      <c r="W43" s="148">
        <v>5.2389999999999999</v>
      </c>
      <c r="X43" s="355">
        <v>19.347999999999999</v>
      </c>
      <c r="Y43" s="278">
        <f t="shared" si="28"/>
        <v>269.3</v>
      </c>
      <c r="Z43" s="148">
        <v>1325.7972317700005</v>
      </c>
      <c r="AA43" s="355">
        <v>1266.5957754499993</v>
      </c>
      <c r="AB43" s="278">
        <f t="shared" si="29"/>
        <v>-4.5</v>
      </c>
      <c r="AC43" s="148"/>
      <c r="AD43" s="355"/>
      <c r="AE43" s="278"/>
      <c r="AF43" s="397">
        <f t="shared" si="21"/>
        <v>4492.9718220000004</v>
      </c>
      <c r="AG43" s="397">
        <f t="shared" si="21"/>
        <v>6169.6379408299999</v>
      </c>
      <c r="AH43" s="278">
        <f t="shared" si="22"/>
        <v>37.299999999999997</v>
      </c>
      <c r="AI43" s="397">
        <f t="shared" si="23"/>
        <v>4492.9718220000004</v>
      </c>
      <c r="AJ43" s="397">
        <f t="shared" si="23"/>
        <v>6169.6379408299999</v>
      </c>
      <c r="AK43" s="356">
        <f t="shared" si="24"/>
        <v>37.299999999999997</v>
      </c>
    </row>
    <row r="44" spans="1:37" s="367" customFormat="1" ht="20.100000000000001" customHeight="1" x14ac:dyDescent="0.3">
      <c r="A44" s="429" t="s">
        <v>194</v>
      </c>
      <c r="B44" s="148">
        <v>1080.0568089999999</v>
      </c>
      <c r="C44" s="355">
        <v>1415.2775694499512</v>
      </c>
      <c r="D44" s="355">
        <f t="shared" si="20"/>
        <v>31</v>
      </c>
      <c r="E44" s="148">
        <v>20.267812960000001</v>
      </c>
      <c r="F44" s="355">
        <v>8.1550573999999845</v>
      </c>
      <c r="G44" s="355">
        <f>IF(E44=0, "    ---- ", IF(ABS(ROUND(100/E44*F44-100,1))&lt;999,ROUND(100/E44*F44-100,1),IF(ROUND(100/E44*F44-100,1)&gt;999,999,-999)))</f>
        <v>-59.8</v>
      </c>
      <c r="H44" s="148">
        <v>282.447</v>
      </c>
      <c r="I44" s="355">
        <v>339.26499999999999</v>
      </c>
      <c r="J44" s="355">
        <f t="shared" si="33"/>
        <v>20.100000000000001</v>
      </c>
      <c r="K44" s="355">
        <v>19</v>
      </c>
      <c r="L44" s="355">
        <v>4</v>
      </c>
      <c r="M44" s="352">
        <f>IF(K44=0, "    ---- ", IF(ABS(ROUND(100/K44*L44-100,1))&lt;999,ROUND(100/K44*L44-100,1),IF(ROUND(100/K44*L44-100,1)&gt;999,999,-999)))</f>
        <v>-78.900000000000006</v>
      </c>
      <c r="N44" s="148">
        <v>3384.0573702800002</v>
      </c>
      <c r="O44" s="355">
        <v>551.85159651999993</v>
      </c>
      <c r="P44" s="278">
        <f t="shared" si="32"/>
        <v>-83.7</v>
      </c>
      <c r="Q44" s="148">
        <v>497.02620166000003</v>
      </c>
      <c r="R44" s="355">
        <v>166.24957508</v>
      </c>
      <c r="S44" s="278">
        <f t="shared" si="26"/>
        <v>-66.599999999999994</v>
      </c>
      <c r="T44" s="148"/>
      <c r="U44" s="355"/>
      <c r="V44" s="278"/>
      <c r="W44" s="148">
        <v>238.31200000000001</v>
      </c>
      <c r="X44" s="355">
        <v>522.35500000000002</v>
      </c>
      <c r="Y44" s="278">
        <f t="shared" si="28"/>
        <v>119.2</v>
      </c>
      <c r="Z44" s="148"/>
      <c r="AA44" s="355"/>
      <c r="AB44" s="278"/>
      <c r="AC44" s="148"/>
      <c r="AD44" s="355"/>
      <c r="AE44" s="278"/>
      <c r="AF44" s="397">
        <f t="shared" si="21"/>
        <v>5521.1671938999998</v>
      </c>
      <c r="AG44" s="397">
        <f t="shared" si="21"/>
        <v>3007.153798449951</v>
      </c>
      <c r="AH44" s="278">
        <f t="shared" si="22"/>
        <v>-45.5</v>
      </c>
      <c r="AI44" s="397">
        <f t="shared" si="23"/>
        <v>5521.1671938999998</v>
      </c>
      <c r="AJ44" s="397">
        <f t="shared" si="23"/>
        <v>3007.153798449951</v>
      </c>
      <c r="AK44" s="356">
        <f t="shared" si="24"/>
        <v>-45.5</v>
      </c>
    </row>
    <row r="45" spans="1:37" s="367" customFormat="1" ht="20.100000000000001" customHeight="1" x14ac:dyDescent="0.3">
      <c r="A45" s="465" t="s">
        <v>195</v>
      </c>
      <c r="B45" s="148">
        <f>SUM(B33+B34+B35+B39)</f>
        <v>189009.06625659997</v>
      </c>
      <c r="C45" s="355">
        <f>SUM(C33+C34+C35+C39)</f>
        <v>188715.36636901996</v>
      </c>
      <c r="D45" s="278">
        <f t="shared" si="20"/>
        <v>-0.2</v>
      </c>
      <c r="E45" s="148">
        <f>SUM(E33+E34+E35+E39)</f>
        <v>9405.93589393</v>
      </c>
      <c r="F45" s="355">
        <f>SUM(F33+F34+F35+F39)</f>
        <v>9972.8251447300008</v>
      </c>
      <c r="G45" s="278">
        <f>IF(E45=0, "    ---- ", IF(ABS(ROUND(100/E45*F45-100,1))&lt;999,ROUND(100/E45*F45-100,1),IF(ROUND(100/E45*F45-100,1)&gt;999,999,-999)))</f>
        <v>6</v>
      </c>
      <c r="H45" s="148">
        <f>SUM(H33+H34+H35+H39)</f>
        <v>1887.9399999999998</v>
      </c>
      <c r="I45" s="355">
        <f>SUM(I33+I34+I35+I39)</f>
        <v>2250.2240000000002</v>
      </c>
      <c r="J45" s="278">
        <f t="shared" si="33"/>
        <v>19.2</v>
      </c>
      <c r="K45" s="355">
        <v>9531</v>
      </c>
      <c r="L45" s="355">
        <v>10483</v>
      </c>
      <c r="M45" s="352">
        <f>IF(K45=0, "    ---- ", IF(ABS(ROUND(100/K45*L45-100,1))&lt;999,ROUND(100/K45*L45-100,1),IF(ROUND(100/K45*L45-100,1)&gt;999,999,-999)))</f>
        <v>10</v>
      </c>
      <c r="N45" s="148">
        <v>761757.44124422991</v>
      </c>
      <c r="O45" s="355">
        <v>825732.67382288002</v>
      </c>
      <c r="P45" s="278">
        <f t="shared" si="32"/>
        <v>8.4</v>
      </c>
      <c r="Q45" s="148">
        <f>SUM(Q33+Q34+Q35+Q39)</f>
        <v>55461.211000419906</v>
      </c>
      <c r="R45" s="355">
        <f>SUM(R33+R34+R35+R39)</f>
        <v>56171.533019909992</v>
      </c>
      <c r="S45" s="278">
        <f t="shared" si="26"/>
        <v>1.3</v>
      </c>
      <c r="T45" s="148">
        <f>SUM(T33+T34+T35+T39)</f>
        <v>128162</v>
      </c>
      <c r="U45" s="355">
        <f>SUM(U33+U34+U35+U39)</f>
        <v>137484</v>
      </c>
      <c r="V45" s="278">
        <f>IF(T45=0, "    ---- ", IF(ABS(ROUND(100/T45*U45-100,1))&lt;999,ROUND(100/T45*U45-100,1),IF(ROUND(100/T45*U45-100,1)&gt;999,999,-999)))</f>
        <v>7.3</v>
      </c>
      <c r="W45" s="148">
        <f>SUM(W33+W34+W35+W39)</f>
        <v>24054.57</v>
      </c>
      <c r="X45" s="355">
        <f>SUM(X33+X34+X35+X39)</f>
        <v>26357.394999999997</v>
      </c>
      <c r="Y45" s="278">
        <f t="shared" si="28"/>
        <v>9.6</v>
      </c>
      <c r="Z45" s="148">
        <f>SUM(Z33+Z34+Z35+Z39)</f>
        <v>217005.82569597018</v>
      </c>
      <c r="AA45" s="355">
        <f>SUM(AA33+AA34+AA35+AA39)</f>
        <v>227105.05555593001</v>
      </c>
      <c r="AB45" s="278">
        <f t="shared" si="29"/>
        <v>4.7</v>
      </c>
      <c r="AC45" s="148">
        <f>SUM(AC33+AC34+AC35+AC39)</f>
        <v>16</v>
      </c>
      <c r="AD45" s="355">
        <f>SUM(AD33+AD34+AD35+AD39)</f>
        <v>18</v>
      </c>
      <c r="AE45" s="278">
        <f t="shared" si="34"/>
        <v>12.5</v>
      </c>
      <c r="AF45" s="397">
        <f t="shared" si="21"/>
        <v>1396274.9900911499</v>
      </c>
      <c r="AG45" s="397">
        <f t="shared" si="21"/>
        <v>1484272.07291247</v>
      </c>
      <c r="AH45" s="278">
        <f t="shared" si="22"/>
        <v>6.3</v>
      </c>
      <c r="AI45" s="397">
        <f t="shared" si="23"/>
        <v>1396290.9900911499</v>
      </c>
      <c r="AJ45" s="397">
        <f t="shared" si="23"/>
        <v>1484290.07291247</v>
      </c>
      <c r="AK45" s="356">
        <f t="shared" si="24"/>
        <v>6.3</v>
      </c>
    </row>
    <row r="46" spans="1:37" s="367" customFormat="1" ht="20.100000000000001" customHeight="1" x14ac:dyDescent="0.3">
      <c r="A46" s="441" t="s">
        <v>299</v>
      </c>
      <c r="B46" s="148">
        <v>526.41210591000004</v>
      </c>
      <c r="C46" s="355">
        <v>501.91</v>
      </c>
      <c r="D46" s="278">
        <f t="shared" si="20"/>
        <v>-4.7</v>
      </c>
      <c r="E46" s="148">
        <v>422.64958819999998</v>
      </c>
      <c r="F46" s="355">
        <v>345.30273725000001</v>
      </c>
      <c r="G46" s="278">
        <f>IF(E46=0, "    ---- ", IF(ABS(ROUND(100/E46*F46-100,1))&lt;999,ROUND(100/E46*F46-100,1),IF(ROUND(100/E46*F46-100,1)&gt;999,999,-999)))</f>
        <v>-18.3</v>
      </c>
      <c r="H46" s="148">
        <v>129.97800000000001</v>
      </c>
      <c r="I46" s="355">
        <v>155.06399999999999</v>
      </c>
      <c r="J46" s="278">
        <f t="shared" si="33"/>
        <v>19.3</v>
      </c>
      <c r="K46" s="355">
        <v>927</v>
      </c>
      <c r="L46" s="355">
        <v>1080</v>
      </c>
      <c r="M46" s="352">
        <f>IF(K46=0, "    ---- ", IF(ABS(ROUND(100/K46*L46-100,1))&lt;999,ROUND(100/K46*L46-100,1),IF(ROUND(100/K46*L46-100,1)&gt;999,999,-999)))</f>
        <v>16.5</v>
      </c>
      <c r="N46" s="148"/>
      <c r="O46" s="355"/>
      <c r="P46" s="278"/>
      <c r="Q46" s="148">
        <v>65.900000000000006</v>
      </c>
      <c r="R46" s="355">
        <v>69.8</v>
      </c>
      <c r="S46" s="278">
        <f t="shared" si="26"/>
        <v>5.9</v>
      </c>
      <c r="T46" s="148"/>
      <c r="U46" s="355"/>
      <c r="V46" s="278"/>
      <c r="W46" s="148">
        <v>12.224</v>
      </c>
      <c r="X46" s="355">
        <v>16.43</v>
      </c>
      <c r="Y46" s="278">
        <f t="shared" si="28"/>
        <v>34.4</v>
      </c>
      <c r="Z46" s="148">
        <v>164.19961107000006</v>
      </c>
      <c r="AA46" s="355">
        <v>139.25324462000003</v>
      </c>
      <c r="AB46" s="278">
        <f t="shared" si="29"/>
        <v>-15.2</v>
      </c>
      <c r="AC46" s="148"/>
      <c r="AD46" s="355"/>
      <c r="AE46" s="278"/>
      <c r="AF46" s="397">
        <f t="shared" si="21"/>
        <v>2248.3633051800002</v>
      </c>
      <c r="AG46" s="397">
        <f t="shared" si="21"/>
        <v>2307.75998187</v>
      </c>
      <c r="AH46" s="278">
        <f t="shared" si="22"/>
        <v>2.6</v>
      </c>
      <c r="AI46" s="397">
        <f t="shared" si="23"/>
        <v>2248.3633051800002</v>
      </c>
      <c r="AJ46" s="397">
        <f t="shared" si="23"/>
        <v>2307.75998187</v>
      </c>
      <c r="AK46" s="356">
        <f t="shared" si="24"/>
        <v>2.6</v>
      </c>
    </row>
    <row r="47" spans="1:37" s="367" customFormat="1" ht="20.100000000000001" customHeight="1" x14ac:dyDescent="0.3">
      <c r="A47" s="441" t="s">
        <v>196</v>
      </c>
      <c r="B47" s="148"/>
      <c r="C47" s="355"/>
      <c r="D47" s="355"/>
      <c r="E47" s="148"/>
      <c r="F47" s="355"/>
      <c r="G47" s="355"/>
      <c r="H47" s="148"/>
      <c r="I47" s="355"/>
      <c r="J47" s="355"/>
      <c r="K47" s="355"/>
      <c r="L47" s="355"/>
      <c r="M47" s="352"/>
      <c r="N47" s="148"/>
      <c r="O47" s="355"/>
      <c r="P47" s="278"/>
      <c r="Q47" s="148"/>
      <c r="R47" s="355"/>
      <c r="S47" s="278"/>
      <c r="T47" s="148"/>
      <c r="U47" s="355"/>
      <c r="V47" s="278"/>
      <c r="W47" s="148"/>
      <c r="X47" s="355"/>
      <c r="Y47" s="278"/>
      <c r="Z47" s="148"/>
      <c r="AA47" s="355"/>
      <c r="AB47" s="278"/>
      <c r="AC47" s="148"/>
      <c r="AD47" s="355"/>
      <c r="AE47" s="278"/>
      <c r="AF47" s="352"/>
      <c r="AG47" s="352"/>
      <c r="AH47" s="278"/>
      <c r="AI47" s="352"/>
      <c r="AJ47" s="352"/>
      <c r="AK47" s="356"/>
    </row>
    <row r="48" spans="1:37" s="367" customFormat="1" ht="20.100000000000001" customHeight="1" x14ac:dyDescent="0.3">
      <c r="A48" s="429" t="s">
        <v>197</v>
      </c>
      <c r="B48" s="148"/>
      <c r="C48" s="355"/>
      <c r="D48" s="355"/>
      <c r="E48" s="148"/>
      <c r="F48" s="355"/>
      <c r="G48" s="355"/>
      <c r="H48" s="148"/>
      <c r="I48" s="355"/>
      <c r="J48" s="355"/>
      <c r="K48" s="355"/>
      <c r="L48" s="355"/>
      <c r="M48" s="352"/>
      <c r="N48" s="148"/>
      <c r="O48" s="355"/>
      <c r="P48" s="278"/>
      <c r="Q48" s="148"/>
      <c r="R48" s="355"/>
      <c r="S48" s="278"/>
      <c r="T48" s="148"/>
      <c r="U48" s="355"/>
      <c r="V48" s="278"/>
      <c r="W48" s="148"/>
      <c r="X48" s="355"/>
      <c r="Y48" s="278"/>
      <c r="Z48" s="148"/>
      <c r="AA48" s="355"/>
      <c r="AB48" s="278"/>
      <c r="AC48" s="148"/>
      <c r="AD48" s="355"/>
      <c r="AE48" s="278"/>
      <c r="AF48" s="397">
        <f t="shared" ref="AF48:AG62" si="36">B48+E48+H48+K48+N48+Q48+T48+W48+Z48</f>
        <v>0</v>
      </c>
      <c r="AG48" s="397">
        <f t="shared" si="36"/>
        <v>0</v>
      </c>
      <c r="AH48" s="278" t="str">
        <f t="shared" si="22"/>
        <v xml:space="preserve">    ---- </v>
      </c>
      <c r="AI48" s="397">
        <f t="shared" ref="AI48:AJ62" si="37">B48+E48+H48+K48+N48+Q48+T48+W48+Z48+AC48</f>
        <v>0</v>
      </c>
      <c r="AJ48" s="397">
        <f t="shared" si="37"/>
        <v>0</v>
      </c>
      <c r="AK48" s="356" t="str">
        <f t="shared" si="24"/>
        <v xml:space="preserve">    ---- </v>
      </c>
    </row>
    <row r="49" spans="1:37" s="367" customFormat="1" ht="20.100000000000001" customHeight="1" x14ac:dyDescent="0.3">
      <c r="A49" s="429" t="s">
        <v>198</v>
      </c>
      <c r="B49" s="148">
        <v>5737.9454639730002</v>
      </c>
      <c r="C49" s="355">
        <v>6312.13</v>
      </c>
      <c r="D49" s="278">
        <f t="shared" si="20"/>
        <v>10</v>
      </c>
      <c r="E49" s="148"/>
      <c r="F49" s="355"/>
      <c r="G49" s="355"/>
      <c r="H49" s="148"/>
      <c r="I49" s="355"/>
      <c r="J49" s="355"/>
      <c r="K49" s="355">
        <v>2283</v>
      </c>
      <c r="L49" s="355">
        <v>3493</v>
      </c>
      <c r="M49" s="352">
        <f>IF(K49=0, "    ---- ", IF(ABS(ROUND(100/K49*L49-100,1))&lt;999,ROUND(100/K49*L49-100,1),IF(ROUND(100/K49*L49-100,1)&gt;999,999,-999)))</f>
        <v>53</v>
      </c>
      <c r="N49" s="148">
        <v>369.92063683999999</v>
      </c>
      <c r="O49" s="355">
        <v>409.87014783999996</v>
      </c>
      <c r="P49" s="278">
        <f t="shared" ref="P49:P60" si="38">IF(N49=0, "    ---- ", IF(ABS(ROUND(100/N49*O49-100,1))&lt;999,ROUND(100/N49*O49-100,1),IF(ROUND(100/N49*O49-100,1)&gt;999,999,-999)))</f>
        <v>10.8</v>
      </c>
      <c r="Q49" s="148">
        <v>2741.11</v>
      </c>
      <c r="R49" s="355">
        <v>3917.83</v>
      </c>
      <c r="S49" s="278">
        <f t="shared" si="26"/>
        <v>42.9</v>
      </c>
      <c r="T49" s="148"/>
      <c r="U49" s="355"/>
      <c r="V49" s="278"/>
      <c r="W49" s="148">
        <v>1211.0070000000001</v>
      </c>
      <c r="X49" s="355">
        <v>1111.605</v>
      </c>
      <c r="Y49" s="278">
        <f t="shared" si="28"/>
        <v>-8.1999999999999993</v>
      </c>
      <c r="Z49" s="148">
        <v>7313.7450539900001</v>
      </c>
      <c r="AA49" s="355">
        <v>8131.4292130100021</v>
      </c>
      <c r="AB49" s="278">
        <f t="shared" si="29"/>
        <v>11.2</v>
      </c>
      <c r="AC49" s="148"/>
      <c r="AD49" s="355"/>
      <c r="AE49" s="278"/>
      <c r="AF49" s="397">
        <f t="shared" si="36"/>
        <v>19656.728154803001</v>
      </c>
      <c r="AG49" s="397">
        <f t="shared" si="36"/>
        <v>23375.864360850002</v>
      </c>
      <c r="AH49" s="278">
        <f t="shared" si="22"/>
        <v>18.899999999999999</v>
      </c>
      <c r="AI49" s="397">
        <f t="shared" si="37"/>
        <v>19656.728154803001</v>
      </c>
      <c r="AJ49" s="397">
        <f t="shared" si="37"/>
        <v>23375.864360850002</v>
      </c>
      <c r="AK49" s="356">
        <f t="shared" si="24"/>
        <v>18.899999999999999</v>
      </c>
    </row>
    <row r="50" spans="1:37" s="367" customFormat="1" ht="20.100000000000001" customHeight="1" x14ac:dyDescent="0.3">
      <c r="A50" s="429" t="s">
        <v>199</v>
      </c>
      <c r="B50" s="148"/>
      <c r="C50" s="355"/>
      <c r="D50" s="355"/>
      <c r="E50" s="148"/>
      <c r="F50" s="355"/>
      <c r="G50" s="355"/>
      <c r="H50" s="148"/>
      <c r="I50" s="355"/>
      <c r="J50" s="355"/>
      <c r="K50" s="355"/>
      <c r="L50" s="355"/>
      <c r="M50" s="352"/>
      <c r="N50" s="148">
        <v>1007.1773190399999</v>
      </c>
      <c r="O50" s="355">
        <v>1044.0431050100001</v>
      </c>
      <c r="P50" s="278">
        <f t="shared" si="38"/>
        <v>3.7</v>
      </c>
      <c r="Q50" s="148"/>
      <c r="R50" s="355"/>
      <c r="S50" s="278"/>
      <c r="T50" s="148"/>
      <c r="U50" s="355"/>
      <c r="V50" s="278"/>
      <c r="W50" s="148"/>
      <c r="X50" s="355"/>
      <c r="Y50" s="278"/>
      <c r="Z50" s="148">
        <f>SUM(Z51+Z53)</f>
        <v>1760.8686822100003</v>
      </c>
      <c r="AA50" s="355">
        <f>SUM(AA51+AA53)</f>
        <v>3503.907590140001</v>
      </c>
      <c r="AB50" s="278">
        <f t="shared" si="29"/>
        <v>99</v>
      </c>
      <c r="AC50" s="148"/>
      <c r="AD50" s="355"/>
      <c r="AE50" s="278"/>
      <c r="AF50" s="397">
        <f t="shared" si="36"/>
        <v>2768.0460012500002</v>
      </c>
      <c r="AG50" s="397">
        <f t="shared" si="36"/>
        <v>4547.9506951500007</v>
      </c>
      <c r="AH50" s="278">
        <f t="shared" si="22"/>
        <v>64.3</v>
      </c>
      <c r="AI50" s="397">
        <f t="shared" si="37"/>
        <v>2768.0460012500002</v>
      </c>
      <c r="AJ50" s="397">
        <f t="shared" si="37"/>
        <v>4547.9506951500007</v>
      </c>
      <c r="AK50" s="356">
        <f t="shared" si="24"/>
        <v>64.3</v>
      </c>
    </row>
    <row r="51" spans="1:37" s="367" customFormat="1" ht="20.100000000000001" customHeight="1" x14ac:dyDescent="0.3">
      <c r="A51" s="601" t="s">
        <v>403</v>
      </c>
      <c r="B51" s="148"/>
      <c r="C51" s="355"/>
      <c r="D51" s="278"/>
      <c r="E51" s="148"/>
      <c r="F51" s="355"/>
      <c r="G51" s="278"/>
      <c r="H51" s="148"/>
      <c r="I51" s="355"/>
      <c r="J51" s="278"/>
      <c r="K51" s="355"/>
      <c r="L51" s="355"/>
      <c r="M51" s="352"/>
      <c r="N51" s="148">
        <v>1007.1773190399999</v>
      </c>
      <c r="O51" s="355">
        <v>1044.0431050100001</v>
      </c>
      <c r="P51" s="278">
        <f t="shared" si="38"/>
        <v>3.7</v>
      </c>
      <c r="Q51" s="148"/>
      <c r="R51" s="355"/>
      <c r="S51" s="278"/>
      <c r="T51" s="148"/>
      <c r="U51" s="355"/>
      <c r="V51" s="278"/>
      <c r="W51" s="148"/>
      <c r="X51" s="355"/>
      <c r="Y51" s="278"/>
      <c r="Z51" s="148"/>
      <c r="AA51" s="355"/>
      <c r="AB51" s="278"/>
      <c r="AC51" s="148"/>
      <c r="AD51" s="355"/>
      <c r="AE51" s="278"/>
      <c r="AF51" s="397">
        <f t="shared" si="36"/>
        <v>1007.1773190399999</v>
      </c>
      <c r="AG51" s="397">
        <f t="shared" si="36"/>
        <v>1044.0431050100001</v>
      </c>
      <c r="AH51" s="278">
        <f t="shared" si="22"/>
        <v>3.7</v>
      </c>
      <c r="AI51" s="397">
        <f t="shared" si="37"/>
        <v>1007.1773190399999</v>
      </c>
      <c r="AJ51" s="397">
        <f t="shared" si="37"/>
        <v>1044.0431050100001</v>
      </c>
      <c r="AK51" s="356">
        <f t="shared" si="24"/>
        <v>3.7</v>
      </c>
    </row>
    <row r="52" spans="1:37" s="367" customFormat="1" ht="20.100000000000001" customHeight="1" x14ac:dyDescent="0.3">
      <c r="A52" s="429" t="s">
        <v>173</v>
      </c>
      <c r="B52" s="148"/>
      <c r="C52" s="355"/>
      <c r="D52" s="355"/>
      <c r="E52" s="148"/>
      <c r="F52" s="355"/>
      <c r="G52" s="355"/>
      <c r="H52" s="148"/>
      <c r="I52" s="355"/>
      <c r="J52" s="355"/>
      <c r="K52" s="355"/>
      <c r="L52" s="355"/>
      <c r="M52" s="397"/>
      <c r="N52" s="148">
        <v>1007.1773190399999</v>
      </c>
      <c r="O52" s="355">
        <v>1044.0431050100001</v>
      </c>
      <c r="P52" s="278">
        <f t="shared" si="38"/>
        <v>3.7</v>
      </c>
      <c r="Q52" s="148"/>
      <c r="R52" s="355"/>
      <c r="S52" s="355"/>
      <c r="T52" s="148"/>
      <c r="U52" s="355"/>
      <c r="V52" s="355"/>
      <c r="W52" s="148"/>
      <c r="X52" s="355"/>
      <c r="Y52" s="355"/>
      <c r="Z52" s="148"/>
      <c r="AA52" s="355"/>
      <c r="AB52" s="355"/>
      <c r="AC52" s="148"/>
      <c r="AD52" s="355"/>
      <c r="AE52" s="355"/>
      <c r="AF52" s="397">
        <f t="shared" si="36"/>
        <v>1007.1773190399999</v>
      </c>
      <c r="AG52" s="397">
        <f t="shared" si="36"/>
        <v>1044.0431050100001</v>
      </c>
      <c r="AH52" s="355">
        <f t="shared" si="22"/>
        <v>3.7</v>
      </c>
      <c r="AI52" s="397">
        <f t="shared" si="37"/>
        <v>1007.1773190399999</v>
      </c>
      <c r="AJ52" s="397">
        <f t="shared" si="37"/>
        <v>1044.0431050100001</v>
      </c>
      <c r="AK52" s="466">
        <f t="shared" si="24"/>
        <v>3.7</v>
      </c>
    </row>
    <row r="53" spans="1:37" s="367" customFormat="1" ht="20.100000000000001" customHeight="1" x14ac:dyDescent="0.3">
      <c r="A53" s="429" t="s">
        <v>200</v>
      </c>
      <c r="B53" s="148"/>
      <c r="C53" s="355"/>
      <c r="D53" s="355"/>
      <c r="E53" s="148"/>
      <c r="F53" s="355"/>
      <c r="G53" s="355"/>
      <c r="H53" s="148"/>
      <c r="I53" s="355"/>
      <c r="J53" s="355"/>
      <c r="K53" s="355"/>
      <c r="L53" s="355"/>
      <c r="M53" s="352"/>
      <c r="N53" s="148"/>
      <c r="O53" s="355"/>
      <c r="P53" s="278"/>
      <c r="Q53" s="148"/>
      <c r="R53" s="355"/>
      <c r="S53" s="278"/>
      <c r="T53" s="148"/>
      <c r="U53" s="355"/>
      <c r="V53" s="278"/>
      <c r="W53" s="148"/>
      <c r="X53" s="355"/>
      <c r="Y53" s="278"/>
      <c r="Z53" s="148">
        <v>1760.8686822100003</v>
      </c>
      <c r="AA53" s="355">
        <v>3503.907590140001</v>
      </c>
      <c r="AB53" s="278">
        <f t="shared" si="29"/>
        <v>99</v>
      </c>
      <c r="AC53" s="148"/>
      <c r="AD53" s="355"/>
      <c r="AE53" s="278"/>
      <c r="AF53" s="397">
        <f t="shared" si="36"/>
        <v>1760.8686822100003</v>
      </c>
      <c r="AG53" s="397">
        <f t="shared" si="36"/>
        <v>3503.907590140001</v>
      </c>
      <c r="AH53" s="278">
        <f t="shared" si="22"/>
        <v>99</v>
      </c>
      <c r="AI53" s="397">
        <f t="shared" si="37"/>
        <v>1760.8686822100003</v>
      </c>
      <c r="AJ53" s="397">
        <f t="shared" si="37"/>
        <v>3503.907590140001</v>
      </c>
      <c r="AK53" s="356">
        <f t="shared" si="24"/>
        <v>99</v>
      </c>
    </row>
    <row r="54" spans="1:37" s="367" customFormat="1" ht="20.100000000000001" customHeight="1" x14ac:dyDescent="0.3">
      <c r="A54" s="429" t="s">
        <v>201</v>
      </c>
      <c r="B54" s="148">
        <f>SUM(B55+B56+B57+B58+B59)</f>
        <v>181269.529450887</v>
      </c>
      <c r="C54" s="355">
        <f>SUM(C55+C56+C57+C58+C59)</f>
        <v>211672.08475293155</v>
      </c>
      <c r="D54" s="355">
        <f t="shared" si="20"/>
        <v>16.8</v>
      </c>
      <c r="E54" s="148"/>
      <c r="F54" s="355"/>
      <c r="G54" s="355"/>
      <c r="H54" s="148"/>
      <c r="I54" s="355"/>
      <c r="J54" s="355"/>
      <c r="K54" s="355">
        <v>67190</v>
      </c>
      <c r="L54" s="355">
        <v>80557</v>
      </c>
      <c r="M54" s="397">
        <f>IF(K54=0, "    ---- ", IF(ABS(ROUND(100/K54*L54-100,1))&lt;999,ROUND(100/K54*L54-100,1),IF(ROUND(100/K54*L54-100,1)&gt;999,999,-999)))</f>
        <v>19.899999999999999</v>
      </c>
      <c r="N54" s="148">
        <v>1686.6041401799998</v>
      </c>
      <c r="O54" s="355">
        <v>1893.7377391399998</v>
      </c>
      <c r="P54" s="355">
        <f t="shared" si="38"/>
        <v>12.3</v>
      </c>
      <c r="Q54" s="148">
        <f>SUM(Q55+Q56+Q57+Q58+Q59)</f>
        <v>164835.02000000002</v>
      </c>
      <c r="R54" s="355">
        <f>SUM(R55+R56+R57+R58+R59)</f>
        <v>187024.90999999997</v>
      </c>
      <c r="S54" s="355">
        <f t="shared" si="26"/>
        <v>13.5</v>
      </c>
      <c r="T54" s="148"/>
      <c r="U54" s="355"/>
      <c r="V54" s="355"/>
      <c r="W54" s="148">
        <f>SUM(W55+W56+W57+W58+W59)</f>
        <v>75805.895999999993</v>
      </c>
      <c r="X54" s="355">
        <f>SUM(X55+X56+X57+X58+X59)</f>
        <v>88864.332999999999</v>
      </c>
      <c r="Y54" s="355">
        <f t="shared" si="28"/>
        <v>17.2</v>
      </c>
      <c r="Z54" s="148">
        <f>SUM(Z55+Z56+Z57+Z58+Z59)</f>
        <v>223127.87794898002</v>
      </c>
      <c r="AA54" s="355">
        <f>SUM(AA55+AA56+AA57+AA58+AA59)</f>
        <v>249500.38078134001</v>
      </c>
      <c r="AB54" s="355">
        <f t="shared" si="29"/>
        <v>11.8</v>
      </c>
      <c r="AC54" s="148"/>
      <c r="AD54" s="355"/>
      <c r="AE54" s="355"/>
      <c r="AF54" s="397">
        <f t="shared" si="36"/>
        <v>713914.92754004709</v>
      </c>
      <c r="AG54" s="397">
        <f t="shared" si="36"/>
        <v>819512.44627341162</v>
      </c>
      <c r="AH54" s="355">
        <f t="shared" si="22"/>
        <v>14.8</v>
      </c>
      <c r="AI54" s="397">
        <f t="shared" si="37"/>
        <v>713914.92754004709</v>
      </c>
      <c r="AJ54" s="397">
        <f t="shared" si="37"/>
        <v>819512.44627341162</v>
      </c>
      <c r="AK54" s="466">
        <f t="shared" si="24"/>
        <v>14.8</v>
      </c>
    </row>
    <row r="55" spans="1:37" s="367" customFormat="1" ht="20.100000000000001" customHeight="1" x14ac:dyDescent="0.3">
      <c r="A55" s="429" t="s">
        <v>202</v>
      </c>
      <c r="B55" s="148">
        <v>117070.432855637</v>
      </c>
      <c r="C55" s="355">
        <v>138179.52249372157</v>
      </c>
      <c r="D55" s="355">
        <f t="shared" si="20"/>
        <v>18</v>
      </c>
      <c r="E55" s="148"/>
      <c r="F55" s="355"/>
      <c r="G55" s="355"/>
      <c r="H55" s="148"/>
      <c r="I55" s="355"/>
      <c r="J55" s="355"/>
      <c r="K55" s="355">
        <v>56614</v>
      </c>
      <c r="L55" s="355">
        <v>67235</v>
      </c>
      <c r="M55" s="352">
        <f>IF(K55=0, "    ---- ", IF(ABS(ROUND(100/K55*L55-100,1))&lt;999,ROUND(100/K55*L55-100,1),IF(ROUND(100/K55*L55-100,1)&gt;999,999,-999)))</f>
        <v>18.8</v>
      </c>
      <c r="N55" s="148">
        <v>1258.1522379800001</v>
      </c>
      <c r="O55" s="355">
        <v>1377.1185062899999</v>
      </c>
      <c r="P55" s="278">
        <f t="shared" si="38"/>
        <v>9.5</v>
      </c>
      <c r="Q55" s="148">
        <v>109866.82000000002</v>
      </c>
      <c r="R55" s="355">
        <v>120425.15</v>
      </c>
      <c r="S55" s="278">
        <f t="shared" si="26"/>
        <v>9.6</v>
      </c>
      <c r="T55" s="148"/>
      <c r="U55" s="355"/>
      <c r="V55" s="278"/>
      <c r="W55" s="148">
        <v>50771.623</v>
      </c>
      <c r="X55" s="355">
        <v>59222.336000000003</v>
      </c>
      <c r="Y55" s="278">
        <f t="shared" si="28"/>
        <v>16.600000000000001</v>
      </c>
      <c r="Z55" s="148">
        <v>165034.64308491998</v>
      </c>
      <c r="AA55" s="355">
        <v>186115.67705706006</v>
      </c>
      <c r="AB55" s="278">
        <f t="shared" si="29"/>
        <v>12.8</v>
      </c>
      <c r="AC55" s="148"/>
      <c r="AD55" s="355"/>
      <c r="AE55" s="278"/>
      <c r="AF55" s="397">
        <f t="shared" si="36"/>
        <v>500615.67117853696</v>
      </c>
      <c r="AG55" s="397">
        <f t="shared" si="36"/>
        <v>572554.80405707168</v>
      </c>
      <c r="AH55" s="278">
        <f t="shared" si="22"/>
        <v>14.4</v>
      </c>
      <c r="AI55" s="397">
        <f t="shared" si="37"/>
        <v>500615.67117853696</v>
      </c>
      <c r="AJ55" s="397">
        <f t="shared" si="37"/>
        <v>572554.80405707168</v>
      </c>
      <c r="AK55" s="356">
        <f t="shared" si="24"/>
        <v>14.4</v>
      </c>
    </row>
    <row r="56" spans="1:37" s="367" customFormat="1" ht="20.100000000000001" customHeight="1" x14ac:dyDescent="0.3">
      <c r="A56" s="601" t="s">
        <v>404</v>
      </c>
      <c r="B56" s="148">
        <v>62720.30342946</v>
      </c>
      <c r="C56" s="355">
        <v>72317.585001610001</v>
      </c>
      <c r="D56" s="355">
        <f t="shared" si="20"/>
        <v>15.3</v>
      </c>
      <c r="E56" s="148"/>
      <c r="F56" s="355"/>
      <c r="G56" s="355"/>
      <c r="H56" s="148"/>
      <c r="I56" s="355"/>
      <c r="J56" s="355"/>
      <c r="K56" s="355">
        <v>10400</v>
      </c>
      <c r="L56" s="355">
        <v>13069</v>
      </c>
      <c r="M56" s="352">
        <f>IF(K56=0, "    ---- ", IF(ABS(ROUND(100/K56*L56-100,1))&lt;999,ROUND(100/K56*L56-100,1),IF(ROUND(100/K56*L56-100,1)&gt;999,999,-999)))</f>
        <v>25.7</v>
      </c>
      <c r="N56" s="148">
        <v>324.3666293</v>
      </c>
      <c r="O56" s="355">
        <v>322.02122864999995</v>
      </c>
      <c r="P56" s="278">
        <f t="shared" si="38"/>
        <v>-0.7</v>
      </c>
      <c r="Q56" s="148">
        <v>54098.18</v>
      </c>
      <c r="R56" s="355">
        <v>64559.53</v>
      </c>
      <c r="S56" s="278">
        <f t="shared" si="26"/>
        <v>19.3</v>
      </c>
      <c r="T56" s="148"/>
      <c r="U56" s="355"/>
      <c r="V56" s="278"/>
      <c r="W56" s="148">
        <v>24514.227999999999</v>
      </c>
      <c r="X56" s="355">
        <v>28891.330999999998</v>
      </c>
      <c r="Y56" s="278">
        <f t="shared" si="28"/>
        <v>17.899999999999999</v>
      </c>
      <c r="Z56" s="148">
        <v>57111.238247720059</v>
      </c>
      <c r="AA56" s="355">
        <v>61793.570788089943</v>
      </c>
      <c r="AB56" s="278">
        <f t="shared" si="29"/>
        <v>8.1999999999999993</v>
      </c>
      <c r="AC56" s="148"/>
      <c r="AD56" s="355"/>
      <c r="AE56" s="278"/>
      <c r="AF56" s="397">
        <f t="shared" si="36"/>
        <v>209168.31630648006</v>
      </c>
      <c r="AG56" s="397">
        <f t="shared" si="36"/>
        <v>240953.03801834997</v>
      </c>
      <c r="AH56" s="278">
        <f t="shared" si="22"/>
        <v>15.2</v>
      </c>
      <c r="AI56" s="397">
        <f t="shared" si="37"/>
        <v>209168.31630648006</v>
      </c>
      <c r="AJ56" s="397">
        <f t="shared" si="37"/>
        <v>240953.03801834997</v>
      </c>
      <c r="AK56" s="356">
        <f t="shared" si="24"/>
        <v>15.2</v>
      </c>
    </row>
    <row r="57" spans="1:37" s="367" customFormat="1" ht="20.100000000000001" customHeight="1" x14ac:dyDescent="0.3">
      <c r="A57" s="429" t="s">
        <v>203</v>
      </c>
      <c r="B57" s="148">
        <v>1478.7931657899999</v>
      </c>
      <c r="C57" s="355">
        <v>1174.9772575999998</v>
      </c>
      <c r="D57" s="278">
        <f t="shared" si="20"/>
        <v>-20.5</v>
      </c>
      <c r="E57" s="148"/>
      <c r="F57" s="355"/>
      <c r="G57" s="278"/>
      <c r="H57" s="148"/>
      <c r="I57" s="355"/>
      <c r="J57" s="278"/>
      <c r="K57" s="355"/>
      <c r="L57" s="355"/>
      <c r="M57" s="278"/>
      <c r="N57" s="148">
        <v>97.81884427</v>
      </c>
      <c r="O57" s="355">
        <v>178.14496349999999</v>
      </c>
      <c r="P57" s="278">
        <f t="shared" si="38"/>
        <v>82.1</v>
      </c>
      <c r="Q57" s="148"/>
      <c r="R57" s="355"/>
      <c r="S57" s="278"/>
      <c r="T57" s="148"/>
      <c r="U57" s="355"/>
      <c r="V57" s="278"/>
      <c r="W57" s="148">
        <v>84.771000000000001</v>
      </c>
      <c r="X57" s="355">
        <v>75.489000000000004</v>
      </c>
      <c r="Y57" s="278">
        <f t="shared" si="28"/>
        <v>-10.9</v>
      </c>
      <c r="Z57" s="148">
        <v>136.65710741000007</v>
      </c>
      <c r="AA57" s="355">
        <v>0</v>
      </c>
      <c r="AB57" s="278">
        <f t="shared" si="29"/>
        <v>-100</v>
      </c>
      <c r="AC57" s="148"/>
      <c r="AD57" s="355"/>
      <c r="AE57" s="278"/>
      <c r="AF57" s="397">
        <f t="shared" si="36"/>
        <v>1798.0401174699998</v>
      </c>
      <c r="AG57" s="397">
        <f t="shared" si="36"/>
        <v>1428.6112210999997</v>
      </c>
      <c r="AH57" s="278">
        <f t="shared" si="22"/>
        <v>-20.5</v>
      </c>
      <c r="AI57" s="397">
        <f t="shared" si="37"/>
        <v>1798.0401174699998</v>
      </c>
      <c r="AJ57" s="397">
        <f t="shared" si="37"/>
        <v>1428.6112210999997</v>
      </c>
      <c r="AK57" s="356">
        <f t="shared" si="24"/>
        <v>-20.5</v>
      </c>
    </row>
    <row r="58" spans="1:37" s="367" customFormat="1" ht="20.100000000000001" customHeight="1" x14ac:dyDescent="0.3">
      <c r="A58" s="429" t="s">
        <v>204</v>
      </c>
      <c r="B58" s="148"/>
      <c r="C58" s="355"/>
      <c r="D58" s="278"/>
      <c r="E58" s="148"/>
      <c r="F58" s="355"/>
      <c r="G58" s="278"/>
      <c r="H58" s="148"/>
      <c r="I58" s="355"/>
      <c r="J58" s="278"/>
      <c r="K58" s="355"/>
      <c r="L58" s="355"/>
      <c r="M58" s="278"/>
      <c r="N58" s="148">
        <v>6.2353410999999994</v>
      </c>
      <c r="O58" s="355">
        <v>15.87369417</v>
      </c>
      <c r="P58" s="278">
        <f t="shared" si="38"/>
        <v>154.6</v>
      </c>
      <c r="Q58" s="148">
        <v>162.44</v>
      </c>
      <c r="R58" s="355">
        <v>912.87</v>
      </c>
      <c r="S58" s="278">
        <f t="shared" si="26"/>
        <v>462</v>
      </c>
      <c r="T58" s="148"/>
      <c r="U58" s="355"/>
      <c r="V58" s="278"/>
      <c r="W58" s="148">
        <v>179.73099999999999</v>
      </c>
      <c r="X58" s="355">
        <v>143.26400000000001</v>
      </c>
      <c r="Y58" s="278">
        <f t="shared" si="28"/>
        <v>-20.3</v>
      </c>
      <c r="Z58" s="148">
        <v>845.33950893000019</v>
      </c>
      <c r="AA58" s="355">
        <v>1591.1329361899993</v>
      </c>
      <c r="AB58" s="278">
        <f t="shared" si="29"/>
        <v>88.2</v>
      </c>
      <c r="AC58" s="148"/>
      <c r="AD58" s="355"/>
      <c r="AE58" s="278"/>
      <c r="AF58" s="397">
        <f t="shared" si="36"/>
        <v>1193.7458500300002</v>
      </c>
      <c r="AG58" s="397">
        <f t="shared" si="36"/>
        <v>2663.1406303599992</v>
      </c>
      <c r="AH58" s="278">
        <f t="shared" si="22"/>
        <v>123.1</v>
      </c>
      <c r="AI58" s="397">
        <f t="shared" si="37"/>
        <v>1193.7458500300002</v>
      </c>
      <c r="AJ58" s="397">
        <f t="shared" si="37"/>
        <v>2663.1406303599992</v>
      </c>
      <c r="AK58" s="356">
        <f t="shared" si="24"/>
        <v>123.1</v>
      </c>
    </row>
    <row r="59" spans="1:37" s="367" customFormat="1" ht="20.100000000000001" customHeight="1" x14ac:dyDescent="0.3">
      <c r="A59" s="429" t="s">
        <v>205</v>
      </c>
      <c r="B59" s="148"/>
      <c r="C59" s="355"/>
      <c r="D59" s="278"/>
      <c r="E59" s="148"/>
      <c r="F59" s="355"/>
      <c r="G59" s="278"/>
      <c r="H59" s="148"/>
      <c r="I59" s="355"/>
      <c r="J59" s="278"/>
      <c r="K59" s="355">
        <v>176</v>
      </c>
      <c r="L59" s="355">
        <v>253</v>
      </c>
      <c r="M59" s="278">
        <f>IF(K59=0, "    ---- ", IF(ABS(ROUND(100/K59*L59-100,1))&lt;999,ROUND(100/K59*L59-100,1),IF(ROUND(100/K59*L59-100,1)&gt;999,999,-999)))</f>
        <v>43.8</v>
      </c>
      <c r="N59" s="148">
        <v>3.1087529999999999E-2</v>
      </c>
      <c r="O59" s="355">
        <v>0.57934653000000003</v>
      </c>
      <c r="P59" s="278">
        <f t="shared" si="38"/>
        <v>999</v>
      </c>
      <c r="Q59" s="148">
        <v>707.58</v>
      </c>
      <c r="R59" s="355">
        <v>1127.3599999999999</v>
      </c>
      <c r="S59" s="278">
        <f t="shared" si="26"/>
        <v>59.3</v>
      </c>
      <c r="T59" s="148"/>
      <c r="U59" s="355"/>
      <c r="V59" s="278"/>
      <c r="W59" s="148">
        <v>255.54300000000001</v>
      </c>
      <c r="X59" s="355">
        <v>531.91300000000001</v>
      </c>
      <c r="Y59" s="278">
        <f t="shared" si="28"/>
        <v>108.2</v>
      </c>
      <c r="Z59" s="148"/>
      <c r="AA59" s="355"/>
      <c r="AB59" s="278"/>
      <c r="AC59" s="148"/>
      <c r="AD59" s="355"/>
      <c r="AE59" s="278"/>
      <c r="AF59" s="397">
        <f t="shared" si="36"/>
        <v>1139.1540875300002</v>
      </c>
      <c r="AG59" s="397">
        <f t="shared" si="36"/>
        <v>1912.85234653</v>
      </c>
      <c r="AH59" s="278">
        <f t="shared" si="22"/>
        <v>67.900000000000006</v>
      </c>
      <c r="AI59" s="397">
        <f t="shared" si="37"/>
        <v>1139.1540875300002</v>
      </c>
      <c r="AJ59" s="397">
        <f t="shared" si="37"/>
        <v>1912.85234653</v>
      </c>
      <c r="AK59" s="356">
        <f t="shared" si="24"/>
        <v>67.900000000000006</v>
      </c>
    </row>
    <row r="60" spans="1:37" s="367" customFormat="1" ht="20.100000000000001" customHeight="1" x14ac:dyDescent="0.3">
      <c r="A60" s="465" t="s">
        <v>206</v>
      </c>
      <c r="B60" s="148">
        <f>SUM(B48+B49+B50+B54)</f>
        <v>187007.47491486001</v>
      </c>
      <c r="C60" s="355">
        <f>SUM(C48+C49+C50+C54)</f>
        <v>217984.21475293156</v>
      </c>
      <c r="D60" s="278">
        <f t="shared" si="20"/>
        <v>16.600000000000001</v>
      </c>
      <c r="E60" s="148"/>
      <c r="F60" s="355"/>
      <c r="G60" s="278"/>
      <c r="H60" s="148"/>
      <c r="I60" s="355"/>
      <c r="J60" s="278"/>
      <c r="K60" s="355">
        <v>69473</v>
      </c>
      <c r="L60" s="355">
        <v>84050</v>
      </c>
      <c r="M60" s="278">
        <f>IF(K60=0, "    ---- ", IF(ABS(ROUND(100/K60*L60-100,1))&lt;999,ROUND(100/K60*L60-100,1),IF(ROUND(100/K60*L60-100,1)&gt;999,999,-999)))</f>
        <v>21</v>
      </c>
      <c r="N60" s="148">
        <v>3063.7020960599998</v>
      </c>
      <c r="O60" s="355">
        <v>3347.65099199</v>
      </c>
      <c r="P60" s="278">
        <f t="shared" si="38"/>
        <v>9.3000000000000007</v>
      </c>
      <c r="Q60" s="148">
        <f>SUM(Q48+Q49+Q50+Q54)</f>
        <v>167576.13</v>
      </c>
      <c r="R60" s="355">
        <f>SUM(R48+R49+R50+R54)</f>
        <v>190942.73999999996</v>
      </c>
      <c r="S60" s="278">
        <f t="shared" si="26"/>
        <v>13.9</v>
      </c>
      <c r="T60" s="148"/>
      <c r="U60" s="355"/>
      <c r="V60" s="278"/>
      <c r="W60" s="148">
        <f>SUM(W48+W49+W50+W54)</f>
        <v>77016.902999999991</v>
      </c>
      <c r="X60" s="355">
        <f>SUM(X48+X49+X50+X54)</f>
        <v>89975.937999999995</v>
      </c>
      <c r="Y60" s="278">
        <f t="shared" si="28"/>
        <v>16.8</v>
      </c>
      <c r="Z60" s="148">
        <f>SUM(Z48+Z49+Z50+Z54)</f>
        <v>232202.49168518002</v>
      </c>
      <c r="AA60" s="355">
        <f>SUM(AA48+AA49+AA50+AA54)</f>
        <v>261135.71758449002</v>
      </c>
      <c r="AB60" s="278">
        <f t="shared" si="29"/>
        <v>12.5</v>
      </c>
      <c r="AC60" s="148"/>
      <c r="AD60" s="355"/>
      <c r="AE60" s="278"/>
      <c r="AF60" s="397">
        <f t="shared" si="36"/>
        <v>736339.70169610006</v>
      </c>
      <c r="AG60" s="397">
        <f t="shared" si="36"/>
        <v>847436.26132941153</v>
      </c>
      <c r="AH60" s="278">
        <f t="shared" si="22"/>
        <v>15.1</v>
      </c>
      <c r="AI60" s="397">
        <f t="shared" si="37"/>
        <v>736339.70169610006</v>
      </c>
      <c r="AJ60" s="397">
        <f t="shared" si="37"/>
        <v>847436.26132941153</v>
      </c>
      <c r="AK60" s="356">
        <f t="shared" si="24"/>
        <v>15.1</v>
      </c>
    </row>
    <row r="61" spans="1:37" s="367" customFormat="1" ht="20.100000000000001" customHeight="1" x14ac:dyDescent="0.3">
      <c r="A61" s="441" t="s">
        <v>300</v>
      </c>
      <c r="B61" s="148"/>
      <c r="C61" s="355"/>
      <c r="D61" s="278"/>
      <c r="E61" s="148"/>
      <c r="F61" s="355"/>
      <c r="G61" s="278"/>
      <c r="H61" s="148"/>
      <c r="I61" s="355"/>
      <c r="J61" s="278"/>
      <c r="K61" s="355">
        <v>5</v>
      </c>
      <c r="L61" s="355"/>
      <c r="M61" s="278"/>
      <c r="N61" s="148"/>
      <c r="O61" s="355"/>
      <c r="P61" s="278"/>
      <c r="Q61" s="148"/>
      <c r="R61" s="355"/>
      <c r="S61" s="278"/>
      <c r="T61" s="148"/>
      <c r="U61" s="355"/>
      <c r="V61" s="278"/>
      <c r="W61" s="148"/>
      <c r="X61" s="355"/>
      <c r="Y61" s="278"/>
      <c r="Z61" s="148"/>
      <c r="AA61" s="355"/>
      <c r="AB61" s="278"/>
      <c r="AC61" s="148"/>
      <c r="AD61" s="355"/>
      <c r="AE61" s="278"/>
      <c r="AF61" s="397">
        <f t="shared" si="36"/>
        <v>5</v>
      </c>
      <c r="AG61" s="397">
        <f t="shared" si="36"/>
        <v>0</v>
      </c>
      <c r="AH61" s="278">
        <f t="shared" si="22"/>
        <v>-100</v>
      </c>
      <c r="AI61" s="397">
        <f>B61+E61+H61+K61+N61+Q61+T61+W61+Z61+AC61</f>
        <v>5</v>
      </c>
      <c r="AJ61" s="397">
        <f t="shared" si="37"/>
        <v>0</v>
      </c>
      <c r="AK61" s="356">
        <f t="shared" si="24"/>
        <v>-100</v>
      </c>
    </row>
    <row r="62" spans="1:37" s="367" customFormat="1" ht="20.100000000000001" customHeight="1" x14ac:dyDescent="0.3">
      <c r="A62" s="429" t="s">
        <v>207</v>
      </c>
      <c r="B62" s="148">
        <f>SUM(B45+B46+B60+B61)</f>
        <v>376542.95327736996</v>
      </c>
      <c r="C62" s="355">
        <f>SUM(C45+C46+C60+C61)</f>
        <v>407201.49112195149</v>
      </c>
      <c r="D62" s="278">
        <f t="shared" si="20"/>
        <v>8.1</v>
      </c>
      <c r="E62" s="148">
        <f>SUM(E45+E46+E60+E61)</f>
        <v>9828.5854821299999</v>
      </c>
      <c r="F62" s="355">
        <f>SUM(F45+F46+F60+F61)</f>
        <v>10318.127881980001</v>
      </c>
      <c r="G62" s="278">
        <f>IF(E62=0, "    ---- ", IF(ABS(ROUND(100/E62*F62-100,1))&lt;999,ROUND(100/E62*F62-100,1),IF(ROUND(100/E62*F62-100,1)&gt;999,999,-999)))</f>
        <v>5</v>
      </c>
      <c r="H62" s="148">
        <f>SUM(H45+H46+H60+H61)</f>
        <v>2017.9179999999999</v>
      </c>
      <c r="I62" s="355">
        <f>SUM(I45+I46+I60+I61)</f>
        <v>2405.288</v>
      </c>
      <c r="J62" s="278">
        <f>IF(H62=0, "    ---- ", IF(ABS(ROUND(100/H62*I62-100,1))&lt;999,ROUND(100/H62*I62-100,1),IF(ROUND(100/H62*I62-100,1)&gt;999,999,-999)))</f>
        <v>19.2</v>
      </c>
      <c r="K62" s="355">
        <v>79936</v>
      </c>
      <c r="L62" s="355">
        <v>95613</v>
      </c>
      <c r="M62" s="278">
        <f>IF(K62=0, "    ---- ", IF(ABS(ROUND(100/K62*L62-100,1))&lt;999,ROUND(100/K62*L62-100,1),IF(ROUND(100/K62*L62-100,1)&gt;999,999,-999)))</f>
        <v>19.600000000000001</v>
      </c>
      <c r="N62" s="148">
        <v>764821.14334028994</v>
      </c>
      <c r="O62" s="355">
        <v>829080.32481487002</v>
      </c>
      <c r="P62" s="278">
        <f>IF(N62=0, "    ---- ", IF(ABS(ROUND(100/N62*O62-100,1))&lt;999,ROUND(100/N62*O62-100,1),IF(ROUND(100/N62*O62-100,1)&gt;999,999,-999)))</f>
        <v>8.4</v>
      </c>
      <c r="Q62" s="148">
        <f>SUM(Q45+Q46+Q60+Q61)</f>
        <v>223103.24100041992</v>
      </c>
      <c r="R62" s="355">
        <f>SUM(R45+R46+R60+R61)</f>
        <v>247184.07301990996</v>
      </c>
      <c r="S62" s="278">
        <f t="shared" si="26"/>
        <v>10.8</v>
      </c>
      <c r="T62" s="148">
        <f>SUM(T45+T46+T60+T61)</f>
        <v>128162</v>
      </c>
      <c r="U62" s="355">
        <f>SUM(U45+U46+U60+U61)</f>
        <v>137484</v>
      </c>
      <c r="V62" s="278">
        <f>IF(T62=0, "    ---- ", IF(ABS(ROUND(100/T62*U62-100,1))&lt;999,ROUND(100/T62*U62-100,1),IF(ROUND(100/T62*U62-100,1)&gt;999,999,-999)))</f>
        <v>7.3</v>
      </c>
      <c r="W62" s="148">
        <f>SUM(W45+W46+W60+W61)</f>
        <v>101083.69699999999</v>
      </c>
      <c r="X62" s="355">
        <f>SUM(X45+X46+X60+X61)</f>
        <v>116349.76299999999</v>
      </c>
      <c r="Y62" s="278">
        <f t="shared" si="28"/>
        <v>15.1</v>
      </c>
      <c r="Z62" s="148">
        <f>SUM(Z45+Z46+Z60+Z61)</f>
        <v>449372.51699222019</v>
      </c>
      <c r="AA62" s="355">
        <f>SUM(AA45+AA46+AA60+AA61)</f>
        <v>488380.02638504002</v>
      </c>
      <c r="AB62" s="278">
        <f t="shared" si="29"/>
        <v>8.6999999999999993</v>
      </c>
      <c r="AC62" s="148">
        <f>SUM(AC45+AC46+AC60+AC61)</f>
        <v>16</v>
      </c>
      <c r="AD62" s="355">
        <f>SUM(AD45+AD46+AD60+AD61)</f>
        <v>18</v>
      </c>
      <c r="AE62" s="278">
        <f>IF(AC62=0, "    ---- ", IF(ABS(ROUND(100/AC62*AD62-100,1))&lt;999,ROUND(100/AC62*AD62-100,1),IF(ROUND(100/AC62*AD62-100,1)&gt;999,999,-999)))</f>
        <v>12.5</v>
      </c>
      <c r="AF62" s="397">
        <f t="shared" si="36"/>
        <v>2134868.0550924297</v>
      </c>
      <c r="AG62" s="397">
        <f t="shared" si="36"/>
        <v>2334016.0942237517</v>
      </c>
      <c r="AH62" s="278">
        <f t="shared" si="22"/>
        <v>9.3000000000000007</v>
      </c>
      <c r="AI62" s="397">
        <f>B62+E62+H62+K62+N62+Q62+T62+W62+Z62+AC62</f>
        <v>2134884.0550924297</v>
      </c>
      <c r="AJ62" s="397">
        <f t="shared" si="37"/>
        <v>2334034.0942237517</v>
      </c>
      <c r="AK62" s="356">
        <f t="shared" si="24"/>
        <v>9.3000000000000007</v>
      </c>
    </row>
    <row r="63" spans="1:37" s="375" customFormat="1" ht="20.100000000000001" customHeight="1" x14ac:dyDescent="0.3">
      <c r="A63" s="441"/>
      <c r="B63" s="150"/>
      <c r="C63" s="354"/>
      <c r="D63" s="353"/>
      <c r="E63" s="150"/>
      <c r="F63" s="354"/>
      <c r="G63" s="353"/>
      <c r="H63" s="150"/>
      <c r="I63" s="354"/>
      <c r="J63" s="353"/>
      <c r="K63" s="354"/>
      <c r="L63" s="354"/>
      <c r="M63" s="357"/>
      <c r="N63" s="150"/>
      <c r="O63" s="354"/>
      <c r="P63" s="353"/>
      <c r="Q63" s="150"/>
      <c r="R63" s="354"/>
      <c r="S63" s="353"/>
      <c r="T63" s="150"/>
      <c r="U63" s="354"/>
      <c r="V63" s="353"/>
      <c r="W63" s="150"/>
      <c r="X63" s="354"/>
      <c r="Y63" s="353"/>
      <c r="Z63" s="150"/>
      <c r="AA63" s="354"/>
      <c r="AB63" s="353"/>
      <c r="AC63" s="150"/>
      <c r="AD63" s="354"/>
      <c r="AE63" s="353"/>
      <c r="AF63" s="357"/>
      <c r="AG63" s="357"/>
      <c r="AH63" s="353"/>
      <c r="AI63" s="357"/>
      <c r="AJ63" s="357"/>
      <c r="AK63" s="358"/>
    </row>
    <row r="64" spans="1:37" s="375" customFormat="1" ht="20.100000000000001" customHeight="1" x14ac:dyDescent="0.3">
      <c r="A64" s="441" t="s">
        <v>208</v>
      </c>
      <c r="B64" s="150">
        <f>SUM(B29+B62)</f>
        <v>409900.45340868994</v>
      </c>
      <c r="C64" s="354">
        <f>SUM(C29+C62)</f>
        <v>438805.73192144145</v>
      </c>
      <c r="D64" s="353">
        <f t="shared" si="20"/>
        <v>7.1</v>
      </c>
      <c r="E64" s="150">
        <f>SUM(E29+E62)</f>
        <v>13538.29881794</v>
      </c>
      <c r="F64" s="354">
        <f>SUM(F29+F62)</f>
        <v>13887.913147650001</v>
      </c>
      <c r="G64" s="353">
        <f>IF(E64=0, "    ---- ", IF(ABS(ROUND(100/E64*F64-100,1))&lt;999,ROUND(100/E64*F64-100,1),IF(ROUND(100/E64*F64-100,1)&gt;999,999,-999)))</f>
        <v>2.6</v>
      </c>
      <c r="H64" s="150">
        <f>SUM(H29+H62)</f>
        <v>3006.5439999999999</v>
      </c>
      <c r="I64" s="354">
        <f>SUM(I29+I62)</f>
        <v>3556.9929999999999</v>
      </c>
      <c r="J64" s="353">
        <f>IF(H64=0, "    ---- ", IF(ABS(ROUND(100/H64*I64-100,1))&lt;999,ROUND(100/H64*I64-100,1),IF(ROUND(100/H64*I64-100,1)&gt;999,999,-999)))</f>
        <v>18.3</v>
      </c>
      <c r="K64" s="354">
        <v>81500</v>
      </c>
      <c r="L64" s="354">
        <v>97907</v>
      </c>
      <c r="M64" s="357">
        <f>IF(K64=0, "    ---- ", IF(ABS(ROUND(100/K64*L64-100,1))&lt;999,ROUND(100/K64*L64-100,1),IF(ROUND(100/K64*L64-100,1)&gt;999,999,-999)))</f>
        <v>20.100000000000001</v>
      </c>
      <c r="N64" s="150">
        <v>836425.93671107991</v>
      </c>
      <c r="O64" s="354">
        <v>909670.43270899006</v>
      </c>
      <c r="P64" s="353">
        <f>IF(N64=0, "    ---- ", IF(ABS(ROUND(100/N64*O64-100,1))&lt;999,ROUND(100/N64*O64-100,1),IF(ROUND(100/N64*O64-100,1)&gt;999,999,-999)))</f>
        <v>8.8000000000000007</v>
      </c>
      <c r="Q64" s="150">
        <f>SUM(Q29+Q62)</f>
        <v>235599.28100041993</v>
      </c>
      <c r="R64" s="354">
        <f>SUM(R29+R62)</f>
        <v>258524.55301990997</v>
      </c>
      <c r="S64" s="353">
        <f t="shared" si="26"/>
        <v>9.6999999999999993</v>
      </c>
      <c r="T64" s="150">
        <f>SUM(T29+T62)</f>
        <v>140090</v>
      </c>
      <c r="U64" s="354">
        <f>SUM(U29+U62)</f>
        <v>150121</v>
      </c>
      <c r="V64" s="353">
        <f>IF(T64=0, "    ---- ", IF(ABS(ROUND(100/T64*U64-100,1))&lt;999,ROUND(100/T64*U64-100,1),IF(ROUND(100/T64*U64-100,1)&gt;999,999,-999)))</f>
        <v>7.2</v>
      </c>
      <c r="W64" s="150">
        <f>SUM(W29+W62)</f>
        <v>107733.71699999999</v>
      </c>
      <c r="X64" s="354">
        <f>SUM(X29+X62)</f>
        <v>123178.27299999999</v>
      </c>
      <c r="Y64" s="353">
        <f t="shared" si="28"/>
        <v>14.3</v>
      </c>
      <c r="Z64" s="150">
        <f>SUM(Z29+Z62)</f>
        <v>524444.63696819171</v>
      </c>
      <c r="AA64" s="354">
        <f>SUM(AA29+AA62)</f>
        <v>553797.98217941995</v>
      </c>
      <c r="AB64" s="353">
        <f t="shared" si="29"/>
        <v>5.6</v>
      </c>
      <c r="AC64" s="150">
        <f>SUM(AC29+AC62)</f>
        <v>128</v>
      </c>
      <c r="AD64" s="354">
        <f>SUM(AD29+AD62)</f>
        <v>242</v>
      </c>
      <c r="AE64" s="353">
        <f>IF(AC64=0, "    ---- ", IF(ABS(ROUND(100/AC64*AD64-100,1))&lt;999,ROUND(100/AC64*AD64-100,1),IF(ROUND(100/AC64*AD64-100,1)&gt;999,999,-999)))</f>
        <v>89.1</v>
      </c>
      <c r="AF64" s="468">
        <f t="shared" ref="AF64:AG64" si="39">B64+E64+H64+K64+N64+Q64+T64+W64+Z64</f>
        <v>2352238.8679063218</v>
      </c>
      <c r="AG64" s="468">
        <f t="shared" si="39"/>
        <v>2549449.8789774114</v>
      </c>
      <c r="AH64" s="353">
        <f t="shared" si="22"/>
        <v>8.4</v>
      </c>
      <c r="AI64" s="468">
        <f>B64+E64+H64+K64+N64+Q64+T64+W64+Z64+AC64</f>
        <v>2352366.8679063218</v>
      </c>
      <c r="AJ64" s="604">
        <f>C64+F64+I64+L64+O64+R64+U64+X64+AA64+AD64</f>
        <v>2549691.8789774114</v>
      </c>
      <c r="AK64" s="358">
        <f t="shared" si="24"/>
        <v>8.4</v>
      </c>
    </row>
    <row r="65" spans="1:37" s="367" customFormat="1" ht="20.100000000000001" customHeight="1" x14ac:dyDescent="0.3">
      <c r="A65" s="467"/>
      <c r="B65" s="148"/>
      <c r="C65" s="355"/>
      <c r="D65" s="278"/>
      <c r="E65" s="148"/>
      <c r="F65" s="355"/>
      <c r="G65" s="278"/>
      <c r="H65" s="148"/>
      <c r="I65" s="355"/>
      <c r="J65" s="278"/>
      <c r="K65" s="355"/>
      <c r="L65" s="355"/>
      <c r="M65" s="352"/>
      <c r="N65" s="148"/>
      <c r="O65" s="355"/>
      <c r="P65" s="278"/>
      <c r="Q65" s="148"/>
      <c r="R65" s="355"/>
      <c r="S65" s="278"/>
      <c r="T65" s="148"/>
      <c r="U65" s="355"/>
      <c r="V65" s="278"/>
      <c r="W65" s="148"/>
      <c r="X65" s="355"/>
      <c r="Y65" s="278"/>
      <c r="Z65" s="148"/>
      <c r="AA65" s="355"/>
      <c r="AB65" s="278"/>
      <c r="AC65" s="148"/>
      <c r="AD65" s="355"/>
      <c r="AE65" s="278"/>
      <c r="AF65" s="352"/>
      <c r="AG65" s="352"/>
      <c r="AH65" s="278"/>
      <c r="AI65" s="352"/>
      <c r="AJ65" s="352"/>
      <c r="AK65" s="356"/>
    </row>
    <row r="66" spans="1:37" s="367" customFormat="1" ht="20.100000000000001" customHeight="1" x14ac:dyDescent="0.3">
      <c r="A66" s="441" t="s">
        <v>209</v>
      </c>
      <c r="B66" s="148"/>
      <c r="C66" s="355"/>
      <c r="D66" s="278"/>
      <c r="E66" s="148"/>
      <c r="F66" s="355"/>
      <c r="G66" s="278"/>
      <c r="H66" s="148"/>
      <c r="I66" s="355"/>
      <c r="J66" s="278"/>
      <c r="K66" s="355"/>
      <c r="L66" s="355"/>
      <c r="M66" s="352"/>
      <c r="N66" s="148"/>
      <c r="O66" s="355"/>
      <c r="P66" s="278"/>
      <c r="Q66" s="148"/>
      <c r="R66" s="355"/>
      <c r="S66" s="278"/>
      <c r="T66" s="148"/>
      <c r="U66" s="355"/>
      <c r="V66" s="278"/>
      <c r="W66" s="148"/>
      <c r="X66" s="355"/>
      <c r="Y66" s="278"/>
      <c r="Z66" s="148"/>
      <c r="AA66" s="355"/>
      <c r="AB66" s="278"/>
      <c r="AC66" s="148"/>
      <c r="AD66" s="355"/>
      <c r="AE66" s="278"/>
      <c r="AF66" s="352"/>
      <c r="AG66" s="352"/>
      <c r="AH66" s="278"/>
      <c r="AI66" s="352"/>
      <c r="AJ66" s="352"/>
      <c r="AK66" s="356"/>
    </row>
    <row r="67" spans="1:37" s="367" customFormat="1" ht="20.100000000000001" customHeight="1" x14ac:dyDescent="0.3">
      <c r="A67" s="441"/>
      <c r="B67" s="148"/>
      <c r="C67" s="355"/>
      <c r="D67" s="278"/>
      <c r="E67" s="148"/>
      <c r="F67" s="355"/>
      <c r="G67" s="278"/>
      <c r="H67" s="148"/>
      <c r="I67" s="355"/>
      <c r="J67" s="278"/>
      <c r="K67" s="355"/>
      <c r="L67" s="355"/>
      <c r="M67" s="352"/>
      <c r="N67" s="148"/>
      <c r="O67" s="355"/>
      <c r="P67" s="278"/>
      <c r="Q67" s="148"/>
      <c r="R67" s="355"/>
      <c r="S67" s="278"/>
      <c r="T67" s="148"/>
      <c r="U67" s="355"/>
      <c r="V67" s="278"/>
      <c r="W67" s="148"/>
      <c r="X67" s="355"/>
      <c r="Y67" s="278"/>
      <c r="Z67" s="148"/>
      <c r="AA67" s="355"/>
      <c r="AB67" s="278"/>
      <c r="AC67" s="148"/>
      <c r="AD67" s="355"/>
      <c r="AE67" s="278"/>
      <c r="AF67" s="352"/>
      <c r="AG67" s="352"/>
      <c r="AH67" s="278"/>
      <c r="AI67" s="352"/>
      <c r="AJ67" s="352"/>
      <c r="AK67" s="356"/>
    </row>
    <row r="68" spans="1:37" s="367" customFormat="1" ht="20.100000000000001" customHeight="1" x14ac:dyDescent="0.3">
      <c r="A68" s="429" t="s">
        <v>210</v>
      </c>
      <c r="B68" s="148">
        <v>7657.0531522000001</v>
      </c>
      <c r="C68" s="355">
        <v>7657.0529999999999</v>
      </c>
      <c r="D68" s="278">
        <f t="shared" si="20"/>
        <v>0</v>
      </c>
      <c r="E68" s="148">
        <v>2452.057311</v>
      </c>
      <c r="F68" s="355">
        <v>2452.057311</v>
      </c>
      <c r="G68" s="278">
        <f>IF(E68=0, "    ---- ", IF(ABS(ROUND(100/E68*F68-100,1))&lt;999,ROUND(100/E68*F68-100,1),IF(ROUND(100/E68*F68-100,1)&gt;999,999,-999)))</f>
        <v>0</v>
      </c>
      <c r="H68" s="148">
        <v>221.25</v>
      </c>
      <c r="I68" s="355">
        <v>221.25</v>
      </c>
      <c r="J68" s="278">
        <f>IF(H68=0, "    ---- ", IF(ABS(ROUND(100/H68*I68-100,1))&lt;999,ROUND(100/H68*I68-100,1),IF(ROUND(100/H68*I68-100,1)&gt;999,999,-999)))</f>
        <v>0</v>
      </c>
      <c r="K68" s="355">
        <v>123</v>
      </c>
      <c r="L68" s="355">
        <v>625</v>
      </c>
      <c r="M68" s="352">
        <f>IF(K68=0, "    ---- ", IF(ABS(ROUND(100/K68*L68-100,1))&lt;999,ROUND(100/K68*L68-100,1),IF(ROUND(100/K68*L68-100,1)&gt;999,999,-999)))</f>
        <v>408.1</v>
      </c>
      <c r="N68" s="148">
        <v>22955.774984</v>
      </c>
      <c r="O68" s="355">
        <v>25177.679049999999</v>
      </c>
      <c r="P68" s="278">
        <f t="shared" ref="P68:P80" si="40">IF(N68=0, "    ---- ", IF(ABS(ROUND(100/N68*O68-100,1))&lt;999,ROUND(100/N68*O68-100,1),IF(ROUND(100/N68*O68-100,1)&gt;999,999,-999)))</f>
        <v>9.6999999999999993</v>
      </c>
      <c r="Q68" s="148">
        <v>1126.76</v>
      </c>
      <c r="R68" s="355">
        <v>1126.76</v>
      </c>
      <c r="S68" s="278">
        <f t="shared" si="26"/>
        <v>0</v>
      </c>
      <c r="T68" s="148">
        <v>1430</v>
      </c>
      <c r="U68" s="355">
        <v>1430</v>
      </c>
      <c r="V68" s="278">
        <f>IF(T68=0, "    ---- ", IF(ABS(ROUND(100/T68*U68-100,1))&lt;999,ROUND(100/T68*U68-100,1),IF(ROUND(100/T68*U68-100,1)&gt;999,999,-999)))</f>
        <v>0</v>
      </c>
      <c r="W68" s="148">
        <v>4972.6959999999999</v>
      </c>
      <c r="X68" s="355">
        <v>4972.6959999999999</v>
      </c>
      <c r="Y68" s="278">
        <f t="shared" si="28"/>
        <v>0</v>
      </c>
      <c r="Z68" s="148">
        <v>15958.56135475</v>
      </c>
      <c r="AA68" s="355">
        <v>16427.475083239999</v>
      </c>
      <c r="AB68" s="278">
        <f t="shared" si="29"/>
        <v>2.9</v>
      </c>
      <c r="AC68" s="148">
        <v>86</v>
      </c>
      <c r="AD68" s="355">
        <v>86</v>
      </c>
      <c r="AE68" s="278">
        <f>IF(AC68=0, "    ---- ", IF(ABS(ROUND(100/AC68*AD68-100,1))&lt;999,ROUND(100/AC68*AD68-100,1),IF(ROUND(100/AC68*AD68-100,1)&gt;999,999,-999)))</f>
        <v>0</v>
      </c>
      <c r="AF68" s="397">
        <f t="shared" ref="AF68:AG71" si="41">B68+E68+H68+K68+N68+Q68+T68+W68+Z68</f>
        <v>56897.152801949997</v>
      </c>
      <c r="AG68" s="397">
        <f t="shared" si="41"/>
        <v>60089.970444240011</v>
      </c>
      <c r="AH68" s="278">
        <f t="shared" si="22"/>
        <v>5.6</v>
      </c>
      <c r="AI68" s="397">
        <f t="shared" ref="AI68:AJ71" si="42">B68+E68+H68+K68+N68+Q68+T68+W68+Z68+AC68</f>
        <v>56983.152801949997</v>
      </c>
      <c r="AJ68" s="397">
        <f t="shared" si="42"/>
        <v>60175.970444240011</v>
      </c>
      <c r="AK68" s="356">
        <f t="shared" si="24"/>
        <v>5.6</v>
      </c>
    </row>
    <row r="69" spans="1:37" s="367" customFormat="1" ht="20.100000000000001" customHeight="1" x14ac:dyDescent="0.3">
      <c r="A69" s="429" t="s">
        <v>211</v>
      </c>
      <c r="B69" s="148">
        <v>17003.921344039998</v>
      </c>
      <c r="C69" s="355">
        <v>15877.424000000001</v>
      </c>
      <c r="D69" s="278">
        <f t="shared" si="20"/>
        <v>-6.6</v>
      </c>
      <c r="E69" s="148">
        <v>444.11534547000099</v>
      </c>
      <c r="F69" s="355">
        <v>561.30474607999952</v>
      </c>
      <c r="G69" s="278">
        <f>IF(E69=0, "    ---- ", IF(ABS(ROUND(100/E69*F69-100,1))&lt;999,ROUND(100/E69*F69-100,1),IF(ROUND(100/E69*F69-100,1)&gt;999,999,-999)))</f>
        <v>26.4</v>
      </c>
      <c r="H69" s="148">
        <v>408.69099999999997</v>
      </c>
      <c r="I69" s="355">
        <v>492.25599999999997</v>
      </c>
      <c r="J69" s="278">
        <f>IF(H69=0, "    ---- ", IF(ABS(ROUND(100/H69*I69-100,1))&lt;999,ROUND(100/H69*I69-100,1),IF(ROUND(100/H69*I69-100,1)&gt;999,999,-999)))</f>
        <v>20.399999999999999</v>
      </c>
      <c r="K69" s="355">
        <v>787</v>
      </c>
      <c r="L69" s="355">
        <v>995</v>
      </c>
      <c r="M69" s="352">
        <f>IF(K69=0, "    ---- ", IF(ABS(ROUND(100/K69*L69-100,1))&lt;999,ROUND(100/K69*L69-100,1),IF(ROUND(100/K69*L69-100,1)&gt;999,999,-999)))</f>
        <v>26.4</v>
      </c>
      <c r="N69" s="148">
        <v>21792.006445299998</v>
      </c>
      <c r="O69" s="355">
        <v>22820.904344300001</v>
      </c>
      <c r="P69" s="278">
        <f t="shared" si="40"/>
        <v>4.7</v>
      </c>
      <c r="Q69" s="148">
        <v>7850.36</v>
      </c>
      <c r="R69" s="355">
        <v>6756.17</v>
      </c>
      <c r="S69" s="278">
        <f t="shared" si="26"/>
        <v>-13.9</v>
      </c>
      <c r="T69" s="148">
        <v>11297</v>
      </c>
      <c r="U69" s="355">
        <v>12480</v>
      </c>
      <c r="V69" s="278">
        <f>IF(T69=0, "    ---- ", IF(ABS(ROUND(100/T69*U69-100,1))&lt;999,ROUND(100/T69*U69-100,1),IF(ROUND(100/T69*U69-100,1)&gt;999,999,-999)))</f>
        <v>10.5</v>
      </c>
      <c r="W69" s="148">
        <v>1139.018</v>
      </c>
      <c r="X69" s="355">
        <v>1214.694</v>
      </c>
      <c r="Y69" s="278">
        <f t="shared" si="28"/>
        <v>6.6</v>
      </c>
      <c r="Z69" s="148">
        <v>12040.344480565649</v>
      </c>
      <c r="AA69" s="355">
        <v>10823.071220415899</v>
      </c>
      <c r="AB69" s="278">
        <f t="shared" si="29"/>
        <v>-10.1</v>
      </c>
      <c r="AC69" s="148">
        <v>-105</v>
      </c>
      <c r="AD69" s="355">
        <v>-129</v>
      </c>
      <c r="AE69" s="278">
        <f>IF(AC69=0, "    ---- ", IF(ABS(ROUND(100/AC69*AD69-100,1))&lt;999,ROUND(100/AC69*AD69-100,1),IF(ROUND(100/AC69*AD69-100,1)&gt;999,999,-999)))</f>
        <v>22.9</v>
      </c>
      <c r="AF69" s="397">
        <f t="shared" si="41"/>
        <v>72762.456615375646</v>
      </c>
      <c r="AG69" s="397">
        <f t="shared" si="41"/>
        <v>72020.824310795899</v>
      </c>
      <c r="AH69" s="278">
        <f t="shared" si="22"/>
        <v>-1</v>
      </c>
      <c r="AI69" s="397">
        <f t="shared" si="42"/>
        <v>72657.456615375646</v>
      </c>
      <c r="AJ69" s="397">
        <f t="shared" si="42"/>
        <v>71891.824310795899</v>
      </c>
      <c r="AK69" s="356">
        <f t="shared" si="24"/>
        <v>-1.1000000000000001</v>
      </c>
    </row>
    <row r="70" spans="1:37" s="367" customFormat="1" ht="20.100000000000001" customHeight="1" x14ac:dyDescent="0.3">
      <c r="A70" s="429" t="s">
        <v>212</v>
      </c>
      <c r="B70" s="148">
        <v>1291.19246589</v>
      </c>
      <c r="C70" s="355">
        <v>1471.6210000000001</v>
      </c>
      <c r="D70" s="278">
        <f>IF(B70=0, "    ---- ", IF(ABS(ROUND(100/B70*C70-100,1))&lt;999,ROUND(100/B70*C70-100,1),IF(ROUND(100/B70*C70-100,1)&gt;999,999,-999)))</f>
        <v>14</v>
      </c>
      <c r="E70" s="148"/>
      <c r="F70" s="355"/>
      <c r="G70" s="278"/>
      <c r="H70" s="148">
        <v>11.131</v>
      </c>
      <c r="I70" s="355">
        <v>0</v>
      </c>
      <c r="J70" s="278">
        <f>IF(H70=0, "    ---- ", IF(ABS(ROUND(100/H70*I70-100,1))&lt;999,ROUND(100/H70*I70-100,1),IF(ROUND(100/H70*I70-100,1)&gt;999,999,-999)))</f>
        <v>-100</v>
      </c>
      <c r="K70" s="355">
        <v>53</v>
      </c>
      <c r="L70" s="355">
        <v>70</v>
      </c>
      <c r="M70" s="278">
        <f>IF(K70=0, "    ---- ", IF(ABS(ROUND(100/K70*L70-100,1))&lt;999,ROUND(100/K70*L70-100,1),IF(ROUND(100/K70*L70-100,1)&gt;999,999,-999)))</f>
        <v>32.1</v>
      </c>
      <c r="N70" s="148">
        <v>3843.2966662100002</v>
      </c>
      <c r="O70" s="355">
        <v>4123.0000972099997</v>
      </c>
      <c r="P70" s="278">
        <f t="shared" si="40"/>
        <v>7.3</v>
      </c>
      <c r="Q70" s="148">
        <v>300.36</v>
      </c>
      <c r="R70" s="355">
        <v>327.71</v>
      </c>
      <c r="S70" s="278">
        <f t="shared" si="26"/>
        <v>9.1</v>
      </c>
      <c r="T70" s="148"/>
      <c r="U70" s="355"/>
      <c r="V70" s="278"/>
      <c r="W70" s="148">
        <v>302.93099999999998</v>
      </c>
      <c r="X70" s="355">
        <v>310.06799999999998</v>
      </c>
      <c r="Y70" s="278">
        <f>IF(W70=0, "    ---- ", IF(ABS(ROUND(100/W70*X70-100,1))&lt;999,ROUND(100/W70*X70-100,1),IF(ROUND(100/W70*X70-100,1)&gt;999,999,-999)))</f>
        <v>2.4</v>
      </c>
      <c r="Z70" s="148">
        <v>1166.5164840600003</v>
      </c>
      <c r="AA70" s="355">
        <v>1356.3751610499999</v>
      </c>
      <c r="AB70" s="278">
        <f t="shared" si="29"/>
        <v>16.3</v>
      </c>
      <c r="AC70" s="148"/>
      <c r="AD70" s="355"/>
      <c r="AE70" s="278"/>
      <c r="AF70" s="397">
        <f t="shared" si="41"/>
        <v>6968.4276161600001</v>
      </c>
      <c r="AG70" s="397">
        <f t="shared" si="41"/>
        <v>7658.7742582600004</v>
      </c>
      <c r="AH70" s="278">
        <f t="shared" si="22"/>
        <v>9.9</v>
      </c>
      <c r="AI70" s="397">
        <f t="shared" si="42"/>
        <v>6968.4276161600001</v>
      </c>
      <c r="AJ70" s="397">
        <f t="shared" si="42"/>
        <v>7658.7742582600004</v>
      </c>
      <c r="AK70" s="356">
        <f t="shared" si="24"/>
        <v>9.9</v>
      </c>
    </row>
    <row r="71" spans="1:37" s="367" customFormat="1" ht="20.100000000000001" customHeight="1" x14ac:dyDescent="0.3">
      <c r="A71" s="429" t="s">
        <v>213</v>
      </c>
      <c r="B71" s="148">
        <v>7000</v>
      </c>
      <c r="C71" s="355">
        <v>7000</v>
      </c>
      <c r="D71" s="278">
        <f t="shared" si="20"/>
        <v>0</v>
      </c>
      <c r="E71" s="148">
        <v>550</v>
      </c>
      <c r="F71" s="355">
        <v>250</v>
      </c>
      <c r="G71" s="278">
        <f>IF(E71=0, "    ---- ", IF(ABS(ROUND(100/E71*F71-100,1))&lt;999,ROUND(100/E71*F71-100,1),IF(ROUND(100/E71*F71-100,1)&gt;999,999,-999)))</f>
        <v>-54.5</v>
      </c>
      <c r="H71" s="148"/>
      <c r="I71" s="355"/>
      <c r="J71" s="278"/>
      <c r="K71" s="355">
        <v>301</v>
      </c>
      <c r="L71" s="355">
        <v>301</v>
      </c>
      <c r="M71" s="352">
        <f>IF(K71=0, "    ---- ", IF(ABS(ROUND(100/K71*L71-100,1))&lt;999,ROUND(100/K71*L71-100,1),IF(ROUND(100/K71*L71-100,1)&gt;999,999,-999)))</f>
        <v>0</v>
      </c>
      <c r="N71" s="148">
        <v>4703.4529254899999</v>
      </c>
      <c r="O71" s="355">
        <v>1308.08073126</v>
      </c>
      <c r="P71" s="278">
        <f t="shared" si="40"/>
        <v>-72.2</v>
      </c>
      <c r="Q71" s="148">
        <v>2830</v>
      </c>
      <c r="R71" s="355">
        <v>2830</v>
      </c>
      <c r="S71" s="278">
        <f t="shared" si="26"/>
        <v>0</v>
      </c>
      <c r="T71" s="148"/>
      <c r="U71" s="355"/>
      <c r="V71" s="278"/>
      <c r="W71" s="148"/>
      <c r="X71" s="355"/>
      <c r="Y71" s="278"/>
      <c r="Z71" s="148">
        <v>9873.2881080000006</v>
      </c>
      <c r="AA71" s="355">
        <v>9906.4602901200014</v>
      </c>
      <c r="AB71" s="278">
        <f t="shared" si="29"/>
        <v>0.3</v>
      </c>
      <c r="AC71" s="148"/>
      <c r="AD71" s="355"/>
      <c r="AE71" s="278"/>
      <c r="AF71" s="397">
        <f t="shared" si="41"/>
        <v>25257.741033490001</v>
      </c>
      <c r="AG71" s="397">
        <f t="shared" si="41"/>
        <v>21595.541021380002</v>
      </c>
      <c r="AH71" s="278">
        <f t="shared" si="22"/>
        <v>-14.5</v>
      </c>
      <c r="AI71" s="397">
        <f t="shared" si="42"/>
        <v>25257.741033490001</v>
      </c>
      <c r="AJ71" s="397">
        <f t="shared" si="42"/>
        <v>21595.541021380002</v>
      </c>
      <c r="AK71" s="356">
        <f t="shared" si="24"/>
        <v>-14.5</v>
      </c>
    </row>
    <row r="72" spans="1:37" s="367" customFormat="1" ht="20.100000000000001" customHeight="1" x14ac:dyDescent="0.3">
      <c r="A72" s="429" t="s">
        <v>214</v>
      </c>
      <c r="B72" s="148"/>
      <c r="C72" s="355"/>
      <c r="D72" s="278"/>
      <c r="E72" s="148"/>
      <c r="F72" s="355"/>
      <c r="G72" s="278"/>
      <c r="H72" s="148"/>
      <c r="I72" s="355"/>
      <c r="J72" s="278"/>
      <c r="K72" s="355"/>
      <c r="L72" s="355"/>
      <c r="M72" s="352"/>
      <c r="N72" s="148"/>
      <c r="O72" s="355">
        <v>0</v>
      </c>
      <c r="P72" s="278"/>
      <c r="Q72" s="148"/>
      <c r="R72" s="355"/>
      <c r="S72" s="278"/>
      <c r="T72" s="148"/>
      <c r="U72" s="355"/>
      <c r="V72" s="278"/>
      <c r="W72" s="148"/>
      <c r="X72" s="355"/>
      <c r="Y72" s="278"/>
      <c r="Z72" s="148"/>
      <c r="AA72" s="355"/>
      <c r="AB72" s="278"/>
      <c r="AC72" s="148"/>
      <c r="AD72" s="355"/>
      <c r="AE72" s="278"/>
      <c r="AF72" s="352"/>
      <c r="AG72" s="352"/>
      <c r="AH72" s="278"/>
      <c r="AI72" s="352"/>
      <c r="AJ72" s="352"/>
      <c r="AK72" s="356"/>
    </row>
    <row r="73" spans="1:37" s="367" customFormat="1" ht="20.100000000000001" customHeight="1" x14ac:dyDescent="0.3">
      <c r="A73" s="429" t="s">
        <v>353</v>
      </c>
      <c r="B73" s="148">
        <v>175731.98043544</v>
      </c>
      <c r="C73" s="355">
        <v>170820.68400000001</v>
      </c>
      <c r="D73" s="278">
        <f t="shared" si="20"/>
        <v>-2.8</v>
      </c>
      <c r="E73" s="148">
        <v>9421.3181844200008</v>
      </c>
      <c r="F73" s="355">
        <v>10087.824104529996</v>
      </c>
      <c r="G73" s="278">
        <f>IF(E73=0, "    ---- ", IF(ABS(ROUND(100/E73*F73-100,1))&lt;999,ROUND(100/E73*F73-100,1),IF(ROUND(100/E73*F73-100,1)&gt;999,999,-999)))</f>
        <v>7.1</v>
      </c>
      <c r="H73" s="148">
        <v>2224.2739999999999</v>
      </c>
      <c r="I73" s="355">
        <v>2641.2489999999998</v>
      </c>
      <c r="J73" s="278">
        <f>IF(H73=0, "    ---- ", IF(ABS(ROUND(100/H73*I73-100,1))&lt;999,ROUND(100/H73*I73-100,1),IF(ROUND(100/H73*I73-100,1)&gt;999,999,-999)))</f>
        <v>18.7</v>
      </c>
      <c r="K73" s="355">
        <v>10082</v>
      </c>
      <c r="L73" s="355">
        <v>11102</v>
      </c>
      <c r="M73" s="352">
        <f>IF(K73=0, "    ---- ", IF(ABS(ROUND(100/K73*L73-100,1))&lt;999,ROUND(100/K73*L73-100,1),IF(ROUND(100/K73*L73-100,1)&gt;999,999,-999)))</f>
        <v>10.1</v>
      </c>
      <c r="N73" s="148">
        <v>598483.75648929004</v>
      </c>
      <c r="O73" s="355">
        <v>644282.42596975004</v>
      </c>
      <c r="P73" s="278">
        <f t="shared" si="40"/>
        <v>7.7</v>
      </c>
      <c r="Q73" s="148">
        <v>47761.2</v>
      </c>
      <c r="R73" s="355">
        <v>48346.6</v>
      </c>
      <c r="S73" s="278">
        <f t="shared" si="26"/>
        <v>1.2</v>
      </c>
      <c r="T73" s="148">
        <v>86648</v>
      </c>
      <c r="U73" s="355">
        <v>92279</v>
      </c>
      <c r="V73" s="278">
        <f>IF(T73=0, "    ---- ", IF(ABS(ROUND(100/T73*U73-100,1))&lt;999,ROUND(100/T73*U73-100,1),IF(ROUND(100/T73*U73-100,1)&gt;999,999,-999)))</f>
        <v>6.5</v>
      </c>
      <c r="W73" s="148">
        <v>19781.522000000001</v>
      </c>
      <c r="X73" s="355">
        <v>21519.885999999999</v>
      </c>
      <c r="Y73" s="278">
        <f t="shared" si="28"/>
        <v>8.8000000000000007</v>
      </c>
      <c r="Z73" s="148">
        <v>195155.13201682988</v>
      </c>
      <c r="AA73" s="355">
        <v>199820.81257784</v>
      </c>
      <c r="AB73" s="278">
        <f t="shared" si="29"/>
        <v>2.4</v>
      </c>
      <c r="AC73" s="148">
        <v>111</v>
      </c>
      <c r="AD73" s="355">
        <v>200</v>
      </c>
      <c r="AE73" s="278">
        <f t="shared" ref="AE73:AE77" si="43">IF(AC73=0, "    ---- ", IF(ABS(ROUND(100/AC73*AD73-100,1))&lt;999,ROUND(100/AC73*AD73-100,1),IF(ROUND(100/AC73*AD73-100,1)&gt;999,999,-999)))</f>
        <v>80.2</v>
      </c>
      <c r="AF73" s="397">
        <f t="shared" ref="AF73:AG80" si="44">B73+E73+H73+K73+N73+Q73+T73+W73+Z73</f>
        <v>1145289.1831259797</v>
      </c>
      <c r="AG73" s="397">
        <f t="shared" si="44"/>
        <v>1200900.4816521199</v>
      </c>
      <c r="AH73" s="278">
        <f t="shared" si="22"/>
        <v>4.9000000000000004</v>
      </c>
      <c r="AI73" s="397">
        <f t="shared" ref="AI73:AJ80" si="45">B73+E73+H73+K73+N73+Q73+T73+W73+Z73+AC73</f>
        <v>1145400.1831259797</v>
      </c>
      <c r="AJ73" s="397">
        <f t="shared" si="45"/>
        <v>1201100.4816521199</v>
      </c>
      <c r="AK73" s="356">
        <f t="shared" si="24"/>
        <v>4.9000000000000004</v>
      </c>
    </row>
    <row r="74" spans="1:37" s="367" customFormat="1" ht="20.100000000000001" customHeight="1" x14ac:dyDescent="0.3">
      <c r="A74" s="602" t="s">
        <v>419</v>
      </c>
      <c r="B74" s="148"/>
      <c r="C74" s="355"/>
      <c r="D74" s="278"/>
      <c r="E74" s="148"/>
      <c r="F74" s="355"/>
      <c r="G74" s="278"/>
      <c r="H74" s="148">
        <v>23.856000000000002</v>
      </c>
      <c r="I74" s="355"/>
      <c r="J74" s="278">
        <f>IF(H74=0, "    ---- ", IF(ABS(ROUND(100/H74*I74-100,1))&lt;999,ROUND(100/H74*I74-100,1),IF(ROUND(100/H74*I74-100,1)&gt;999,999,-999)))</f>
        <v>-100</v>
      </c>
      <c r="K74" s="355"/>
      <c r="L74" s="355"/>
      <c r="M74" s="352"/>
      <c r="N74" s="148"/>
      <c r="O74" s="355"/>
      <c r="P74" s="278"/>
      <c r="Q74" s="148"/>
      <c r="R74" s="355"/>
      <c r="S74" s="278"/>
      <c r="T74" s="148"/>
      <c r="U74" s="355"/>
      <c r="V74" s="278"/>
      <c r="W74" s="148"/>
      <c r="X74" s="355"/>
      <c r="Y74" s="278"/>
      <c r="Z74" s="148"/>
      <c r="AA74" s="355"/>
      <c r="AB74" s="278"/>
      <c r="AC74" s="148"/>
      <c r="AD74" s="355"/>
      <c r="AE74" s="278"/>
      <c r="AF74" s="397">
        <f t="shared" si="44"/>
        <v>23.856000000000002</v>
      </c>
      <c r="AG74" s="397">
        <f t="shared" si="44"/>
        <v>0</v>
      </c>
      <c r="AH74" s="278">
        <f t="shared" si="22"/>
        <v>-100</v>
      </c>
      <c r="AI74" s="397">
        <f t="shared" si="45"/>
        <v>23.856000000000002</v>
      </c>
      <c r="AJ74" s="397">
        <f t="shared" si="45"/>
        <v>0</v>
      </c>
      <c r="AK74" s="356">
        <f t="shared" si="24"/>
        <v>-100</v>
      </c>
    </row>
    <row r="75" spans="1:37" s="367" customFormat="1" ht="20.100000000000001" customHeight="1" x14ac:dyDescent="0.3">
      <c r="A75" s="602" t="s">
        <v>410</v>
      </c>
      <c r="B75" s="148"/>
      <c r="C75" s="355"/>
      <c r="D75" s="278"/>
      <c r="E75" s="148"/>
      <c r="F75" s="355"/>
      <c r="G75" s="278"/>
      <c r="H75" s="148">
        <v>8.3000000000000007</v>
      </c>
      <c r="I75" s="355"/>
      <c r="J75" s="278">
        <f>IF(H75=0, "    ---- ", IF(ABS(ROUND(100/H75*I75-100,1))&lt;999,ROUND(100/H75*I75-100,1),IF(ROUND(100/H75*I75-100,1)&gt;999,999,-999)))</f>
        <v>-100</v>
      </c>
      <c r="K75" s="355"/>
      <c r="L75" s="355"/>
      <c r="M75" s="352"/>
      <c r="N75" s="148">
        <v>1E-8</v>
      </c>
      <c r="O75" s="355">
        <v>1E-8</v>
      </c>
      <c r="P75" s="278">
        <f t="shared" si="40"/>
        <v>0</v>
      </c>
      <c r="Q75" s="148"/>
      <c r="R75" s="355"/>
      <c r="S75" s="278"/>
      <c r="T75" s="148"/>
      <c r="U75" s="355"/>
      <c r="V75" s="278"/>
      <c r="W75" s="148"/>
      <c r="X75" s="355"/>
      <c r="Y75" s="278"/>
      <c r="Z75" s="148">
        <v>62.542222069999681</v>
      </c>
      <c r="AA75" s="355">
        <v>45.00813818000001</v>
      </c>
      <c r="AB75" s="278">
        <f t="shared" si="29"/>
        <v>-28</v>
      </c>
      <c r="AC75" s="148"/>
      <c r="AD75" s="355"/>
      <c r="AE75" s="278"/>
      <c r="AF75" s="397">
        <f t="shared" si="44"/>
        <v>70.842222079999686</v>
      </c>
      <c r="AG75" s="397">
        <f t="shared" si="44"/>
        <v>45.008138190000011</v>
      </c>
      <c r="AH75" s="278">
        <f t="shared" si="22"/>
        <v>-36.5</v>
      </c>
      <c r="AI75" s="397">
        <f t="shared" si="45"/>
        <v>70.842222079999686</v>
      </c>
      <c r="AJ75" s="397">
        <f t="shared" si="45"/>
        <v>45.008138190000011</v>
      </c>
      <c r="AK75" s="356">
        <f t="shared" si="24"/>
        <v>-36.5</v>
      </c>
    </row>
    <row r="76" spans="1:37" s="367" customFormat="1" ht="20.100000000000001" customHeight="1" x14ac:dyDescent="0.3">
      <c r="A76" s="429" t="s">
        <v>394</v>
      </c>
      <c r="B76" s="148">
        <v>6388.8967637599999</v>
      </c>
      <c r="C76" s="355">
        <v>8979.1252167500006</v>
      </c>
      <c r="D76" s="278">
        <f>IF(B76=0, "    ---- ", IF(ABS(ROUND(100/B76*C76-100,1))&lt;999,ROUND(100/B76*C76-100,1),IF(ROUND(100/B76*C76-100,1)&gt;999,999,-999)))</f>
        <v>40.5</v>
      </c>
      <c r="E76" s="148">
        <v>112.97187583</v>
      </c>
      <c r="F76" s="355">
        <v>9.13512111</v>
      </c>
      <c r="G76" s="278">
        <f>IF(E76=0, "    ---- ", IF(ABS(ROUND(100/E76*F76-100,1))&lt;999,ROUND(100/E76*F76-100,1),IF(ROUND(100/E76*F76-100,1)&gt;999,999,-999)))</f>
        <v>-91.9</v>
      </c>
      <c r="H76" s="148"/>
      <c r="I76" s="355">
        <v>47.23</v>
      </c>
      <c r="J76" s="278" t="str">
        <f>IF(H76=0, "    ---- ", IF(ABS(ROUND(100/H76*I76-100,1))&lt;999,ROUND(100/H76*I76-100,1),IF(ROUND(100/H76*I76-100,1)&gt;999,999,-999)))</f>
        <v xml:space="preserve">    ---- </v>
      </c>
      <c r="K76" s="355">
        <v>291</v>
      </c>
      <c r="L76" s="355">
        <v>397</v>
      </c>
      <c r="M76" s="278">
        <f>IF(K76=0, "    ---- ", IF(ABS(ROUND(100/K76*L76-100,1))&lt;999,ROUND(100/K76*L76-100,1),IF(ROUND(100/K76*L76-100,1)&gt;999,999,-999)))</f>
        <v>36.4</v>
      </c>
      <c r="N76" s="148">
        <v>108949.31144963999</v>
      </c>
      <c r="O76" s="355">
        <v>121996.22150364</v>
      </c>
      <c r="P76" s="278">
        <f>IF(N76=0, "    ---- ", IF(ABS(ROUND(100/N76*O76-100,1))&lt;999,ROUND(100/N76*O76-100,1),IF(ROUND(100/N76*O76-100,1)&gt;999,999,-999)))</f>
        <v>12</v>
      </c>
      <c r="Q76" s="148">
        <v>5903.11</v>
      </c>
      <c r="R76" s="355">
        <v>6066.21</v>
      </c>
      <c r="S76" s="278">
        <f>IF(Q76=0, "    ---- ", IF(ABS(ROUND(100/Q76*R76-100,1))&lt;999,ROUND(100/Q76*R76-100,1),IF(ROUND(100/Q76*R76-100,1)&gt;999,999,-999)))</f>
        <v>2.8</v>
      </c>
      <c r="T76" s="148">
        <v>29966</v>
      </c>
      <c r="U76" s="355">
        <v>32468</v>
      </c>
      <c r="V76" s="278">
        <f>IF(T76=0, "    ---- ", IF(ABS(ROUND(100/T76*U76-100,1))&lt;999,ROUND(100/T76*U76-100,1),IF(ROUND(100/T76*U76-100,1)&gt;999,999,-999)))</f>
        <v>8.3000000000000007</v>
      </c>
      <c r="W76" s="148">
        <v>3327.4340000000002</v>
      </c>
      <c r="X76" s="355">
        <v>3607.9029999999998</v>
      </c>
      <c r="Y76" s="278">
        <f>IF(W76=0, "    ---- ", IF(ABS(ROUND(100/W76*X76-100,1))&lt;999,ROUND(100/W76*X76-100,1),IF(ROUND(100/W76*X76-100,1)&gt;999,999,-999)))</f>
        <v>8.4</v>
      </c>
      <c r="Z76" s="148">
        <v>12907.642363219999</v>
      </c>
      <c r="AA76" s="355">
        <v>15924.267792760002</v>
      </c>
      <c r="AB76" s="278">
        <f>IF(Z76=0, "    ---- ", IF(ABS(ROUND(100/Z76*AA76-100,1))&lt;999,ROUND(100/Z76*AA76-100,1),IF(ROUND(100/Z76*AA76-100,1)&gt;999,999,-999)))</f>
        <v>23.4</v>
      </c>
      <c r="AC76" s="148">
        <v>2</v>
      </c>
      <c r="AD76" s="355">
        <v>2</v>
      </c>
      <c r="AE76" s="278">
        <f t="shared" si="43"/>
        <v>0</v>
      </c>
      <c r="AF76" s="397">
        <f t="shared" si="44"/>
        <v>167846.36645244999</v>
      </c>
      <c r="AG76" s="397">
        <f t="shared" si="44"/>
        <v>189495.09263426001</v>
      </c>
      <c r="AH76" s="278">
        <f>IF(AF76=0, "    ---- ", IF(ABS(ROUND(100/AF76*AG76-100,1))&lt;999,ROUND(100/AF76*AG76-100,1),IF(ROUND(100/AF76*AG76-100,1)&gt;999,999,-999)))</f>
        <v>12.9</v>
      </c>
      <c r="AI76" s="397">
        <f t="shared" si="45"/>
        <v>167848.36645244999</v>
      </c>
      <c r="AJ76" s="397">
        <f t="shared" si="45"/>
        <v>189497.09263426001</v>
      </c>
      <c r="AK76" s="278">
        <f>IF(AI76=0, "    ---- ", IF(ABS(ROUND(100/AI76*AJ76-100,1))&lt;999,ROUND(100/AI76*AJ76-100,1),IF(ROUND(100/AI76*AJ76-100,1)&gt;999,999,-999)))</f>
        <v>12.9</v>
      </c>
    </row>
    <row r="77" spans="1:37" s="367" customFormat="1" ht="20.100000000000001" customHeight="1" x14ac:dyDescent="0.3">
      <c r="A77" s="429" t="s">
        <v>409</v>
      </c>
      <c r="B77" s="148">
        <v>362.90353293999999</v>
      </c>
      <c r="C77" s="355">
        <v>596.78621633000012</v>
      </c>
      <c r="D77" s="278">
        <f t="shared" si="20"/>
        <v>64.400000000000006</v>
      </c>
      <c r="E77" s="148"/>
      <c r="F77" s="355"/>
      <c r="G77" s="278"/>
      <c r="H77" s="148"/>
      <c r="I77" s="355"/>
      <c r="J77" s="278"/>
      <c r="K77" s="355">
        <v>1</v>
      </c>
      <c r="L77" s="355">
        <v>5</v>
      </c>
      <c r="M77" s="278">
        <f>IF(K77=0, "    ---- ", IF(ABS(ROUND(100/K77*L77-100,1))&lt;999,ROUND(100/K77*L77-100,1),IF(ROUND(100/K77*L77-100,1)&gt;999,999,-999)))</f>
        <v>400</v>
      </c>
      <c r="N77" s="148">
        <v>41618.825063650002</v>
      </c>
      <c r="O77" s="355">
        <v>60580.985165650003</v>
      </c>
      <c r="P77" s="278">
        <f t="shared" si="40"/>
        <v>45.6</v>
      </c>
      <c r="Q77" s="148">
        <v>1013.63</v>
      </c>
      <c r="R77" s="355">
        <v>1093.94</v>
      </c>
      <c r="S77" s="278">
        <f t="shared" si="26"/>
        <v>7.9</v>
      </c>
      <c r="T77" s="148">
        <v>5496</v>
      </c>
      <c r="U77" s="355">
        <v>6003</v>
      </c>
      <c r="V77" s="278">
        <f>IF(T77=0, "    ---- ", IF(ABS(ROUND(100/T77*U77-100,1))&lt;999,ROUND(100/T77*U77-100,1),IF(ROUND(100/T77*U77-100,1)&gt;999,999,-999)))</f>
        <v>9.1999999999999993</v>
      </c>
      <c r="W77" s="148">
        <v>249.684</v>
      </c>
      <c r="X77" s="355">
        <v>256.22399999999999</v>
      </c>
      <c r="Y77" s="278">
        <f t="shared" si="28"/>
        <v>2.6</v>
      </c>
      <c r="Z77" s="148">
        <v>3007.1327889899999</v>
      </c>
      <c r="AA77" s="355">
        <v>4016.4480110000009</v>
      </c>
      <c r="AB77" s="278">
        <f t="shared" si="29"/>
        <v>33.6</v>
      </c>
      <c r="AC77" s="148">
        <v>4</v>
      </c>
      <c r="AD77" s="355">
        <v>5</v>
      </c>
      <c r="AE77" s="278">
        <f t="shared" si="43"/>
        <v>25</v>
      </c>
      <c r="AF77" s="397">
        <f t="shared" si="44"/>
        <v>51749.175385579998</v>
      </c>
      <c r="AG77" s="397">
        <f t="shared" si="44"/>
        <v>72552.383392980017</v>
      </c>
      <c r="AH77" s="278">
        <f t="shared" si="22"/>
        <v>40.200000000000003</v>
      </c>
      <c r="AI77" s="397">
        <f t="shared" si="45"/>
        <v>51753.175385579998</v>
      </c>
      <c r="AJ77" s="397">
        <f t="shared" si="45"/>
        <v>72557.383392980017</v>
      </c>
      <c r="AK77" s="356">
        <f t="shared" si="24"/>
        <v>40.200000000000003</v>
      </c>
    </row>
    <row r="78" spans="1:37" s="367" customFormat="1" ht="20.100000000000001" customHeight="1" x14ac:dyDescent="0.3">
      <c r="A78" s="429" t="s">
        <v>395</v>
      </c>
      <c r="B78" s="148">
        <v>3853.1676062900001</v>
      </c>
      <c r="C78" s="355">
        <v>3820.8375998099996</v>
      </c>
      <c r="D78" s="278">
        <f t="shared" si="20"/>
        <v>-0.8</v>
      </c>
      <c r="E78" s="148"/>
      <c r="F78" s="355"/>
      <c r="G78" s="278"/>
      <c r="H78" s="148"/>
      <c r="I78" s="355"/>
      <c r="J78" s="278"/>
      <c r="K78" s="355"/>
      <c r="L78" s="355"/>
      <c r="M78" s="352"/>
      <c r="N78" s="148"/>
      <c r="O78" s="355"/>
      <c r="P78" s="278"/>
      <c r="Q78" s="148"/>
      <c r="R78" s="355"/>
      <c r="S78" s="278"/>
      <c r="T78" s="148"/>
      <c r="U78" s="355"/>
      <c r="V78" s="278"/>
      <c r="W78" s="148"/>
      <c r="X78" s="355"/>
      <c r="Y78" s="278"/>
      <c r="Z78" s="148">
        <v>857.01115100000004</v>
      </c>
      <c r="AA78" s="355">
        <v>1000.9287503099999</v>
      </c>
      <c r="AB78" s="278">
        <f t="shared" si="29"/>
        <v>16.8</v>
      </c>
      <c r="AC78" s="148"/>
      <c r="AD78" s="355"/>
      <c r="AE78" s="278"/>
      <c r="AF78" s="397">
        <f t="shared" si="44"/>
        <v>4710.1787572900002</v>
      </c>
      <c r="AG78" s="397">
        <f t="shared" si="44"/>
        <v>4821.7663501199995</v>
      </c>
      <c r="AH78" s="278">
        <f t="shared" si="22"/>
        <v>2.4</v>
      </c>
      <c r="AI78" s="397">
        <f t="shared" si="45"/>
        <v>4710.1787572900002</v>
      </c>
      <c r="AJ78" s="397">
        <f t="shared" si="45"/>
        <v>4821.7663501199995</v>
      </c>
      <c r="AK78" s="356">
        <f t="shared" si="24"/>
        <v>2.4</v>
      </c>
    </row>
    <row r="79" spans="1:37" s="367" customFormat="1" ht="20.100000000000001" customHeight="1" x14ac:dyDescent="0.3">
      <c r="A79" s="429" t="s">
        <v>215</v>
      </c>
      <c r="B79" s="148"/>
      <c r="C79" s="355"/>
      <c r="D79" s="278"/>
      <c r="E79" s="148"/>
      <c r="F79" s="355">
        <v>4.1358862799999994</v>
      </c>
      <c r="G79" s="278" t="str">
        <f>IF(E79=0, "    ---- ", IF(ABS(ROUND(100/E79*F79-100,1))&lt;999,ROUND(100/E79*F79-100,1),IF(ROUND(100/E79*F79-100,1)&gt;999,999,-999)))</f>
        <v xml:space="preserve">    ---- </v>
      </c>
      <c r="H79" s="148"/>
      <c r="I79" s="355"/>
      <c r="J79" s="278"/>
      <c r="K79" s="355"/>
      <c r="L79" s="355"/>
      <c r="M79" s="352"/>
      <c r="N79" s="148">
        <v>26331.168841999999</v>
      </c>
      <c r="O79" s="355">
        <v>17150.381278000001</v>
      </c>
      <c r="P79" s="278">
        <f t="shared" si="40"/>
        <v>-34.9</v>
      </c>
      <c r="Q79" s="148"/>
      <c r="R79" s="355"/>
      <c r="S79" s="278"/>
      <c r="T79" s="148">
        <v>3657</v>
      </c>
      <c r="U79" s="355">
        <v>3839</v>
      </c>
      <c r="V79" s="278">
        <f>IF(T79=0, "    ---- ", IF(ABS(ROUND(100/T79*U79-100,1))&lt;999,ROUND(100/T79*U79-100,1),IF(ROUND(100/T79*U79-100,1)&gt;999,999,-999)))</f>
        <v>5</v>
      </c>
      <c r="W79" s="148">
        <v>394.25731792000045</v>
      </c>
      <c r="X79" s="355">
        <v>453.46159999999998</v>
      </c>
      <c r="Y79" s="278">
        <f t="shared" si="28"/>
        <v>15</v>
      </c>
      <c r="Z79" s="148">
        <v>837.17202271999986</v>
      </c>
      <c r="AA79" s="355">
        <v>1266.273614</v>
      </c>
      <c r="AB79" s="278">
        <f t="shared" si="29"/>
        <v>51.3</v>
      </c>
      <c r="AC79" s="148"/>
      <c r="AD79" s="355"/>
      <c r="AE79" s="278"/>
      <c r="AF79" s="397">
        <f t="shared" si="44"/>
        <v>31219.598182639998</v>
      </c>
      <c r="AG79" s="397">
        <f t="shared" si="44"/>
        <v>22713.252378280002</v>
      </c>
      <c r="AH79" s="278">
        <f t="shared" si="22"/>
        <v>-27.2</v>
      </c>
      <c r="AI79" s="397">
        <f t="shared" si="45"/>
        <v>31219.598182639998</v>
      </c>
      <c r="AJ79" s="397">
        <f t="shared" si="45"/>
        <v>22713.252378280002</v>
      </c>
      <c r="AK79" s="356">
        <f t="shared" si="24"/>
        <v>-27.2</v>
      </c>
    </row>
    <row r="80" spans="1:37" s="367" customFormat="1" ht="20.100000000000001" customHeight="1" x14ac:dyDescent="0.3">
      <c r="A80" s="465" t="s">
        <v>216</v>
      </c>
      <c r="B80" s="148">
        <f>SUM(B73:B79)</f>
        <v>186336.94833842997</v>
      </c>
      <c r="C80" s="355">
        <f>SUM(C73:C79)</f>
        <v>184217.43303289</v>
      </c>
      <c r="D80" s="278">
        <f t="shared" si="20"/>
        <v>-1.1000000000000001</v>
      </c>
      <c r="E80" s="148">
        <v>9537.7785052800009</v>
      </c>
      <c r="F80" s="355">
        <f>SUM(F73:F79)</f>
        <v>10101.095111919996</v>
      </c>
      <c r="G80" s="278">
        <f>IF(E80=0, "    ---- ", IF(ABS(ROUND(100/E80*F80-100,1))&lt;999,ROUND(100/E80*F80-100,1),IF(ROUND(100/E80*F80-100,1)&gt;999,999,-999)))</f>
        <v>5.9</v>
      </c>
      <c r="H80" s="148">
        <f>SUM(H73:H79)</f>
        <v>2256.4300000000003</v>
      </c>
      <c r="I80" s="355">
        <f>SUM(I73:I79)</f>
        <v>2688.4789999999998</v>
      </c>
      <c r="J80" s="278">
        <f>IF(H80=0, "    ---- ", IF(ABS(ROUND(100/H80*I80-100,1))&lt;999,ROUND(100/H80*I80-100,1),IF(ROUND(100/H80*I80-100,1)&gt;999,999,-999)))</f>
        <v>19.100000000000001</v>
      </c>
      <c r="K80" s="355">
        <v>10374</v>
      </c>
      <c r="L80" s="355">
        <v>11504</v>
      </c>
      <c r="M80" s="352">
        <f>IF(K80=0, "    ---- ", IF(ABS(ROUND(100/K80*L80-100,1))&lt;999,ROUND(100/K80*L80-100,1),IF(ROUND(100/K80*L80-100,1)&gt;999,999,-999)))</f>
        <v>10.9</v>
      </c>
      <c r="N80" s="148">
        <v>775383.06184459</v>
      </c>
      <c r="O80" s="355">
        <v>844010.01391704998</v>
      </c>
      <c r="P80" s="278">
        <f t="shared" si="40"/>
        <v>8.9</v>
      </c>
      <c r="Q80" s="148">
        <f>SUM(Q73:Q79)</f>
        <v>54677.939999999995</v>
      </c>
      <c r="R80" s="355">
        <f>SUM(R73:R79)</f>
        <v>55506.75</v>
      </c>
      <c r="S80" s="278">
        <f t="shared" si="26"/>
        <v>1.5</v>
      </c>
      <c r="T80" s="148">
        <f>SUM(T73:T79)</f>
        <v>125767</v>
      </c>
      <c r="U80" s="355">
        <f>SUM(U73:U79)</f>
        <v>134589</v>
      </c>
      <c r="V80" s="278">
        <f>IF(T80=0, "    ---- ", IF(ABS(ROUND(100/T80*U80-100,1))&lt;999,ROUND(100/T80*U80-100,1),IF(ROUND(100/T80*U80-100,1)&gt;999,999,-999)))</f>
        <v>7</v>
      </c>
      <c r="W80" s="148">
        <f>SUM(W73:W79)</f>
        <v>23752.897317920004</v>
      </c>
      <c r="X80" s="355">
        <f>SUM(X73:X79)</f>
        <v>25837.474599999994</v>
      </c>
      <c r="Y80" s="278">
        <f t="shared" si="28"/>
        <v>8.8000000000000007</v>
      </c>
      <c r="Z80" s="148">
        <f>SUM(Z73:Z79)</f>
        <v>212826.63256482992</v>
      </c>
      <c r="AA80" s="355">
        <f>SUM(AA73:AA79)</f>
        <v>222073.73888409001</v>
      </c>
      <c r="AB80" s="278">
        <f t="shared" si="29"/>
        <v>4.3</v>
      </c>
      <c r="AC80" s="148">
        <f>SUM(AC73:AC79)</f>
        <v>117</v>
      </c>
      <c r="AD80" s="355">
        <f>SUM(AD73:AD79)</f>
        <v>207</v>
      </c>
      <c r="AE80" s="278">
        <f>IF(AC80=0, "    ---- ", IF(ABS(ROUND(100/AC80*AD80-100,1))&lt;999,ROUND(100/AC80*AD80-100,1),IF(ROUND(100/AC80*AD80-100,1)&gt;999,999,-999)))</f>
        <v>76.900000000000006</v>
      </c>
      <c r="AF80" s="397">
        <f t="shared" si="44"/>
        <v>1400912.6885710498</v>
      </c>
      <c r="AG80" s="397">
        <f t="shared" si="44"/>
        <v>1490527.9845459501</v>
      </c>
      <c r="AH80" s="278">
        <f t="shared" si="22"/>
        <v>6.4</v>
      </c>
      <c r="AI80" s="397">
        <f t="shared" si="45"/>
        <v>1401029.6885710498</v>
      </c>
      <c r="AJ80" s="397">
        <f t="shared" si="45"/>
        <v>1490734.9845459501</v>
      </c>
      <c r="AK80" s="356">
        <f t="shared" si="24"/>
        <v>6.4</v>
      </c>
    </row>
    <row r="81" spans="1:37" s="367" customFormat="1" ht="20.100000000000001" customHeight="1" x14ac:dyDescent="0.3">
      <c r="A81" s="429" t="s">
        <v>217</v>
      </c>
      <c r="B81" s="148"/>
      <c r="C81" s="355"/>
      <c r="D81" s="278"/>
      <c r="E81" s="148"/>
      <c r="F81" s="355"/>
      <c r="G81" s="278"/>
      <c r="H81" s="148"/>
      <c r="I81" s="355"/>
      <c r="J81" s="278"/>
      <c r="K81" s="355"/>
      <c r="L81" s="355"/>
      <c r="M81" s="352"/>
      <c r="N81" s="148"/>
      <c r="O81" s="355"/>
      <c r="P81" s="278"/>
      <c r="Q81" s="148"/>
      <c r="R81" s="355"/>
      <c r="S81" s="278"/>
      <c r="T81" s="148"/>
      <c r="U81" s="355"/>
      <c r="V81" s="278"/>
      <c r="W81" s="148"/>
      <c r="X81" s="355"/>
      <c r="Y81" s="278"/>
      <c r="Z81" s="148"/>
      <c r="AA81" s="355"/>
      <c r="AB81" s="278"/>
      <c r="AC81" s="148"/>
      <c r="AD81" s="355"/>
      <c r="AE81" s="278"/>
      <c r="AF81" s="352"/>
      <c r="AG81" s="352"/>
      <c r="AH81" s="278"/>
      <c r="AI81" s="352"/>
      <c r="AJ81" s="352"/>
      <c r="AK81" s="356"/>
    </row>
    <row r="82" spans="1:37" s="367" customFormat="1" ht="20.100000000000001" customHeight="1" x14ac:dyDescent="0.3">
      <c r="A82" s="429" t="s">
        <v>396</v>
      </c>
      <c r="B82" s="148">
        <v>186747.36579703997</v>
      </c>
      <c r="C82" s="355">
        <v>217883.93107918999</v>
      </c>
      <c r="D82" s="278">
        <f t="shared" si="20"/>
        <v>16.7</v>
      </c>
      <c r="E82" s="148"/>
      <c r="F82" s="355"/>
      <c r="G82" s="278"/>
      <c r="H82" s="148"/>
      <c r="I82" s="355"/>
      <c r="J82" s="278"/>
      <c r="K82" s="355">
        <v>69369</v>
      </c>
      <c r="L82" s="355">
        <v>83926</v>
      </c>
      <c r="M82" s="352">
        <f>IF(K82=0, "    ---- ", IF(ABS(ROUND(100/K82*L82-100,1))&lt;999,ROUND(100/K82*L82-100,1),IF(ROUND(100/K82*L82-100,1)&gt;999,999,-999)))</f>
        <v>21</v>
      </c>
      <c r="N82" s="148">
        <v>2260.7468495399999</v>
      </c>
      <c r="O82" s="355">
        <v>2388.9173255400001</v>
      </c>
      <c r="P82" s="278">
        <f t="shared" ref="P82:P93" si="46">IF(N82=0, "    ---- ", IF(ABS(ROUND(100/N82*O82-100,1))&lt;999,ROUND(100/N82*O82-100,1),IF(ROUND(100/N82*O82-100,1)&gt;999,999,-999)))</f>
        <v>5.7</v>
      </c>
      <c r="Q82" s="148">
        <v>167574.45000000001</v>
      </c>
      <c r="R82" s="355">
        <v>190942.73</v>
      </c>
      <c r="S82" s="278">
        <f t="shared" si="26"/>
        <v>13.9</v>
      </c>
      <c r="T82" s="148"/>
      <c r="U82" s="355"/>
      <c r="V82" s="278"/>
      <c r="W82" s="148">
        <v>76189.694000000003</v>
      </c>
      <c r="X82" s="355">
        <v>88995.933000000005</v>
      </c>
      <c r="Y82" s="278">
        <f t="shared" si="28"/>
        <v>16.8</v>
      </c>
      <c r="Z82" s="148">
        <v>232407.85130380007</v>
      </c>
      <c r="AA82" s="355">
        <v>261512.86130007004</v>
      </c>
      <c r="AB82" s="278">
        <f t="shared" si="29"/>
        <v>12.5</v>
      </c>
      <c r="AC82" s="148"/>
      <c r="AD82" s="355"/>
      <c r="AE82" s="278"/>
      <c r="AF82" s="397">
        <f t="shared" ref="AF82:AG91" si="47">B82+E82+H82+K82+N82+Q82+T82+W82+Z82</f>
        <v>734549.10795038007</v>
      </c>
      <c r="AG82" s="397">
        <f t="shared" si="47"/>
        <v>845650.37270479999</v>
      </c>
      <c r="AH82" s="278">
        <f t="shared" si="22"/>
        <v>15.1</v>
      </c>
      <c r="AI82" s="397">
        <f t="shared" ref="AI82:AJ91" si="48">B82+E82+H82+K82+N82+Q82+T82+W82+Z82+AC82</f>
        <v>734549.10795038007</v>
      </c>
      <c r="AJ82" s="397">
        <f t="shared" si="48"/>
        <v>845650.37270479999</v>
      </c>
      <c r="AK82" s="356">
        <f t="shared" si="24"/>
        <v>15.1</v>
      </c>
    </row>
    <row r="83" spans="1:37" s="367" customFormat="1" ht="20.100000000000001" customHeight="1" x14ac:dyDescent="0.3">
      <c r="A83" s="602" t="s">
        <v>414</v>
      </c>
      <c r="B83" s="148"/>
      <c r="C83" s="355"/>
      <c r="D83" s="278"/>
      <c r="E83" s="148"/>
      <c r="F83" s="355"/>
      <c r="G83" s="278"/>
      <c r="H83" s="148"/>
      <c r="I83" s="355"/>
      <c r="J83" s="278"/>
      <c r="K83" s="355"/>
      <c r="L83" s="355"/>
      <c r="M83" s="278"/>
      <c r="N83" s="148"/>
      <c r="O83" s="355"/>
      <c r="P83" s="278"/>
      <c r="Q83" s="148"/>
      <c r="R83" s="355"/>
      <c r="S83" s="278"/>
      <c r="T83" s="148"/>
      <c r="U83" s="355"/>
      <c r="V83" s="278"/>
      <c r="W83" s="148"/>
      <c r="X83" s="355"/>
      <c r="Y83" s="278"/>
      <c r="Z83" s="148"/>
      <c r="AA83" s="355"/>
      <c r="AB83" s="278"/>
      <c r="AC83" s="148"/>
      <c r="AD83" s="355"/>
      <c r="AE83" s="278"/>
      <c r="AF83" s="397">
        <f t="shared" si="47"/>
        <v>0</v>
      </c>
      <c r="AG83" s="397">
        <f t="shared" si="47"/>
        <v>0</v>
      </c>
      <c r="AH83" s="278" t="str">
        <f t="shared" si="22"/>
        <v xml:space="preserve">    ---- </v>
      </c>
      <c r="AI83" s="397">
        <f t="shared" si="48"/>
        <v>0</v>
      </c>
      <c r="AJ83" s="397">
        <f t="shared" si="48"/>
        <v>0</v>
      </c>
      <c r="AK83" s="356" t="str">
        <f t="shared" si="24"/>
        <v xml:space="preserve">    ---- </v>
      </c>
    </row>
    <row r="84" spans="1:37" s="367" customFormat="1" ht="20.100000000000001" customHeight="1" x14ac:dyDescent="0.3">
      <c r="A84" s="429" t="s">
        <v>397</v>
      </c>
      <c r="B84" s="148"/>
      <c r="C84" s="355"/>
      <c r="D84" s="278"/>
      <c r="E84" s="148"/>
      <c r="F84" s="355"/>
      <c r="G84" s="278"/>
      <c r="H84" s="148"/>
      <c r="I84" s="355"/>
      <c r="J84" s="278"/>
      <c r="K84" s="355"/>
      <c r="L84" s="355"/>
      <c r="M84" s="278"/>
      <c r="N84" s="148">
        <v>185.00298753999999</v>
      </c>
      <c r="O84" s="355">
        <v>259.79510754</v>
      </c>
      <c r="P84" s="278">
        <f t="shared" ref="P84" si="49">IF(N84=0, "    ---- ", IF(ABS(ROUND(100/N84*O84-100,1))&lt;999,ROUND(100/N84*O84-100,1),IF(ROUND(100/N84*O84-100,1)&gt;999,999,-999)))</f>
        <v>40.4</v>
      </c>
      <c r="Q84" s="148"/>
      <c r="R84" s="355"/>
      <c r="S84" s="278"/>
      <c r="T84" s="148"/>
      <c r="U84" s="355"/>
      <c r="V84" s="278"/>
      <c r="W84" s="148"/>
      <c r="X84" s="355"/>
      <c r="Y84" s="278"/>
      <c r="Z84" s="148"/>
      <c r="AA84" s="355"/>
      <c r="AB84" s="278"/>
      <c r="AC84" s="148"/>
      <c r="AD84" s="355"/>
      <c r="AE84" s="278"/>
      <c r="AF84" s="397">
        <f t="shared" si="47"/>
        <v>185.00298753999999</v>
      </c>
      <c r="AG84" s="397">
        <f t="shared" si="47"/>
        <v>259.79510754</v>
      </c>
      <c r="AH84" s="278"/>
      <c r="AI84" s="397">
        <f t="shared" si="48"/>
        <v>185.00298753999999</v>
      </c>
      <c r="AJ84" s="397">
        <f t="shared" si="48"/>
        <v>259.79510754</v>
      </c>
      <c r="AK84" s="356"/>
    </row>
    <row r="85" spans="1:37" s="367" customFormat="1" ht="20.100000000000001" customHeight="1" x14ac:dyDescent="0.3">
      <c r="A85" s="429" t="s">
        <v>398</v>
      </c>
      <c r="B85" s="437">
        <v>260.10911781999999</v>
      </c>
      <c r="C85" s="278">
        <v>100.28408125999832</v>
      </c>
      <c r="D85" s="278">
        <f t="shared" si="20"/>
        <v>-61.4</v>
      </c>
      <c r="E85" s="437"/>
      <c r="F85" s="278"/>
      <c r="G85" s="278"/>
      <c r="H85" s="437"/>
      <c r="I85" s="278"/>
      <c r="J85" s="278"/>
      <c r="K85" s="278">
        <v>104</v>
      </c>
      <c r="L85" s="278">
        <v>124</v>
      </c>
      <c r="M85" s="278">
        <f>IF(K85=0, "    ---- ", IF(ABS(ROUND(100/K85*L85-100,1))&lt;999,ROUND(100/K85*L85-100,1),IF(ROUND(100/K85*L85-100,1)&gt;999,999,-999)))</f>
        <v>19.2</v>
      </c>
      <c r="N85" s="148">
        <v>496.54836725000001</v>
      </c>
      <c r="O85" s="278">
        <v>602.18282424999995</v>
      </c>
      <c r="P85" s="278">
        <f t="shared" si="46"/>
        <v>21.3</v>
      </c>
      <c r="Q85" s="437"/>
      <c r="R85" s="278"/>
      <c r="S85" s="278"/>
      <c r="T85" s="437"/>
      <c r="U85" s="278"/>
      <c r="V85" s="278"/>
      <c r="W85" s="437">
        <v>808.31</v>
      </c>
      <c r="X85" s="278">
        <v>996.20799999999997</v>
      </c>
      <c r="Y85" s="278">
        <f t="shared" si="28"/>
        <v>23.2</v>
      </c>
      <c r="Z85" s="437"/>
      <c r="AA85" s="278"/>
      <c r="AB85" s="278"/>
      <c r="AC85" s="437"/>
      <c r="AD85" s="278"/>
      <c r="AE85" s="278"/>
      <c r="AF85" s="397">
        <f t="shared" si="47"/>
        <v>1668.9674850699998</v>
      </c>
      <c r="AG85" s="397">
        <f t="shared" si="47"/>
        <v>1822.6749055099981</v>
      </c>
      <c r="AH85" s="278">
        <f t="shared" si="22"/>
        <v>9.1999999999999993</v>
      </c>
      <c r="AI85" s="397">
        <f t="shared" si="48"/>
        <v>1668.9674850699998</v>
      </c>
      <c r="AJ85" s="397">
        <f t="shared" si="48"/>
        <v>1822.6749055099981</v>
      </c>
      <c r="AK85" s="356">
        <f t="shared" si="24"/>
        <v>9.1999999999999993</v>
      </c>
    </row>
    <row r="86" spans="1:37" s="367" customFormat="1" ht="20.100000000000001" customHeight="1" x14ac:dyDescent="0.3">
      <c r="A86" s="429" t="s">
        <v>215</v>
      </c>
      <c r="B86" s="148"/>
      <c r="C86" s="355"/>
      <c r="D86" s="355"/>
      <c r="E86" s="148"/>
      <c r="F86" s="355"/>
      <c r="G86" s="355"/>
      <c r="H86" s="148"/>
      <c r="I86" s="355"/>
      <c r="J86" s="355"/>
      <c r="K86" s="355"/>
      <c r="L86" s="355"/>
      <c r="M86" s="352"/>
      <c r="N86" s="148">
        <v>133.12910400000001</v>
      </c>
      <c r="O86" s="355">
        <v>64.442577999999997</v>
      </c>
      <c r="P86" s="278">
        <f t="shared" si="46"/>
        <v>-51.6</v>
      </c>
      <c r="Q86" s="148"/>
      <c r="R86" s="355"/>
      <c r="S86" s="278"/>
      <c r="T86" s="148"/>
      <c r="U86" s="355"/>
      <c r="V86" s="278"/>
      <c r="W86" s="148"/>
      <c r="X86" s="355"/>
      <c r="Y86" s="278"/>
      <c r="Z86" s="148">
        <v>-8.4570539999999994</v>
      </c>
      <c r="AA86" s="355">
        <v>-26.444852000000001</v>
      </c>
      <c r="AB86" s="278">
        <f t="shared" si="29"/>
        <v>212.7</v>
      </c>
      <c r="AC86" s="148"/>
      <c r="AD86" s="355"/>
      <c r="AE86" s="278"/>
      <c r="AF86" s="397">
        <f t="shared" si="47"/>
        <v>124.67205000000001</v>
      </c>
      <c r="AG86" s="397">
        <f t="shared" si="47"/>
        <v>37.997726</v>
      </c>
      <c r="AH86" s="278">
        <f t="shared" si="22"/>
        <v>-69.5</v>
      </c>
      <c r="AI86" s="397">
        <f t="shared" si="48"/>
        <v>124.67205000000001</v>
      </c>
      <c r="AJ86" s="397">
        <f t="shared" si="48"/>
        <v>37.997726</v>
      </c>
      <c r="AK86" s="356">
        <f t="shared" si="24"/>
        <v>-69.5</v>
      </c>
    </row>
    <row r="87" spans="1:37" s="367" customFormat="1" ht="20.100000000000001" customHeight="1" x14ac:dyDescent="0.3">
      <c r="A87" s="465" t="s">
        <v>218</v>
      </c>
      <c r="B87" s="148">
        <f>SUM(B82:B86)</f>
        <v>187007.47491485995</v>
      </c>
      <c r="C87" s="355">
        <f>SUM(C82:C86)</f>
        <v>217984.21516045</v>
      </c>
      <c r="D87" s="355">
        <f t="shared" si="20"/>
        <v>16.600000000000001</v>
      </c>
      <c r="E87" s="148"/>
      <c r="F87" s="355"/>
      <c r="G87" s="355"/>
      <c r="H87" s="148"/>
      <c r="I87" s="355"/>
      <c r="J87" s="355"/>
      <c r="K87" s="355">
        <v>69473</v>
      </c>
      <c r="L87" s="355">
        <v>84050</v>
      </c>
      <c r="M87" s="352">
        <f>IF(K87=0, "    ---- ", IF(ABS(ROUND(100/K87*L87-100,1))&lt;999,ROUND(100/K87*L87-100,1),IF(ROUND(100/K87*L87-100,1)&gt;999,999,-999)))</f>
        <v>21</v>
      </c>
      <c r="N87" s="148">
        <v>3075.42730833</v>
      </c>
      <c r="O87" s="355">
        <v>3315.3378353300004</v>
      </c>
      <c r="P87" s="278">
        <f t="shared" si="46"/>
        <v>7.8</v>
      </c>
      <c r="Q87" s="148">
        <f>SUM(Q82:Q86)</f>
        <v>167574.45000000001</v>
      </c>
      <c r="R87" s="355">
        <f>SUM(R82:R86)</f>
        <v>190942.73</v>
      </c>
      <c r="S87" s="278">
        <f t="shared" si="26"/>
        <v>13.9</v>
      </c>
      <c r="T87" s="148"/>
      <c r="U87" s="355"/>
      <c r="V87" s="278"/>
      <c r="W87" s="148">
        <f>SUM(W82:W86)</f>
        <v>76998.004000000001</v>
      </c>
      <c r="X87" s="355">
        <f>SUM(X82:X86)</f>
        <v>89992.141000000003</v>
      </c>
      <c r="Y87" s="278">
        <f t="shared" si="28"/>
        <v>16.899999999999999</v>
      </c>
      <c r="Z87" s="148">
        <f>SUM(Z82:Z86)</f>
        <v>232399.39424980007</v>
      </c>
      <c r="AA87" s="355">
        <f>SUM(AA82:AA86)</f>
        <v>261486.41644807006</v>
      </c>
      <c r="AB87" s="278">
        <f t="shared" si="29"/>
        <v>12.5</v>
      </c>
      <c r="AC87" s="148"/>
      <c r="AD87" s="355"/>
      <c r="AE87" s="278"/>
      <c r="AF87" s="397">
        <f t="shared" si="47"/>
        <v>736527.7504729901</v>
      </c>
      <c r="AG87" s="397">
        <f t="shared" si="47"/>
        <v>847770.84044385015</v>
      </c>
      <c r="AH87" s="278">
        <f t="shared" si="22"/>
        <v>15.1</v>
      </c>
      <c r="AI87" s="397">
        <f t="shared" si="48"/>
        <v>736527.7504729901</v>
      </c>
      <c r="AJ87" s="397">
        <f t="shared" si="48"/>
        <v>847770.84044385015</v>
      </c>
      <c r="AK87" s="356">
        <f t="shared" si="24"/>
        <v>15.1</v>
      </c>
    </row>
    <row r="88" spans="1:37" s="367" customFormat="1" ht="20.100000000000001" customHeight="1" x14ac:dyDescent="0.3">
      <c r="A88" s="429" t="s">
        <v>219</v>
      </c>
      <c r="B88" s="148">
        <v>1530.9027772699999</v>
      </c>
      <c r="C88" s="355">
        <v>1366.0940000000001</v>
      </c>
      <c r="D88" s="278">
        <f t="shared" si="20"/>
        <v>-10.8</v>
      </c>
      <c r="E88" s="148">
        <v>186.18761253999992</v>
      </c>
      <c r="F88" s="355">
        <v>231.3977008</v>
      </c>
      <c r="G88" s="278">
        <f>IF(E88=0, "    ---- ", IF(ABS(ROUND(100/E88*F88-100,1))&lt;999,ROUND(100/E88*F88-100,1),IF(ROUND(100/E88*F88-100,1)&gt;999,999,-999)))</f>
        <v>24.3</v>
      </c>
      <c r="H88" s="148">
        <v>79.599000000000004</v>
      </c>
      <c r="I88" s="355">
        <v>114.82599999999999</v>
      </c>
      <c r="J88" s="278">
        <f>IF(H88=0, "    ---- ", IF(ABS(ROUND(100/H88*I88-100,1))&lt;999,ROUND(100/H88*I88-100,1),IF(ROUND(100/H88*I88-100,1)&gt;999,999,-999)))</f>
        <v>44.3</v>
      </c>
      <c r="K88" s="355">
        <v>102</v>
      </c>
      <c r="L88" s="355">
        <v>177</v>
      </c>
      <c r="M88" s="278">
        <f>IF(K88=0, "    ---- ", IF(ABS(ROUND(100/K88*L88-100,1))&lt;999,ROUND(100/K88*L88-100,1),IF(ROUND(100/K88*L88-100,1)&gt;999,999,-999)))</f>
        <v>73.5</v>
      </c>
      <c r="N88" s="148">
        <v>1124.8584206400001</v>
      </c>
      <c r="O88" s="355">
        <v>1728.15246615</v>
      </c>
      <c r="P88" s="278">
        <f t="shared" si="46"/>
        <v>53.6</v>
      </c>
      <c r="Q88" s="148">
        <v>822.79</v>
      </c>
      <c r="R88" s="355">
        <v>792.01</v>
      </c>
      <c r="S88" s="278">
        <f t="shared" si="26"/>
        <v>-3.7</v>
      </c>
      <c r="T88" s="148"/>
      <c r="U88" s="355"/>
      <c r="V88" s="278"/>
      <c r="W88" s="148">
        <v>197.72499999999999</v>
      </c>
      <c r="X88" s="355">
        <v>314.65199999999999</v>
      </c>
      <c r="Y88" s="278">
        <f t="shared" si="28"/>
        <v>59.1</v>
      </c>
      <c r="Z88" s="148">
        <v>198.6262330514129</v>
      </c>
      <c r="AA88" s="355">
        <v>158.29005191647477</v>
      </c>
      <c r="AB88" s="278">
        <f t="shared" si="29"/>
        <v>-20.3</v>
      </c>
      <c r="AC88" s="148"/>
      <c r="AD88" s="355"/>
      <c r="AE88" s="278"/>
      <c r="AF88" s="397">
        <f t="shared" si="47"/>
        <v>4242.6890435014129</v>
      </c>
      <c r="AG88" s="397">
        <f t="shared" si="47"/>
        <v>4882.4222188664753</v>
      </c>
      <c r="AH88" s="278">
        <f t="shared" si="22"/>
        <v>15.1</v>
      </c>
      <c r="AI88" s="397">
        <f t="shared" si="48"/>
        <v>4242.6890435014129</v>
      </c>
      <c r="AJ88" s="397">
        <f t="shared" si="48"/>
        <v>4882.4222188664753</v>
      </c>
      <c r="AK88" s="356">
        <f t="shared" si="24"/>
        <v>15.1</v>
      </c>
    </row>
    <row r="89" spans="1:37" s="367" customFormat="1" ht="20.100000000000001" customHeight="1" x14ac:dyDescent="0.3">
      <c r="A89" s="429" t="s">
        <v>220</v>
      </c>
      <c r="B89" s="148"/>
      <c r="C89" s="355"/>
      <c r="D89" s="278"/>
      <c r="E89" s="148">
        <v>271.16446008999998</v>
      </c>
      <c r="F89" s="355">
        <v>203.97849034999999</v>
      </c>
      <c r="G89" s="355">
        <f t="shared" ref="G89:G90" si="50">IF(E89=0, "    ---- ", IF(ABS(ROUND(100/E89*F89-100,1))&lt;999,ROUND(100/E89*F89-100,1),IF(ROUND(100/E89*F89-100,1)&gt;999,999,-999)))</f>
        <v>-24.8</v>
      </c>
      <c r="H89" s="148"/>
      <c r="I89" s="355"/>
      <c r="J89" s="278"/>
      <c r="K89" s="355"/>
      <c r="L89" s="355"/>
      <c r="M89" s="278"/>
      <c r="N89" s="148"/>
      <c r="O89" s="355"/>
      <c r="P89" s="278"/>
      <c r="Q89" s="148"/>
      <c r="R89" s="355"/>
      <c r="S89" s="278"/>
      <c r="T89" s="148"/>
      <c r="U89" s="355"/>
      <c r="V89" s="278"/>
      <c r="W89" s="148">
        <v>12.224</v>
      </c>
      <c r="X89" s="355">
        <v>16.43</v>
      </c>
      <c r="Y89" s="278">
        <f t="shared" si="28"/>
        <v>34.4</v>
      </c>
      <c r="Z89" s="148"/>
      <c r="AA89" s="355"/>
      <c r="AB89" s="278"/>
      <c r="AC89" s="148"/>
      <c r="AD89" s="355"/>
      <c r="AE89" s="278"/>
      <c r="AF89" s="397">
        <f t="shared" si="47"/>
        <v>283.38846008999997</v>
      </c>
      <c r="AG89" s="397">
        <f t="shared" si="47"/>
        <v>220.40849034999999</v>
      </c>
      <c r="AH89" s="278">
        <f t="shared" si="22"/>
        <v>-22.2</v>
      </c>
      <c r="AI89" s="397">
        <f t="shared" si="48"/>
        <v>283.38846008999997</v>
      </c>
      <c r="AJ89" s="397">
        <f t="shared" si="48"/>
        <v>220.40849034999999</v>
      </c>
      <c r="AK89" s="356">
        <f t="shared" si="24"/>
        <v>-22.2</v>
      </c>
    </row>
    <row r="90" spans="1:37" s="367" customFormat="1" ht="20.100000000000001" customHeight="1" x14ac:dyDescent="0.3">
      <c r="A90" s="429" t="s">
        <v>221</v>
      </c>
      <c r="B90" s="148">
        <v>3296.1765536800172</v>
      </c>
      <c r="C90" s="355">
        <v>4648.7227714399987</v>
      </c>
      <c r="D90" s="355">
        <f t="shared" si="20"/>
        <v>41</v>
      </c>
      <c r="E90" s="148">
        <v>96.99558356</v>
      </c>
      <c r="F90" s="355">
        <v>88.122732859999985</v>
      </c>
      <c r="G90" s="355">
        <f t="shared" si="50"/>
        <v>-9.1</v>
      </c>
      <c r="H90" s="148"/>
      <c r="I90" s="355"/>
      <c r="J90" s="355"/>
      <c r="K90" s="355">
        <v>304</v>
      </c>
      <c r="L90" s="355">
        <v>223</v>
      </c>
      <c r="M90" s="352">
        <f>IF(K90=0, "    ---- ", IF(ABS(ROUND(100/K90*L90-100,1))&lt;999,ROUND(100/K90*L90-100,1),IF(ROUND(100/K90*L90-100,1)&gt;999,999,-999)))</f>
        <v>-26.6</v>
      </c>
      <c r="N90" s="148">
        <v>7284.5683294700002</v>
      </c>
      <c r="O90" s="355">
        <v>11074.699936999999</v>
      </c>
      <c r="P90" s="278">
        <f t="shared" si="46"/>
        <v>52</v>
      </c>
      <c r="Q90" s="148">
        <v>659.58</v>
      </c>
      <c r="R90" s="355">
        <v>512.54</v>
      </c>
      <c r="S90" s="278">
        <f t="shared" si="26"/>
        <v>-22.3</v>
      </c>
      <c r="T90" s="148">
        <f>666+503+427</f>
        <v>1596</v>
      </c>
      <c r="U90" s="355">
        <f>613+666+343</f>
        <v>1622</v>
      </c>
      <c r="V90" s="278">
        <f>IF(T90=0, "    ---- ", IF(ABS(ROUND(100/T90*U90-100,1))&lt;999,ROUND(100/T90*U90-100,1),IF(ROUND(100/T90*U90-100,1)&gt;999,999,-999)))</f>
        <v>1.6</v>
      </c>
      <c r="W90" s="148">
        <v>620.55399999999997</v>
      </c>
      <c r="X90" s="355">
        <v>781.88199999999995</v>
      </c>
      <c r="Y90" s="278">
        <f t="shared" si="28"/>
        <v>26</v>
      </c>
      <c r="Z90" s="148">
        <v>40550.240807609975</v>
      </c>
      <c r="AA90" s="355">
        <v>32317.16273415965</v>
      </c>
      <c r="AB90" s="278">
        <f t="shared" si="29"/>
        <v>-20.3</v>
      </c>
      <c r="AC90" s="148">
        <v>28</v>
      </c>
      <c r="AD90" s="355">
        <v>74</v>
      </c>
      <c r="AE90" s="278">
        <f>IF(AC90=0, "    ---- ", IF(ABS(ROUND(100/AC90*AD90-100,1))&lt;999,ROUND(100/AC90*AD90-100,1),IF(ROUND(100/AC90*AD90-100,1)&gt;999,999,-999)))</f>
        <v>164.3</v>
      </c>
      <c r="AF90" s="397">
        <f t="shared" si="47"/>
        <v>54408.115274319993</v>
      </c>
      <c r="AG90" s="397">
        <f t="shared" si="47"/>
        <v>51268.13017545965</v>
      </c>
      <c r="AH90" s="278">
        <f t="shared" si="22"/>
        <v>-5.8</v>
      </c>
      <c r="AI90" s="397">
        <f t="shared" si="48"/>
        <v>54436.115274319993</v>
      </c>
      <c r="AJ90" s="397">
        <f t="shared" si="48"/>
        <v>51342.13017545965</v>
      </c>
      <c r="AK90" s="356">
        <f t="shared" si="24"/>
        <v>-5.7</v>
      </c>
    </row>
    <row r="91" spans="1:37" s="367" customFormat="1" ht="20.100000000000001" customHeight="1" x14ac:dyDescent="0.3">
      <c r="A91" s="429" t="s">
        <v>222</v>
      </c>
      <c r="B91" s="148">
        <v>67.976328209999991</v>
      </c>
      <c r="C91" s="355">
        <v>54.787750019999997</v>
      </c>
      <c r="D91" s="355">
        <f t="shared" si="20"/>
        <v>-19.399999999999999</v>
      </c>
      <c r="E91" s="148"/>
      <c r="F91" s="355"/>
      <c r="G91" s="355"/>
      <c r="H91" s="148">
        <v>40.575000000000003</v>
      </c>
      <c r="I91" s="355">
        <v>40.183999999999997</v>
      </c>
      <c r="J91" s="355">
        <f>IF(H91=0, "    ---- ", IF(ABS(ROUND(100/H91*I91-100,1))&lt;999,ROUND(100/H91*I91-100,1),IF(ROUND(100/H91*I91-100,1)&gt;999,999,-999)))</f>
        <v>-1</v>
      </c>
      <c r="K91" s="355">
        <v>36</v>
      </c>
      <c r="L91" s="355">
        <v>32</v>
      </c>
      <c r="M91" s="278">
        <f>IF(K91=0, "    ---- ", IF(ABS(ROUND(100/K91*L91-100,1))&lt;999,ROUND(100/K91*L91-100,1),IF(ROUND(100/K91*L91-100,1)&gt;999,999,-999)))</f>
        <v>-11.1</v>
      </c>
      <c r="N91" s="148">
        <v>106.78645591</v>
      </c>
      <c r="O91" s="355">
        <v>235.56442744999998</v>
      </c>
      <c r="P91" s="278">
        <f t="shared" si="46"/>
        <v>120.6</v>
      </c>
      <c r="Q91" s="148">
        <v>56.95</v>
      </c>
      <c r="R91" s="355">
        <v>58.53</v>
      </c>
      <c r="S91" s="278">
        <f t="shared" si="26"/>
        <v>2.8</v>
      </c>
      <c r="T91" s="148"/>
      <c r="U91" s="355"/>
      <c r="V91" s="278"/>
      <c r="W91" s="148">
        <v>40.598999999999997</v>
      </c>
      <c r="X91" s="355">
        <v>48.353999999999999</v>
      </c>
      <c r="Y91" s="278">
        <f t="shared" si="28"/>
        <v>19.100000000000001</v>
      </c>
      <c r="Z91" s="148">
        <v>597.55058279141269</v>
      </c>
      <c r="AA91" s="355">
        <v>605.36746742999992</v>
      </c>
      <c r="AB91" s="278">
        <f t="shared" si="29"/>
        <v>1.3</v>
      </c>
      <c r="AC91" s="148">
        <v>2</v>
      </c>
      <c r="AD91" s="355">
        <v>4</v>
      </c>
      <c r="AE91" s="278">
        <f>IF(AC91=0, "    ---- ", IF(ABS(ROUND(100/AC91*AD91-100,1))&lt;999,ROUND(100/AC91*AD91-100,1),IF(ROUND(100/AC91*AD91-100,1)&gt;999,999,-999)))</f>
        <v>100</v>
      </c>
      <c r="AF91" s="397">
        <f t="shared" si="47"/>
        <v>946.43736691141271</v>
      </c>
      <c r="AG91" s="397">
        <f t="shared" si="47"/>
        <v>1074.7876448999998</v>
      </c>
      <c r="AH91" s="278">
        <f t="shared" si="22"/>
        <v>13.6</v>
      </c>
      <c r="AI91" s="397">
        <f t="shared" si="48"/>
        <v>948.43736691141271</v>
      </c>
      <c r="AJ91" s="397">
        <f t="shared" si="48"/>
        <v>1078.7876448999998</v>
      </c>
      <c r="AK91" s="356">
        <f t="shared" si="24"/>
        <v>13.7</v>
      </c>
    </row>
    <row r="92" spans="1:37" s="367" customFormat="1" ht="20.100000000000001" customHeight="1" x14ac:dyDescent="0.3">
      <c r="A92" s="429"/>
      <c r="B92" s="148"/>
      <c r="C92" s="355"/>
      <c r="D92" s="278"/>
      <c r="E92" s="148"/>
      <c r="F92" s="355"/>
      <c r="G92" s="278"/>
      <c r="H92" s="148"/>
      <c r="I92" s="355"/>
      <c r="J92" s="278"/>
      <c r="K92" s="355"/>
      <c r="L92" s="355"/>
      <c r="M92" s="278"/>
      <c r="N92" s="148"/>
      <c r="O92" s="355"/>
      <c r="P92" s="278"/>
      <c r="Q92" s="148"/>
      <c r="R92" s="355"/>
      <c r="S92" s="278"/>
      <c r="T92" s="148"/>
      <c r="U92" s="355"/>
      <c r="V92" s="278"/>
      <c r="W92" s="148"/>
      <c r="X92" s="355"/>
      <c r="Y92" s="278"/>
      <c r="Z92" s="148"/>
      <c r="AA92" s="355"/>
      <c r="AB92" s="278"/>
      <c r="AC92" s="148"/>
      <c r="AD92" s="355"/>
      <c r="AE92" s="278"/>
      <c r="AF92" s="352"/>
      <c r="AG92" s="352"/>
      <c r="AH92" s="278"/>
      <c r="AI92" s="352"/>
      <c r="AJ92" s="352"/>
      <c r="AK92" s="356"/>
    </row>
    <row r="93" spans="1:37" s="375" customFormat="1" ht="20.100000000000001" customHeight="1" x14ac:dyDescent="0.3">
      <c r="A93" s="440" t="s">
        <v>223</v>
      </c>
      <c r="B93" s="151">
        <f>SUM(B68+B69+B71+B80+B87+B88+B89+B90+B91)</f>
        <v>409900.45340868994</v>
      </c>
      <c r="C93" s="359">
        <f>SUM(C68+C69+C71+C80+C87+C88+C89+C90+C91)</f>
        <v>438805.72971479996</v>
      </c>
      <c r="D93" s="360">
        <f t="shared" si="20"/>
        <v>7.1</v>
      </c>
      <c r="E93" s="151">
        <f>SUM(E68+E69+E71+E80+E87+E88+E89+E90+E91)</f>
        <v>13538.298817940002</v>
      </c>
      <c r="F93" s="359">
        <f>SUM(F68+F69+F71+F80+F87+F88+F89+F90+F91)</f>
        <v>13887.956093009996</v>
      </c>
      <c r="G93" s="360">
        <f>IF(E93=0, "    ---- ", IF(ABS(ROUND(100/E93*F93-100,1))&lt;999,ROUND(100/E93*F93-100,1),IF(ROUND(100/E93*F93-100,1)&gt;999,999,-999)))</f>
        <v>2.6</v>
      </c>
      <c r="H93" s="151">
        <f>SUM(H68+H69+H71+H80+H87+H88+H89+H90+H91)</f>
        <v>3006.5450000000001</v>
      </c>
      <c r="I93" s="359">
        <f>SUM(I68+I69+I71+I80+I87+I88+I89+I90+I91)</f>
        <v>3556.9949999999999</v>
      </c>
      <c r="J93" s="360">
        <f>IF(H93=0, "    ---- ", IF(ABS(ROUND(100/H93*I93-100,1))&lt;999,ROUND(100/H93*I93-100,1),IF(ROUND(100/H93*I93-100,1)&gt;999,999,-999)))</f>
        <v>18.3</v>
      </c>
      <c r="K93" s="359">
        <v>81500</v>
      </c>
      <c r="L93" s="151">
        <f>SUM(L68+L69+L71+L80+L87+L88+L89+L90+L91)</f>
        <v>97907</v>
      </c>
      <c r="M93" s="360">
        <f>IF(K93=0, "    ---- ", IF(ABS(ROUND(100/K93*L93-100,1))&lt;999,ROUND(100/K93*L93-100,1),IF(ROUND(100/K93*L93-100,1)&gt;999,999,-999)))</f>
        <v>20.100000000000001</v>
      </c>
      <c r="N93" s="151">
        <v>836425.93671372987</v>
      </c>
      <c r="O93" s="151">
        <f>SUM(O68+O69+O71+O80+O87+O88+O89+O90+O91)</f>
        <v>909670.43270854</v>
      </c>
      <c r="P93" s="360">
        <f t="shared" si="46"/>
        <v>8.8000000000000007</v>
      </c>
      <c r="Q93" s="151">
        <f>SUM(Q68+Q69+Q71+Q80+Q87+Q88+Q89+Q90+Q91)</f>
        <v>235598.83000000002</v>
      </c>
      <c r="R93" s="359">
        <f>SUM(R68+R69+R71+R80+R87+R88+R89+R90+R91)</f>
        <v>258525.49000000002</v>
      </c>
      <c r="S93" s="360">
        <f t="shared" si="26"/>
        <v>9.6999999999999993</v>
      </c>
      <c r="T93" s="151">
        <f>SUM(T68+T69+T71+T80+T87+T88+T89+T90+T91)</f>
        <v>140090</v>
      </c>
      <c r="U93" s="359">
        <f>SUM(U68+U69+U71+U80+U87+U88+U89+U90+U91)</f>
        <v>150121</v>
      </c>
      <c r="V93" s="360">
        <f>IF(T93=0, "    ---- ", IF(ABS(ROUND(100/T93*U93-100,1))&lt;999,ROUND(100/T93*U93-100,1),IF(ROUND(100/T93*U93-100,1)&gt;999,999,-999)))</f>
        <v>7.2</v>
      </c>
      <c r="W93" s="151">
        <f>SUM(W68+W69+W71+W80+W87+W88+W89+W90+W91)</f>
        <v>107733.71731792002</v>
      </c>
      <c r="X93" s="359">
        <f>SUM(X68+X69+X71+X80+X87+X88+X89+X90+X91)</f>
        <v>123178.3236</v>
      </c>
      <c r="Y93" s="360">
        <f t="shared" si="28"/>
        <v>14.3</v>
      </c>
      <c r="Z93" s="151">
        <f>SUM(Z68+Z69+Z71+Z80+Z87+Z88+Z89+Z90+Z91)</f>
        <v>524444.63838139852</v>
      </c>
      <c r="AA93" s="359">
        <f>SUM(AA68+AA69+AA71+AA80+AA87+AA88+AA89+AA90+AA91)</f>
        <v>553797.98217944207</v>
      </c>
      <c r="AB93" s="360">
        <f t="shared" si="29"/>
        <v>5.6</v>
      </c>
      <c r="AC93" s="151">
        <f>SUM(AC68+AC69+AC71+AC80+AC87+AC88+AC89+AC90+AC91)</f>
        <v>128</v>
      </c>
      <c r="AD93" s="359">
        <f>SUM(AD68+AD69+AD71+AD80+AD87+AD88+AD89+AD90+AD91)</f>
        <v>242</v>
      </c>
      <c r="AE93" s="360">
        <f>IF(AC93=0, "    ---- ", IF(ABS(ROUND(100/AC93*AD93-100,1))&lt;999,ROUND(100/AC93*AD93-100,1),IF(ROUND(100/AC93*AD93-100,1)&gt;999,999,-999)))</f>
        <v>89.1</v>
      </c>
      <c r="AF93" s="508">
        <f t="shared" ref="AF93:AG93" si="51">B93+E93+H93+K93+N93+Q93+T93+W93+Z93</f>
        <v>2352238.4196396782</v>
      </c>
      <c r="AG93" s="508">
        <f t="shared" si="51"/>
        <v>2549450.9092957918</v>
      </c>
      <c r="AH93" s="360">
        <f t="shared" si="22"/>
        <v>8.4</v>
      </c>
      <c r="AI93" s="359">
        <f>B93+E93+H93+K93+N93+Q93+T93+W93+Z93+AC93</f>
        <v>2352366.4196396782</v>
      </c>
      <c r="AJ93" s="605">
        <f>C93+F93+I93+L93+O93+R93+U93+X93+AA93+AD93</f>
        <v>2549692.9092957918</v>
      </c>
      <c r="AK93" s="361">
        <f t="shared" si="24"/>
        <v>8.4</v>
      </c>
    </row>
    <row r="94" spans="1:37" ht="18.75" customHeight="1" x14ac:dyDescent="0.3">
      <c r="A94" s="365" t="s">
        <v>224</v>
      </c>
      <c r="N94" s="365"/>
      <c r="R94" s="469"/>
      <c r="S94" s="469"/>
      <c r="T94" s="469"/>
      <c r="U94" s="469"/>
      <c r="V94" s="469"/>
      <c r="W94" s="365"/>
      <c r="Z94" s="365"/>
      <c r="AC94" s="365"/>
    </row>
    <row r="95" spans="1:37" ht="18.75" customHeight="1" x14ac:dyDescent="0.3">
      <c r="A95" s="365" t="s">
        <v>225</v>
      </c>
      <c r="N95" s="365"/>
      <c r="R95" s="469"/>
      <c r="S95" s="469"/>
      <c r="T95" s="469"/>
      <c r="U95" s="469"/>
      <c r="V95" s="469"/>
      <c r="W95" s="365"/>
      <c r="Z95" s="365"/>
      <c r="AC95" s="365"/>
    </row>
    <row r="96" spans="1:37" s="368" customFormat="1" ht="18.75" customHeight="1" x14ac:dyDescent="0.3">
      <c r="A96" s="365" t="s">
        <v>226</v>
      </c>
      <c r="S96" s="470"/>
      <c r="T96" s="470"/>
      <c r="U96" s="470"/>
      <c r="V96" s="470"/>
    </row>
    <row r="97" spans="33:33" s="368" customFormat="1" ht="18.75" x14ac:dyDescent="0.3"/>
    <row r="98" spans="33:33" s="368" customFormat="1" ht="18.75" x14ac:dyDescent="0.3"/>
    <row r="99" spans="33:33" s="368" customFormat="1" ht="18.75" x14ac:dyDescent="0.3">
      <c r="AG99" s="376"/>
    </row>
    <row r="100" spans="33:33" s="368" customFormat="1" ht="18.75" x14ac:dyDescent="0.3">
      <c r="AG100" s="603"/>
    </row>
    <row r="101" spans="33:33" s="368" customFormat="1" ht="18.75" x14ac:dyDescent="0.3"/>
    <row r="102" spans="33:33" s="368" customFormat="1" ht="18.75" x14ac:dyDescent="0.3"/>
    <row r="103" spans="33:33" s="368" customFormat="1" ht="18.75" x14ac:dyDescent="0.3"/>
    <row r="104" spans="33:33" s="368" customFormat="1" ht="18.75" x14ac:dyDescent="0.3"/>
    <row r="105" spans="33:33" s="368" customFormat="1" ht="18.75" x14ac:dyDescent="0.3"/>
    <row r="106" spans="33:33" s="368" customFormat="1" ht="18.75" x14ac:dyDescent="0.3"/>
    <row r="107" spans="33:33" s="368" customFormat="1" ht="18.75" x14ac:dyDescent="0.3"/>
    <row r="108" spans="33:33" s="368" customFormat="1" ht="18.75" x14ac:dyDescent="0.3"/>
    <row r="109" spans="33:33" s="368" customFormat="1" ht="18.75" x14ac:dyDescent="0.3"/>
    <row r="110" spans="33:33" s="368" customFormat="1" ht="18.75" x14ac:dyDescent="0.3"/>
    <row r="111" spans="33:33" s="368" customFormat="1" ht="18.75" x14ac:dyDescent="0.3"/>
    <row r="112" spans="33:33" s="368" customFormat="1" ht="18.75" x14ac:dyDescent="0.3"/>
    <row r="113" s="377" customFormat="1" ht="15.75" x14ac:dyDescent="0.25"/>
    <row r="114" s="377" customFormat="1" ht="15.75" x14ac:dyDescent="0.25"/>
  </sheetData>
  <mergeCells count="30">
    <mergeCell ref="W5:Y5"/>
    <mergeCell ref="B5:D5"/>
    <mergeCell ref="E5:G5"/>
    <mergeCell ref="H5:J5"/>
    <mergeCell ref="K5:M5"/>
    <mergeCell ref="T5:V5"/>
    <mergeCell ref="AT5:AV5"/>
    <mergeCell ref="AW5:AY5"/>
    <mergeCell ref="B6:D6"/>
    <mergeCell ref="E6:G6"/>
    <mergeCell ref="H6:J6"/>
    <mergeCell ref="K6:M6"/>
    <mergeCell ref="N6:P6"/>
    <mergeCell ref="Q6:S6"/>
    <mergeCell ref="T6:V6"/>
    <mergeCell ref="W6:Y6"/>
    <mergeCell ref="Z5:AB5"/>
    <mergeCell ref="AC5:AE5"/>
    <mergeCell ref="AF5:AH5"/>
    <mergeCell ref="AI5:AK5"/>
    <mergeCell ref="AN5:AP5"/>
    <mergeCell ref="AQ5:AS5"/>
    <mergeCell ref="AT6:AV6"/>
    <mergeCell ref="AW6:AY6"/>
    <mergeCell ref="Z6:AB6"/>
    <mergeCell ref="AC6:AE6"/>
    <mergeCell ref="AF6:AH6"/>
    <mergeCell ref="AI6:AK6"/>
    <mergeCell ref="AN6:AP6"/>
    <mergeCell ref="AQ6:AS6"/>
  </mergeCells>
  <conditionalFormatting sqref="K64">
    <cfRule type="expression" dxfId="137" priority="345">
      <formula>#REF! ="64≠29+62"</formula>
    </cfRule>
  </conditionalFormatting>
  <conditionalFormatting sqref="K93">
    <cfRule type="expression" dxfId="136" priority="346">
      <formula>#REF! = "64≠94"</formula>
    </cfRule>
  </conditionalFormatting>
  <conditionalFormatting sqref="K93">
    <cfRule type="expression" dxfId="135" priority="347">
      <formula>#REF! = "94≠68+69+71+80+88+89+90+91+92"</formula>
    </cfRule>
  </conditionalFormatting>
  <conditionalFormatting sqref="K35">
    <cfRule type="expression" dxfId="134" priority="348">
      <formula>#REF! ="35≠36+38"</formula>
    </cfRule>
  </conditionalFormatting>
  <conditionalFormatting sqref="K39">
    <cfRule type="expression" dxfId="133" priority="349">
      <formula>#REF! ="39≠40+41+42+43+44"</formula>
    </cfRule>
  </conditionalFormatting>
  <conditionalFormatting sqref="K45">
    <cfRule type="expression" dxfId="132" priority="350">
      <formula>#REF! ="45≠33+34+35+39"</formula>
    </cfRule>
  </conditionalFormatting>
  <conditionalFormatting sqref="K50">
    <cfRule type="expression" dxfId="131" priority="351">
      <formula>#REF! ="50≠51+53"</formula>
    </cfRule>
  </conditionalFormatting>
  <conditionalFormatting sqref="K54">
    <cfRule type="expression" dxfId="130" priority="352">
      <formula>#REF! ="54≠55+56+57+58+59"</formula>
    </cfRule>
  </conditionalFormatting>
  <conditionalFormatting sqref="K60">
    <cfRule type="expression" dxfId="129" priority="353">
      <formula>#REF! ="60≠48+49+50+54"</formula>
    </cfRule>
  </conditionalFormatting>
  <conditionalFormatting sqref="K62">
    <cfRule type="expression" dxfId="128" priority="354">
      <formula>#REF! ="62≠45+46+60+61"</formula>
    </cfRule>
  </conditionalFormatting>
  <conditionalFormatting sqref="K80">
    <cfRule type="expression" dxfId="127" priority="355">
      <formula>#REF! ="80≠73+74+75+76+77+78+79"</formula>
    </cfRule>
  </conditionalFormatting>
  <conditionalFormatting sqref="K87">
    <cfRule type="expression" dxfId="126" priority="356">
      <formula>#REF! ="88≠82+83+84+85+86+87"</formula>
    </cfRule>
  </conditionalFormatting>
  <conditionalFormatting sqref="E35">
    <cfRule type="expression" dxfId="125" priority="197">
      <formula>#REF! ="35≠36+38"</formula>
    </cfRule>
  </conditionalFormatting>
  <conditionalFormatting sqref="E39">
    <cfRule type="expression" dxfId="124" priority="198">
      <formula>#REF! ="39≠40+41+42+43+44"</formula>
    </cfRule>
  </conditionalFormatting>
  <conditionalFormatting sqref="E45">
    <cfRule type="expression" dxfId="123" priority="199">
      <formula>#REF! ="45≠33+34+35+39"</formula>
    </cfRule>
  </conditionalFormatting>
  <conditionalFormatting sqref="E50">
    <cfRule type="expression" dxfId="122" priority="200">
      <formula>#REF! ="50≠51+53"</formula>
    </cfRule>
  </conditionalFormatting>
  <conditionalFormatting sqref="E54">
    <cfRule type="expression" dxfId="121" priority="201">
      <formula>#REF! ="54≠55+56+57+58+59"</formula>
    </cfRule>
  </conditionalFormatting>
  <conditionalFormatting sqref="E60">
    <cfRule type="expression" dxfId="120" priority="202">
      <formula>#REF! ="60≠48+49+50+54"</formula>
    </cfRule>
  </conditionalFormatting>
  <conditionalFormatting sqref="E62">
    <cfRule type="expression" dxfId="119" priority="203">
      <formula>#REF! ="62≠45+46+60+61"</formula>
    </cfRule>
  </conditionalFormatting>
  <conditionalFormatting sqref="E64">
    <cfRule type="expression" dxfId="118" priority="204">
      <formula>#REF! ="64≠29+62"</formula>
    </cfRule>
  </conditionalFormatting>
  <conditionalFormatting sqref="E80">
    <cfRule type="expression" dxfId="117" priority="205">
      <formula>#REF! ="80≠73+74+75+76+77+78+79"</formula>
    </cfRule>
  </conditionalFormatting>
  <conditionalFormatting sqref="E87">
    <cfRule type="expression" dxfId="116" priority="206">
      <formula>#REF! ="88≠82+83+84+85+86+87"</formula>
    </cfRule>
  </conditionalFormatting>
  <conditionalFormatting sqref="E93">
    <cfRule type="expression" dxfId="115" priority="207">
      <formula>#REF! = "64≠94"</formula>
    </cfRule>
    <cfRule type="expression" dxfId="114" priority="208">
      <formula>#REF! = "94≠68+69+71+80+88+89+90+91+92"</formula>
    </cfRule>
  </conditionalFormatting>
  <conditionalFormatting sqref="W35">
    <cfRule type="expression" dxfId="113" priority="173">
      <formula>#REF! ="35≠36+38"</formula>
    </cfRule>
  </conditionalFormatting>
  <conditionalFormatting sqref="W39">
    <cfRule type="expression" dxfId="112" priority="174">
      <formula>#REF! ="39≠40+41+42+43+44"</formula>
    </cfRule>
  </conditionalFormatting>
  <conditionalFormatting sqref="W45">
    <cfRule type="expression" dxfId="111" priority="175">
      <formula>#REF! ="45≠33+34+35+39"</formula>
    </cfRule>
  </conditionalFormatting>
  <conditionalFormatting sqref="W50">
    <cfRule type="expression" dxfId="110" priority="176">
      <formula>#REF! ="50≠51+53"</formula>
    </cfRule>
  </conditionalFormatting>
  <conditionalFormatting sqref="W54">
    <cfRule type="expression" dxfId="109" priority="177">
      <formula>#REF! ="54≠55+56+57+58+59"</formula>
    </cfRule>
  </conditionalFormatting>
  <conditionalFormatting sqref="W60">
    <cfRule type="expression" dxfId="108" priority="178">
      <formula>#REF! ="60≠48+49+50+54"</formula>
    </cfRule>
  </conditionalFormatting>
  <conditionalFormatting sqref="W62">
    <cfRule type="expression" dxfId="107" priority="179">
      <formula>#REF! ="62≠45+46+60+61"</formula>
    </cfRule>
  </conditionalFormatting>
  <conditionalFormatting sqref="W64">
    <cfRule type="expression" dxfId="106" priority="180">
      <formula>#REF! ="64≠29+62"</formula>
    </cfRule>
  </conditionalFormatting>
  <conditionalFormatting sqref="W80">
    <cfRule type="expression" dxfId="105" priority="181">
      <formula>#REF! ="80≠73+74+75+76+77+78+79"</formula>
    </cfRule>
  </conditionalFormatting>
  <conditionalFormatting sqref="W87">
    <cfRule type="expression" dxfId="104" priority="182">
      <formula>#REF! ="88≠82+83+84+85+86+87"</formula>
    </cfRule>
  </conditionalFormatting>
  <conditionalFormatting sqref="W93">
    <cfRule type="expression" dxfId="103" priority="183">
      <formula>#REF! = "94≠68+69+71+80+88+89+90+91+92"</formula>
    </cfRule>
    <cfRule type="expression" dxfId="102" priority="184">
      <formula>#REF! = "64≠94"</formula>
    </cfRule>
  </conditionalFormatting>
  <conditionalFormatting sqref="Q35">
    <cfRule type="expression" dxfId="101" priority="149">
      <formula>#REF! ="35≠36+38"</formula>
    </cfRule>
  </conditionalFormatting>
  <conditionalFormatting sqref="Q39">
    <cfRule type="expression" dxfId="100" priority="150">
      <formula>#REF! ="39≠40+41+42+43+44"</formula>
    </cfRule>
  </conditionalFormatting>
  <conditionalFormatting sqref="Q45">
    <cfRule type="expression" dxfId="99" priority="151">
      <formula>#REF! ="45≠33+34+35+39"</formula>
    </cfRule>
  </conditionalFormatting>
  <conditionalFormatting sqref="Q50">
    <cfRule type="expression" dxfId="98" priority="152">
      <formula>#REF! ="50≠51+53"</formula>
    </cfRule>
  </conditionalFormatting>
  <conditionalFormatting sqref="Q54">
    <cfRule type="expression" dxfId="97" priority="153">
      <formula>#REF! ="54≠55+56+57+58+59"</formula>
    </cfRule>
  </conditionalFormatting>
  <conditionalFormatting sqref="Q60">
    <cfRule type="expression" dxfId="96" priority="154">
      <formula>#REF! ="60≠48+49+50+54"</formula>
    </cfRule>
  </conditionalFormatting>
  <conditionalFormatting sqref="Q62">
    <cfRule type="expression" dxfId="95" priority="155">
      <formula>#REF! ="62≠45+46+60+61"</formula>
    </cfRule>
  </conditionalFormatting>
  <conditionalFormatting sqref="Q64">
    <cfRule type="expression" dxfId="94" priority="156">
      <formula>#REF! ="64≠29+62"</formula>
    </cfRule>
  </conditionalFormatting>
  <conditionalFormatting sqref="Q80">
    <cfRule type="expression" dxfId="93" priority="157">
      <formula>#REF! ="80≠73+74+75+76+77+78+79"</formula>
    </cfRule>
  </conditionalFormatting>
  <conditionalFormatting sqref="Q87">
    <cfRule type="expression" dxfId="92" priority="158">
      <formula>#REF! ="88≠82+83+84+85+86+87"</formula>
    </cfRule>
  </conditionalFormatting>
  <conditionalFormatting sqref="Q93">
    <cfRule type="expression" dxfId="91" priority="159">
      <formula>#REF! = "64≠94"</formula>
    </cfRule>
    <cfRule type="expression" dxfId="90" priority="160">
      <formula>#REF! = "94≠68+69+71+80+88+89+90+91+92"</formula>
    </cfRule>
  </conditionalFormatting>
  <conditionalFormatting sqref="N35">
    <cfRule type="expression" dxfId="89" priority="125">
      <formula>#REF! ="35≠36+38"</formula>
    </cfRule>
  </conditionalFormatting>
  <conditionalFormatting sqref="N39">
    <cfRule type="expression" dxfId="88" priority="126">
      <formula>#REF! ="39≠40+41+42+43+44"</formula>
    </cfRule>
  </conditionalFormatting>
  <conditionalFormatting sqref="N45">
    <cfRule type="expression" dxfId="87" priority="127">
      <formula>#REF! ="45≠33+34+35+39"</formula>
    </cfRule>
  </conditionalFormatting>
  <conditionalFormatting sqref="N50">
    <cfRule type="expression" dxfId="86" priority="128">
      <formula>#REF! ="50≠51+53"</formula>
    </cfRule>
  </conditionalFormatting>
  <conditionalFormatting sqref="N54">
    <cfRule type="expression" dxfId="85" priority="129">
      <formula>#REF! ="54≠55+56+57+58+59"</formula>
    </cfRule>
  </conditionalFormatting>
  <conditionalFormatting sqref="N60">
    <cfRule type="expression" dxfId="84" priority="130">
      <formula>#REF! ="60≠48+49+50+54"</formula>
    </cfRule>
  </conditionalFormatting>
  <conditionalFormatting sqref="N62">
    <cfRule type="expression" dxfId="83" priority="131">
      <formula>#REF! ="62≠45+46+60+61"</formula>
    </cfRule>
  </conditionalFormatting>
  <conditionalFormatting sqref="N64">
    <cfRule type="expression" dxfId="82" priority="132">
      <formula>#REF! ="64≠29+62"</formula>
    </cfRule>
  </conditionalFormatting>
  <conditionalFormatting sqref="N80">
    <cfRule type="expression" dxfId="81" priority="133">
      <formula>#REF! ="80≠73+74+75+76+77+78+79"</formula>
    </cfRule>
  </conditionalFormatting>
  <conditionalFormatting sqref="N87">
    <cfRule type="expression" dxfId="80" priority="134">
      <formula>#REF! ="88≠82+83+84+85+86+87"</formula>
    </cfRule>
  </conditionalFormatting>
  <conditionalFormatting sqref="N93">
    <cfRule type="expression" dxfId="79" priority="135">
      <formula>#REF! = "94≠68+69+71+80+88+89+90+91+92"</formula>
    </cfRule>
    <cfRule type="expression" dxfId="78" priority="136">
      <formula>#REF! = "64≠94"</formula>
    </cfRule>
  </conditionalFormatting>
  <conditionalFormatting sqref="B35">
    <cfRule type="expression" dxfId="77" priority="101">
      <formula>#REF! ="35≠36+38"</formula>
    </cfRule>
  </conditionalFormatting>
  <conditionalFormatting sqref="B39">
    <cfRule type="expression" dxfId="76" priority="102">
      <formula>#REF! ="39≠40+41+42+43+44"</formula>
    </cfRule>
  </conditionalFormatting>
  <conditionalFormatting sqref="B45">
    <cfRule type="expression" dxfId="75" priority="103">
      <formula>#REF! ="45≠33+34+35+39"</formula>
    </cfRule>
  </conditionalFormatting>
  <conditionalFormatting sqref="B50">
    <cfRule type="expression" dxfId="74" priority="104">
      <formula>#REF! ="50≠51+53"</formula>
    </cfRule>
  </conditionalFormatting>
  <conditionalFormatting sqref="B54">
    <cfRule type="expression" dxfId="73" priority="105">
      <formula>#REF! ="54≠55+56+57+58+59"</formula>
    </cfRule>
  </conditionalFormatting>
  <conditionalFormatting sqref="B60">
    <cfRule type="expression" dxfId="72" priority="106">
      <formula>#REF! ="60≠48+49+50+54"</formula>
    </cfRule>
  </conditionalFormatting>
  <conditionalFormatting sqref="B62">
    <cfRule type="expression" dxfId="71" priority="107">
      <formula>#REF! ="62≠45+46+60+61"</formula>
    </cfRule>
  </conditionalFormatting>
  <conditionalFormatting sqref="B64">
    <cfRule type="expression" dxfId="70" priority="108">
      <formula>#REF! ="64≠29+62"</formula>
    </cfRule>
  </conditionalFormatting>
  <conditionalFormatting sqref="B80">
    <cfRule type="expression" dxfId="69" priority="109">
      <formula>#REF! ="80≠73+74+75+76+77+78+79"</formula>
    </cfRule>
  </conditionalFormatting>
  <conditionalFormatting sqref="B87">
    <cfRule type="expression" dxfId="68" priority="110">
      <formula>#REF! ="88≠82+83+84+85+86+87"</formula>
    </cfRule>
  </conditionalFormatting>
  <conditionalFormatting sqref="B93">
    <cfRule type="expression" dxfId="67" priority="111">
      <formula>#REF! = "94≠68+69+71+80+88+89+90+91+92"</formula>
    </cfRule>
    <cfRule type="expression" dxfId="66" priority="112">
      <formula>#REF! = "64≠94"</formula>
    </cfRule>
  </conditionalFormatting>
  <conditionalFormatting sqref="T35">
    <cfRule type="expression" dxfId="65" priority="77">
      <formula>#REF! ="35≠36+38"</formula>
    </cfRule>
  </conditionalFormatting>
  <conditionalFormatting sqref="T39">
    <cfRule type="expression" dxfId="64" priority="78">
      <formula>#REF! ="39≠40+41+42+43+44"</formula>
    </cfRule>
  </conditionalFormatting>
  <conditionalFormatting sqref="T45">
    <cfRule type="expression" dxfId="63" priority="79">
      <formula>#REF! ="45≠33+34+35+39"</formula>
    </cfRule>
  </conditionalFormatting>
  <conditionalFormatting sqref="T50">
    <cfRule type="expression" dxfId="62" priority="80">
      <formula>#REF! ="50≠51+53"</formula>
    </cfRule>
  </conditionalFormatting>
  <conditionalFormatting sqref="T54">
    <cfRule type="expression" dxfId="61" priority="81">
      <formula>#REF! ="54≠55+56+57+58+59"</formula>
    </cfRule>
  </conditionalFormatting>
  <conditionalFormatting sqref="T60">
    <cfRule type="expression" dxfId="60" priority="82">
      <formula>#REF! ="60≠48+49+50+54"</formula>
    </cfRule>
  </conditionalFormatting>
  <conditionalFormatting sqref="T62">
    <cfRule type="expression" dxfId="59" priority="83">
      <formula>#REF! ="62≠45+46+60+61"</formula>
    </cfRule>
  </conditionalFormatting>
  <conditionalFormatting sqref="T64">
    <cfRule type="expression" dxfId="58" priority="84">
      <formula>#REF! ="64≠29+62"</formula>
    </cfRule>
  </conditionalFormatting>
  <conditionalFormatting sqref="T80">
    <cfRule type="expression" dxfId="57" priority="85">
      <formula>#REF! ="80≠73+74+75+76+77+78+79"</formula>
    </cfRule>
  </conditionalFormatting>
  <conditionalFormatting sqref="T87">
    <cfRule type="expression" dxfId="56" priority="86">
      <formula>#REF! ="88≠82+83+84+85+86+87"</formula>
    </cfRule>
  </conditionalFormatting>
  <conditionalFormatting sqref="T93">
    <cfRule type="expression" dxfId="55" priority="87">
      <formula>#REF! = "94≠68+69+71+80+88+89+90+91+92"</formula>
    </cfRule>
    <cfRule type="expression" dxfId="54" priority="88">
      <formula>#REF! = "64≠94"</formula>
    </cfRule>
  </conditionalFormatting>
  <conditionalFormatting sqref="AC35">
    <cfRule type="expression" dxfId="53" priority="53">
      <formula>#REF! ="35≠36+38"</formula>
    </cfRule>
  </conditionalFormatting>
  <conditionalFormatting sqref="AC39">
    <cfRule type="expression" dxfId="52" priority="54">
      <formula>#REF! ="39≠40+41+42+43+44"</formula>
    </cfRule>
  </conditionalFormatting>
  <conditionalFormatting sqref="AC45">
    <cfRule type="expression" dxfId="51" priority="55">
      <formula>#REF! ="45≠33+34+35+39"</formula>
    </cfRule>
  </conditionalFormatting>
  <conditionalFormatting sqref="AC50">
    <cfRule type="expression" dxfId="50" priority="56">
      <formula>#REF! ="50≠51+53"</formula>
    </cfRule>
  </conditionalFormatting>
  <conditionalFormatting sqref="AC54">
    <cfRule type="expression" dxfId="49" priority="57">
      <formula>#REF! ="54≠55+56+57+58+59"</formula>
    </cfRule>
  </conditionalFormatting>
  <conditionalFormatting sqref="AC60">
    <cfRule type="expression" dxfId="48" priority="58">
      <formula>#REF! ="60≠48+49+50+54"</formula>
    </cfRule>
  </conditionalFormatting>
  <conditionalFormatting sqref="AC62">
    <cfRule type="expression" dxfId="47" priority="59">
      <formula>#REF! ="62≠45+46+60+61"</formula>
    </cfRule>
  </conditionalFormatting>
  <conditionalFormatting sqref="AC64">
    <cfRule type="expression" dxfId="46" priority="60">
      <formula>#REF! ="64≠29+62"</formula>
    </cfRule>
  </conditionalFormatting>
  <conditionalFormatting sqref="AC80">
    <cfRule type="expression" dxfId="45" priority="61">
      <formula>#REF! ="80≠73+74+75+76+77+78+79"</formula>
    </cfRule>
  </conditionalFormatting>
  <conditionalFormatting sqref="AC87">
    <cfRule type="expression" dxfId="44" priority="62">
      <formula>#REF! ="88≠82+83+84+85+86+87"</formula>
    </cfRule>
  </conditionalFormatting>
  <conditionalFormatting sqref="AC93">
    <cfRule type="expression" dxfId="43" priority="63">
      <formula>#REF! = "94≠68+69+71+80+88+89+90+91+92"</formula>
    </cfRule>
    <cfRule type="expression" dxfId="42" priority="64">
      <formula>#REF! = "64≠94"</formula>
    </cfRule>
  </conditionalFormatting>
  <conditionalFormatting sqref="Z35">
    <cfRule type="expression" dxfId="41" priority="29">
      <formula>#REF! ="35≠36+38"</formula>
    </cfRule>
  </conditionalFormatting>
  <conditionalFormatting sqref="Z39">
    <cfRule type="expression" dxfId="40" priority="30">
      <formula>#REF! ="39≠40+41+42+43+44"</formula>
    </cfRule>
  </conditionalFormatting>
  <conditionalFormatting sqref="Z45">
    <cfRule type="expression" dxfId="39" priority="31">
      <formula>#REF! ="45≠33+34+35+39"</formula>
    </cfRule>
  </conditionalFormatting>
  <conditionalFormatting sqref="Z50">
    <cfRule type="expression" dxfId="38" priority="32">
      <formula>#REF! ="50≠51+53"</formula>
    </cfRule>
  </conditionalFormatting>
  <conditionalFormatting sqref="Z54">
    <cfRule type="expression" dxfId="37" priority="33">
      <formula>#REF! ="54≠55+56+57+58+59"</formula>
    </cfRule>
  </conditionalFormatting>
  <conditionalFormatting sqref="Z60">
    <cfRule type="expression" dxfId="36" priority="34">
      <formula>#REF! ="60≠48+49+50+54"</formula>
    </cfRule>
  </conditionalFormatting>
  <conditionalFormatting sqref="Z62">
    <cfRule type="expression" dxfId="35" priority="35">
      <formula>#REF! ="62≠45+46+60+61"</formula>
    </cfRule>
  </conditionalFormatting>
  <conditionalFormatting sqref="Z64">
    <cfRule type="expression" dxfId="34" priority="36">
      <formula>#REF! ="64≠29+62"</formula>
    </cfRule>
  </conditionalFormatting>
  <conditionalFormatting sqref="Z80">
    <cfRule type="expression" dxfId="33" priority="37">
      <formula>#REF! ="80≠73+74+75+76+77+78+79"</formula>
    </cfRule>
  </conditionalFormatting>
  <conditionalFormatting sqref="Z87">
    <cfRule type="expression" dxfId="32" priority="38">
      <formula>#REF! ="88≠82+83+84+85+86+87"</formula>
    </cfRule>
  </conditionalFormatting>
  <conditionalFormatting sqref="Z93">
    <cfRule type="expression" dxfId="31" priority="39">
      <formula>#REF! = "64≠94"</formula>
    </cfRule>
    <cfRule type="expression" dxfId="30" priority="40">
      <formula>#REF! = "94≠68+69+71+80+88+89+90+91+92"</formula>
    </cfRule>
  </conditionalFormatting>
  <conditionalFormatting sqref="H35">
    <cfRule type="expression" dxfId="29" priority="5">
      <formula>#REF! ="35≠36+38"</formula>
    </cfRule>
  </conditionalFormatting>
  <conditionalFormatting sqref="H39">
    <cfRule type="expression" dxfId="28" priority="6">
      <formula>#REF! ="39≠40+41+42+43+44"</formula>
    </cfRule>
  </conditionalFormatting>
  <conditionalFormatting sqref="H45">
    <cfRule type="expression" dxfId="27" priority="7">
      <formula>#REF! ="45≠33+34+35+39"</formula>
    </cfRule>
  </conditionalFormatting>
  <conditionalFormatting sqref="H50">
    <cfRule type="expression" dxfId="26" priority="8">
      <formula>#REF! ="50≠51+53"</formula>
    </cfRule>
  </conditionalFormatting>
  <conditionalFormatting sqref="H54">
    <cfRule type="expression" dxfId="25" priority="9">
      <formula>#REF! ="54≠55+56+57+58+59"</formula>
    </cfRule>
  </conditionalFormatting>
  <conditionalFormatting sqref="H60">
    <cfRule type="expression" dxfId="24" priority="10">
      <formula>#REF! ="60≠48+49+50+54"</formula>
    </cfRule>
  </conditionalFormatting>
  <conditionalFormatting sqref="H62">
    <cfRule type="expression" dxfId="23" priority="11">
      <formula>#REF! ="62≠45+46+60+61"</formula>
    </cfRule>
  </conditionalFormatting>
  <conditionalFormatting sqref="H64">
    <cfRule type="expression" dxfId="22" priority="12">
      <formula>#REF! ="64≠29+62"</formula>
    </cfRule>
  </conditionalFormatting>
  <conditionalFormatting sqref="H80">
    <cfRule type="expression" dxfId="21" priority="13">
      <formula>#REF! ="80≠73+74+75+76+77+78+79"</formula>
    </cfRule>
  </conditionalFormatting>
  <conditionalFormatting sqref="H87">
    <cfRule type="expression" dxfId="20" priority="14">
      <formula>#REF! ="88≠82+83+84+85+86+87"</formula>
    </cfRule>
  </conditionalFormatting>
  <conditionalFormatting sqref="H93">
    <cfRule type="expression" dxfId="19" priority="15">
      <formula>#REF! = "94≠68+69+71+80+88+89+90+91+92"</formula>
    </cfRule>
    <cfRule type="expression" dxfId="18" priority="16">
      <formula>#REF! = "64≠94"</formula>
    </cfRule>
  </conditionalFormatting>
  <conditionalFormatting sqref="O93">
    <cfRule type="expression" dxfId="17" priority="3">
      <formula>#REF! = "64≠94"</formula>
    </cfRule>
    <cfRule type="expression" dxfId="16" priority="4">
      <formula>#REF! = "94≠68+69+71+80+88+89+90+91+92"</formula>
    </cfRule>
  </conditionalFormatting>
  <conditionalFormatting sqref="L93">
    <cfRule type="expression" dxfId="15" priority="1">
      <formula>#REF! = "64≠94"</formula>
    </cfRule>
    <cfRule type="expression" dxfId="14" priority="2">
      <formula>#REF! = "94≠68+69+71+80+88+89+90+91+92"</formula>
    </cfRule>
  </conditionalFormatting>
  <conditionalFormatting sqref="L35 F35 X35 R35 O35 C35 U35 AD35 AA35 I35">
    <cfRule type="expression" dxfId="13" priority="411">
      <formula>#REF! ="35≠36+38"</formula>
    </cfRule>
  </conditionalFormatting>
  <conditionalFormatting sqref="L45 F45 X45 R45 O45 C45 U45 AD45 AA45 I45">
    <cfRule type="expression" dxfId="12" priority="412">
      <formula>#REF! ="45≠33+34+35+39"</formula>
    </cfRule>
  </conditionalFormatting>
  <conditionalFormatting sqref="L50 F50 X50 R50 O50 C50 U50 AD50 AA50 I50">
    <cfRule type="expression" dxfId="11" priority="413">
      <formula>#REF! ="50≠51+53"</formula>
    </cfRule>
  </conditionalFormatting>
  <conditionalFormatting sqref="L60 F60 X60 R60 O60 C60 U60 AD60 AA60 I60">
    <cfRule type="expression" dxfId="10" priority="414">
      <formula>#REF! ="60≠48+49+50+54"</formula>
    </cfRule>
  </conditionalFormatting>
  <conditionalFormatting sqref="L62 F62 X62 R62 O62 C62 U62 AD62 AA62 I62">
    <cfRule type="expression" dxfId="9" priority="415">
      <formula>#REF! ="62≠45+46+60+61"</formula>
    </cfRule>
  </conditionalFormatting>
  <conditionalFormatting sqref="L64 F64 X64 R64 O64 C64 U64 AD64 AA64 I64">
    <cfRule type="expression" dxfId="8" priority="416">
      <formula>#REF! ="64≠29+62"</formula>
    </cfRule>
  </conditionalFormatting>
  <conditionalFormatting sqref="L80 F80 X80 R80 O80 C80 U80 AD80 AA80 I80">
    <cfRule type="expression" dxfId="7" priority="417">
      <formula>#REF! ="80≠73+74+75+76+77+78+79"</formula>
    </cfRule>
  </conditionalFormatting>
  <conditionalFormatting sqref="L87 F87 X87 R87 O87 C87 U87 AD87 AA87 I87">
    <cfRule type="expression" dxfId="6" priority="418">
      <formula>#REF! ="88≠82+83+84+85+86+87"</formula>
    </cfRule>
  </conditionalFormatting>
  <conditionalFormatting sqref="AF93:AG93">
    <cfRule type="expression" dxfId="5" priority="419">
      <formula>#REF! = "64≠94"</formula>
    </cfRule>
  </conditionalFormatting>
  <conditionalFormatting sqref="AF93:AG93">
    <cfRule type="expression" dxfId="4" priority="420">
      <formula>#REF! = "94≠68+69+71+80+88+89+90+91+92"</formula>
    </cfRule>
  </conditionalFormatting>
  <conditionalFormatting sqref="L39 F39 X39 R39 O39 C39 U39 AD39 AA39 I39">
    <cfRule type="expression" dxfId="3" priority="421">
      <formula>#REF! ="39≠40+41+42+43+44"</formula>
    </cfRule>
  </conditionalFormatting>
  <conditionalFormatting sqref="L54 F54 X54 R54 O54 C54 U54 AD54 AA54 I54">
    <cfRule type="expression" dxfId="2" priority="422">
      <formula>#REF! ="54≠55+56+57+58+59"</formula>
    </cfRule>
  </conditionalFormatting>
  <conditionalFormatting sqref="F93 X93 R93 C93 U93 AD93 AA93 I93">
    <cfRule type="expression" dxfId="1" priority="433">
      <formula>#REF! = "94≠68+69+71+80+88+89+90+91+92"</formula>
    </cfRule>
    <cfRule type="expression" dxfId="0" priority="434">
      <formula>#REF! = "64≠94"</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67B5-A844-47AB-BA92-DDA1529D92A0}">
  <dimension ref="A1:AP17"/>
  <sheetViews>
    <sheetView showGridLines="0" zoomScale="70" zoomScaleNormal="70" workbookViewId="0">
      <pane xSplit="1" ySplit="8" topLeftCell="B9" activePane="bottomRight" state="frozen"/>
      <selection activeCell="A42" sqref="A42"/>
      <selection pane="topRight" activeCell="A42" sqref="A42"/>
      <selection pane="bottomLeft" activeCell="A42" sqref="A42"/>
      <selection pane="bottomRight" activeCell="A4" sqref="A4"/>
    </sheetView>
  </sheetViews>
  <sheetFormatPr baseColWidth="10" defaultColWidth="11.42578125" defaultRowHeight="12.75" x14ac:dyDescent="0.2"/>
  <cols>
    <col min="1" max="1" width="62" style="399" customWidth="1"/>
    <col min="2" max="31" width="11.7109375" style="399" customWidth="1"/>
    <col min="32" max="244" width="11.42578125" style="399"/>
    <col min="245" max="245" width="62" style="399" customWidth="1"/>
    <col min="246" max="281" width="11.7109375" style="399" customWidth="1"/>
    <col min="282" max="500" width="11.42578125" style="399"/>
    <col min="501" max="501" width="62" style="399" customWidth="1"/>
    <col min="502" max="537" width="11.7109375" style="399" customWidth="1"/>
    <col min="538" max="756" width="11.42578125" style="399"/>
    <col min="757" max="757" width="62" style="399" customWidth="1"/>
    <col min="758" max="793" width="11.7109375" style="399" customWidth="1"/>
    <col min="794" max="1012" width="11.42578125" style="399"/>
    <col min="1013" max="1013" width="62" style="399" customWidth="1"/>
    <col min="1014" max="1049" width="11.7109375" style="399" customWidth="1"/>
    <col min="1050" max="1268" width="11.42578125" style="399"/>
    <col min="1269" max="1269" width="62" style="399" customWidth="1"/>
    <col min="1270" max="1305" width="11.7109375" style="399" customWidth="1"/>
    <col min="1306" max="1524" width="11.42578125" style="399"/>
    <col min="1525" max="1525" width="62" style="399" customWidth="1"/>
    <col min="1526" max="1561" width="11.7109375" style="399" customWidth="1"/>
    <col min="1562" max="1780" width="11.42578125" style="399"/>
    <col min="1781" max="1781" width="62" style="399" customWidth="1"/>
    <col min="1782" max="1817" width="11.7109375" style="399" customWidth="1"/>
    <col min="1818" max="2036" width="11.42578125" style="399"/>
    <col min="2037" max="2037" width="62" style="399" customWidth="1"/>
    <col min="2038" max="2073" width="11.7109375" style="399" customWidth="1"/>
    <col min="2074" max="2292" width="11.42578125" style="399"/>
    <col min="2293" max="2293" width="62" style="399" customWidth="1"/>
    <col min="2294" max="2329" width="11.7109375" style="399" customWidth="1"/>
    <col min="2330" max="2548" width="11.42578125" style="399"/>
    <col min="2549" max="2549" width="62" style="399" customWidth="1"/>
    <col min="2550" max="2585" width="11.7109375" style="399" customWidth="1"/>
    <col min="2586" max="2804" width="11.42578125" style="399"/>
    <col min="2805" max="2805" width="62" style="399" customWidth="1"/>
    <col min="2806" max="2841" width="11.7109375" style="399" customWidth="1"/>
    <col min="2842" max="3060" width="11.42578125" style="399"/>
    <col min="3061" max="3061" width="62" style="399" customWidth="1"/>
    <col min="3062" max="3097" width="11.7109375" style="399" customWidth="1"/>
    <col min="3098" max="3316" width="11.42578125" style="399"/>
    <col min="3317" max="3317" width="62" style="399" customWidth="1"/>
    <col min="3318" max="3353" width="11.7109375" style="399" customWidth="1"/>
    <col min="3354" max="3572" width="11.42578125" style="399"/>
    <col min="3573" max="3573" width="62" style="399" customWidth="1"/>
    <col min="3574" max="3609" width="11.7109375" style="399" customWidth="1"/>
    <col min="3610" max="3828" width="11.42578125" style="399"/>
    <col min="3829" max="3829" width="62" style="399" customWidth="1"/>
    <col min="3830" max="3865" width="11.7109375" style="399" customWidth="1"/>
    <col min="3866" max="4084" width="11.42578125" style="399"/>
    <col min="4085" max="4085" width="62" style="399" customWidth="1"/>
    <col min="4086" max="4121" width="11.7109375" style="399" customWidth="1"/>
    <col min="4122" max="4340" width="11.42578125" style="399"/>
    <col min="4341" max="4341" width="62" style="399" customWidth="1"/>
    <col min="4342" max="4377" width="11.7109375" style="399" customWidth="1"/>
    <col min="4378" max="4596" width="11.42578125" style="399"/>
    <col min="4597" max="4597" width="62" style="399" customWidth="1"/>
    <col min="4598" max="4633" width="11.7109375" style="399" customWidth="1"/>
    <col min="4634" max="4852" width="11.42578125" style="399"/>
    <col min="4853" max="4853" width="62" style="399" customWidth="1"/>
    <col min="4854" max="4889" width="11.7109375" style="399" customWidth="1"/>
    <col min="4890" max="5108" width="11.42578125" style="399"/>
    <col min="5109" max="5109" width="62" style="399" customWidth="1"/>
    <col min="5110" max="5145" width="11.7109375" style="399" customWidth="1"/>
    <col min="5146" max="5364" width="11.42578125" style="399"/>
    <col min="5365" max="5365" width="62" style="399" customWidth="1"/>
    <col min="5366" max="5401" width="11.7109375" style="399" customWidth="1"/>
    <col min="5402" max="5620" width="11.42578125" style="399"/>
    <col min="5621" max="5621" width="62" style="399" customWidth="1"/>
    <col min="5622" max="5657" width="11.7109375" style="399" customWidth="1"/>
    <col min="5658" max="5876" width="11.42578125" style="399"/>
    <col min="5877" max="5877" width="62" style="399" customWidth="1"/>
    <col min="5878" max="5913" width="11.7109375" style="399" customWidth="1"/>
    <col min="5914" max="6132" width="11.42578125" style="399"/>
    <col min="6133" max="6133" width="62" style="399" customWidth="1"/>
    <col min="6134" max="6169" width="11.7109375" style="399" customWidth="1"/>
    <col min="6170" max="6388" width="11.42578125" style="399"/>
    <col min="6389" max="6389" width="62" style="399" customWidth="1"/>
    <col min="6390" max="6425" width="11.7109375" style="399" customWidth="1"/>
    <col min="6426" max="6644" width="11.42578125" style="399"/>
    <col min="6645" max="6645" width="62" style="399" customWidth="1"/>
    <col min="6646" max="6681" width="11.7109375" style="399" customWidth="1"/>
    <col min="6682" max="6900" width="11.42578125" style="399"/>
    <col min="6901" max="6901" width="62" style="399" customWidth="1"/>
    <col min="6902" max="6937" width="11.7109375" style="399" customWidth="1"/>
    <col min="6938" max="7156" width="11.42578125" style="399"/>
    <col min="7157" max="7157" width="62" style="399" customWidth="1"/>
    <col min="7158" max="7193" width="11.7109375" style="399" customWidth="1"/>
    <col min="7194" max="7412" width="11.42578125" style="399"/>
    <col min="7413" max="7413" width="62" style="399" customWidth="1"/>
    <col min="7414" max="7449" width="11.7109375" style="399" customWidth="1"/>
    <col min="7450" max="7668" width="11.42578125" style="399"/>
    <col min="7669" max="7669" width="62" style="399" customWidth="1"/>
    <col min="7670" max="7705" width="11.7109375" style="399" customWidth="1"/>
    <col min="7706" max="7924" width="11.42578125" style="399"/>
    <col min="7925" max="7925" width="62" style="399" customWidth="1"/>
    <col min="7926" max="7961" width="11.7109375" style="399" customWidth="1"/>
    <col min="7962" max="8180" width="11.42578125" style="399"/>
    <col min="8181" max="8181" width="62" style="399" customWidth="1"/>
    <col min="8182" max="8217" width="11.7109375" style="399" customWidth="1"/>
    <col min="8218" max="8436" width="11.42578125" style="399"/>
    <col min="8437" max="8437" width="62" style="399" customWidth="1"/>
    <col min="8438" max="8473" width="11.7109375" style="399" customWidth="1"/>
    <col min="8474" max="8692" width="11.42578125" style="399"/>
    <col min="8693" max="8693" width="62" style="399" customWidth="1"/>
    <col min="8694" max="8729" width="11.7109375" style="399" customWidth="1"/>
    <col min="8730" max="8948" width="11.42578125" style="399"/>
    <col min="8949" max="8949" width="62" style="399" customWidth="1"/>
    <col min="8950" max="8985" width="11.7109375" style="399" customWidth="1"/>
    <col min="8986" max="9204" width="11.42578125" style="399"/>
    <col min="9205" max="9205" width="62" style="399" customWidth="1"/>
    <col min="9206" max="9241" width="11.7109375" style="399" customWidth="1"/>
    <col min="9242" max="9460" width="11.42578125" style="399"/>
    <col min="9461" max="9461" width="62" style="399" customWidth="1"/>
    <col min="9462" max="9497" width="11.7109375" style="399" customWidth="1"/>
    <col min="9498" max="9716" width="11.42578125" style="399"/>
    <col min="9717" max="9717" width="62" style="399" customWidth="1"/>
    <col min="9718" max="9753" width="11.7109375" style="399" customWidth="1"/>
    <col min="9754" max="9972" width="11.42578125" style="399"/>
    <col min="9973" max="9973" width="62" style="399" customWidth="1"/>
    <col min="9974" max="10009" width="11.7109375" style="399" customWidth="1"/>
    <col min="10010" max="10228" width="11.42578125" style="399"/>
    <col min="10229" max="10229" width="62" style="399" customWidth="1"/>
    <col min="10230" max="10265" width="11.7109375" style="399" customWidth="1"/>
    <col min="10266" max="10484" width="11.42578125" style="399"/>
    <col min="10485" max="10485" width="62" style="399" customWidth="1"/>
    <col min="10486" max="10521" width="11.7109375" style="399" customWidth="1"/>
    <col min="10522" max="10740" width="11.42578125" style="399"/>
    <col min="10741" max="10741" width="62" style="399" customWidth="1"/>
    <col min="10742" max="10777" width="11.7109375" style="399" customWidth="1"/>
    <col min="10778" max="10996" width="11.42578125" style="399"/>
    <col min="10997" max="10997" width="62" style="399" customWidth="1"/>
    <col min="10998" max="11033" width="11.7109375" style="399" customWidth="1"/>
    <col min="11034" max="11252" width="11.42578125" style="399"/>
    <col min="11253" max="11253" width="62" style="399" customWidth="1"/>
    <col min="11254" max="11289" width="11.7109375" style="399" customWidth="1"/>
    <col min="11290" max="11508" width="11.42578125" style="399"/>
    <col min="11509" max="11509" width="62" style="399" customWidth="1"/>
    <col min="11510" max="11545" width="11.7109375" style="399" customWidth="1"/>
    <col min="11546" max="11764" width="11.42578125" style="399"/>
    <col min="11765" max="11765" width="62" style="399" customWidth="1"/>
    <col min="11766" max="11801" width="11.7109375" style="399" customWidth="1"/>
    <col min="11802" max="12020" width="11.42578125" style="399"/>
    <col min="12021" max="12021" width="62" style="399" customWidth="1"/>
    <col min="12022" max="12057" width="11.7109375" style="399" customWidth="1"/>
    <col min="12058" max="12276" width="11.42578125" style="399"/>
    <col min="12277" max="12277" width="62" style="399" customWidth="1"/>
    <col min="12278" max="12313" width="11.7109375" style="399" customWidth="1"/>
    <col min="12314" max="12532" width="11.42578125" style="399"/>
    <col min="12533" max="12533" width="62" style="399" customWidth="1"/>
    <col min="12534" max="12569" width="11.7109375" style="399" customWidth="1"/>
    <col min="12570" max="12788" width="11.42578125" style="399"/>
    <col min="12789" max="12789" width="62" style="399" customWidth="1"/>
    <col min="12790" max="12825" width="11.7109375" style="399" customWidth="1"/>
    <col min="12826" max="13044" width="11.42578125" style="399"/>
    <col min="13045" max="13045" width="62" style="399" customWidth="1"/>
    <col min="13046" max="13081" width="11.7109375" style="399" customWidth="1"/>
    <col min="13082" max="13300" width="11.42578125" style="399"/>
    <col min="13301" max="13301" width="62" style="399" customWidth="1"/>
    <col min="13302" max="13337" width="11.7109375" style="399" customWidth="1"/>
    <col min="13338" max="13556" width="11.42578125" style="399"/>
    <col min="13557" max="13557" width="62" style="399" customWidth="1"/>
    <col min="13558" max="13593" width="11.7109375" style="399" customWidth="1"/>
    <col min="13594" max="13812" width="11.42578125" style="399"/>
    <col min="13813" max="13813" width="62" style="399" customWidth="1"/>
    <col min="13814" max="13849" width="11.7109375" style="399" customWidth="1"/>
    <col min="13850" max="14068" width="11.42578125" style="399"/>
    <col min="14069" max="14069" width="62" style="399" customWidth="1"/>
    <col min="14070" max="14105" width="11.7109375" style="399" customWidth="1"/>
    <col min="14106" max="14324" width="11.42578125" style="399"/>
    <col min="14325" max="14325" width="62" style="399" customWidth="1"/>
    <col min="14326" max="14361" width="11.7109375" style="399" customWidth="1"/>
    <col min="14362" max="14580" width="11.42578125" style="399"/>
    <col min="14581" max="14581" width="62" style="399" customWidth="1"/>
    <col min="14582" max="14617" width="11.7109375" style="399" customWidth="1"/>
    <col min="14618" max="14836" width="11.42578125" style="399"/>
    <col min="14837" max="14837" width="62" style="399" customWidth="1"/>
    <col min="14838" max="14873" width="11.7109375" style="399" customWidth="1"/>
    <col min="14874" max="15092" width="11.42578125" style="399"/>
    <col min="15093" max="15093" width="62" style="399" customWidth="1"/>
    <col min="15094" max="15129" width="11.7109375" style="399" customWidth="1"/>
    <col min="15130" max="15348" width="11.42578125" style="399"/>
    <col min="15349" max="15349" width="62" style="399" customWidth="1"/>
    <col min="15350" max="15385" width="11.7109375" style="399" customWidth="1"/>
    <col min="15386" max="15604" width="11.42578125" style="399"/>
    <col min="15605" max="15605" width="62" style="399" customWidth="1"/>
    <col min="15606" max="15641" width="11.7109375" style="399" customWidth="1"/>
    <col min="15642" max="15860" width="11.42578125" style="399"/>
    <col min="15861" max="15861" width="62" style="399" customWidth="1"/>
    <col min="15862" max="15897" width="11.7109375" style="399" customWidth="1"/>
    <col min="15898" max="16116" width="11.42578125" style="399"/>
    <col min="16117" max="16117" width="62" style="399" customWidth="1"/>
    <col min="16118" max="16153" width="11.7109375" style="399" customWidth="1"/>
    <col min="16154" max="16384" width="11.42578125" style="399"/>
  </cols>
  <sheetData>
    <row r="1" spans="1:42" ht="20.25" x14ac:dyDescent="0.3">
      <c r="A1" s="398" t="s">
        <v>154</v>
      </c>
    </row>
    <row r="2" spans="1:42" ht="20.25" x14ac:dyDescent="0.3">
      <c r="A2" s="398" t="s">
        <v>241</v>
      </c>
      <c r="C2" s="540"/>
    </row>
    <row r="3" spans="1:42" ht="18.75" x14ac:dyDescent="0.3">
      <c r="A3" s="400" t="s">
        <v>298</v>
      </c>
    </row>
    <row r="4" spans="1:42" ht="18.75" x14ac:dyDescent="0.3">
      <c r="A4" s="401" t="s">
        <v>364</v>
      </c>
      <c r="B4" s="402"/>
      <c r="C4" s="403"/>
      <c r="D4" s="404"/>
      <c r="E4" s="403"/>
      <c r="F4" s="403"/>
      <c r="G4" s="404"/>
      <c r="H4" s="403"/>
      <c r="I4" s="403"/>
      <c r="J4" s="404"/>
      <c r="K4" s="402"/>
      <c r="L4" s="403"/>
      <c r="M4" s="404"/>
      <c r="N4" s="402"/>
      <c r="O4" s="403"/>
      <c r="P4" s="404"/>
      <c r="Q4" s="402"/>
      <c r="R4" s="403"/>
      <c r="S4" s="404"/>
      <c r="T4" s="402"/>
      <c r="U4" s="403"/>
      <c r="V4" s="404"/>
      <c r="W4" s="402"/>
      <c r="X4" s="403"/>
      <c r="Y4" s="404"/>
      <c r="Z4" s="402"/>
      <c r="AA4" s="403"/>
      <c r="AB4" s="404"/>
      <c r="AC4" s="402"/>
      <c r="AD4" s="405"/>
      <c r="AE4" s="404"/>
      <c r="AF4" s="406"/>
      <c r="AG4" s="406"/>
      <c r="AH4" s="406"/>
      <c r="AI4" s="406"/>
      <c r="AJ4" s="406"/>
      <c r="AK4" s="406"/>
      <c r="AL4" s="406"/>
      <c r="AM4" s="406"/>
      <c r="AN4" s="406"/>
      <c r="AO4" s="406"/>
      <c r="AP4" s="406"/>
    </row>
    <row r="5" spans="1:42" ht="18.75" x14ac:dyDescent="0.3">
      <c r="A5" s="407"/>
      <c r="B5" s="597" t="s">
        <v>157</v>
      </c>
      <c r="C5" s="598"/>
      <c r="D5" s="599"/>
      <c r="E5" s="513"/>
      <c r="F5" s="513"/>
      <c r="G5" s="514"/>
      <c r="H5" s="597" t="s">
        <v>158</v>
      </c>
      <c r="I5" s="598"/>
      <c r="J5" s="599"/>
      <c r="K5" s="597" t="s">
        <v>159</v>
      </c>
      <c r="L5" s="598"/>
      <c r="M5" s="599"/>
      <c r="N5" s="512" t="s">
        <v>160</v>
      </c>
      <c r="O5" s="513"/>
      <c r="P5" s="514"/>
      <c r="Q5" s="512"/>
      <c r="R5" s="513"/>
      <c r="S5" s="514"/>
      <c r="T5" s="597" t="s">
        <v>161</v>
      </c>
      <c r="U5" s="598"/>
      <c r="V5" s="599"/>
      <c r="W5" s="597" t="s">
        <v>65</v>
      </c>
      <c r="X5" s="598"/>
      <c r="Y5" s="599"/>
      <c r="Z5" s="597" t="s">
        <v>68</v>
      </c>
      <c r="AA5" s="598"/>
      <c r="AB5" s="599"/>
      <c r="AC5" s="597" t="s">
        <v>258</v>
      </c>
      <c r="AD5" s="598"/>
      <c r="AE5" s="599"/>
      <c r="AF5" s="516"/>
      <c r="AG5" s="516"/>
      <c r="AH5" s="593"/>
      <c r="AI5" s="593"/>
      <c r="AJ5" s="593"/>
      <c r="AK5" s="593"/>
      <c r="AL5" s="593"/>
      <c r="AM5" s="593"/>
      <c r="AN5" s="593"/>
      <c r="AO5" s="593"/>
      <c r="AP5" s="593"/>
    </row>
    <row r="6" spans="1:42" ht="18.75" x14ac:dyDescent="0.3">
      <c r="A6" s="408"/>
      <c r="B6" s="594" t="s">
        <v>163</v>
      </c>
      <c r="C6" s="595"/>
      <c r="D6" s="596"/>
      <c r="E6" s="594" t="s">
        <v>354</v>
      </c>
      <c r="F6" s="595"/>
      <c r="G6" s="596"/>
      <c r="H6" s="594" t="s">
        <v>163</v>
      </c>
      <c r="I6" s="595"/>
      <c r="J6" s="596"/>
      <c r="K6" s="594" t="s">
        <v>164</v>
      </c>
      <c r="L6" s="595"/>
      <c r="M6" s="596"/>
      <c r="N6" s="594" t="s">
        <v>61</v>
      </c>
      <c r="O6" s="595"/>
      <c r="P6" s="596"/>
      <c r="Q6" s="594" t="s">
        <v>63</v>
      </c>
      <c r="R6" s="595"/>
      <c r="S6" s="596"/>
      <c r="T6" s="594" t="s">
        <v>162</v>
      </c>
      <c r="U6" s="595"/>
      <c r="V6" s="596"/>
      <c r="W6" s="594" t="s">
        <v>369</v>
      </c>
      <c r="X6" s="595"/>
      <c r="Y6" s="596"/>
      <c r="Z6" s="594" t="s">
        <v>163</v>
      </c>
      <c r="AA6" s="595"/>
      <c r="AB6" s="596"/>
      <c r="AC6" s="594" t="s">
        <v>259</v>
      </c>
      <c r="AD6" s="595"/>
      <c r="AE6" s="596"/>
      <c r="AF6" s="516"/>
      <c r="AG6" s="516"/>
      <c r="AH6" s="593"/>
      <c r="AI6" s="593"/>
      <c r="AJ6" s="593"/>
      <c r="AK6" s="593"/>
      <c r="AL6" s="593"/>
      <c r="AM6" s="593"/>
      <c r="AN6" s="593"/>
      <c r="AO6" s="593"/>
      <c r="AP6" s="593"/>
    </row>
    <row r="7" spans="1:42" ht="18.75" x14ac:dyDescent="0.3">
      <c r="A7" s="408"/>
      <c r="B7" s="409"/>
      <c r="C7" s="409"/>
      <c r="D7" s="410" t="s">
        <v>76</v>
      </c>
      <c r="E7" s="409"/>
      <c r="F7" s="409"/>
      <c r="G7" s="410" t="s">
        <v>76</v>
      </c>
      <c r="H7" s="409"/>
      <c r="I7" s="409"/>
      <c r="J7" s="410" t="s">
        <v>76</v>
      </c>
      <c r="K7" s="409"/>
      <c r="L7" s="409"/>
      <c r="M7" s="410" t="s">
        <v>76</v>
      </c>
      <c r="N7" s="409"/>
      <c r="O7" s="409"/>
      <c r="P7" s="410" t="s">
        <v>76</v>
      </c>
      <c r="Q7" s="409"/>
      <c r="R7" s="409"/>
      <c r="S7" s="410" t="s">
        <v>76</v>
      </c>
      <c r="T7" s="409"/>
      <c r="U7" s="409"/>
      <c r="V7" s="410" t="s">
        <v>76</v>
      </c>
      <c r="W7" s="409"/>
      <c r="X7" s="409"/>
      <c r="Y7" s="410" t="s">
        <v>76</v>
      </c>
      <c r="Z7" s="409"/>
      <c r="AA7" s="409"/>
      <c r="AB7" s="410" t="s">
        <v>76</v>
      </c>
      <c r="AC7" s="409"/>
      <c r="AD7" s="409"/>
      <c r="AE7" s="410" t="s">
        <v>76</v>
      </c>
      <c r="AF7" s="516"/>
      <c r="AG7" s="516"/>
      <c r="AH7" s="516"/>
      <c r="AI7" s="516"/>
      <c r="AJ7" s="516"/>
      <c r="AK7" s="516"/>
      <c r="AL7" s="516"/>
      <c r="AM7" s="516"/>
      <c r="AN7" s="516"/>
      <c r="AO7" s="516"/>
      <c r="AP7" s="516"/>
    </row>
    <row r="8" spans="1:42" ht="15.75" x14ac:dyDescent="0.25">
      <c r="A8" s="411" t="s">
        <v>261</v>
      </c>
      <c r="B8" s="412">
        <v>2024</v>
      </c>
      <c r="C8" s="412">
        <v>2025</v>
      </c>
      <c r="D8" s="413" t="s">
        <v>78</v>
      </c>
      <c r="E8" s="412">
        <f>$B$8</f>
        <v>2024</v>
      </c>
      <c r="F8" s="412">
        <f>$C$8</f>
        <v>2025</v>
      </c>
      <c r="G8" s="413" t="s">
        <v>78</v>
      </c>
      <c r="H8" s="412">
        <f>$B$8</f>
        <v>2024</v>
      </c>
      <c r="I8" s="412">
        <f>$C$8</f>
        <v>2025</v>
      </c>
      <c r="J8" s="413" t="s">
        <v>78</v>
      </c>
      <c r="K8" s="412">
        <f>$B$8</f>
        <v>2024</v>
      </c>
      <c r="L8" s="412">
        <f>$C$8</f>
        <v>2025</v>
      </c>
      <c r="M8" s="413" t="s">
        <v>78</v>
      </c>
      <c r="N8" s="412">
        <f>$B$8</f>
        <v>2024</v>
      </c>
      <c r="O8" s="412">
        <f>$C$8</f>
        <v>2025</v>
      </c>
      <c r="P8" s="413" t="s">
        <v>78</v>
      </c>
      <c r="Q8" s="412">
        <f>$B$8</f>
        <v>2024</v>
      </c>
      <c r="R8" s="412">
        <f>$C$8</f>
        <v>2025</v>
      </c>
      <c r="S8" s="413" t="s">
        <v>78</v>
      </c>
      <c r="T8" s="412">
        <f>$B$8</f>
        <v>2024</v>
      </c>
      <c r="U8" s="412">
        <f>$C$8</f>
        <v>2025</v>
      </c>
      <c r="V8" s="413" t="s">
        <v>78</v>
      </c>
      <c r="W8" s="412">
        <f>$B$8</f>
        <v>2024</v>
      </c>
      <c r="X8" s="412">
        <f>$C$8</f>
        <v>2025</v>
      </c>
      <c r="Y8" s="413" t="s">
        <v>78</v>
      </c>
      <c r="Z8" s="412">
        <f>$B$8</f>
        <v>2024</v>
      </c>
      <c r="AA8" s="412">
        <f>$C$8</f>
        <v>2025</v>
      </c>
      <c r="AB8" s="413" t="s">
        <v>78</v>
      </c>
      <c r="AC8" s="412">
        <f>$B$8</f>
        <v>2024</v>
      </c>
      <c r="AD8" s="412">
        <f>$C$8</f>
        <v>2025</v>
      </c>
      <c r="AE8" s="413" t="s">
        <v>78</v>
      </c>
      <c r="AF8" s="415"/>
      <c r="AG8" s="414"/>
      <c r="AH8" s="415"/>
      <c r="AI8" s="415"/>
      <c r="AJ8" s="414"/>
      <c r="AK8" s="415"/>
      <c r="AL8" s="415"/>
      <c r="AM8" s="414"/>
      <c r="AN8" s="415"/>
      <c r="AO8" s="415"/>
      <c r="AP8" s="414"/>
    </row>
    <row r="9" spans="1:42" ht="18.75" x14ac:dyDescent="0.3">
      <c r="A9" s="416"/>
      <c r="B9" s="422"/>
      <c r="C9" s="422"/>
      <c r="D9" s="422"/>
      <c r="E9" s="422"/>
      <c r="F9" s="422"/>
      <c r="G9" s="422"/>
      <c r="H9" s="422"/>
      <c r="I9" s="422"/>
      <c r="J9" s="422"/>
      <c r="K9" s="422"/>
      <c r="L9" s="422"/>
      <c r="M9" s="422"/>
      <c r="N9" s="422"/>
      <c r="O9" s="422"/>
      <c r="P9" s="422"/>
      <c r="Q9" s="422"/>
      <c r="R9" s="393"/>
      <c r="S9" s="422"/>
      <c r="T9" s="422"/>
      <c r="U9" s="422"/>
      <c r="V9" s="422"/>
      <c r="W9" s="422"/>
      <c r="X9" s="422"/>
      <c r="Y9" s="422"/>
      <c r="Z9" s="422"/>
      <c r="AA9" s="422"/>
      <c r="AB9" s="422"/>
      <c r="AC9" s="417"/>
      <c r="AD9" s="417"/>
      <c r="AE9" s="417"/>
    </row>
    <row r="10" spans="1:42" ht="18.75" x14ac:dyDescent="0.3">
      <c r="A10" s="418" t="s">
        <v>358</v>
      </c>
      <c r="B10" s="422"/>
      <c r="C10" s="422"/>
      <c r="D10" s="422"/>
      <c r="E10" s="422"/>
      <c r="F10" s="422"/>
      <c r="G10" s="422"/>
      <c r="H10" s="422"/>
      <c r="I10" s="422"/>
      <c r="J10" s="422"/>
      <c r="K10" s="422"/>
      <c r="L10" s="422"/>
      <c r="M10" s="422"/>
      <c r="N10" s="422"/>
      <c r="O10" s="422"/>
      <c r="P10" s="422"/>
      <c r="Q10" s="422"/>
      <c r="R10" s="393"/>
      <c r="S10" s="422"/>
      <c r="T10" s="422"/>
      <c r="U10" s="393"/>
      <c r="V10" s="422"/>
      <c r="W10" s="422"/>
      <c r="X10" s="393"/>
      <c r="Y10" s="422"/>
      <c r="Z10" s="422"/>
      <c r="AA10" s="393"/>
      <c r="AB10" s="422"/>
      <c r="AC10" s="422"/>
      <c r="AD10" s="422"/>
      <c r="AE10" s="423"/>
    </row>
    <row r="11" spans="1:42" ht="18.75" x14ac:dyDescent="0.3">
      <c r="A11" s="524" t="s">
        <v>415</v>
      </c>
      <c r="B11" s="422">
        <v>2.3199999999999998</v>
      </c>
      <c r="C11" s="422">
        <v>2.4900000000000002</v>
      </c>
      <c r="D11" s="423">
        <f>IF(B11=0, "    ---- ", IF(ABS(ROUND(100/B11*C11-100,1))&lt;999,ROUND(100/B11*C11-100,1),IF(ROUND(100/B11*C11-100,1)&gt;999,999,-999)))</f>
        <v>7.3</v>
      </c>
      <c r="E11" s="422">
        <v>2.2000000000000002</v>
      </c>
      <c r="F11" s="422">
        <v>2.8</v>
      </c>
      <c r="G11" s="422"/>
      <c r="H11" s="422"/>
      <c r="I11" s="422"/>
      <c r="J11" s="422"/>
      <c r="K11" s="422">
        <v>1.85</v>
      </c>
      <c r="L11" s="422">
        <v>1.95</v>
      </c>
      <c r="M11" s="422"/>
      <c r="N11" s="422">
        <v>4.6100000000000003</v>
      </c>
      <c r="O11" s="422">
        <v>3.1</v>
      </c>
      <c r="P11" s="422"/>
      <c r="Q11" s="393">
        <v>2.3199999999999998</v>
      </c>
      <c r="R11" s="393">
        <v>2.6</v>
      </c>
      <c r="S11" s="422"/>
      <c r="T11" s="393">
        <v>3.9</v>
      </c>
      <c r="U11" s="393">
        <v>3.8</v>
      </c>
      <c r="V11" s="422"/>
      <c r="W11" s="422">
        <v>2.6765919054440501</v>
      </c>
      <c r="X11" s="393">
        <v>2.7939124724319999</v>
      </c>
      <c r="Y11" s="422"/>
      <c r="Z11" s="393">
        <v>2.6765919054440501</v>
      </c>
      <c r="AA11" s="393">
        <v>2.5</v>
      </c>
      <c r="AB11" s="422"/>
      <c r="AC11" s="423"/>
      <c r="AD11" s="423"/>
      <c r="AE11" s="423" t="str">
        <f>IF(AC11=0, "    ---- ", IF(ABS(ROUND(100/AC11*AD11-100,1))&lt;999,ROUND(100/AC11*AD11-100,1),IF(ROUND(100/AC11*AD11-100,1)&gt;999,999,-999)))</f>
        <v xml:space="preserve">    ---- </v>
      </c>
    </row>
    <row r="12" spans="1:42" ht="18.75" x14ac:dyDescent="0.3">
      <c r="A12" s="418"/>
      <c r="B12" s="422"/>
      <c r="C12" s="422"/>
      <c r="D12" s="422"/>
      <c r="E12" s="422"/>
      <c r="F12" s="422"/>
      <c r="G12" s="422"/>
      <c r="H12" s="422"/>
      <c r="I12" s="422"/>
      <c r="J12" s="422"/>
      <c r="K12" s="422"/>
      <c r="L12" s="422"/>
      <c r="M12" s="422"/>
      <c r="N12" s="422"/>
      <c r="O12" s="422"/>
      <c r="P12" s="422"/>
      <c r="Q12" s="422"/>
      <c r="R12" s="393"/>
      <c r="S12" s="422"/>
      <c r="T12" s="422"/>
      <c r="U12" s="393"/>
      <c r="V12" s="422"/>
      <c r="W12" s="422"/>
      <c r="X12" s="393"/>
      <c r="Y12" s="422"/>
      <c r="Z12" s="422"/>
      <c r="AA12" s="393"/>
      <c r="AB12" s="422"/>
      <c r="AC12" s="422"/>
      <c r="AD12" s="422"/>
      <c r="AE12" s="422"/>
    </row>
    <row r="13" spans="1:42" ht="18.75" x14ac:dyDescent="0.3">
      <c r="A13" s="418" t="s">
        <v>359</v>
      </c>
      <c r="B13" s="422">
        <v>19.309999999999999</v>
      </c>
      <c r="C13" s="422">
        <v>21.03</v>
      </c>
      <c r="D13" s="423">
        <f>IF(B13=0, "    ---- ", IF(ABS(ROUND(100/B13*C13-100,1))&lt;999,ROUND(100/B13*C13-100,1),IF(ROUND(100/B13*C13-100,1)&gt;999,999,-999)))</f>
        <v>8.9</v>
      </c>
      <c r="E13" s="422">
        <v>36.130000000000003</v>
      </c>
      <c r="F13" s="422">
        <v>32.31</v>
      </c>
      <c r="G13" s="423">
        <f>IF(E13=0, "    ---- ", IF(ABS(ROUND(100/E13*F13-100,1))&lt;999,ROUND(100/E13*F13-100,1),IF(ROUND(100/E13*F13-100,1)&gt;999,999,-999)))</f>
        <v>-10.6</v>
      </c>
      <c r="H13" s="422">
        <v>27.9</v>
      </c>
      <c r="I13" s="422">
        <v>26.5</v>
      </c>
      <c r="J13" s="423">
        <f>IF(H13=0, "    ---- ", IF(ABS(ROUND(100/H13*I13-100,1))&lt;999,ROUND(100/H13*I13-100,1),IF(ROUND(100/H13*I13-100,1)&gt;999,999,-999)))</f>
        <v>-5</v>
      </c>
      <c r="K13" s="422">
        <v>6.72</v>
      </c>
      <c r="L13" s="422">
        <v>14.87</v>
      </c>
      <c r="M13" s="423">
        <f>IF(K13=0, "    ---- ", IF(ABS(ROUND(100/K13*L13-100,1))&lt;999,ROUND(100/K13*L13-100,1),IF(ROUND(100/K13*L13-100,1)&gt;999,999,-999)))</f>
        <v>121.3</v>
      </c>
      <c r="N13" s="422">
        <v>26.1</v>
      </c>
      <c r="O13" s="422">
        <v>23.1</v>
      </c>
      <c r="P13" s="423">
        <f>IF(N13=0, "    ---- ", IF(ABS(ROUND(100/N13*O13-100,1))&lt;999,ROUND(100/N13*O13-100,1),IF(ROUND(100/N13*O13-100,1)&gt;999,999,-999)))</f>
        <v>-11.5</v>
      </c>
      <c r="Q13" s="422"/>
      <c r="R13" s="393"/>
      <c r="S13" s="423" t="str">
        <f>IF(Q13=0, "    ---- ", IF(ABS(ROUND(100/Q13*R13-100,1))&lt;999,ROUND(100/Q13*R13-100,1),IF(ROUND(100/Q13*R13-100,1)&gt;999,999,-999)))</f>
        <v xml:space="preserve">    ---- </v>
      </c>
      <c r="T13" s="422">
        <v>45.004558083000525</v>
      </c>
      <c r="U13" s="422">
        <v>46.515129932235808</v>
      </c>
      <c r="V13" s="423">
        <f>IF(T13=0, "    ---- ", IF(ABS(ROUND(100/T13*U13-100,1))&lt;999,ROUND(100/T13*U13-100,1),IF(ROUND(100/T13*U13-100,1)&gt;999,999,-999)))</f>
        <v>3.4</v>
      </c>
      <c r="W13" s="422">
        <v>39.760279310410517</v>
      </c>
      <c r="X13" s="393">
        <v>38.871498687414295</v>
      </c>
      <c r="Y13" s="423">
        <f>IF(W13=0, "    ---- ", IF(ABS(ROUND(100/W13*X13-100,1))&lt;999,ROUND(100/W13*X13-100,1),IF(ROUND(100/W13*X13-100,1)&gt;999,999,-999)))</f>
        <v>-2.2000000000000002</v>
      </c>
      <c r="Z13" s="393">
        <v>10.1</v>
      </c>
      <c r="AA13" s="393">
        <v>11.95</v>
      </c>
      <c r="AB13" s="423">
        <f>IF(Z13=0, "    ---- ", IF(ABS(ROUND(100/Z13*AA13-100,1))&lt;999,ROUND(100/Z13*AA13-100,1),IF(ROUND(100/Z13*AA13-100,1)&gt;999,999,-999)))</f>
        <v>18.3</v>
      </c>
      <c r="AC13" s="423"/>
      <c r="AD13" s="423"/>
      <c r="AE13" s="423" t="str">
        <f>IF(AC13=0, "    ---- ", IF(ABS(ROUND(100/AC13*AD13-100,1))&lt;999,ROUND(100/AC13*AD13-100,1),IF(ROUND(100/AC13*AD13-100,1)&gt;999,999,-999)))</f>
        <v xml:space="preserve">    ---- </v>
      </c>
    </row>
    <row r="14" spans="1:42" ht="18.75" x14ac:dyDescent="0.3">
      <c r="A14" s="418"/>
      <c r="B14" s="422"/>
      <c r="C14" s="422"/>
      <c r="D14" s="422"/>
      <c r="E14" s="422"/>
      <c r="F14" s="422"/>
      <c r="G14" s="422"/>
      <c r="H14" s="422"/>
      <c r="I14" s="422"/>
      <c r="J14" s="422"/>
      <c r="K14" s="422"/>
      <c r="L14" s="422"/>
      <c r="M14" s="422"/>
      <c r="N14" s="422"/>
      <c r="O14" s="422"/>
      <c r="P14" s="422"/>
      <c r="Q14" s="422"/>
      <c r="R14" s="393"/>
      <c r="S14" s="422"/>
      <c r="T14" s="422"/>
      <c r="U14" s="393"/>
      <c r="V14" s="422"/>
      <c r="W14" s="422"/>
      <c r="X14" s="393"/>
      <c r="Y14" s="422"/>
      <c r="Z14" s="422"/>
      <c r="AA14" s="393"/>
      <c r="AB14" s="422"/>
      <c r="AC14" s="422"/>
      <c r="AD14" s="422"/>
      <c r="AE14" s="422"/>
    </row>
    <row r="15" spans="1:42" ht="18.75" x14ac:dyDescent="0.3">
      <c r="A15" s="418" t="s">
        <v>386</v>
      </c>
      <c r="B15" s="423">
        <v>6382</v>
      </c>
      <c r="C15" s="423">
        <v>8979.2540000000008</v>
      </c>
      <c r="D15" s="423">
        <f>IF(B15=0, "    ---- ", IF(ABS(ROUND(100/B15*C15-100,1))&lt;999,ROUND(100/B15*C15-100,1),IF(ROUND(100/B15*C15-100,1)&gt;999,999,-999)))</f>
        <v>40.700000000000003</v>
      </c>
      <c r="E15" s="423"/>
      <c r="F15" s="423"/>
      <c r="G15" s="423" t="str">
        <f>IF(E15=0, "    ---- ", IF(ABS(ROUND(100/E15*F15-100,1))&lt;999,ROUND(100/E15*F15-100,1),IF(ROUND(100/E15*F15-100,1)&gt;999,999,-999)))</f>
        <v xml:space="preserve">    ---- </v>
      </c>
      <c r="H15" s="423"/>
      <c r="I15" s="423"/>
      <c r="J15" s="423" t="str">
        <f>IF(H15=0, "    ---- ", IF(ABS(ROUND(100/H15*I15-100,1))&lt;999,ROUND(100/H15*I15-100,1),IF(ROUND(100/H15*I15-100,1)&gt;999,999,-999)))</f>
        <v xml:space="preserve">    ---- </v>
      </c>
      <c r="K15" s="423">
        <v>291</v>
      </c>
      <c r="L15" s="423">
        <v>397</v>
      </c>
      <c r="M15" s="423">
        <f>IF(K15=0, "    ---- ", IF(ABS(ROUND(100/K15*L15-100,1))&lt;999,ROUND(100/K15*L15-100,1),IF(ROUND(100/K15*L15-100,1)&gt;999,999,-999)))</f>
        <v>36.4</v>
      </c>
      <c r="N15" s="423">
        <v>108949.31144964999</v>
      </c>
      <c r="O15" s="423">
        <v>121996</v>
      </c>
      <c r="P15" s="423">
        <f>IF(N15=0, "    ---- ", IF(ABS(ROUND(100/N15*O15-100,1))&lt;999,ROUND(100/N15*O15-100,1),IF(ROUND(100/N15*O15-100,1)&gt;999,999,-999)))</f>
        <v>12</v>
      </c>
      <c r="Q15" s="394">
        <v>5903</v>
      </c>
      <c r="R15" s="394">
        <v>6066</v>
      </c>
      <c r="S15" s="423">
        <f>IF(Q15=0, "    ---- ", IF(ABS(ROUND(100/Q15*R15-100,1))&lt;999,ROUND(100/Q15*R15-100,1),IF(ROUND(100/Q15*R15-100,1)&gt;999,999,-999)))</f>
        <v>2.8</v>
      </c>
      <c r="T15" s="394">
        <v>29966</v>
      </c>
      <c r="U15" s="394">
        <v>32468</v>
      </c>
      <c r="V15" s="423">
        <f>IF(T15=0, "    ---- ", IF(ABS(ROUND(100/T15*U15-100,1))&lt;999,ROUND(100/T15*U15-100,1),IF(ROUND(100/T15*U15-100,1)&gt;999,999,-999)))</f>
        <v>8.3000000000000007</v>
      </c>
      <c r="W15" s="423">
        <v>3327.4340000000002</v>
      </c>
      <c r="X15" s="394">
        <v>3607.9029999999998</v>
      </c>
      <c r="Y15" s="423">
        <f>IF(W15=0, "    ---- ", IF(ABS(ROUND(100/W15*X15-100,1))&lt;999,ROUND(100/W15*X15-100,1),IF(ROUND(100/W15*X15-100,1)&gt;999,999,-999)))</f>
        <v>8.4</v>
      </c>
      <c r="Z15" s="394">
        <v>12970</v>
      </c>
      <c r="AA15" s="394">
        <v>15924.267792760002</v>
      </c>
      <c r="AB15" s="423">
        <f>IF(Z15=0, "    ---- ", IF(ABS(ROUND(100/Z15*AA15-100,1))&lt;999,ROUND(100/Z15*AA15-100,1),IF(ROUND(100/Z15*AA15-100,1)&gt;999,999,-999)))</f>
        <v>22.8</v>
      </c>
      <c r="AC15" s="423">
        <f>B15+E15+H15+K15+N15+Q15+T15+W15+Z15</f>
        <v>167788.74544964998</v>
      </c>
      <c r="AD15" s="423">
        <f>C15+F15+I15+L15+O15+R15+U15+X15+AA15</f>
        <v>189438.42479275999</v>
      </c>
      <c r="AE15" s="423">
        <f>IF(AC15=0, "    ---- ", IF(ABS(ROUND(100/AC15*AD15-100,1))&lt;999,ROUND(100/AC15*AD15-100,1),IF(ROUND(100/AC15*AD15-100,1)&gt;999,999,-999)))</f>
        <v>12.9</v>
      </c>
    </row>
    <row r="16" spans="1:42" ht="18.75" x14ac:dyDescent="0.3">
      <c r="A16" s="418"/>
      <c r="B16" s="423"/>
      <c r="C16" s="423"/>
      <c r="D16" s="423"/>
      <c r="E16" s="423"/>
      <c r="F16" s="423"/>
      <c r="G16" s="423"/>
      <c r="H16" s="423"/>
      <c r="I16" s="423"/>
      <c r="J16" s="423"/>
      <c r="K16" s="423"/>
      <c r="L16" s="423"/>
      <c r="M16" s="423"/>
      <c r="N16" s="423"/>
      <c r="O16" s="423"/>
      <c r="P16" s="423"/>
      <c r="Q16" s="394"/>
      <c r="R16" s="394"/>
      <c r="S16" s="423"/>
      <c r="T16" s="394"/>
      <c r="U16" s="394"/>
      <c r="V16" s="423"/>
      <c r="W16" s="423"/>
      <c r="X16" s="394"/>
      <c r="Y16" s="423"/>
      <c r="Z16" s="394"/>
      <c r="AA16" s="394"/>
      <c r="AB16" s="423"/>
      <c r="AC16" s="423"/>
      <c r="AD16" s="423"/>
      <c r="AE16" s="423"/>
    </row>
    <row r="17" spans="1:31" ht="18.75" x14ac:dyDescent="0.3">
      <c r="A17" s="419" t="s">
        <v>360</v>
      </c>
      <c r="B17" s="424">
        <v>-5134.6601588000103</v>
      </c>
      <c r="C17" s="424">
        <v>-3473.3632781399801</v>
      </c>
      <c r="D17" s="424">
        <f>IF(B17=0, "    ---- ", IF(ABS(ROUND(100/B17*C17-100,1))&lt;999,ROUND(100/B17*C17-100,1),IF(ROUND(100/B17*C17-100,1)&gt;999,999,-999)))</f>
        <v>-32.4</v>
      </c>
      <c r="E17" s="425">
        <v>17.899999999999999</v>
      </c>
      <c r="F17" s="425">
        <v>2</v>
      </c>
      <c r="G17" s="424"/>
      <c r="H17" s="424"/>
      <c r="I17" s="424"/>
      <c r="J17" s="424"/>
      <c r="K17" s="424">
        <v>-16</v>
      </c>
      <c r="L17" s="424">
        <v>-11</v>
      </c>
      <c r="M17" s="424"/>
      <c r="N17" s="424">
        <v>-895</v>
      </c>
      <c r="O17" s="424">
        <v>-420</v>
      </c>
      <c r="P17" s="424"/>
      <c r="Q17" s="395">
        <v>-2619</v>
      </c>
      <c r="R17" s="395">
        <v>-2072</v>
      </c>
      <c r="S17" s="424"/>
      <c r="T17" s="395">
        <v>-1227</v>
      </c>
      <c r="U17" s="395">
        <v>-662</v>
      </c>
      <c r="V17" s="424"/>
      <c r="W17" s="424">
        <v>-61.704999999999998</v>
      </c>
      <c r="X17" s="395">
        <v>-31.2</v>
      </c>
      <c r="Y17" s="424"/>
      <c r="Z17" s="395">
        <v>-12665.580653999999</v>
      </c>
      <c r="AA17" s="395">
        <v>-11078.818563000001</v>
      </c>
      <c r="AB17" s="424"/>
      <c r="AC17" s="424">
        <f>B17+E17+H17+K17+N17+Q17+T17+W17+Z17</f>
        <v>-22601.04581280001</v>
      </c>
      <c r="AD17" s="424">
        <f>C17+F17+I17+L17+O17+R17+U17+X17+AA17</f>
        <v>-17746.381841139981</v>
      </c>
      <c r="AE17" s="424">
        <f>IF(AC17=0, "    ---- ", IF(ABS(ROUND(100/AC17*AD17-100,1))&lt;999,ROUND(100/AC17*AD17-100,1),IF(ROUND(100/AC17*AD17-100,1)&gt;999,999,-999)))</f>
        <v>-21.5</v>
      </c>
    </row>
  </sheetData>
  <protectedRanges>
    <protectedRange sqref="W9:X17" name="Område1_11_1_1_1_1"/>
    <protectedRange sqref="F9:F10" name="Område1_13_5_2_1"/>
    <protectedRange sqref="F11:F17" name="Område1_2_1_2_2_1"/>
    <protectedRange sqref="E14:E17 E9:E12" name="Område1_9_6_1_1_1"/>
    <protectedRange sqref="E13" name="Område1_4_2_6_1_1_1"/>
    <protectedRange sqref="C9:C10" name="Område1_13_5_1_1_1"/>
    <protectedRange sqref="C11:C17" name="Område1_2_1_2_1_1_1"/>
    <protectedRange sqref="B9:B10" name="Område1_13_5_1_1_1_1"/>
    <protectedRange sqref="B11:B17" name="Område1_2_1_2_1_1_1_1"/>
    <protectedRange sqref="R9:R10" name="Område1_13_3_1_1"/>
    <protectedRange sqref="R11:R17" name="Område1_5_1_2_1"/>
    <protectedRange sqref="Q9:Q10 Q14 Q12" name="Område1_9_3_1"/>
    <protectedRange sqref="Q13" name="Område1_4_2_3_1"/>
    <protectedRange sqref="Q11" name="Område1_5_1_2_1_1_1"/>
    <protectedRange sqref="Q15:Q17" name="Område1_5_1_2_1_1_1_1"/>
    <protectedRange sqref="L9:L12 L14:L17" name="Område1_9_6_1"/>
    <protectedRange sqref="K9:K10 K14 K12" name="Område1_9"/>
    <protectedRange sqref="K11" name="Område1_9_6_1_2_1"/>
    <protectedRange sqref="K13" name="Område1_4_2_6_1_2_1"/>
    <protectedRange sqref="K15:K17" name="Område1_9_6_1_2_1_1"/>
    <protectedRange sqref="O9:O10" name="Område1_13_2_1_1"/>
    <protectedRange sqref="O11:O17" name="Område1_3_1_2_1"/>
    <protectedRange sqref="N9:N10 N14 N12" name="Område1_9_4"/>
    <protectedRange sqref="N11" name="Område1_3_1_2_1_2"/>
    <protectedRange sqref="N13" name="Område1_3_1_2_1_2_1"/>
    <protectedRange sqref="N15:N17" name="Område1_3_1_2_1_2_2"/>
    <protectedRange sqref="U9:U10" name="Område1_13_4_1_1"/>
    <protectedRange sqref="U11:U12 U14:U17" name="Område1_6_1_2_1"/>
    <protectedRange sqref="T11" name="Område1_6_1_2_1_1_1"/>
    <protectedRange sqref="T13:U13" name="Område1_4_2_5_1_1"/>
    <protectedRange sqref="T15:T17" name="Område1_6_1_2_1_1_1_1"/>
    <protectedRange sqref="Z9:AA10" name="Område1_10_1_1_1"/>
    <protectedRange sqref="Z12:AA12 AA11 Z14:AA14 AA13 AA15:AA17" name="Område1_8_1_1_1_1"/>
    <protectedRange sqref="Z11" name="Område1_11_1_1_1_1_3"/>
    <protectedRange sqref="Z13" name="Område1_8_1_1_1_1_1_1"/>
    <protectedRange sqref="Z15:Z17" name="Område1_8_1_1_1_1_1_1_1"/>
    <protectedRange sqref="I9:I12 I14:I17" name="Område1_13_1_1_1"/>
    <protectedRange sqref="I13" name="Område1_4_1_2_1"/>
    <protectedRange sqref="H9:H12 H14:H17" name="Område1_9_7"/>
    <protectedRange sqref="H13" name="Område1_4_1_2_1_1_1"/>
  </protectedRanges>
  <mergeCells count="23">
    <mergeCell ref="AC5:AE5"/>
    <mergeCell ref="AH5:AJ5"/>
    <mergeCell ref="AK5:AM5"/>
    <mergeCell ref="AN5:AP5"/>
    <mergeCell ref="B6:D6"/>
    <mergeCell ref="E6:G6"/>
    <mergeCell ref="H6:J6"/>
    <mergeCell ref="K6:M6"/>
    <mergeCell ref="N6:P6"/>
    <mergeCell ref="Q6:S6"/>
    <mergeCell ref="B5:D5"/>
    <mergeCell ref="H5:J5"/>
    <mergeCell ref="K5:M5"/>
    <mergeCell ref="T5:V5"/>
    <mergeCell ref="W5:Y5"/>
    <mergeCell ref="Z5:AB5"/>
    <mergeCell ref="AN6:AP6"/>
    <mergeCell ref="T6:V6"/>
    <mergeCell ref="W6:Y6"/>
    <mergeCell ref="Z6:AB6"/>
    <mergeCell ref="AC6:AE6"/>
    <mergeCell ref="AH6:AJ6"/>
    <mergeCell ref="AK6:AM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9"/>
  <dimension ref="A2:N65"/>
  <sheetViews>
    <sheetView showGridLines="0" zoomScale="90" zoomScaleNormal="90" workbookViewId="0"/>
  </sheetViews>
  <sheetFormatPr baseColWidth="10" defaultColWidth="11.42578125" defaultRowHeight="12.75" x14ac:dyDescent="0.2"/>
  <cols>
    <col min="1" max="1" width="66.28515625" style="1" customWidth="1"/>
    <col min="2" max="2" width="4.28515625" style="40" customWidth="1"/>
    <col min="3" max="3" width="105.28515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1" x14ac:dyDescent="0.2">
      <c r="C2" s="272"/>
      <c r="D2" s="272"/>
      <c r="E2" s="272"/>
    </row>
    <row r="3" spans="1:11" x14ac:dyDescent="0.2">
      <c r="A3" s="35" t="s">
        <v>51</v>
      </c>
    </row>
    <row r="4" spans="1:11" x14ac:dyDescent="0.2">
      <c r="C4" s="272"/>
      <c r="D4" s="272"/>
      <c r="E4" s="272"/>
      <c r="F4" s="272"/>
      <c r="G4" s="272"/>
      <c r="H4" s="272"/>
      <c r="I4" s="272"/>
      <c r="J4" s="272"/>
      <c r="K4" s="272"/>
    </row>
    <row r="6" spans="1:11" ht="15.75" x14ac:dyDescent="0.25">
      <c r="C6" s="277" t="s">
        <v>16</v>
      </c>
      <c r="E6" s="277"/>
    </row>
    <row r="7" spans="1:11" ht="18.75" customHeight="1" x14ac:dyDescent="0.2">
      <c r="E7" s="40"/>
    </row>
    <row r="8" spans="1:11" ht="15.75" x14ac:dyDescent="0.25">
      <c r="B8" s="273">
        <v>1</v>
      </c>
      <c r="C8" s="274" t="s">
        <v>311</v>
      </c>
      <c r="E8" s="280"/>
    </row>
    <row r="9" spans="1:11" ht="31.5" x14ac:dyDescent="0.2">
      <c r="B9" s="273">
        <v>2</v>
      </c>
      <c r="C9" s="274" t="s">
        <v>249</v>
      </c>
      <c r="E9" s="5"/>
    </row>
    <row r="10" spans="1:11" ht="47.25" x14ac:dyDescent="0.2">
      <c r="B10" s="273">
        <v>3</v>
      </c>
      <c r="C10" s="274" t="s">
        <v>250</v>
      </c>
      <c r="E10" s="5"/>
    </row>
    <row r="11" spans="1:11" ht="31.5" x14ac:dyDescent="0.2">
      <c r="B11" s="273">
        <v>4</v>
      </c>
      <c r="C11" s="526" t="s">
        <v>416</v>
      </c>
      <c r="E11" s="5"/>
    </row>
    <row r="12" spans="1:11" ht="31.5" x14ac:dyDescent="0.2">
      <c r="B12" s="273">
        <v>5</v>
      </c>
      <c r="C12" s="274" t="s">
        <v>21</v>
      </c>
    </row>
    <row r="13" spans="1:11" ht="15.75" x14ac:dyDescent="0.2">
      <c r="B13" s="273">
        <v>6</v>
      </c>
      <c r="C13" s="274" t="s">
        <v>312</v>
      </c>
    </row>
    <row r="14" spans="1:11" ht="15.75" x14ac:dyDescent="0.2">
      <c r="B14" s="273">
        <v>7</v>
      </c>
      <c r="C14" s="274" t="s">
        <v>17</v>
      </c>
    </row>
    <row r="15" spans="1:11" ht="18.75" customHeight="1" x14ac:dyDescent="0.2">
      <c r="B15" s="273">
        <v>8</v>
      </c>
      <c r="C15" s="274" t="s">
        <v>18</v>
      </c>
    </row>
    <row r="16" spans="1:11" ht="18.75" customHeight="1" x14ac:dyDescent="0.2">
      <c r="B16" s="273">
        <v>9</v>
      </c>
      <c r="C16" s="274" t="s">
        <v>22</v>
      </c>
    </row>
    <row r="17" spans="2:9" ht="63" x14ac:dyDescent="0.25">
      <c r="B17" s="273">
        <v>10</v>
      </c>
      <c r="C17" s="274" t="s">
        <v>321</v>
      </c>
      <c r="E17" s="277"/>
    </row>
    <row r="18" spans="2:9" ht="15.75" x14ac:dyDescent="0.2">
      <c r="B18" s="273">
        <v>11</v>
      </c>
      <c r="C18" s="274" t="s">
        <v>19</v>
      </c>
      <c r="E18" s="5"/>
    </row>
    <row r="19" spans="2:9" ht="15.75" x14ac:dyDescent="0.2">
      <c r="B19" s="273">
        <v>12</v>
      </c>
      <c r="C19" s="274" t="s">
        <v>252</v>
      </c>
      <c r="E19" s="5"/>
    </row>
    <row r="20" spans="2:9" ht="15.75" x14ac:dyDescent="0.2">
      <c r="B20" s="273">
        <v>13</v>
      </c>
      <c r="C20" s="274" t="s">
        <v>20</v>
      </c>
    </row>
    <row r="21" spans="2:9" ht="47.25" x14ac:dyDescent="0.2">
      <c r="B21" s="273">
        <v>14</v>
      </c>
      <c r="C21" s="274" t="s">
        <v>253</v>
      </c>
      <c r="E21" s="281"/>
    </row>
    <row r="22" spans="2:9" ht="31.5" x14ac:dyDescent="0.2">
      <c r="B22" s="273">
        <v>15</v>
      </c>
      <c r="C22" s="274" t="s">
        <v>301</v>
      </c>
    </row>
    <row r="23" spans="2:9" ht="15.75" x14ac:dyDescent="0.25">
      <c r="B23" s="273">
        <v>16</v>
      </c>
      <c r="C23" s="276" t="s">
        <v>251</v>
      </c>
      <c r="D23" s="2"/>
      <c r="E23" s="272"/>
      <c r="F23" s="2"/>
      <c r="G23" s="2"/>
      <c r="H23" s="2"/>
      <c r="I23" s="2"/>
    </row>
    <row r="24" spans="2:9" ht="18.75" customHeight="1" x14ac:dyDescent="0.25">
      <c r="B24" s="275">
        <v>17</v>
      </c>
      <c r="C24" s="276" t="s">
        <v>254</v>
      </c>
    </row>
    <row r="25" spans="2:9" ht="18.75" customHeight="1" x14ac:dyDescent="0.2">
      <c r="B25" s="427">
        <v>18</v>
      </c>
      <c r="C25" s="600" t="s">
        <v>381</v>
      </c>
    </row>
    <row r="26" spans="2:9" ht="18.75" customHeight="1" x14ac:dyDescent="0.25">
      <c r="B26" s="428"/>
      <c r="C26" s="600"/>
    </row>
    <row r="27" spans="2:9" ht="18.75" customHeight="1" x14ac:dyDescent="0.25">
      <c r="B27" s="519">
        <v>19</v>
      </c>
      <c r="C27" s="520" t="s">
        <v>411</v>
      </c>
    </row>
    <row r="28" spans="2:9" ht="18.75" customHeight="1" x14ac:dyDescent="0.2">
      <c r="C28" s="279"/>
    </row>
    <row r="29" spans="2:9" ht="18.75" customHeight="1" x14ac:dyDescent="0.2">
      <c r="C29" s="279"/>
    </row>
    <row r="31" spans="2:9" ht="18.75" customHeight="1" x14ac:dyDescent="0.2"/>
    <row r="32" spans="2:9" ht="18.75" customHeight="1" x14ac:dyDescent="0.2"/>
    <row r="33" spans="2:2" ht="18.75" customHeight="1" x14ac:dyDescent="0.2"/>
    <row r="34" spans="2:2" ht="18.75" customHeight="1" x14ac:dyDescent="0.2"/>
    <row r="35" spans="2:2" ht="18.75" customHeight="1" x14ac:dyDescent="0.2"/>
    <row r="36" spans="2:2" ht="18.75" customHeight="1" x14ac:dyDescent="0.2"/>
    <row r="37" spans="2:2" ht="18.75" customHeight="1" x14ac:dyDescent="0.2"/>
    <row r="38" spans="2:2" ht="18.75" customHeight="1" x14ac:dyDescent="0.2"/>
    <row r="39" spans="2:2" ht="18.75" customHeight="1" x14ac:dyDescent="0.2"/>
    <row r="40" spans="2:2" ht="18.75" customHeight="1" x14ac:dyDescent="0.2">
      <c r="B40" s="5"/>
    </row>
    <row r="41" spans="2:2" ht="18.75" customHeight="1" x14ac:dyDescent="0.2">
      <c r="B41" s="5"/>
    </row>
    <row r="42" spans="2:2" ht="18.75" customHeight="1" x14ac:dyDescent="0.2">
      <c r="B42" s="5"/>
    </row>
    <row r="43" spans="2:2" ht="18.75" customHeight="1" x14ac:dyDescent="0.2">
      <c r="B43" s="5"/>
    </row>
    <row r="44" spans="2:2" ht="18.75" customHeight="1" x14ac:dyDescent="0.2">
      <c r="B44" s="5"/>
    </row>
    <row r="45" spans="2:2" ht="18.75" customHeight="1" x14ac:dyDescent="0.2">
      <c r="B45" s="5"/>
    </row>
    <row r="46" spans="2:2" ht="18.75" customHeight="1" x14ac:dyDescent="0.2"/>
    <row r="47" spans="2:2" ht="18.75" customHeight="1" x14ac:dyDescent="0.2"/>
    <row r="48" spans="2:2" ht="18.75" customHeight="1" x14ac:dyDescent="0.2"/>
    <row r="49" spans="4:14" ht="18.75" customHeight="1" x14ac:dyDescent="0.2"/>
    <row r="50" spans="4:14" ht="18.75" customHeight="1" x14ac:dyDescent="0.2">
      <c r="D50" s="272"/>
      <c r="E50" s="272"/>
      <c r="F50" s="272"/>
      <c r="G50" s="272"/>
      <c r="H50" s="272"/>
      <c r="I50" s="272"/>
      <c r="J50" s="272"/>
      <c r="K50" s="272"/>
      <c r="L50" s="272"/>
      <c r="M50" s="272"/>
      <c r="N50" s="272"/>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xmlns:xlrd2="http://schemas.microsoft.com/office/spreadsheetml/2017/richdata2" ref="B5:E41">
    <sortCondition ref="B5:B41"/>
  </sortState>
  <mergeCells count="1">
    <mergeCell ref="C25:C26"/>
  </mergeCells>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90683EF44FAD7C47A850056520B2E969" ma:contentTypeVersion="19" ma:contentTypeDescription="Opprett et nytt dokument." ma:contentTypeScope="" ma:versionID="acd26d890e8a7192c810a3847c58ccec">
  <xsd:schema xmlns:xsd="http://www.w3.org/2001/XMLSchema" xmlns:xs="http://www.w3.org/2001/XMLSchema" xmlns:p="http://schemas.microsoft.com/office/2006/metadata/properties" xmlns:ns2="c0a106e9-1018-4606-bc95-f0056290cdbf" xmlns:ns3="d1f0685f-21c9-4365-9f92-50f85d18d402" targetNamespace="http://schemas.microsoft.com/office/2006/metadata/properties" ma:root="true" ma:fieldsID="1af4d56effe732669e7aba05e838938a" ns2:_="" ns3:_="">
    <xsd:import namespace="c0a106e9-1018-4606-bc95-f0056290cdbf"/>
    <xsd:import namespace="d1f0685f-21c9-4365-9f92-50f85d18d4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106e9-1018-4606-bc95-f0056290cdbf"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SearchProperties" ma:index="8" nillable="true" ma:displayName="MediaServiceSearchProperties" ma:hidden="true" ma:internalName="MediaServiceSearchProperties" ma:readOnly="true">
      <xsd:simpleType>
        <xsd:restriction base="dms:Note"/>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d0b69f77-55ff-434e-ae2e-5cb16f27438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f0685f-21c9-4365-9f92-50f85d18d4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7e74b48-2924-426a-b68e-c8f27751ab6c}" ma:internalName="TaxCatchAll" ma:showField="CatchAllData" ma:web="d1f0685f-21c9-4365-9f92-50f85d18d4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1f0685f-21c9-4365-9f92-50f85d18d402" xsi:nil="true"/>
    <lcf76f155ced4ddcb4097134ff3c332f xmlns="c0a106e9-1018-4606-bc95-f0056290cd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A5026E-7503-4E4B-BD83-E9801AFFB720}">
  <ds:schemaRefs>
    <ds:schemaRef ds:uri="http://schemas.microsoft.com/DataMashup"/>
  </ds:schemaRefs>
</ds:datastoreItem>
</file>

<file path=customXml/itemProps2.xml><?xml version="1.0" encoding="utf-8"?>
<ds:datastoreItem xmlns:ds="http://schemas.openxmlformats.org/officeDocument/2006/customXml" ds:itemID="{E2631F52-F0CC-43F9-ADB7-31C9A0C5C5FF}"/>
</file>

<file path=customXml/itemProps3.xml><?xml version="1.0" encoding="utf-8"?>
<ds:datastoreItem xmlns:ds="http://schemas.openxmlformats.org/officeDocument/2006/customXml" ds:itemID="{5469D72B-8645-4A54-B3D4-E9AC99FB6287}"/>
</file>

<file path=customXml/itemProps4.xml><?xml version="1.0" encoding="utf-8"?>
<ds:datastoreItem xmlns:ds="http://schemas.openxmlformats.org/officeDocument/2006/customXml" ds:itemID="{D9E04900-68A8-4D18-87AE-3961810388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3</vt:i4>
      </vt:variant>
    </vt:vector>
  </HeadingPairs>
  <TitlesOfParts>
    <vt:vector size="37" baseType="lpstr">
      <vt:lpstr>Forside</vt:lpstr>
      <vt:lpstr>Innhold</vt:lpstr>
      <vt:lpstr>Figurer</vt:lpstr>
      <vt:lpstr>Tabel 1.1</vt:lpstr>
      <vt:lpstr>Tabell 1.2</vt:lpstr>
      <vt:lpstr>Tabell 1.3</vt:lpstr>
      <vt:lpstr>Skjema total MA</vt:lpstr>
      <vt:lpstr>DNB Livsforsikring</vt:lpstr>
      <vt:lpstr>Eika Forsikring AS</vt:lpstr>
      <vt:lpstr>Euro Accident</vt:lpstr>
      <vt:lpstr>Fremtind Livsforsikring</vt:lpstr>
      <vt:lpstr>Frende Livsforsikring</vt:lpstr>
      <vt:lpstr>Frende Skadeforsikring</vt:lpstr>
      <vt:lpstr>Gjensidige Forsikring</vt:lpstr>
      <vt:lpstr>Gjensidige Pensjon</vt:lpstr>
      <vt:lpstr>If Skadeforsikring NUF</vt:lpstr>
      <vt:lpstr>KLP</vt:lpstr>
      <vt:lpstr>KLP Skadeforsikring AS</vt:lpstr>
      <vt:lpstr>Landkreditt Forsikring</vt:lpstr>
      <vt:lpstr>Ly Forsikring</vt:lpstr>
      <vt:lpstr>Nordea Liv </vt:lpstr>
      <vt:lpstr>Oslo Forsikring</vt:lpstr>
      <vt:lpstr>Oslo Pensjonsforsikring</vt:lpstr>
      <vt:lpstr>Protector Forsikring</vt:lpstr>
      <vt:lpstr>Sparebank 1 Fors.</vt:lpstr>
      <vt:lpstr>Storebrand Livsforsikring</vt:lpstr>
      <vt:lpstr>Telenor Forsikring</vt:lpstr>
      <vt:lpstr>Tryg Forsikring</vt:lpstr>
      <vt:lpstr>WaterCircles F</vt:lpstr>
      <vt:lpstr>Youplus Livsforsikring</vt:lpstr>
      <vt:lpstr>Tabell 4</vt:lpstr>
      <vt:lpstr>Tabell 6</vt:lpstr>
      <vt:lpstr>Tabell 8</vt:lpstr>
      <vt:lpstr>Noter og kommentarer</vt:lpstr>
      <vt:lpstr>'Fremtind Livsforsikring'!Utskriftsområde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2025-09-05T06:25:49Z</cp:lastPrinted>
  <dcterms:created xsi:type="dcterms:W3CDTF">2010-12-15T10:21:26Z</dcterms:created>
  <dcterms:modified xsi:type="dcterms:W3CDTF">2025-09-09T05:40:04Z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0x01010090683EF44FAD7C47A850056520B2E969</vt:lpwstr>
  </property>
</Properties>
</file>