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3.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M:\Statistikk og analyse\Livstatistikk\Faste statistikker\MA\2022\Q2-22\Publisering\"/>
    </mc:Choice>
  </mc:AlternateContent>
  <xr:revisionPtr revIDLastSave="0" documentId="13_ncr:1_{ED269562-8423-465F-B441-083395CFCC99}" xr6:coauthVersionLast="47" xr6:coauthVersionMax="47" xr10:uidLastSave="{00000000-0000-0000-0000-000000000000}"/>
  <bookViews>
    <workbookView xWindow="2868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Livsforsikring" sheetId="13" r:id="rId10"/>
    <sheet name="Eika Forsikring AS" sheetId="19" r:id="rId11"/>
    <sheet name="Euro Accident" sheetId="77" r:id="rId12"/>
    <sheet name="Fremtind Livsforsikring" sheetId="16" r:id="rId13"/>
    <sheet name="Frende Livsforsikring" sheetId="20" r:id="rId14"/>
    <sheet name="Frende Skadeforsikring" sheetId="21" r:id="rId15"/>
    <sheet name="Gjensidige Forsikring" sheetId="22" r:id="rId16"/>
    <sheet name="Gjensidige Pensjon" sheetId="23" r:id="rId17"/>
    <sheet name="Handelsbanken Liv" sheetId="24" r:id="rId18"/>
    <sheet name="If Skadeforsikring NUF" sheetId="25" r:id="rId19"/>
    <sheet name="KLP" sheetId="26" r:id="rId20"/>
    <sheet name="KLP Skadeforsikring AS" sheetId="51" r:id="rId21"/>
    <sheet name="Landkreditt Forsikring" sheetId="40" r:id="rId22"/>
    <sheet name="Ly Forsikring" sheetId="78" r:id="rId23"/>
    <sheet name="Nordea Liv " sheetId="29" r:id="rId24"/>
    <sheet name="Oslo Pensjonsforsikring" sheetId="34" r:id="rId25"/>
    <sheet name="Protector Forsikring" sheetId="72" r:id="rId26"/>
    <sheet name="SHB Liv" sheetId="35" r:id="rId27"/>
    <sheet name="Sparebank 1" sheetId="33" r:id="rId28"/>
    <sheet name="Storebrand Livsforsikring" sheetId="37" r:id="rId29"/>
    <sheet name="Telenor Forsikring" sheetId="38" r:id="rId30"/>
    <sheet name="Tryg Forsikring" sheetId="39" r:id="rId31"/>
    <sheet name="WaterCircles F" sheetId="74" r:id="rId32"/>
    <sheet name="Youplus Livsforsikring" sheetId="79"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2">'Fremtind Livsforsikring'!$A$1:$M$137</definedName>
    <definedName name="_xlnm.Print_Area" localSheetId="36">'Noter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3" l="1"/>
  <c r="I33" i="33"/>
  <c r="AS76" i="62" l="1"/>
  <c r="AR76" i="62"/>
  <c r="AP76" i="62"/>
  <c r="AO76" i="62"/>
  <c r="AS84" i="62"/>
  <c r="AR84" i="62"/>
  <c r="AP84" i="62"/>
  <c r="AO84" i="62"/>
  <c r="AR14" i="62"/>
  <c r="J87" i="4" l="1"/>
  <c r="M33" i="18" l="1"/>
  <c r="I33" i="18"/>
  <c r="G89" i="4"/>
  <c r="G87" i="4"/>
  <c r="G86" i="4"/>
  <c r="AC93" i="62" l="1"/>
  <c r="AD87" i="62"/>
  <c r="AD93" i="62" s="1"/>
  <c r="AC87" i="62"/>
  <c r="AD80" i="62"/>
  <c r="AD54" i="62"/>
  <c r="AC54" i="62"/>
  <c r="AC60" i="62" s="1"/>
  <c r="AC62" i="62" s="1"/>
  <c r="AD50" i="62"/>
  <c r="AD60" i="62" s="1"/>
  <c r="AD39" i="62"/>
  <c r="AD35" i="62"/>
  <c r="AD45" i="62" s="1"/>
  <c r="AD20" i="62"/>
  <c r="AC20" i="62"/>
  <c r="AC27" i="62" s="1"/>
  <c r="AC29" i="62" s="1"/>
  <c r="AD16" i="62"/>
  <c r="AD27" i="62" s="1"/>
  <c r="AD29" i="62" s="1"/>
  <c r="R91" i="62"/>
  <c r="R90" i="62"/>
  <c r="R87" i="62"/>
  <c r="R80" i="62"/>
  <c r="Q80" i="62"/>
  <c r="Q93" i="62" s="1"/>
  <c r="R73" i="62"/>
  <c r="R68" i="62"/>
  <c r="R54" i="62"/>
  <c r="R50" i="62"/>
  <c r="R60" i="62" s="1"/>
  <c r="R39" i="62"/>
  <c r="R35" i="62"/>
  <c r="R45" i="62" s="1"/>
  <c r="R25" i="62"/>
  <c r="R20" i="62" s="1"/>
  <c r="Q20" i="62"/>
  <c r="Q27" i="62" s="1"/>
  <c r="Q29" i="62" s="1"/>
  <c r="Q64" i="62" s="1"/>
  <c r="R16" i="62"/>
  <c r="AD41" i="65"/>
  <c r="AC41" i="65"/>
  <c r="AD30" i="65"/>
  <c r="AD21" i="65"/>
  <c r="AC21" i="65"/>
  <c r="AD14" i="65"/>
  <c r="AD35" i="65" s="1"/>
  <c r="AD42" i="65" s="1"/>
  <c r="AD44" i="65" s="1"/>
  <c r="AD46" i="65" s="1"/>
  <c r="AC14" i="65"/>
  <c r="AC35" i="65" s="1"/>
  <c r="AC42" i="65" s="1"/>
  <c r="AC44" i="65" s="1"/>
  <c r="AC46" i="65" s="1"/>
  <c r="R43" i="65"/>
  <c r="R41" i="65"/>
  <c r="Q41" i="65"/>
  <c r="R33" i="65"/>
  <c r="Q30" i="65"/>
  <c r="R23" i="65"/>
  <c r="R30" i="65" s="1"/>
  <c r="Q21" i="65"/>
  <c r="R19" i="65"/>
  <c r="R21" i="65" s="1"/>
  <c r="Q14" i="65"/>
  <c r="Q35" i="65" s="1"/>
  <c r="Q42" i="65" s="1"/>
  <c r="Q44" i="65" s="1"/>
  <c r="Q46" i="65" s="1"/>
  <c r="R11" i="65"/>
  <c r="R14" i="65" s="1"/>
  <c r="R27" i="62" l="1"/>
  <c r="R29" i="62" s="1"/>
  <c r="R64" i="62" s="1"/>
  <c r="R93" i="62"/>
  <c r="R62" i="62"/>
  <c r="AD62" i="62"/>
  <c r="AD64" i="62"/>
  <c r="AC64" i="62"/>
  <c r="R35" i="65"/>
  <c r="R42" i="65" s="1"/>
  <c r="R44" i="65" s="1"/>
  <c r="R46" i="65" s="1"/>
  <c r="E14" i="75" l="1"/>
  <c r="F87" i="62"/>
  <c r="F93" i="62" s="1"/>
  <c r="F80" i="62"/>
  <c r="F54" i="62"/>
  <c r="F50" i="62"/>
  <c r="F60" i="62" s="1"/>
  <c r="F39" i="62"/>
  <c r="F35" i="62"/>
  <c r="F20" i="62"/>
  <c r="F16" i="62"/>
  <c r="F41" i="65"/>
  <c r="E41" i="65"/>
  <c r="F30" i="65"/>
  <c r="E30" i="65"/>
  <c r="F21" i="65"/>
  <c r="E21" i="65"/>
  <c r="F14" i="65"/>
  <c r="F35" i="65" s="1"/>
  <c r="F42" i="65" s="1"/>
  <c r="F44" i="65" s="1"/>
  <c r="F46" i="65" s="1"/>
  <c r="E14" i="65"/>
  <c r="E35" i="65" s="1"/>
  <c r="E42" i="65" s="1"/>
  <c r="E44" i="65" s="1"/>
  <c r="E46" i="65" s="1"/>
  <c r="F27" i="62" l="1"/>
  <c r="F29" i="62" s="1"/>
  <c r="F45" i="62"/>
  <c r="F62" i="62" s="1"/>
  <c r="F64" i="62" s="1"/>
  <c r="X14" i="75"/>
  <c r="W14" i="75"/>
  <c r="AA90" i="62"/>
  <c r="Z90" i="62"/>
  <c r="AA87" i="62"/>
  <c r="AA80" i="62"/>
  <c r="Z80" i="62"/>
  <c r="AA54" i="62"/>
  <c r="AA50" i="62"/>
  <c r="AA60" i="62" s="1"/>
  <c r="Z44" i="62"/>
  <c r="Z39" i="62" s="1"/>
  <c r="AA39" i="62"/>
  <c r="AA38" i="62"/>
  <c r="AA35" i="62" s="1"/>
  <c r="AA45" i="62" s="1"/>
  <c r="Z35" i="62"/>
  <c r="Z34" i="62"/>
  <c r="AA28" i="62"/>
  <c r="Z28" i="62"/>
  <c r="AA20" i="62"/>
  <c r="Z20" i="62"/>
  <c r="AA16" i="62"/>
  <c r="Z16" i="62"/>
  <c r="AA15" i="62"/>
  <c r="Z15" i="62"/>
  <c r="AA41" i="65"/>
  <c r="Z41" i="65"/>
  <c r="AA30" i="65"/>
  <c r="Z30" i="65"/>
  <c r="AA21" i="65"/>
  <c r="Z21" i="65"/>
  <c r="AA14" i="65"/>
  <c r="Z14" i="65"/>
  <c r="Z35" i="65" s="1"/>
  <c r="Z42" i="65" s="1"/>
  <c r="Z44" i="65" s="1"/>
  <c r="Z46" i="65" s="1"/>
  <c r="AA35" i="65" l="1"/>
  <c r="AA42" i="65" s="1"/>
  <c r="AA44" i="65" s="1"/>
  <c r="AA46" i="65" s="1"/>
  <c r="Z27" i="62"/>
  <c r="Z29" i="62" s="1"/>
  <c r="Z64" i="62" s="1"/>
  <c r="AA93" i="62"/>
  <c r="Z45" i="62"/>
  <c r="Z62" i="62" s="1"/>
  <c r="Z93" i="62"/>
  <c r="AA27" i="62"/>
  <c r="AA29" i="62" s="1"/>
  <c r="AA62" i="62"/>
  <c r="AA64" i="62" l="1"/>
  <c r="L87" i="62"/>
  <c r="K87" i="62"/>
  <c r="L80" i="62"/>
  <c r="L93" i="62" s="1"/>
  <c r="K80" i="62"/>
  <c r="K93" i="62" s="1"/>
  <c r="K60" i="62"/>
  <c r="L54" i="62"/>
  <c r="L50" i="62"/>
  <c r="L39" i="62"/>
  <c r="K39" i="62"/>
  <c r="L35" i="62"/>
  <c r="K35" i="62"/>
  <c r="L20" i="62"/>
  <c r="K20" i="62"/>
  <c r="L16" i="62"/>
  <c r="L27" i="62" s="1"/>
  <c r="L29" i="62" s="1"/>
  <c r="K16" i="62"/>
  <c r="L41" i="65"/>
  <c r="K41" i="65"/>
  <c r="L30" i="65"/>
  <c r="K30" i="65"/>
  <c r="L21" i="65"/>
  <c r="K21" i="65"/>
  <c r="L14" i="65"/>
  <c r="L35" i="65" s="1"/>
  <c r="L42" i="65" s="1"/>
  <c r="L44" i="65" s="1"/>
  <c r="L46" i="65" s="1"/>
  <c r="K14" i="65"/>
  <c r="K27" i="62" l="1"/>
  <c r="K29" i="62" s="1"/>
  <c r="L45" i="62"/>
  <c r="K45" i="62"/>
  <c r="K62" i="62" s="1"/>
  <c r="K64" i="62" s="1"/>
  <c r="K35" i="65"/>
  <c r="K42" i="65" s="1"/>
  <c r="K44" i="65" s="1"/>
  <c r="K46" i="65" s="1"/>
  <c r="L60" i="62"/>
  <c r="L62" i="62" l="1"/>
  <c r="L64" i="62" s="1"/>
  <c r="C87" i="62"/>
  <c r="C80" i="62"/>
  <c r="C93" i="62" s="1"/>
  <c r="C54" i="62"/>
  <c r="C50" i="62"/>
  <c r="C60" i="62" s="1"/>
  <c r="C39" i="62"/>
  <c r="C35" i="62"/>
  <c r="C45" i="62" s="1"/>
  <c r="C62" i="62" s="1"/>
  <c r="C20" i="62"/>
  <c r="C16" i="62"/>
  <c r="C27" i="62" s="1"/>
  <c r="C29" i="62" s="1"/>
  <c r="C41" i="65"/>
  <c r="B41" i="65"/>
  <c r="C30" i="65"/>
  <c r="B23" i="65"/>
  <c r="B30" i="65" s="1"/>
  <c r="C21" i="65"/>
  <c r="B19" i="65"/>
  <c r="B21" i="65" s="1"/>
  <c r="C14" i="65"/>
  <c r="C35" i="65" s="1"/>
  <c r="C42" i="65" s="1"/>
  <c r="C44" i="65" s="1"/>
  <c r="C46" i="65" s="1"/>
  <c r="B11" i="65"/>
  <c r="B14" i="65" s="1"/>
  <c r="B35" i="65" s="1"/>
  <c r="B42" i="65" s="1"/>
  <c r="B44" i="65" s="1"/>
  <c r="B46" i="65" s="1"/>
  <c r="C64" i="62" l="1"/>
  <c r="AA14" i="75" l="1"/>
  <c r="AG87" i="62"/>
  <c r="AF87" i="62"/>
  <c r="AG80" i="62"/>
  <c r="AF80" i="62"/>
  <c r="AG54" i="62"/>
  <c r="AF54" i="62"/>
  <c r="AF60" i="62" s="1"/>
  <c r="AG50" i="62"/>
  <c r="AG39" i="62"/>
  <c r="AG45" i="62" s="1"/>
  <c r="AF39" i="62"/>
  <c r="AG35" i="62"/>
  <c r="AF35" i="62"/>
  <c r="AG20" i="62"/>
  <c r="AF20" i="62"/>
  <c r="AG16" i="62"/>
  <c r="AG27" i="62" s="1"/>
  <c r="AG29" i="62" s="1"/>
  <c r="AF16" i="62"/>
  <c r="AG41" i="65"/>
  <c r="AF41" i="65"/>
  <c r="AG30" i="65"/>
  <c r="AF30" i="65"/>
  <c r="AG21" i="65"/>
  <c r="AF21" i="65"/>
  <c r="AG14" i="65"/>
  <c r="AF14" i="65"/>
  <c r="AG60" i="62" l="1"/>
  <c r="AG62" i="62" s="1"/>
  <c r="AG64" i="62" s="1"/>
  <c r="AF93" i="62"/>
  <c r="AF45" i="62"/>
  <c r="AG93" i="62"/>
  <c r="AF35" i="65"/>
  <c r="AF42" i="65" s="1"/>
  <c r="AF44" i="65" s="1"/>
  <c r="AF46" i="65" s="1"/>
  <c r="AG35" i="65"/>
  <c r="AG42" i="65" s="1"/>
  <c r="AG44" i="65" s="1"/>
  <c r="AG46" i="65" s="1"/>
  <c r="AF62" i="62"/>
  <c r="AF27" i="62"/>
  <c r="AF29" i="62" s="1"/>
  <c r="AF64" i="62" s="1"/>
  <c r="I87" i="62"/>
  <c r="I80" i="62"/>
  <c r="H80" i="62"/>
  <c r="H93" i="62" s="1"/>
  <c r="I54" i="62"/>
  <c r="I50" i="62"/>
  <c r="I39" i="62"/>
  <c r="H39" i="62"/>
  <c r="I35" i="62"/>
  <c r="I45" i="62" s="1"/>
  <c r="H35" i="62"/>
  <c r="H45" i="62" s="1"/>
  <c r="H62" i="62" s="1"/>
  <c r="H27" i="62"/>
  <c r="H29" i="62" s="1"/>
  <c r="I20" i="62"/>
  <c r="I16" i="62"/>
  <c r="I41" i="65"/>
  <c r="H41" i="65"/>
  <c r="I30" i="65"/>
  <c r="I35" i="65" s="1"/>
  <c r="I42" i="65" s="1"/>
  <c r="I44" i="65" s="1"/>
  <c r="I46" i="65" s="1"/>
  <c r="H30" i="65"/>
  <c r="H35" i="65" s="1"/>
  <c r="H42" i="65" s="1"/>
  <c r="H44" i="65" s="1"/>
  <c r="H46" i="65" s="1"/>
  <c r="I21" i="65"/>
  <c r="I14" i="65"/>
  <c r="H14" i="65"/>
  <c r="I60" i="62" l="1"/>
  <c r="I93" i="62"/>
  <c r="I62" i="62"/>
  <c r="I27" i="62"/>
  <c r="I29" i="62" s="1"/>
  <c r="H64" i="62"/>
  <c r="V14" i="75"/>
  <c r="X87" i="62"/>
  <c r="W87" i="62"/>
  <c r="X80" i="62"/>
  <c r="X93" i="62" s="1"/>
  <c r="W80" i="62"/>
  <c r="W93" i="62" s="1"/>
  <c r="X54" i="62"/>
  <c r="W54" i="62"/>
  <c r="W60" i="62" s="1"/>
  <c r="X50" i="62"/>
  <c r="X39" i="62"/>
  <c r="W39" i="62"/>
  <c r="X35" i="62"/>
  <c r="W35" i="62"/>
  <c r="W45" i="62" s="1"/>
  <c r="X20" i="62"/>
  <c r="W20" i="62"/>
  <c r="W27" i="62" s="1"/>
  <c r="W29" i="62" s="1"/>
  <c r="X16" i="62"/>
  <c r="X45" i="62" l="1"/>
  <c r="X62" i="62" s="1"/>
  <c r="X60" i="62"/>
  <c r="I64" i="62"/>
  <c r="X27" i="62"/>
  <c r="X29" i="62" s="1"/>
  <c r="W62" i="62"/>
  <c r="W64" i="62" s="1"/>
  <c r="AS8" i="62"/>
  <c r="AR8" i="62"/>
  <c r="X41" i="65"/>
  <c r="W41" i="65"/>
  <c r="X30" i="65"/>
  <c r="W30" i="65"/>
  <c r="X21" i="65"/>
  <c r="W21" i="65"/>
  <c r="X14" i="65"/>
  <c r="W14" i="65"/>
  <c r="X35" i="65" l="1"/>
  <c r="X42" i="65" s="1"/>
  <c r="X44" i="65" s="1"/>
  <c r="X46" i="65" s="1"/>
  <c r="X64" i="62"/>
  <c r="W35" i="65"/>
  <c r="W42" i="65" s="1"/>
  <c r="W44" i="65" s="1"/>
  <c r="W46" i="65" s="1"/>
  <c r="AM87" i="62"/>
  <c r="AM80" i="62"/>
  <c r="AM54" i="62"/>
  <c r="AM50" i="62"/>
  <c r="AM60" i="62" s="1"/>
  <c r="AM39" i="62"/>
  <c r="AM35" i="62"/>
  <c r="AM45" i="62" s="1"/>
  <c r="AM62" i="62" s="1"/>
  <c r="AM20" i="62"/>
  <c r="AM16" i="62"/>
  <c r="AM27" i="62" s="1"/>
  <c r="AM29" i="62" s="1"/>
  <c r="AM41" i="65"/>
  <c r="AM30" i="65"/>
  <c r="AM21" i="65"/>
  <c r="AM14" i="65"/>
  <c r="AM35" i="65" s="1"/>
  <c r="AM42" i="65" s="1"/>
  <c r="AM44" i="65" s="1"/>
  <c r="AM46" i="65" s="1"/>
  <c r="AM93" i="62" l="1"/>
  <c r="AM64" i="62"/>
  <c r="O87" i="62"/>
  <c r="N87" i="62"/>
  <c r="O80" i="62"/>
  <c r="N80" i="62"/>
  <c r="N93" i="62" s="1"/>
  <c r="O54" i="62"/>
  <c r="N54" i="62"/>
  <c r="O50" i="62"/>
  <c r="N50" i="62"/>
  <c r="O39" i="62"/>
  <c r="N39" i="62"/>
  <c r="O35" i="62"/>
  <c r="N35" i="62"/>
  <c r="N45" i="62" s="1"/>
  <c r="O20" i="62"/>
  <c r="N20" i="62"/>
  <c r="O16" i="62"/>
  <c r="O27" i="62" s="1"/>
  <c r="O29" i="62" s="1"/>
  <c r="N16" i="62"/>
  <c r="N27" i="62" s="1"/>
  <c r="N29" i="62" s="1"/>
  <c r="O41" i="65"/>
  <c r="N41" i="65"/>
  <c r="O30" i="65"/>
  <c r="N30" i="65"/>
  <c r="O21" i="65"/>
  <c r="N21" i="65"/>
  <c r="O14" i="65"/>
  <c r="N14" i="65"/>
  <c r="N35" i="65" l="1"/>
  <c r="N42" i="65" s="1"/>
  <c r="N44" i="65" s="1"/>
  <c r="N46" i="65" s="1"/>
  <c r="O45" i="62"/>
  <c r="O93" i="62"/>
  <c r="N60" i="62"/>
  <c r="N62" i="62" s="1"/>
  <c r="N64" i="62" s="1"/>
  <c r="O35" i="65"/>
  <c r="O42" i="65" s="1"/>
  <c r="O44" i="65" s="1"/>
  <c r="O46" i="65" s="1"/>
  <c r="O60" i="62"/>
  <c r="O62" i="62"/>
  <c r="O64" i="62" s="1"/>
  <c r="AK76" i="62" l="1"/>
  <c r="AJ87" i="62"/>
  <c r="AI87" i="62"/>
  <c r="AJ80" i="62"/>
  <c r="AI80" i="62"/>
  <c r="AI93" i="62" s="1"/>
  <c r="AJ54" i="62"/>
  <c r="AI54" i="62"/>
  <c r="AJ53" i="62"/>
  <c r="AJ50" i="62" s="1"/>
  <c r="AI53" i="62"/>
  <c r="AI50" i="62" s="1"/>
  <c r="AJ39" i="62"/>
  <c r="AI39" i="62"/>
  <c r="AJ38" i="62"/>
  <c r="AJ35" i="62" s="1"/>
  <c r="AJ45" i="62" s="1"/>
  <c r="AI38" i="62"/>
  <c r="AI35" i="62"/>
  <c r="AI45" i="62" s="1"/>
  <c r="AJ28" i="62"/>
  <c r="AI28" i="62"/>
  <c r="AJ20" i="62"/>
  <c r="AI20" i="62"/>
  <c r="AJ19" i="62"/>
  <c r="AI19" i="62"/>
  <c r="AJ16" i="62"/>
  <c r="AI16" i="62"/>
  <c r="AI27" i="62" s="1"/>
  <c r="AI29" i="62" s="1"/>
  <c r="AJ41" i="65"/>
  <c r="AI41" i="65"/>
  <c r="AJ30" i="65"/>
  <c r="AI30" i="65"/>
  <c r="AJ19" i="65"/>
  <c r="AJ21" i="65" s="1"/>
  <c r="AI19" i="65"/>
  <c r="AI21" i="65" s="1"/>
  <c r="AJ14" i="65"/>
  <c r="AJ35" i="65" s="1"/>
  <c r="AJ42" i="65" s="1"/>
  <c r="AJ44" i="65" s="1"/>
  <c r="AJ46" i="65" s="1"/>
  <c r="AI14" i="65"/>
  <c r="AI35" i="65" s="1"/>
  <c r="AI42" i="65" s="1"/>
  <c r="AI44" i="65" s="1"/>
  <c r="AI46" i="65" s="1"/>
  <c r="AJ27" i="62" l="1"/>
  <c r="AJ29" i="62" s="1"/>
  <c r="AJ93" i="62"/>
  <c r="AJ60" i="62"/>
  <c r="AI60" i="62"/>
  <c r="AI62" i="62"/>
  <c r="AI64" i="62" s="1"/>
  <c r="AO64" i="62" s="1"/>
  <c r="AJ62" i="62"/>
  <c r="AJ64" i="62" s="1"/>
  <c r="AG20" i="75" l="1"/>
  <c r="AF20" i="75"/>
  <c r="G20" i="75"/>
  <c r="AG18" i="75"/>
  <c r="AF18" i="75"/>
  <c r="AH18" i="75" s="1"/>
  <c r="AG16" i="75"/>
  <c r="AF16" i="75"/>
  <c r="G16" i="75"/>
  <c r="D16" i="75"/>
  <c r="AH14" i="75"/>
  <c r="AE14" i="75"/>
  <c r="AB14" i="75"/>
  <c r="Y14" i="75"/>
  <c r="S14" i="75"/>
  <c r="P14" i="75"/>
  <c r="M14" i="75"/>
  <c r="J14" i="75"/>
  <c r="G14" i="75"/>
  <c r="AH12" i="75"/>
  <c r="G12" i="75"/>
  <c r="D12" i="75"/>
  <c r="AH11" i="75"/>
  <c r="G11" i="75"/>
  <c r="D11" i="75"/>
  <c r="AN93" i="62"/>
  <c r="AS91" i="62"/>
  <c r="AR91" i="62"/>
  <c r="AP91" i="62"/>
  <c r="AO91" i="62"/>
  <c r="AN91" i="62"/>
  <c r="AK91" i="62"/>
  <c r="AH91" i="62"/>
  <c r="AB91" i="62"/>
  <c r="Y91" i="62"/>
  <c r="V91" i="62"/>
  <c r="S91" i="62"/>
  <c r="P91" i="62"/>
  <c r="M91" i="62"/>
  <c r="J91" i="62"/>
  <c r="G91" i="62"/>
  <c r="D91" i="62"/>
  <c r="AS90" i="62"/>
  <c r="AP90" i="62"/>
  <c r="AN90" i="62"/>
  <c r="AK90" i="62"/>
  <c r="AH90" i="62"/>
  <c r="AE90" i="62"/>
  <c r="AO90" i="62"/>
  <c r="Y90" i="62"/>
  <c r="V90" i="62"/>
  <c r="S90" i="62"/>
  <c r="P90" i="62"/>
  <c r="G90" i="62"/>
  <c r="D90" i="62"/>
  <c r="AS89" i="62"/>
  <c r="AR89" i="62"/>
  <c r="AP89" i="62"/>
  <c r="AO89" i="62"/>
  <c r="AH89" i="62"/>
  <c r="AS88" i="62"/>
  <c r="AR88" i="62"/>
  <c r="AP88" i="62"/>
  <c r="AO88" i="62"/>
  <c r="AN88" i="62"/>
  <c r="AK88" i="62"/>
  <c r="AH88" i="62"/>
  <c r="AB88" i="62"/>
  <c r="Y88" i="62"/>
  <c r="V88" i="62"/>
  <c r="S88" i="62"/>
  <c r="P88" i="62"/>
  <c r="M88" i="62"/>
  <c r="J88" i="62"/>
  <c r="G88" i="62"/>
  <c r="D88" i="62"/>
  <c r="AN87" i="62"/>
  <c r="J87" i="62"/>
  <c r="G87" i="62"/>
  <c r="AS86" i="62"/>
  <c r="AR86" i="62"/>
  <c r="AP86" i="62"/>
  <c r="AO86" i="62"/>
  <c r="AS85" i="62"/>
  <c r="AR85" i="62"/>
  <c r="AP85" i="62"/>
  <c r="AO85" i="62"/>
  <c r="AN85" i="62"/>
  <c r="AK85" i="62"/>
  <c r="AH85" i="62"/>
  <c r="V85" i="62"/>
  <c r="P85" i="62"/>
  <c r="G85" i="62"/>
  <c r="D85" i="62"/>
  <c r="AS83" i="62"/>
  <c r="AR83" i="62"/>
  <c r="AP83" i="62"/>
  <c r="AO83" i="62"/>
  <c r="AN83" i="62"/>
  <c r="AK83" i="62"/>
  <c r="AH83" i="62"/>
  <c r="Y83" i="62"/>
  <c r="AS82" i="62"/>
  <c r="AR82" i="62"/>
  <c r="AP82" i="62"/>
  <c r="AO82" i="62"/>
  <c r="AN82" i="62"/>
  <c r="AK82" i="62"/>
  <c r="AH82" i="62"/>
  <c r="AE82" i="62"/>
  <c r="Y82" i="62"/>
  <c r="V82" i="62"/>
  <c r="P82" i="62"/>
  <c r="M82" i="62"/>
  <c r="J82" i="62"/>
  <c r="G82" i="62"/>
  <c r="D82" i="62"/>
  <c r="AN80" i="62"/>
  <c r="AK80" i="62"/>
  <c r="V80" i="62"/>
  <c r="D80" i="62"/>
  <c r="AS79" i="62"/>
  <c r="AR79" i="62"/>
  <c r="AP79" i="62"/>
  <c r="AO79" i="62"/>
  <c r="AS78" i="62"/>
  <c r="AR78" i="62"/>
  <c r="AP78" i="62"/>
  <c r="AO78" i="62"/>
  <c r="AN78" i="62"/>
  <c r="AK78" i="62"/>
  <c r="AH78" i="62"/>
  <c r="Y78" i="62"/>
  <c r="M78" i="62"/>
  <c r="J78" i="62"/>
  <c r="G78" i="62"/>
  <c r="D78" i="62"/>
  <c r="AS77" i="62"/>
  <c r="AR77" i="62"/>
  <c r="AP77" i="62"/>
  <c r="AO77" i="62"/>
  <c r="AN77" i="62"/>
  <c r="AK77" i="62"/>
  <c r="AH77" i="62"/>
  <c r="Y77" i="62"/>
  <c r="V77" i="62"/>
  <c r="G77" i="62"/>
  <c r="D77" i="62"/>
  <c r="AS75" i="62"/>
  <c r="AR75" i="62"/>
  <c r="AP75" i="62"/>
  <c r="AO75" i="62"/>
  <c r="AN75" i="62"/>
  <c r="AK75" i="62"/>
  <c r="AH75" i="62"/>
  <c r="AB75" i="62"/>
  <c r="Y75" i="62"/>
  <c r="V75" i="62"/>
  <c r="P75" i="62"/>
  <c r="G75" i="62"/>
  <c r="D75" i="62"/>
  <c r="AS74" i="62"/>
  <c r="AR74" i="62"/>
  <c r="AP74" i="62"/>
  <c r="AO74" i="62"/>
  <c r="AN74" i="62"/>
  <c r="AK74" i="62"/>
  <c r="AH74" i="62"/>
  <c r="AB74" i="62"/>
  <c r="Y74" i="62"/>
  <c r="V74" i="62"/>
  <c r="P74" i="62"/>
  <c r="M74" i="62"/>
  <c r="J74" i="62"/>
  <c r="G74" i="62"/>
  <c r="D74" i="62"/>
  <c r="AS73" i="62"/>
  <c r="AR73" i="62"/>
  <c r="AP73" i="62"/>
  <c r="AO73" i="62"/>
  <c r="AN73" i="62"/>
  <c r="AK73" i="62"/>
  <c r="AH73" i="62"/>
  <c r="AB73" i="62"/>
  <c r="Y73" i="62"/>
  <c r="V73" i="62"/>
  <c r="P73" i="62"/>
  <c r="M73" i="62"/>
  <c r="J73" i="62"/>
  <c r="G73" i="62"/>
  <c r="D73" i="62"/>
  <c r="AS71" i="62"/>
  <c r="AR71" i="62"/>
  <c r="AP71" i="62"/>
  <c r="AO71" i="62"/>
  <c r="AN71" i="62"/>
  <c r="AK71" i="62"/>
  <c r="AH71" i="62"/>
  <c r="AB71" i="62"/>
  <c r="Y71" i="62"/>
  <c r="V71" i="62"/>
  <c r="G71" i="62"/>
  <c r="AS70" i="62"/>
  <c r="AR70" i="62"/>
  <c r="AP70" i="62"/>
  <c r="AO70" i="62"/>
  <c r="AN70" i="62"/>
  <c r="AK70" i="62"/>
  <c r="AH70" i="62"/>
  <c r="AB70" i="62"/>
  <c r="Y70" i="62"/>
  <c r="V70" i="62"/>
  <c r="P70" i="62"/>
  <c r="G70" i="62"/>
  <c r="AS69" i="62"/>
  <c r="AR69" i="62"/>
  <c r="AP69" i="62"/>
  <c r="AO69" i="62"/>
  <c r="AN69" i="62"/>
  <c r="AK69" i="62"/>
  <c r="AH69" i="62"/>
  <c r="AE69" i="62"/>
  <c r="AB69" i="62"/>
  <c r="Y69" i="62"/>
  <c r="V69" i="62"/>
  <c r="S69" i="62"/>
  <c r="P69" i="62"/>
  <c r="M69" i="62"/>
  <c r="J69" i="62"/>
  <c r="G69" i="62"/>
  <c r="D69" i="62"/>
  <c r="AS68" i="62"/>
  <c r="AR68" i="62"/>
  <c r="AP68" i="62"/>
  <c r="AO68" i="62"/>
  <c r="AN68" i="62"/>
  <c r="AK68" i="62"/>
  <c r="AH68" i="62"/>
  <c r="AE68" i="62"/>
  <c r="AB68" i="62"/>
  <c r="Y68" i="62"/>
  <c r="V68" i="62"/>
  <c r="S68" i="62"/>
  <c r="P68" i="62"/>
  <c r="M68" i="62"/>
  <c r="J68" i="62"/>
  <c r="G68" i="62"/>
  <c r="D68" i="62"/>
  <c r="AN64" i="62"/>
  <c r="AN62" i="62"/>
  <c r="AS61" i="62"/>
  <c r="AR61" i="62"/>
  <c r="AP61" i="62"/>
  <c r="AO61" i="62"/>
  <c r="AN60" i="62"/>
  <c r="M60" i="62"/>
  <c r="J60" i="62"/>
  <c r="AS59" i="62"/>
  <c r="AR59" i="62"/>
  <c r="AP59" i="62"/>
  <c r="AO59" i="62"/>
  <c r="AN59" i="62"/>
  <c r="AK59" i="62"/>
  <c r="AH59" i="62"/>
  <c r="Y59" i="62"/>
  <c r="V59" i="62"/>
  <c r="P59" i="62"/>
  <c r="M59" i="62"/>
  <c r="J59" i="62"/>
  <c r="D59" i="62"/>
  <c r="AS58" i="62"/>
  <c r="AR58" i="62"/>
  <c r="AP58" i="62"/>
  <c r="AO58" i="62"/>
  <c r="AN58" i="62"/>
  <c r="AK58" i="62"/>
  <c r="V58" i="62"/>
  <c r="AS57" i="62"/>
  <c r="AR57" i="62"/>
  <c r="AP57" i="62"/>
  <c r="AO57" i="62"/>
  <c r="AN57" i="62"/>
  <c r="AK57" i="62"/>
  <c r="V57" i="62"/>
  <c r="P57" i="62"/>
  <c r="G57" i="62"/>
  <c r="AS56" i="62"/>
  <c r="AR56" i="62"/>
  <c r="AP56" i="62"/>
  <c r="AO56" i="62"/>
  <c r="AN56" i="62"/>
  <c r="AK56" i="62"/>
  <c r="AH56" i="62"/>
  <c r="V56" i="62"/>
  <c r="P56" i="62"/>
  <c r="M56" i="62"/>
  <c r="J56" i="62"/>
  <c r="G56" i="62"/>
  <c r="D56" i="62"/>
  <c r="AS55" i="62"/>
  <c r="AR55" i="62"/>
  <c r="AP55" i="62"/>
  <c r="AO55" i="62"/>
  <c r="AN55" i="62"/>
  <c r="AK55" i="62"/>
  <c r="AH55" i="62"/>
  <c r="AE55" i="62"/>
  <c r="Y55" i="62"/>
  <c r="V55" i="62"/>
  <c r="P55" i="62"/>
  <c r="M55" i="62"/>
  <c r="J55" i="62"/>
  <c r="G55" i="62"/>
  <c r="D55" i="62"/>
  <c r="AN54" i="62"/>
  <c r="M54" i="62"/>
  <c r="J54" i="62"/>
  <c r="AS53" i="62"/>
  <c r="AP53" i="62"/>
  <c r="AR53" i="62"/>
  <c r="V53" i="62"/>
  <c r="AS52" i="62"/>
  <c r="AR52" i="62"/>
  <c r="AP52" i="62"/>
  <c r="AO52" i="62"/>
  <c r="AS51" i="62"/>
  <c r="AR51" i="62"/>
  <c r="AP51" i="62"/>
  <c r="AO51" i="62"/>
  <c r="V51" i="62"/>
  <c r="AS49" i="62"/>
  <c r="AR49" i="62"/>
  <c r="AP49" i="62"/>
  <c r="AO49" i="62"/>
  <c r="AN49" i="62"/>
  <c r="AK49" i="62"/>
  <c r="V49" i="62"/>
  <c r="AS48" i="62"/>
  <c r="AR48" i="62"/>
  <c r="AT48" i="62" s="1"/>
  <c r="AP48" i="62"/>
  <c r="AO48" i="62"/>
  <c r="AQ48" i="62" s="1"/>
  <c r="AS46" i="62"/>
  <c r="AR46" i="62"/>
  <c r="AP46" i="62"/>
  <c r="AO46" i="62"/>
  <c r="AH46" i="62"/>
  <c r="Y46" i="62"/>
  <c r="M46" i="62"/>
  <c r="J46" i="62"/>
  <c r="D46" i="62"/>
  <c r="AN45" i="62"/>
  <c r="AS44" i="62"/>
  <c r="AP44" i="62"/>
  <c r="AN44" i="62"/>
  <c r="AK44" i="62"/>
  <c r="AH44" i="62"/>
  <c r="AR44" i="62"/>
  <c r="Y44" i="62"/>
  <c r="V44" i="62"/>
  <c r="P44" i="62"/>
  <c r="M44" i="62"/>
  <c r="J44" i="62"/>
  <c r="G44" i="62"/>
  <c r="D44" i="62"/>
  <c r="AS43" i="62"/>
  <c r="AR43" i="62"/>
  <c r="AP43" i="62"/>
  <c r="AO43" i="62"/>
  <c r="AN43" i="62"/>
  <c r="AK43" i="62"/>
  <c r="AH43" i="62"/>
  <c r="AB43" i="62"/>
  <c r="Y43" i="62"/>
  <c r="V43" i="62"/>
  <c r="G43" i="62"/>
  <c r="D43" i="62"/>
  <c r="AS42" i="62"/>
  <c r="AR42" i="62"/>
  <c r="AP42" i="62"/>
  <c r="AO42" i="62"/>
  <c r="AN42" i="62"/>
  <c r="AK42" i="62"/>
  <c r="AB42" i="62"/>
  <c r="V42" i="62"/>
  <c r="P42" i="62"/>
  <c r="G42" i="62"/>
  <c r="AS41" i="62"/>
  <c r="AR41" i="62"/>
  <c r="AP41" i="62"/>
  <c r="AO41" i="62"/>
  <c r="AN41" i="62"/>
  <c r="AK41" i="62"/>
  <c r="AH41" i="62"/>
  <c r="AB41" i="62"/>
  <c r="Y41" i="62"/>
  <c r="V41" i="62"/>
  <c r="P41" i="62"/>
  <c r="M41" i="62"/>
  <c r="J41" i="62"/>
  <c r="G41" i="62"/>
  <c r="D41" i="62"/>
  <c r="AS40" i="62"/>
  <c r="AR40" i="62"/>
  <c r="AP40" i="62"/>
  <c r="AO40" i="62"/>
  <c r="AN40" i="62"/>
  <c r="AK40" i="62"/>
  <c r="AH40" i="62"/>
  <c r="AB40" i="62"/>
  <c r="Y40" i="62"/>
  <c r="V40" i="62"/>
  <c r="M40" i="62"/>
  <c r="J40" i="62"/>
  <c r="G40" i="62"/>
  <c r="D40" i="62"/>
  <c r="AN39" i="62"/>
  <c r="AS38" i="62"/>
  <c r="AP38" i="62"/>
  <c r="AN38" i="62"/>
  <c r="AO38" i="62"/>
  <c r="AH38" i="62"/>
  <c r="AB38" i="62"/>
  <c r="Y38" i="62"/>
  <c r="V38" i="62"/>
  <c r="P38" i="62"/>
  <c r="AS37" i="62"/>
  <c r="AR37" i="62"/>
  <c r="AP37" i="62"/>
  <c r="AO37" i="62"/>
  <c r="AN37" i="62"/>
  <c r="AK37" i="62"/>
  <c r="AH37" i="62"/>
  <c r="AB37" i="62"/>
  <c r="Y37" i="62"/>
  <c r="V37" i="62"/>
  <c r="P37" i="62"/>
  <c r="G37" i="62"/>
  <c r="AS36" i="62"/>
  <c r="AR36" i="62"/>
  <c r="AP36" i="62"/>
  <c r="AO36" i="62"/>
  <c r="AN36" i="62"/>
  <c r="AK36" i="62"/>
  <c r="AH36" i="62"/>
  <c r="AB36" i="62"/>
  <c r="Y36" i="62"/>
  <c r="V36" i="62"/>
  <c r="P36" i="62"/>
  <c r="G36" i="62"/>
  <c r="AN35" i="62"/>
  <c r="AS34" i="62"/>
  <c r="AP34" i="62"/>
  <c r="AN34" i="62"/>
  <c r="AK34" i="62"/>
  <c r="AH34" i="62"/>
  <c r="AO34" i="62"/>
  <c r="Y34" i="62"/>
  <c r="V34" i="62"/>
  <c r="G34" i="62"/>
  <c r="AS33" i="62"/>
  <c r="AR33" i="62"/>
  <c r="AP33" i="62"/>
  <c r="AO33" i="62"/>
  <c r="AH33" i="62"/>
  <c r="AB33" i="62"/>
  <c r="G33" i="62"/>
  <c r="AN29" i="62"/>
  <c r="AS28" i="62"/>
  <c r="AP28" i="62"/>
  <c r="AN28" i="62"/>
  <c r="AK28" i="62"/>
  <c r="AH28" i="62"/>
  <c r="AE28" i="62"/>
  <c r="AB28" i="62"/>
  <c r="Y28" i="62"/>
  <c r="V28" i="62"/>
  <c r="S28" i="62"/>
  <c r="P28" i="62"/>
  <c r="M28" i="62"/>
  <c r="J28" i="62"/>
  <c r="G28" i="62"/>
  <c r="D28" i="62"/>
  <c r="AN27" i="62"/>
  <c r="AS26" i="62"/>
  <c r="AR26" i="62"/>
  <c r="AT26" i="62" s="1"/>
  <c r="AP26" i="62"/>
  <c r="AO26" i="62"/>
  <c r="AQ26" i="62" s="1"/>
  <c r="AS25" i="62"/>
  <c r="AR25" i="62"/>
  <c r="AP25" i="62"/>
  <c r="AO25" i="62"/>
  <c r="AN25" i="62"/>
  <c r="AK25" i="62"/>
  <c r="AH25" i="62"/>
  <c r="V25" i="62"/>
  <c r="M25" i="62"/>
  <c r="J25" i="62"/>
  <c r="G25" i="62"/>
  <c r="AS24" i="62"/>
  <c r="AR24" i="62"/>
  <c r="AP24" i="62"/>
  <c r="AO24" i="62"/>
  <c r="AN24" i="62"/>
  <c r="AK24" i="62"/>
  <c r="AB24" i="62"/>
  <c r="V24" i="62"/>
  <c r="G24" i="62"/>
  <c r="AS23" i="62"/>
  <c r="AR23" i="62"/>
  <c r="AP23" i="62"/>
  <c r="AO23" i="62"/>
  <c r="AN23" i="62"/>
  <c r="AK23" i="62"/>
  <c r="AH23" i="62"/>
  <c r="AB23" i="62"/>
  <c r="Y23" i="62"/>
  <c r="V23" i="62"/>
  <c r="P23" i="62"/>
  <c r="G23" i="62"/>
  <c r="AS22" i="62"/>
  <c r="AR22" i="62"/>
  <c r="AP22" i="62"/>
  <c r="AO22" i="62"/>
  <c r="AN22" i="62"/>
  <c r="AK22" i="62"/>
  <c r="AH22" i="62"/>
  <c r="AB22" i="62"/>
  <c r="Y22" i="62"/>
  <c r="V22" i="62"/>
  <c r="P22" i="62"/>
  <c r="M22" i="62"/>
  <c r="J22" i="62"/>
  <c r="G22" i="62"/>
  <c r="D22" i="62"/>
  <c r="AS21" i="62"/>
  <c r="AR21" i="62"/>
  <c r="AP21" i="62"/>
  <c r="AO21" i="62"/>
  <c r="AN21" i="62"/>
  <c r="AK21" i="62"/>
  <c r="AH21" i="62"/>
  <c r="Y21" i="62"/>
  <c r="V21" i="62"/>
  <c r="S21" i="62"/>
  <c r="P21" i="62"/>
  <c r="M21" i="62"/>
  <c r="J21" i="62"/>
  <c r="G21" i="62"/>
  <c r="D21" i="62"/>
  <c r="AN20" i="62"/>
  <c r="V20" i="62"/>
  <c r="J20" i="62"/>
  <c r="G20" i="62"/>
  <c r="AS19" i="62"/>
  <c r="AP19" i="62"/>
  <c r="AN19" i="62"/>
  <c r="AR19" i="62"/>
  <c r="AH19" i="62"/>
  <c r="AB19" i="62"/>
  <c r="V19" i="62"/>
  <c r="AS18" i="62"/>
  <c r="AR18" i="62"/>
  <c r="AP18" i="62"/>
  <c r="AO18" i="62"/>
  <c r="AN18" i="62"/>
  <c r="AK18" i="62"/>
  <c r="AH18" i="62"/>
  <c r="V18" i="62"/>
  <c r="AS17" i="62"/>
  <c r="AR17" i="62"/>
  <c r="AP17" i="62"/>
  <c r="AO17" i="62"/>
  <c r="AN17" i="62"/>
  <c r="AK17" i="62"/>
  <c r="AH17" i="62"/>
  <c r="AB17" i="62"/>
  <c r="V17" i="62"/>
  <c r="AN16" i="62"/>
  <c r="AS15" i="62"/>
  <c r="AP15" i="62"/>
  <c r="AN15" i="62"/>
  <c r="AK15" i="62"/>
  <c r="AH15" i="62"/>
  <c r="AO15" i="62"/>
  <c r="V15" i="62"/>
  <c r="G15" i="62"/>
  <c r="AS14" i="62"/>
  <c r="AP14" i="62"/>
  <c r="AO14" i="62"/>
  <c r="AH14" i="62"/>
  <c r="V14" i="62"/>
  <c r="AN46" i="65"/>
  <c r="AP45" i="65"/>
  <c r="AO45" i="65"/>
  <c r="AN45" i="65"/>
  <c r="AK45" i="65"/>
  <c r="AH45" i="65"/>
  <c r="Y45" i="65"/>
  <c r="V45" i="65"/>
  <c r="P45" i="65"/>
  <c r="G45" i="65"/>
  <c r="AN44" i="65"/>
  <c r="AP43" i="65"/>
  <c r="AO43" i="65"/>
  <c r="AN43" i="65"/>
  <c r="AK43" i="65"/>
  <c r="AH43" i="65"/>
  <c r="AB43" i="65"/>
  <c r="Y43" i="65"/>
  <c r="S43" i="65"/>
  <c r="P43" i="65"/>
  <c r="M43" i="65"/>
  <c r="J43" i="65"/>
  <c r="G43" i="65"/>
  <c r="D43" i="65"/>
  <c r="AN42" i="65"/>
  <c r="AN41" i="65"/>
  <c r="V41" i="65"/>
  <c r="M41" i="65"/>
  <c r="G41" i="65"/>
  <c r="AP40" i="65"/>
  <c r="AO40" i="65"/>
  <c r="AN40" i="65"/>
  <c r="AK40" i="65"/>
  <c r="AH40" i="65"/>
  <c r="AB40" i="65"/>
  <c r="Y40" i="65"/>
  <c r="V40" i="65"/>
  <c r="P40" i="65"/>
  <c r="M40" i="65"/>
  <c r="J40" i="65"/>
  <c r="G40" i="65"/>
  <c r="AP39" i="65"/>
  <c r="AO39" i="65"/>
  <c r="AN39" i="65"/>
  <c r="AK39" i="65"/>
  <c r="AH39" i="65"/>
  <c r="AB39" i="65"/>
  <c r="Y39" i="65"/>
  <c r="V39" i="65"/>
  <c r="P39" i="65"/>
  <c r="M39" i="65"/>
  <c r="J39" i="65"/>
  <c r="G39" i="65"/>
  <c r="AP38" i="65"/>
  <c r="AO38" i="65"/>
  <c r="AN38" i="65"/>
  <c r="AK38" i="65"/>
  <c r="AH38" i="65"/>
  <c r="AB38" i="65"/>
  <c r="Y38" i="65"/>
  <c r="V38" i="65"/>
  <c r="S38" i="65"/>
  <c r="P38" i="65"/>
  <c r="M38" i="65"/>
  <c r="J38" i="65"/>
  <c r="G38" i="65"/>
  <c r="D38" i="65"/>
  <c r="AN35" i="65"/>
  <c r="AP34" i="65"/>
  <c r="AO34" i="65"/>
  <c r="AN34" i="65"/>
  <c r="AK34" i="65"/>
  <c r="AH34" i="65"/>
  <c r="Y34" i="65"/>
  <c r="V34" i="65"/>
  <c r="G34" i="65"/>
  <c r="AP33" i="65"/>
  <c r="AO33" i="65"/>
  <c r="AN33" i="65"/>
  <c r="AK33" i="65"/>
  <c r="AH33" i="65"/>
  <c r="AE33" i="65"/>
  <c r="AB33" i="65"/>
  <c r="Y33" i="65"/>
  <c r="V33" i="65"/>
  <c r="S33" i="65"/>
  <c r="P33" i="65"/>
  <c r="M33" i="65"/>
  <c r="J33" i="65"/>
  <c r="G33" i="65"/>
  <c r="D33" i="65"/>
  <c r="AP32" i="65"/>
  <c r="AO32" i="65"/>
  <c r="AN32" i="65"/>
  <c r="AK32" i="65"/>
  <c r="AH32" i="65"/>
  <c r="AB32" i="65"/>
  <c r="Y32" i="65"/>
  <c r="V32" i="65"/>
  <c r="P32" i="65"/>
  <c r="G32" i="65"/>
  <c r="D32" i="65"/>
  <c r="AP31" i="65"/>
  <c r="AO31" i="65"/>
  <c r="AN31" i="65"/>
  <c r="AK31" i="65"/>
  <c r="AH31" i="65"/>
  <c r="AE31" i="65"/>
  <c r="Y31" i="65"/>
  <c r="V31" i="65"/>
  <c r="P31" i="65"/>
  <c r="G31" i="65"/>
  <c r="D31" i="65"/>
  <c r="AN30" i="65"/>
  <c r="J30" i="65"/>
  <c r="AP29" i="65"/>
  <c r="AO29" i="65"/>
  <c r="AN29" i="65"/>
  <c r="AK29" i="65"/>
  <c r="AH29" i="65"/>
  <c r="Y29" i="65"/>
  <c r="V29" i="65"/>
  <c r="P29" i="65"/>
  <c r="G29" i="65"/>
  <c r="AP28" i="65"/>
  <c r="AO28" i="65"/>
  <c r="AN28" i="65"/>
  <c r="AK28" i="65"/>
  <c r="AH28" i="65"/>
  <c r="Y28" i="65"/>
  <c r="M28" i="65"/>
  <c r="J28" i="65"/>
  <c r="G28" i="65"/>
  <c r="D28" i="65"/>
  <c r="AP27" i="65"/>
  <c r="AO27" i="65"/>
  <c r="AN27" i="65"/>
  <c r="AK27" i="65"/>
  <c r="AH27" i="65"/>
  <c r="AB27" i="65"/>
  <c r="Y27" i="65"/>
  <c r="V27" i="65"/>
  <c r="G27" i="65"/>
  <c r="D27" i="65"/>
  <c r="AP26" i="65"/>
  <c r="AO26" i="65"/>
  <c r="AQ26" i="65" s="1"/>
  <c r="AN26" i="65"/>
  <c r="AK26" i="65"/>
  <c r="AH26" i="65"/>
  <c r="AE26" i="65"/>
  <c r="AB26" i="65"/>
  <c r="Y26" i="65"/>
  <c r="V26" i="65"/>
  <c r="S26" i="65"/>
  <c r="P26" i="65"/>
  <c r="M26" i="65"/>
  <c r="J26" i="65"/>
  <c r="G26" i="65"/>
  <c r="D26" i="65"/>
  <c r="AP25" i="65"/>
  <c r="AO25" i="65"/>
  <c r="AN25" i="65"/>
  <c r="AK25" i="65"/>
  <c r="AH25" i="65"/>
  <c r="AB25" i="65"/>
  <c r="Y25" i="65"/>
  <c r="V25" i="65"/>
  <c r="P25" i="65"/>
  <c r="G25" i="65"/>
  <c r="D25" i="65"/>
  <c r="AP24" i="65"/>
  <c r="AO24" i="65"/>
  <c r="AN24" i="65"/>
  <c r="AK24" i="65"/>
  <c r="AH24" i="65"/>
  <c r="AB24" i="65"/>
  <c r="Y24" i="65"/>
  <c r="V24" i="65"/>
  <c r="P24" i="65"/>
  <c r="M24" i="65"/>
  <c r="J24" i="65"/>
  <c r="G24" i="65"/>
  <c r="AP23" i="65"/>
  <c r="AN23" i="65"/>
  <c r="AK23" i="65"/>
  <c r="AH23" i="65"/>
  <c r="AB23" i="65"/>
  <c r="Y23" i="65"/>
  <c r="V23" i="65"/>
  <c r="P23" i="65"/>
  <c r="M23" i="65"/>
  <c r="J23" i="65"/>
  <c r="G23" i="65"/>
  <c r="AP22" i="65"/>
  <c r="AO22" i="65"/>
  <c r="AN21" i="65"/>
  <c r="AS20" i="65"/>
  <c r="AR20" i="65"/>
  <c r="AP20" i="65"/>
  <c r="AO20" i="65"/>
  <c r="AN20" i="65"/>
  <c r="AK20" i="65"/>
  <c r="AH20" i="65"/>
  <c r="AE20" i="65"/>
  <c r="Y20" i="65"/>
  <c r="V20" i="65"/>
  <c r="P20" i="65"/>
  <c r="M20" i="65"/>
  <c r="J20" i="65"/>
  <c r="G20" i="65"/>
  <c r="D20" i="65"/>
  <c r="AS19" i="65"/>
  <c r="AP19" i="65"/>
  <c r="AN19" i="65"/>
  <c r="AH19" i="65"/>
  <c r="AE19" i="65"/>
  <c r="AB19" i="65"/>
  <c r="Y19" i="65"/>
  <c r="V19" i="65"/>
  <c r="S19" i="65"/>
  <c r="P19" i="65"/>
  <c r="M19" i="65"/>
  <c r="J19" i="65"/>
  <c r="G19" i="65"/>
  <c r="AS17" i="65"/>
  <c r="AR17" i="65"/>
  <c r="AP17" i="65"/>
  <c r="AO17" i="65"/>
  <c r="AN17" i="65"/>
  <c r="AK17" i="65"/>
  <c r="AH17" i="65"/>
  <c r="AB17" i="65"/>
  <c r="Y17" i="65"/>
  <c r="V17" i="65"/>
  <c r="M17" i="65"/>
  <c r="J17" i="65"/>
  <c r="G17" i="65"/>
  <c r="AS16" i="65"/>
  <c r="AR16" i="65"/>
  <c r="AP16" i="65"/>
  <c r="AO16" i="65"/>
  <c r="AN16" i="65"/>
  <c r="AK16" i="65"/>
  <c r="AH16" i="65"/>
  <c r="AE16" i="65"/>
  <c r="Y16" i="65"/>
  <c r="V16" i="65"/>
  <c r="P16" i="65"/>
  <c r="M16" i="65"/>
  <c r="J16" i="65"/>
  <c r="G16" i="65"/>
  <c r="D16" i="65"/>
  <c r="AS15" i="65"/>
  <c r="AR15" i="65"/>
  <c r="AP15" i="65"/>
  <c r="AO15" i="65"/>
  <c r="AN15" i="65"/>
  <c r="AK15" i="65"/>
  <c r="AH15" i="65"/>
  <c r="AB15" i="65"/>
  <c r="Y15" i="65"/>
  <c r="V15" i="65"/>
  <c r="P15" i="65"/>
  <c r="M15" i="65"/>
  <c r="J15" i="65"/>
  <c r="G15" i="65"/>
  <c r="D15" i="65"/>
  <c r="AN14" i="65"/>
  <c r="AS13" i="65"/>
  <c r="AR13" i="65"/>
  <c r="AP13" i="65"/>
  <c r="AO13" i="65"/>
  <c r="AN13" i="65"/>
  <c r="AK13" i="65"/>
  <c r="AH13" i="65"/>
  <c r="AE13" i="65"/>
  <c r="Y13" i="65"/>
  <c r="V13" i="65"/>
  <c r="P13" i="65"/>
  <c r="M13" i="65"/>
  <c r="J13" i="65"/>
  <c r="G13" i="65"/>
  <c r="D13" i="65"/>
  <c r="AS12" i="65"/>
  <c r="AR12" i="65"/>
  <c r="AP12" i="65"/>
  <c r="AO12" i="65"/>
  <c r="AN12" i="65"/>
  <c r="AK12" i="65"/>
  <c r="AH12" i="65"/>
  <c r="Y12" i="65"/>
  <c r="V12" i="65"/>
  <c r="P12" i="65"/>
  <c r="M12" i="65"/>
  <c r="J12" i="65"/>
  <c r="G12" i="65"/>
  <c r="D12" i="65"/>
  <c r="AS11" i="65"/>
  <c r="AP11" i="65"/>
  <c r="AN11" i="65"/>
  <c r="AK11" i="65"/>
  <c r="AH11" i="65"/>
  <c r="AE11" i="65"/>
  <c r="AB11" i="65"/>
  <c r="Y11" i="65"/>
  <c r="V11" i="65"/>
  <c r="S11" i="65"/>
  <c r="P11" i="65"/>
  <c r="M11" i="65"/>
  <c r="J11" i="65"/>
  <c r="G11" i="65"/>
  <c r="AR11" i="65"/>
  <c r="AT57" i="62" l="1"/>
  <c r="AQ89" i="62"/>
  <c r="AT15" i="65"/>
  <c r="AT86" i="62"/>
  <c r="AQ69" i="62"/>
  <c r="AT73" i="62"/>
  <c r="AT53" i="62"/>
  <c r="AQ52" i="62"/>
  <c r="AT13" i="65"/>
  <c r="AQ29" i="65"/>
  <c r="AQ20" i="65"/>
  <c r="AT49" i="62"/>
  <c r="AQ14" i="62"/>
  <c r="AQ36" i="62"/>
  <c r="AQ40" i="62"/>
  <c r="AT41" i="62"/>
  <c r="AQ74" i="62"/>
  <c r="AQ77" i="62"/>
  <c r="AT83" i="62"/>
  <c r="AQ85" i="62"/>
  <c r="AQ90" i="62"/>
  <c r="AQ25" i="62"/>
  <c r="AT25" i="62"/>
  <c r="AH16" i="75"/>
  <c r="AT91" i="62"/>
  <c r="AH14" i="65"/>
  <c r="AQ40" i="65"/>
  <c r="AQ43" i="65"/>
  <c r="AQ24" i="62"/>
  <c r="Y21" i="65"/>
  <c r="AQ32" i="65"/>
  <c r="AT17" i="62"/>
  <c r="AT18" i="62"/>
  <c r="AT24" i="62"/>
  <c r="AB93" i="62"/>
  <c r="AQ15" i="65"/>
  <c r="D19" i="65"/>
  <c r="AQ27" i="65"/>
  <c r="AQ33" i="65"/>
  <c r="AQ34" i="65"/>
  <c r="AQ43" i="62"/>
  <c r="AR54" i="62"/>
  <c r="AQ58" i="62"/>
  <c r="AT71" i="62"/>
  <c r="AQ91" i="62"/>
  <c r="AT46" i="62"/>
  <c r="AT58" i="62"/>
  <c r="AO80" i="62"/>
  <c r="AT12" i="65"/>
  <c r="AB21" i="65"/>
  <c r="AQ39" i="65"/>
  <c r="P20" i="62"/>
  <c r="AQ41" i="62"/>
  <c r="AQ49" i="62"/>
  <c r="G14" i="65"/>
  <c r="P30" i="65"/>
  <c r="AB16" i="62"/>
  <c r="AH20" i="62"/>
  <c r="AT40" i="62"/>
  <c r="AH20" i="75"/>
  <c r="AH41" i="65"/>
  <c r="AQ51" i="62"/>
  <c r="AQ17" i="62"/>
  <c r="AT19" i="62"/>
  <c r="M20" i="62"/>
  <c r="AB20" i="62"/>
  <c r="AT21" i="62"/>
  <c r="AR38" i="62"/>
  <c r="AT38" i="62" s="1"/>
  <c r="AQ46" i="62"/>
  <c r="AT59" i="62"/>
  <c r="AT61" i="62"/>
  <c r="AT70" i="62"/>
  <c r="P14" i="65"/>
  <c r="AQ17" i="65"/>
  <c r="M21" i="65"/>
  <c r="AH21" i="65"/>
  <c r="AQ25" i="65"/>
  <c r="G30" i="65"/>
  <c r="AQ31" i="65"/>
  <c r="AQ23" i="62"/>
  <c r="AT43" i="62"/>
  <c r="AT51" i="62"/>
  <c r="AT74" i="62"/>
  <c r="AT44" i="62"/>
  <c r="AT77" i="62"/>
  <c r="AT79" i="62"/>
  <c r="AO23" i="65"/>
  <c r="AQ23" i="65" s="1"/>
  <c r="AQ34" i="62"/>
  <c r="V35" i="62"/>
  <c r="AQ57" i="62"/>
  <c r="AT85" i="62"/>
  <c r="Y87" i="62"/>
  <c r="J41" i="65"/>
  <c r="M29" i="62"/>
  <c r="AS20" i="62"/>
  <c r="AQ38" i="62"/>
  <c r="AT56" i="62"/>
  <c r="AT11" i="65"/>
  <c r="D11" i="65"/>
  <c r="AQ16" i="65"/>
  <c r="AK30" i="65"/>
  <c r="AQ38" i="65"/>
  <c r="AE29" i="62"/>
  <c r="AQ22" i="62"/>
  <c r="AQ33" i="62"/>
  <c r="AK38" i="62"/>
  <c r="AQ55" i="62"/>
  <c r="AR87" i="62"/>
  <c r="AQ12" i="65"/>
  <c r="G21" i="65"/>
  <c r="AB30" i="65"/>
  <c r="D41" i="65"/>
  <c r="AH29" i="62"/>
  <c r="Y20" i="62"/>
  <c r="AR28" i="62"/>
  <c r="AT28" i="62" s="1"/>
  <c r="AT33" i="62"/>
  <c r="AT37" i="62"/>
  <c r="AT42" i="62"/>
  <c r="Y54" i="62"/>
  <c r="AQ59" i="62"/>
  <c r="AQ61" i="62"/>
  <c r="AQ70" i="62"/>
  <c r="AT75" i="62"/>
  <c r="AQ82" i="62"/>
  <c r="AQ83" i="62"/>
  <c r="V21" i="65"/>
  <c r="AT14" i="62"/>
  <c r="AH87" i="62"/>
  <c r="AR20" i="62"/>
  <c r="AK35" i="62"/>
  <c r="AQ37" i="62"/>
  <c r="M39" i="62"/>
  <c r="AQ42" i="62"/>
  <c r="AP50" i="62"/>
  <c r="AE54" i="62"/>
  <c r="AP54" i="62"/>
  <c r="G60" i="62"/>
  <c r="AO11" i="65"/>
  <c r="AQ11" i="65" s="1"/>
  <c r="J14" i="65"/>
  <c r="Y14" i="65"/>
  <c r="AK35" i="65"/>
  <c r="AT17" i="65"/>
  <c r="AT20" i="65"/>
  <c r="P21" i="65"/>
  <c r="D23" i="65"/>
  <c r="AQ24" i="65"/>
  <c r="AQ28" i="65"/>
  <c r="V30" i="65"/>
  <c r="AH30" i="65"/>
  <c r="Y41" i="65"/>
  <c r="AK41" i="65"/>
  <c r="AS16" i="62"/>
  <c r="V16" i="62"/>
  <c r="AH16" i="62"/>
  <c r="D39" i="62"/>
  <c r="AB39" i="62"/>
  <c r="G54" i="62"/>
  <c r="AH54" i="62"/>
  <c r="AT55" i="62"/>
  <c r="AQ75" i="62"/>
  <c r="AQ78" i="62"/>
  <c r="M80" i="62"/>
  <c r="AT82" i="62"/>
  <c r="M87" i="62"/>
  <c r="AQ88" i="62"/>
  <c r="AT89" i="62"/>
  <c r="AE21" i="65"/>
  <c r="V87" i="62"/>
  <c r="AP14" i="65"/>
  <c r="M35" i="65"/>
  <c r="AO41" i="65"/>
  <c r="AQ15" i="62"/>
  <c r="AS39" i="62"/>
  <c r="AK87" i="62"/>
  <c r="P93" i="62"/>
  <c r="D20" i="62"/>
  <c r="AQ86" i="62"/>
  <c r="AK14" i="65"/>
  <c r="AT16" i="65"/>
  <c r="AR19" i="65"/>
  <c r="AT19" i="65" s="1"/>
  <c r="AS21" i="65"/>
  <c r="P41" i="65"/>
  <c r="AB41" i="65"/>
  <c r="AQ45" i="65"/>
  <c r="AQ18" i="62"/>
  <c r="AT23" i="62"/>
  <c r="AS35" i="62"/>
  <c r="P35" i="62"/>
  <c r="G39" i="62"/>
  <c r="AO53" i="62"/>
  <c r="AQ53" i="62" s="1"/>
  <c r="P80" i="62"/>
  <c r="AT22" i="62"/>
  <c r="AP41" i="65"/>
  <c r="AQ68" i="62"/>
  <c r="AT78" i="62"/>
  <c r="G80" i="62"/>
  <c r="P87" i="62"/>
  <c r="AQ13" i="65"/>
  <c r="S21" i="65"/>
  <c r="S41" i="65"/>
  <c r="AO20" i="62"/>
  <c r="AK20" i="62"/>
  <c r="AQ21" i="62"/>
  <c r="AO28" i="62"/>
  <c r="AQ28" i="62" s="1"/>
  <c r="AT36" i="62"/>
  <c r="AH39" i="62"/>
  <c r="AK54" i="62"/>
  <c r="AT68" i="62"/>
  <c r="AQ71" i="62"/>
  <c r="AQ73" i="62"/>
  <c r="AQ79" i="62"/>
  <c r="J80" i="62"/>
  <c r="J27" i="62"/>
  <c r="P27" i="62"/>
  <c r="D27" i="62"/>
  <c r="V27" i="62"/>
  <c r="G35" i="62"/>
  <c r="AB35" i="62"/>
  <c r="S20" i="62"/>
  <c r="AO35" i="62"/>
  <c r="AP39" i="62"/>
  <c r="AB44" i="62"/>
  <c r="AS80" i="62"/>
  <c r="AP80" i="62"/>
  <c r="AP35" i="62"/>
  <c r="AB15" i="62"/>
  <c r="AK19" i="62"/>
  <c r="AB34" i="62"/>
  <c r="AH35" i="62"/>
  <c r="Y39" i="62"/>
  <c r="AR39" i="62"/>
  <c r="AH45" i="62"/>
  <c r="AT52" i="62"/>
  <c r="AO54" i="62"/>
  <c r="AQ56" i="62"/>
  <c r="AR15" i="62"/>
  <c r="AT15" i="62" s="1"/>
  <c r="AR34" i="62"/>
  <c r="AT34" i="62" s="1"/>
  <c r="Y35" i="62"/>
  <c r="AR35" i="62"/>
  <c r="AS54" i="62"/>
  <c r="D54" i="62"/>
  <c r="AR90" i="62"/>
  <c r="AT90" i="62" s="1"/>
  <c r="AP27" i="62"/>
  <c r="AP16" i="62"/>
  <c r="AO19" i="62"/>
  <c r="AQ19" i="62" s="1"/>
  <c r="AP20" i="62"/>
  <c r="P39" i="62"/>
  <c r="AK39" i="62"/>
  <c r="AO44" i="62"/>
  <c r="AQ44" i="62" s="1"/>
  <c r="P54" i="62"/>
  <c r="AT69" i="62"/>
  <c r="AH80" i="62"/>
  <c r="AE87" i="62"/>
  <c r="AB90" i="62"/>
  <c r="AT88" i="62"/>
  <c r="J39" i="62"/>
  <c r="V50" i="62"/>
  <c r="V54" i="62"/>
  <c r="AR16" i="62"/>
  <c r="AS50" i="62"/>
  <c r="V39" i="62"/>
  <c r="AO39" i="62"/>
  <c r="G93" i="62"/>
  <c r="S80" i="62"/>
  <c r="AB80" i="62"/>
  <c r="AS87" i="62"/>
  <c r="AO87" i="62"/>
  <c r="Y80" i="62"/>
  <c r="AR80" i="62"/>
  <c r="AP87" i="62"/>
  <c r="D87" i="62"/>
  <c r="AO21" i="65"/>
  <c r="V35" i="65"/>
  <c r="AK21" i="65"/>
  <c r="AO30" i="65"/>
  <c r="D30" i="65"/>
  <c r="AR14" i="65"/>
  <c r="S14" i="65"/>
  <c r="AB14" i="65"/>
  <c r="AS14" i="65"/>
  <c r="AK19" i="65"/>
  <c r="J21" i="65"/>
  <c r="AR21" i="65"/>
  <c r="M30" i="65"/>
  <c r="AP30" i="65"/>
  <c r="M14" i="65"/>
  <c r="V14" i="65"/>
  <c r="AO19" i="65"/>
  <c r="AQ19" i="65" s="1"/>
  <c r="Y30" i="65"/>
  <c r="AE14" i="65"/>
  <c r="D21" i="65"/>
  <c r="AP21" i="65"/>
  <c r="AT16" i="62" l="1"/>
  <c r="AR50" i="62"/>
  <c r="P60" i="62"/>
  <c r="AO50" i="62"/>
  <c r="AQ80" i="62"/>
  <c r="M27" i="62"/>
  <c r="AT54" i="62"/>
  <c r="AO60" i="62"/>
  <c r="J35" i="65"/>
  <c r="AH27" i="62"/>
  <c r="AK42" i="65"/>
  <c r="AT20" i="62"/>
  <c r="AQ20" i="62"/>
  <c r="AQ41" i="65"/>
  <c r="Y27" i="62"/>
  <c r="S93" i="62"/>
  <c r="Y93" i="62"/>
  <c r="AO14" i="65"/>
  <c r="D14" i="65"/>
  <c r="AE93" i="62"/>
  <c r="AK93" i="62"/>
  <c r="AO27" i="62"/>
  <c r="AQ27" i="62" s="1"/>
  <c r="AK16" i="62"/>
  <c r="AR60" i="62"/>
  <c r="AO16" i="62"/>
  <c r="AQ16" i="62" s="1"/>
  <c r="AQ54" i="62"/>
  <c r="AT39" i="62"/>
  <c r="Y29" i="62"/>
  <c r="AK60" i="62"/>
  <c r="AT80" i="62"/>
  <c r="V93" i="62"/>
  <c r="AK45" i="62"/>
  <c r="AB27" i="62"/>
  <c r="M45" i="62"/>
  <c r="AR45" i="62"/>
  <c r="D60" i="62"/>
  <c r="AP60" i="62"/>
  <c r="AS60" i="62"/>
  <c r="J29" i="62"/>
  <c r="D29" i="62"/>
  <c r="P45" i="62"/>
  <c r="S27" i="62"/>
  <c r="G27" i="62"/>
  <c r="AP29" i="62"/>
  <c r="AO45" i="62"/>
  <c r="AQ35" i="62"/>
  <c r="AR93" i="62"/>
  <c r="J93" i="62"/>
  <c r="AO93" i="62"/>
  <c r="AQ39" i="62"/>
  <c r="AB45" i="62"/>
  <c r="G45" i="62"/>
  <c r="AH62" i="62"/>
  <c r="AE62" i="62"/>
  <c r="AT35" i="62"/>
  <c r="Y45" i="62"/>
  <c r="V45" i="62"/>
  <c r="AQ87" i="62"/>
  <c r="V60" i="62"/>
  <c r="AE60" i="62"/>
  <c r="AS93" i="62"/>
  <c r="AP93" i="62"/>
  <c r="D93" i="62"/>
  <c r="J45" i="62"/>
  <c r="V29" i="62"/>
  <c r="M93" i="62"/>
  <c r="AT87" i="62"/>
  <c r="Y60" i="62"/>
  <c r="AH93" i="62"/>
  <c r="AS45" i="62"/>
  <c r="D45" i="62"/>
  <c r="AP45" i="62"/>
  <c r="AS27" i="62"/>
  <c r="AH60" i="62"/>
  <c r="P29" i="62"/>
  <c r="AE35" i="65"/>
  <c r="AB35" i="65"/>
  <c r="AT14" i="65"/>
  <c r="D35" i="65"/>
  <c r="AO35" i="65"/>
  <c r="S35" i="65"/>
  <c r="AP35" i="65"/>
  <c r="AT21" i="65"/>
  <c r="M42" i="65"/>
  <c r="AQ21" i="65"/>
  <c r="G35" i="65"/>
  <c r="V42" i="65"/>
  <c r="G42" i="65"/>
  <c r="P35" i="65"/>
  <c r="AH35" i="65"/>
  <c r="Y35" i="65"/>
  <c r="AQ30" i="65"/>
  <c r="AQ50" i="62" l="1"/>
  <c r="AT50" i="62"/>
  <c r="J42" i="65"/>
  <c r="AR62" i="62"/>
  <c r="AQ14" i="65"/>
  <c r="AT45" i="62"/>
  <c r="P62" i="62"/>
  <c r="J62" i="62"/>
  <c r="V62" i="62"/>
  <c r="D62" i="62"/>
  <c r="AS62" i="62"/>
  <c r="AP62" i="62"/>
  <c r="Y62" i="62"/>
  <c r="G62" i="62"/>
  <c r="AQ93" i="62"/>
  <c r="AQ45" i="62"/>
  <c r="AR27" i="62"/>
  <c r="AT27" i="62" s="1"/>
  <c r="AH64" i="62"/>
  <c r="AB62" i="62"/>
  <c r="G29" i="62"/>
  <c r="AS29" i="62"/>
  <c r="AB29" i="62"/>
  <c r="S29" i="62"/>
  <c r="AE64" i="62"/>
  <c r="AK62" i="62"/>
  <c r="AQ60" i="62"/>
  <c r="AR29" i="62"/>
  <c r="AK27" i="62"/>
  <c r="J64" i="62"/>
  <c r="M62" i="62"/>
  <c r="Y64" i="62"/>
  <c r="AT93" i="62"/>
  <c r="AO62" i="62"/>
  <c r="AT60" i="62"/>
  <c r="Y42" i="65"/>
  <c r="P42" i="65"/>
  <c r="AP42" i="65"/>
  <c r="S42" i="65"/>
  <c r="G44" i="65"/>
  <c r="M44" i="65"/>
  <c r="AQ35" i="65"/>
  <c r="AH42" i="65"/>
  <c r="AK44" i="65"/>
  <c r="D42" i="65"/>
  <c r="AO42" i="65"/>
  <c r="AB42" i="65"/>
  <c r="V44" i="65"/>
  <c r="J44" i="65"/>
  <c r="AE42" i="65"/>
  <c r="AT29" i="62" l="1"/>
  <c r="AQ42" i="65"/>
  <c r="S64" i="62"/>
  <c r="G64" i="62"/>
  <c r="V64" i="62"/>
  <c r="P64" i="62"/>
  <c r="AT62" i="62"/>
  <c r="AS64" i="62"/>
  <c r="D64" i="62"/>
  <c r="AP64" i="62"/>
  <c r="M64" i="62"/>
  <c r="AQ62" i="62"/>
  <c r="AR64" i="62"/>
  <c r="AK29" i="62"/>
  <c r="AO29" i="62"/>
  <c r="AQ29" i="62" s="1"/>
  <c r="AB64" i="62"/>
  <c r="S44" i="65"/>
  <c r="AB44" i="65"/>
  <c r="AH44" i="65"/>
  <c r="AP44" i="65"/>
  <c r="AE44" i="65"/>
  <c r="AO44" i="65"/>
  <c r="D44" i="65"/>
  <c r="J46" i="65"/>
  <c r="M46" i="65"/>
  <c r="P44" i="65"/>
  <c r="V46" i="65"/>
  <c r="Y44" i="65"/>
  <c r="AK46" i="65"/>
  <c r="G46" i="65"/>
  <c r="AT64" i="62" l="1"/>
  <c r="AK64" i="62"/>
  <c r="AP46" i="65"/>
  <c r="Y46" i="65"/>
  <c r="AH46" i="65"/>
  <c r="D46" i="65"/>
  <c r="AO46" i="65"/>
  <c r="AQ44" i="65"/>
  <c r="AB46" i="65"/>
  <c r="P46" i="65"/>
  <c r="AE46" i="65"/>
  <c r="S46" i="65"/>
  <c r="AQ64" i="62" l="1"/>
  <c r="AQ46" i="65"/>
  <c r="L9" i="79" l="1"/>
  <c r="K8" i="79"/>
  <c r="D7" i="79" l="1"/>
  <c r="D10" i="79"/>
  <c r="D9" i="79"/>
  <c r="K7" i="79"/>
  <c r="K10" i="79"/>
  <c r="D8" i="79"/>
  <c r="L8" i="79"/>
  <c r="L10" i="79"/>
  <c r="K9" i="79"/>
  <c r="L7" i="79"/>
  <c r="H33" i="9" l="1"/>
  <c r="H75" i="9" s="1"/>
  <c r="G33" i="9"/>
  <c r="G75" i="9" s="1"/>
  <c r="C33" i="9"/>
  <c r="C75" i="9" s="1"/>
  <c r="B33" i="9" l="1"/>
  <c r="B75" i="9" s="1"/>
  <c r="D48" i="78" l="1"/>
  <c r="AP8" i="62"/>
  <c r="AO8" i="62"/>
  <c r="AJ8" i="62"/>
  <c r="AI8" i="62"/>
  <c r="AG8" i="62"/>
  <c r="AF8" i="62"/>
  <c r="AD8" i="62"/>
  <c r="AC8" i="62"/>
  <c r="AA8" i="62"/>
  <c r="Z8" i="62"/>
  <c r="X8" i="62"/>
  <c r="W8" i="62"/>
  <c r="U8" i="62"/>
  <c r="T8" i="62"/>
  <c r="R8" i="62"/>
  <c r="Q8" i="62"/>
  <c r="O8" i="62"/>
  <c r="N8" i="62"/>
  <c r="L8" i="62"/>
  <c r="K8" i="62"/>
  <c r="I8" i="62"/>
  <c r="H8" i="62"/>
  <c r="F8" i="62"/>
  <c r="E8" i="62"/>
  <c r="AM8" i="62"/>
  <c r="AL8" i="62"/>
  <c r="AG8" i="75"/>
  <c r="AF8" i="75"/>
  <c r="AD8" i="75"/>
  <c r="AC8" i="75"/>
  <c r="AA8" i="75"/>
  <c r="Z8" i="75"/>
  <c r="X8" i="75"/>
  <c r="W8" i="75"/>
  <c r="U8" i="75"/>
  <c r="T8" i="75"/>
  <c r="R8" i="75"/>
  <c r="Q8" i="75"/>
  <c r="O8" i="75"/>
  <c r="N8" i="75"/>
  <c r="L8" i="75"/>
  <c r="K8" i="75"/>
  <c r="I8" i="75"/>
  <c r="H8" i="75"/>
  <c r="F8" i="75"/>
  <c r="E8" i="75"/>
  <c r="M71" i="8" l="1"/>
  <c r="C24" i="9"/>
  <c r="N23" i="8" s="1"/>
  <c r="D47" i="78"/>
  <c r="N71" i="8"/>
  <c r="C65" i="9" l="1"/>
  <c r="B24" i="9"/>
  <c r="M23" i="8" l="1"/>
  <c r="D24" i="9"/>
  <c r="B65" i="9"/>
  <c r="D65" i="9" s="1"/>
  <c r="D54" i="76" l="1"/>
  <c r="D54" i="77"/>
  <c r="D55" i="77"/>
  <c r="D57" i="76"/>
  <c r="D48" i="76"/>
  <c r="D48" i="77"/>
  <c r="D53" i="77" l="1"/>
  <c r="D56" i="76"/>
  <c r="D53" i="76"/>
  <c r="M61" i="8"/>
  <c r="N61" i="8"/>
  <c r="D49" i="77"/>
  <c r="C13" i="9"/>
  <c r="C54" i="9" l="1"/>
  <c r="N12" i="8"/>
  <c r="B13" i="9"/>
  <c r="M12" i="8" s="1"/>
  <c r="N57" i="8"/>
  <c r="C9" i="9"/>
  <c r="D47" i="76"/>
  <c r="B9" i="9"/>
  <c r="M8" i="8" s="1"/>
  <c r="M57" i="8"/>
  <c r="D47" i="77"/>
  <c r="N8" i="8" l="1"/>
  <c r="C50" i="9"/>
  <c r="D9" i="9"/>
  <c r="B50" i="9"/>
  <c r="D13" i="9"/>
  <c r="B54" i="9"/>
  <c r="D54" i="9" s="1"/>
  <c r="D50" i="9" l="1"/>
  <c r="N131" i="8" l="1"/>
  <c r="M131" i="8"/>
  <c r="N108" i="8"/>
  <c r="M108" i="8"/>
  <c r="N83" i="8"/>
  <c r="M83" i="8"/>
  <c r="N77" i="8"/>
  <c r="M77" i="8"/>
  <c r="N56" i="8"/>
  <c r="M56" i="8"/>
  <c r="N36" i="8"/>
  <c r="M36" i="8"/>
  <c r="N74" i="9"/>
  <c r="L74" i="9"/>
  <c r="M74" i="9"/>
  <c r="O74" i="9"/>
  <c r="K8" i="74" l="1"/>
  <c r="M78" i="8"/>
  <c r="D8" i="74"/>
  <c r="J8" i="74"/>
  <c r="L8" i="74" s="1"/>
  <c r="K7" i="74"/>
  <c r="J7" i="74"/>
  <c r="D48" i="74"/>
  <c r="D7" i="74"/>
  <c r="C32" i="9" l="1"/>
  <c r="L7" i="74"/>
  <c r="D47" i="74"/>
  <c r="N78" i="8"/>
  <c r="B32" i="9"/>
  <c r="M31" i="8" s="1"/>
  <c r="B74" i="9" l="1"/>
  <c r="F29" i="4" l="1"/>
  <c r="B22" i="4"/>
  <c r="B29" i="4"/>
  <c r="C29" i="4"/>
  <c r="E22" i="4"/>
  <c r="C22" i="4"/>
  <c r="F22" i="4"/>
  <c r="E29" i="4"/>
  <c r="K32" i="13" l="1"/>
  <c r="C24" i="4"/>
  <c r="E33" i="4"/>
  <c r="E25" i="4"/>
  <c r="B25" i="4"/>
  <c r="B24" i="4"/>
  <c r="F31" i="4" l="1"/>
  <c r="F24" i="4"/>
  <c r="F32" i="4"/>
  <c r="E32" i="4"/>
  <c r="E24" i="4"/>
  <c r="F30" i="4"/>
  <c r="E31" i="4"/>
  <c r="C25" i="4"/>
  <c r="F33" i="4"/>
  <c r="F25" i="4"/>
  <c r="C31" i="4"/>
  <c r="C32" i="4"/>
  <c r="B31" i="4"/>
  <c r="B23" i="4"/>
  <c r="E26" i="4"/>
  <c r="F26" i="4"/>
  <c r="E30" i="4"/>
  <c r="E23" i="4"/>
  <c r="B30" i="4"/>
  <c r="C30" i="4"/>
  <c r="B32" i="4"/>
  <c r="C23" i="4"/>
  <c r="F23" i="4"/>
  <c r="H23" i="33"/>
  <c r="D23" i="29"/>
  <c r="D30" i="33"/>
  <c r="D25" i="29"/>
  <c r="D25" i="13"/>
  <c r="D31" i="37"/>
  <c r="D32" i="29"/>
  <c r="D31" i="24"/>
  <c r="H30" i="18"/>
  <c r="H30" i="37"/>
  <c r="H30" i="33"/>
  <c r="H30" i="35"/>
  <c r="H30" i="29"/>
  <c r="H30" i="23"/>
  <c r="H30" i="13"/>
  <c r="D23" i="37"/>
  <c r="D23" i="20"/>
  <c r="D30" i="37"/>
  <c r="D30" i="20"/>
  <c r="H23" i="37"/>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3"/>
  <c r="H31" i="33"/>
  <c r="H31" i="35"/>
  <c r="H25" i="18"/>
  <c r="H25" i="37"/>
  <c r="H25" i="33"/>
  <c r="H25" i="29"/>
  <c r="H32" i="13"/>
  <c r="D24" i="37"/>
  <c r="D24" i="33"/>
  <c r="D24" i="29"/>
  <c r="D24" i="24"/>
  <c r="D24" i="13"/>
  <c r="H26" i="18"/>
  <c r="H26" i="37"/>
  <c r="H26" i="33"/>
  <c r="H26" i="35"/>
  <c r="H26" i="29"/>
  <c r="H26" i="23"/>
  <c r="J30" i="29"/>
  <c r="D30" i="29"/>
  <c r="J30" i="23"/>
  <c r="D23" i="33"/>
  <c r="H23" i="18"/>
  <c r="H23" i="29"/>
  <c r="D23" i="13"/>
  <c r="J30" i="18"/>
  <c r="J33" i="35"/>
  <c r="J33" i="23"/>
  <c r="J33" i="33"/>
  <c r="J33" i="29"/>
  <c r="J25" i="29"/>
  <c r="J25" i="13"/>
  <c r="J32" i="18"/>
  <c r="J32" i="33"/>
  <c r="J32" i="29"/>
  <c r="J32" i="23"/>
  <c r="J26" i="18"/>
  <c r="J26" i="37"/>
  <c r="J26" i="33"/>
  <c r="J26" i="35"/>
  <c r="J26" i="29"/>
  <c r="J26" i="23"/>
  <c r="K23" i="33"/>
  <c r="J33" i="18"/>
  <c r="J33" i="37"/>
  <c r="K31" i="23"/>
  <c r="K25" i="18"/>
  <c r="K25" i="37"/>
  <c r="K25" i="33"/>
  <c r="K25" i="29"/>
  <c r="K25" i="13"/>
  <c r="K23" i="37"/>
  <c r="K23" i="20"/>
  <c r="K32" i="18"/>
  <c r="K32" i="33"/>
  <c r="K32" i="29"/>
  <c r="K32" i="23"/>
  <c r="K33" i="23"/>
  <c r="K26" i="18"/>
  <c r="K26" i="33"/>
  <c r="K26" i="29"/>
  <c r="K23" i="35"/>
  <c r="K23" i="13"/>
  <c r="K33" i="18"/>
  <c r="K33" i="33"/>
  <c r="K33" i="29"/>
  <c r="J23" i="20"/>
  <c r="K26" i="35"/>
  <c r="J23" i="37"/>
  <c r="K26" i="37"/>
  <c r="K26" i="23"/>
  <c r="K31" i="13"/>
  <c r="J23" i="18"/>
  <c r="J23" i="29"/>
  <c r="J25" i="18"/>
  <c r="J25" i="37"/>
  <c r="J25" i="33"/>
  <c r="K24" i="24"/>
  <c r="K24" i="13"/>
  <c r="K31" i="18"/>
  <c r="K31" i="33"/>
  <c r="K31" i="29"/>
  <c r="J23" i="35"/>
  <c r="J23" i="13"/>
  <c r="K30" i="20"/>
  <c r="K30" i="13"/>
  <c r="K24" i="33"/>
  <c r="K24" i="29"/>
  <c r="J31" i="37"/>
  <c r="J31" i="24"/>
  <c r="J31" i="35"/>
  <c r="J31" i="13"/>
  <c r="J24" i="37"/>
  <c r="J24" i="33"/>
  <c r="J24" i="29"/>
  <c r="J24" i="24"/>
  <c r="J24" i="13"/>
  <c r="K23" i="18"/>
  <c r="K23" i="29"/>
  <c r="J31" i="18"/>
  <c r="J31" i="33"/>
  <c r="J31" i="29"/>
  <c r="J31" i="23"/>
  <c r="L31" i="23" s="1"/>
  <c r="K24" i="37"/>
  <c r="K30" i="37"/>
  <c r="J30" i="13"/>
  <c r="J23" i="33"/>
  <c r="J30" i="33"/>
  <c r="J30" i="35"/>
  <c r="J32" i="13"/>
  <c r="L32" i="13" s="1"/>
  <c r="J30" i="37"/>
  <c r="J30" i="20"/>
  <c r="J32" i="37"/>
  <c r="K30" i="18"/>
  <c r="K30" i="33"/>
  <c r="K30" i="29"/>
  <c r="K30" i="23"/>
  <c r="K32" i="37"/>
  <c r="K30" i="35"/>
  <c r="K31" i="37"/>
  <c r="K33" i="37"/>
  <c r="K31" i="35"/>
  <c r="K33" i="35"/>
  <c r="K31" i="24"/>
  <c r="I33" i="35" l="1"/>
  <c r="I33" i="37"/>
  <c r="I33" i="23"/>
  <c r="I33" i="29"/>
  <c r="L23" i="33"/>
  <c r="L30" i="37"/>
  <c r="L24" i="29"/>
  <c r="L23" i="35"/>
  <c r="L23" i="20"/>
  <c r="L25" i="18"/>
  <c r="L31" i="29"/>
  <c r="L25" i="29"/>
  <c r="L24" i="33"/>
  <c r="L26" i="33"/>
  <c r="L33" i="23"/>
  <c r="L30" i="35"/>
  <c r="L31" i="18"/>
  <c r="L33" i="18"/>
  <c r="L30" i="20"/>
  <c r="L31" i="13"/>
  <c r="L24" i="13"/>
  <c r="L26" i="35"/>
  <c r="L24" i="37"/>
  <c r="L31" i="37"/>
  <c r="L26" i="37"/>
  <c r="L26" i="29"/>
  <c r="L30" i="29"/>
  <c r="L32" i="37"/>
  <c r="L31" i="33"/>
  <c r="L23" i="13"/>
  <c r="L23" i="29"/>
  <c r="L33" i="37"/>
  <c r="L32" i="23"/>
  <c r="L25" i="13"/>
  <c r="L30" i="18"/>
  <c r="L31" i="35"/>
  <c r="L23" i="18"/>
  <c r="L33" i="29"/>
  <c r="L25" i="33"/>
  <c r="L26" i="23"/>
  <c r="L26" i="18"/>
  <c r="L32" i="29"/>
  <c r="L33" i="33"/>
  <c r="L30" i="13"/>
  <c r="L30" i="33"/>
  <c r="L24" i="24"/>
  <c r="L25" i="37"/>
  <c r="L23" i="37"/>
  <c r="L32" i="33"/>
  <c r="L31" i="24"/>
  <c r="L32" i="18"/>
  <c r="L33" i="35"/>
  <c r="L30" i="23"/>
  <c r="J9" i="72"/>
  <c r="E31" i="13" l="1"/>
  <c r="E31" i="37"/>
  <c r="E31" i="33"/>
  <c r="E31" i="24"/>
  <c r="E31" i="29"/>
  <c r="E23" i="13"/>
  <c r="E23" i="20"/>
  <c r="E23" i="37"/>
  <c r="E23" i="33"/>
  <c r="E23" i="29"/>
  <c r="E25" i="29"/>
  <c r="E25" i="13"/>
  <c r="E30" i="13"/>
  <c r="E30" i="20"/>
  <c r="E30" i="37"/>
  <c r="E30" i="29"/>
  <c r="E30" i="33"/>
  <c r="E32" i="13"/>
  <c r="E32" i="29"/>
  <c r="E24" i="24"/>
  <c r="E24" i="13"/>
  <c r="E24" i="29"/>
  <c r="E24" i="33"/>
  <c r="E24" i="37"/>
  <c r="K7" i="72"/>
  <c r="K9" i="72"/>
  <c r="L9" i="72" s="1"/>
  <c r="J7" i="72"/>
  <c r="D48" i="72"/>
  <c r="D7" i="72"/>
  <c r="D9" i="72"/>
  <c r="L7" i="72" l="1"/>
  <c r="D47" i="72"/>
  <c r="B27" i="9"/>
  <c r="M26" i="8" s="1"/>
  <c r="C27" i="9" l="1"/>
  <c r="B68" i="9"/>
  <c r="C68" i="9" l="1"/>
  <c r="D68" i="9" s="1"/>
  <c r="N26" i="8"/>
  <c r="G33" i="4"/>
  <c r="I33" i="4" l="1"/>
  <c r="H33" i="4"/>
  <c r="M33" i="35" l="1"/>
  <c r="M33" i="37"/>
  <c r="M33" i="23"/>
  <c r="M33" i="29"/>
  <c r="J33" i="4"/>
  <c r="K9" i="18"/>
  <c r="K8" i="18"/>
  <c r="G10" i="9" l="1"/>
  <c r="D22" i="18"/>
  <c r="H10" i="9"/>
  <c r="D29"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K10" i="18"/>
  <c r="J34" i="18"/>
  <c r="D67" i="18"/>
  <c r="D88" i="18"/>
  <c r="J99" i="18"/>
  <c r="J120" i="18"/>
  <c r="K121" i="18"/>
  <c r="K28" i="18"/>
  <c r="K34" i="18"/>
  <c r="D48" i="18"/>
  <c r="K67" i="18"/>
  <c r="D120" i="18"/>
  <c r="J11" i="18"/>
  <c r="J108" i="18"/>
  <c r="D112" i="18"/>
  <c r="H22" i="18"/>
  <c r="D78" i="18"/>
  <c r="D108" i="18"/>
  <c r="J125" i="18"/>
  <c r="J9" i="18"/>
  <c r="L9" i="18" s="1"/>
  <c r="D9" i="18"/>
  <c r="J28" i="18"/>
  <c r="J12" i="18"/>
  <c r="J7" i="18"/>
  <c r="J10" i="18"/>
  <c r="J8" i="18"/>
  <c r="L8" i="18" s="1"/>
  <c r="D8" i="18"/>
  <c r="J78" i="18"/>
  <c r="K125" i="18"/>
  <c r="K88" i="18"/>
  <c r="B97" i="4" l="1"/>
  <c r="C97" i="4"/>
  <c r="C76" i="4"/>
  <c r="B76" i="4"/>
  <c r="M58" i="8"/>
  <c r="N58" i="8"/>
  <c r="K98" i="18"/>
  <c r="I10" i="9"/>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L112"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J137" i="37"/>
  <c r="K121" i="37"/>
  <c r="J67" i="37"/>
  <c r="H125" i="37"/>
  <c r="D124" i="37"/>
  <c r="D109" i="37"/>
  <c r="H96" i="37"/>
  <c r="K88" i="37"/>
  <c r="D55"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M9" i="8"/>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32" i="37"/>
  <c r="I32" i="18"/>
  <c r="D30" i="4"/>
  <c r="D31" i="4"/>
  <c r="E29" i="18" l="1"/>
  <c r="E29" i="23"/>
  <c r="E29" i="29"/>
  <c r="E29" i="33"/>
  <c r="E29" i="16"/>
  <c r="E29" i="20"/>
  <c r="E29" i="24"/>
  <c r="E29" i="51"/>
  <c r="E29" i="37"/>
  <c r="E29" i="13"/>
  <c r="I23" i="18"/>
  <c r="D23" i="4"/>
  <c r="I26" i="4"/>
  <c r="H26" i="4"/>
  <c r="I26" i="29"/>
  <c r="I26" i="23"/>
  <c r="I26" i="33"/>
  <c r="I26" i="37"/>
  <c r="I26" i="35"/>
  <c r="I26" i="18"/>
  <c r="M26" i="29" l="1"/>
  <c r="J26" i="4"/>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K28" i="10" l="1"/>
  <c r="J28" i="10"/>
  <c r="K9" i="33" l="1"/>
  <c r="F124" i="4"/>
  <c r="K9" i="29"/>
  <c r="K8" i="51"/>
  <c r="K8" i="29"/>
  <c r="K8" i="33"/>
  <c r="K9" i="51"/>
  <c r="K8" i="25"/>
  <c r="K8" i="24"/>
  <c r="K9" i="25"/>
  <c r="K9" i="24"/>
  <c r="K8" i="22"/>
  <c r="K9" i="22"/>
  <c r="K9" i="20"/>
  <c r="K8" i="20"/>
  <c r="K8" i="19"/>
  <c r="J36" i="13"/>
  <c r="K9" i="19"/>
  <c r="K39" i="13"/>
  <c r="K37" i="13"/>
  <c r="J39" i="13"/>
  <c r="J37" i="13"/>
  <c r="K36" i="13"/>
  <c r="K8" i="13"/>
  <c r="K9" i="13"/>
  <c r="D22" i="16"/>
  <c r="B57" i="4" l="1"/>
  <c r="F135" i="4"/>
  <c r="C108" i="4"/>
  <c r="B55" i="4"/>
  <c r="C67" i="4"/>
  <c r="B48" i="4"/>
  <c r="F10" i="4"/>
  <c r="C86" i="4"/>
  <c r="F86" i="4"/>
  <c r="B136" i="4"/>
  <c r="B33" i="10" s="1"/>
  <c r="B135" i="4"/>
  <c r="B25" i="10" s="1"/>
  <c r="E114" i="4"/>
  <c r="G114" i="4" s="1"/>
  <c r="E116" i="4"/>
  <c r="E7" i="4"/>
  <c r="F9" i="10" s="1"/>
  <c r="E79" i="4"/>
  <c r="C125" i="4"/>
  <c r="C88" i="4"/>
  <c r="F68" i="4"/>
  <c r="C124" i="4"/>
  <c r="B122" i="4"/>
  <c r="B124" i="4"/>
  <c r="C36" i="4"/>
  <c r="F75" i="4"/>
  <c r="E136" i="4"/>
  <c r="B121" i="4"/>
  <c r="C136" i="4"/>
  <c r="E135" i="4"/>
  <c r="F25" i="10" s="1"/>
  <c r="E68" i="4"/>
  <c r="B100" i="4"/>
  <c r="E125" i="4"/>
  <c r="C99" i="4"/>
  <c r="C34" i="4"/>
  <c r="E10" i="4"/>
  <c r="F20" i="10" s="1"/>
  <c r="C107" i="4"/>
  <c r="B86" i="4"/>
  <c r="E121" i="4"/>
  <c r="B54" i="4"/>
  <c r="E86" i="4"/>
  <c r="C49" i="4"/>
  <c r="B89" i="4"/>
  <c r="B23" i="10" s="1"/>
  <c r="B110" i="4"/>
  <c r="F109" i="4"/>
  <c r="F116" i="4"/>
  <c r="C28" i="4"/>
  <c r="E11" i="4"/>
  <c r="F30" i="10" s="1"/>
  <c r="E107" i="4"/>
  <c r="G107" i="4" s="1"/>
  <c r="E117" i="4"/>
  <c r="C112" i="4"/>
  <c r="F7" i="4"/>
  <c r="F79" i="4"/>
  <c r="B116" i="4"/>
  <c r="F96" i="4"/>
  <c r="B34" i="4"/>
  <c r="F107" i="4"/>
  <c r="F34" i="4"/>
  <c r="E134" i="4"/>
  <c r="F15" i="10" s="1"/>
  <c r="C68" i="4"/>
  <c r="C110" i="4"/>
  <c r="C75" i="4"/>
  <c r="C57" i="4"/>
  <c r="B8" i="4"/>
  <c r="C79" i="4"/>
  <c r="E100" i="4"/>
  <c r="C116" i="4"/>
  <c r="B75" i="4"/>
  <c r="C120" i="4"/>
  <c r="C121" i="4"/>
  <c r="C35" i="4"/>
  <c r="F89" i="4"/>
  <c r="F100" i="4"/>
  <c r="E108" i="4"/>
  <c r="B36" i="4"/>
  <c r="B16" i="10" s="1"/>
  <c r="E34" i="4"/>
  <c r="F31" i="10" s="1"/>
  <c r="E12" i="4"/>
  <c r="F41" i="10" s="1"/>
  <c r="C96" i="4"/>
  <c r="C89" i="4"/>
  <c r="C39" i="4"/>
  <c r="E75" i="4"/>
  <c r="G75" i="4" s="1"/>
  <c r="C114" i="4"/>
  <c r="F12" i="4"/>
  <c r="E96" i="4"/>
  <c r="G96" i="4" s="1"/>
  <c r="B49" i="4"/>
  <c r="B108" i="4"/>
  <c r="F117" i="4"/>
  <c r="F113" i="4"/>
  <c r="B114" i="4"/>
  <c r="B39" i="4"/>
  <c r="B35" i="4"/>
  <c r="F112" i="4"/>
  <c r="C48" i="4"/>
  <c r="B113" i="4"/>
  <c r="B68" i="4"/>
  <c r="B13" i="10" s="1"/>
  <c r="E109" i="4"/>
  <c r="G109" i="4" s="1"/>
  <c r="F125" i="4"/>
  <c r="E113" i="4"/>
  <c r="G113" i="4" s="1"/>
  <c r="B134" i="4"/>
  <c r="B15" i="10" s="1"/>
  <c r="B107" i="4"/>
  <c r="F11" i="4"/>
  <c r="C113" i="4"/>
  <c r="B37" i="4"/>
  <c r="B26" i="10" s="1"/>
  <c r="C134" i="4"/>
  <c r="C37" i="4"/>
  <c r="E35" i="4"/>
  <c r="F42" i="10" s="1"/>
  <c r="F114" i="4"/>
  <c r="B96" i="4"/>
  <c r="C54" i="4"/>
  <c r="B120" i="4"/>
  <c r="C100" i="4"/>
  <c r="B79" i="4"/>
  <c r="B109" i="4"/>
  <c r="B117" i="4"/>
  <c r="F108" i="4"/>
  <c r="F136" i="4"/>
  <c r="B137" i="4"/>
  <c r="B44" i="10" s="1"/>
  <c r="C55" i="4"/>
  <c r="B112" i="4"/>
  <c r="B99" i="4"/>
  <c r="C122" i="4"/>
  <c r="C135" i="4"/>
  <c r="B78" i="4"/>
  <c r="F121" i="4"/>
  <c r="E112" i="4"/>
  <c r="G112" i="4" s="1"/>
  <c r="F35" i="4"/>
  <c r="B67" i="4"/>
  <c r="E89" i="4"/>
  <c r="F23" i="10" s="1"/>
  <c r="B125" i="4"/>
  <c r="C117" i="4"/>
  <c r="B28" i="4"/>
  <c r="C137" i="4"/>
  <c r="B88" i="4"/>
  <c r="C78" i="4"/>
  <c r="F134" i="4"/>
  <c r="C109" i="4"/>
  <c r="E124" i="4"/>
  <c r="G124" i="4" s="1"/>
  <c r="C10" i="4"/>
  <c r="B12" i="4"/>
  <c r="B41" i="10" s="1"/>
  <c r="B9" i="4"/>
  <c r="B7" i="4"/>
  <c r="B9" i="10" s="1"/>
  <c r="B10" i="4"/>
  <c r="B20" i="10" s="1"/>
  <c r="C12" i="4"/>
  <c r="C8" i="4"/>
  <c r="C11" i="4"/>
  <c r="B11" i="4"/>
  <c r="B30" i="10" s="1"/>
  <c r="C9" i="4"/>
  <c r="C7" i="4"/>
  <c r="H42" i="9"/>
  <c r="C40" i="9"/>
  <c r="H41" i="9"/>
  <c r="G40" i="9"/>
  <c r="N67" i="8"/>
  <c r="G18" i="9"/>
  <c r="M65" i="8" s="1"/>
  <c r="G15" i="9"/>
  <c r="M63" i="8" s="1"/>
  <c r="C38" i="9"/>
  <c r="G19" i="9"/>
  <c r="M66" i="8" s="1"/>
  <c r="B43" i="9"/>
  <c r="B44" i="9"/>
  <c r="C44" i="9"/>
  <c r="G22" i="9"/>
  <c r="M69" i="8" s="1"/>
  <c r="C42" i="9"/>
  <c r="H43" i="9"/>
  <c r="H15" i="9"/>
  <c r="N63" i="8" s="1"/>
  <c r="G21" i="9"/>
  <c r="M68" i="8" s="1"/>
  <c r="H21" i="9"/>
  <c r="G25" i="9"/>
  <c r="M72" i="8" s="1"/>
  <c r="H38" i="9"/>
  <c r="H11" i="9"/>
  <c r="H40" i="9"/>
  <c r="C43" i="9"/>
  <c r="G11" i="9"/>
  <c r="N60" i="8"/>
  <c r="C41" i="9"/>
  <c r="G26" i="9"/>
  <c r="H44" i="9"/>
  <c r="G28" i="9"/>
  <c r="M74" i="8" s="1"/>
  <c r="M76" i="8"/>
  <c r="G38" i="9"/>
  <c r="N70" i="8"/>
  <c r="B38" i="9"/>
  <c r="B42" i="9"/>
  <c r="K135" i="26"/>
  <c r="K7" i="35"/>
  <c r="H29" i="29"/>
  <c r="K121" i="13"/>
  <c r="H121" i="33"/>
  <c r="H125" i="33"/>
  <c r="H68" i="29"/>
  <c r="K113" i="33"/>
  <c r="H68" i="35"/>
  <c r="H29" i="13"/>
  <c r="K12" i="29"/>
  <c r="J86" i="29"/>
  <c r="K108" i="33"/>
  <c r="H22" i="33"/>
  <c r="K68" i="33"/>
  <c r="H35" i="29"/>
  <c r="H34" i="13"/>
  <c r="H121" i="35"/>
  <c r="K22" i="51"/>
  <c r="K135" i="34"/>
  <c r="K134" i="26"/>
  <c r="K113" i="29"/>
  <c r="H100" i="29"/>
  <c r="K137" i="26"/>
  <c r="J79" i="29"/>
  <c r="K28" i="51"/>
  <c r="H89" i="29"/>
  <c r="K12" i="33"/>
  <c r="K116" i="33"/>
  <c r="K29" i="51"/>
  <c r="H34" i="33"/>
  <c r="H12" i="33"/>
  <c r="H125" i="29"/>
  <c r="K108" i="23"/>
  <c r="K22" i="23"/>
  <c r="K107" i="33"/>
  <c r="K100" i="33"/>
  <c r="K75" i="33"/>
  <c r="K122" i="33"/>
  <c r="H86" i="35"/>
  <c r="K114" i="33"/>
  <c r="H29" i="33"/>
  <c r="H75" i="33"/>
  <c r="D37" i="13"/>
  <c r="K89" i="23"/>
  <c r="K68" i="23"/>
  <c r="K28" i="24"/>
  <c r="H135" i="26"/>
  <c r="H22" i="29"/>
  <c r="K113" i="35"/>
  <c r="K12" i="35"/>
  <c r="K109" i="35"/>
  <c r="H12" i="35"/>
  <c r="H96" i="33"/>
  <c r="H117" i="33"/>
  <c r="K28" i="25"/>
  <c r="K136" i="34"/>
  <c r="K96" i="33"/>
  <c r="H35" i="33"/>
  <c r="K117" i="33"/>
  <c r="H109" i="35"/>
  <c r="K28" i="23"/>
  <c r="K89" i="33"/>
  <c r="K11" i="35"/>
  <c r="H113" i="35"/>
  <c r="D57" i="16"/>
  <c r="D28" i="16"/>
  <c r="D29" i="16"/>
  <c r="D9" i="16"/>
  <c r="D10" i="16"/>
  <c r="D54" i="16"/>
  <c r="D8" i="16"/>
  <c r="D49" i="16"/>
  <c r="D7" i="16"/>
  <c r="D48" i="16"/>
  <c r="H100" i="23"/>
  <c r="B21" i="10"/>
  <c r="K109" i="23"/>
  <c r="K10" i="35"/>
  <c r="K34" i="13"/>
  <c r="K107" i="13"/>
  <c r="K121" i="23"/>
  <c r="H109" i="23"/>
  <c r="H22" i="23"/>
  <c r="H89" i="35"/>
  <c r="H100" i="33"/>
  <c r="H68" i="33"/>
  <c r="K125" i="33"/>
  <c r="D49" i="39"/>
  <c r="K7" i="13"/>
  <c r="K7" i="19"/>
  <c r="K10" i="29"/>
  <c r="H7" i="23"/>
  <c r="H7" i="29"/>
  <c r="H7" i="33"/>
  <c r="K10" i="33"/>
  <c r="H10" i="13"/>
  <c r="K7" i="23"/>
  <c r="K11" i="33"/>
  <c r="K7" i="29"/>
  <c r="H10" i="35"/>
  <c r="H11" i="13"/>
  <c r="K22" i="13"/>
  <c r="K29" i="13"/>
  <c r="H79" i="13"/>
  <c r="K100" i="13"/>
  <c r="K116" i="13"/>
  <c r="K10" i="13"/>
  <c r="H121" i="13"/>
  <c r="K7" i="20"/>
  <c r="K10" i="20"/>
  <c r="K22" i="24"/>
  <c r="D49" i="26"/>
  <c r="K11" i="29"/>
  <c r="H22" i="35"/>
  <c r="H113" i="29"/>
  <c r="H7" i="35"/>
  <c r="H11" i="35"/>
  <c r="K7" i="33"/>
  <c r="H89" i="33"/>
  <c r="H107" i="33"/>
  <c r="K121" i="33"/>
  <c r="H89" i="13"/>
  <c r="K109" i="13"/>
  <c r="K67" i="13"/>
  <c r="K11" i="13"/>
  <c r="H113" i="33"/>
  <c r="H107" i="35"/>
  <c r="H12" i="23"/>
  <c r="H86" i="23"/>
  <c r="H136" i="26"/>
  <c r="K28" i="29"/>
  <c r="K34" i="29"/>
  <c r="H134" i="26"/>
  <c r="K117" i="29"/>
  <c r="H35" i="35"/>
  <c r="H79" i="23"/>
  <c r="H89" i="23"/>
  <c r="H117" i="23"/>
  <c r="K35" i="29"/>
  <c r="H117" i="29"/>
  <c r="H45" i="9"/>
  <c r="D39" i="13"/>
  <c r="H22" i="13"/>
  <c r="H7" i="13"/>
  <c r="K35" i="13"/>
  <c r="K108" i="13"/>
  <c r="K12" i="13"/>
  <c r="H107" i="13"/>
  <c r="C45" i="9"/>
  <c r="D48" i="13"/>
  <c r="J10" i="13"/>
  <c r="D10" i="13"/>
  <c r="K28" i="13"/>
  <c r="K68" i="13"/>
  <c r="K112" i="13"/>
  <c r="K117" i="13"/>
  <c r="H35" i="13"/>
  <c r="H109" i="13"/>
  <c r="J89" i="13"/>
  <c r="D89" i="13"/>
  <c r="D11" i="13"/>
  <c r="J11" i="13"/>
  <c r="J9" i="19"/>
  <c r="L9" i="19" s="1"/>
  <c r="D9" i="19"/>
  <c r="B37" i="9"/>
  <c r="K113" i="13"/>
  <c r="J9" i="13"/>
  <c r="L9" i="13" s="1"/>
  <c r="D9" i="13"/>
  <c r="H68" i="13"/>
  <c r="J88" i="13"/>
  <c r="D88" i="13"/>
  <c r="H100" i="13"/>
  <c r="H12" i="13"/>
  <c r="C37" i="9"/>
  <c r="H37" i="9"/>
  <c r="H51" i="9" s="1"/>
  <c r="G37" i="9"/>
  <c r="G51" i="9" s="1"/>
  <c r="D78" i="13"/>
  <c r="J78" i="13"/>
  <c r="J12" i="13"/>
  <c r="D12" i="13"/>
  <c r="K120" i="13"/>
  <c r="K88" i="13"/>
  <c r="H117" i="13"/>
  <c r="D48" i="19"/>
  <c r="D47"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4"/>
  <c r="J28" i="24"/>
  <c r="D28" i="25"/>
  <c r="J28" i="25"/>
  <c r="J112" i="23"/>
  <c r="D112" i="23"/>
  <c r="J22" i="24"/>
  <c r="D22" i="24"/>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L108" i="23" s="1"/>
  <c r="D108" i="23"/>
  <c r="H113" i="23"/>
  <c r="D67" i="29"/>
  <c r="K67" i="29"/>
  <c r="J75" i="33"/>
  <c r="D75" i="33"/>
  <c r="D48" i="26"/>
  <c r="D48" i="51"/>
  <c r="D54" i="40"/>
  <c r="J28" i="29"/>
  <c r="D28" i="29"/>
  <c r="D136" i="26"/>
  <c r="J136" i="26"/>
  <c r="D7" i="29"/>
  <c r="J7" i="29"/>
  <c r="J10" i="35"/>
  <c r="J12" i="29"/>
  <c r="H12" i="29"/>
  <c r="J109" i="29"/>
  <c r="D109" i="29"/>
  <c r="K120" i="29"/>
  <c r="D68" i="29"/>
  <c r="J68" i="29"/>
  <c r="D86" i="29"/>
  <c r="K86" i="29"/>
  <c r="K89" i="29"/>
  <c r="K107" i="29"/>
  <c r="J112" i="29"/>
  <c r="D112" i="29"/>
  <c r="H121" i="29"/>
  <c r="J7" i="35"/>
  <c r="K22" i="35"/>
  <c r="K29" i="35"/>
  <c r="J10" i="33"/>
  <c r="D10" i="33"/>
  <c r="J68" i="33"/>
  <c r="D68" i="33"/>
  <c r="J125" i="35"/>
  <c r="J86" i="35"/>
  <c r="J89" i="35"/>
  <c r="J107" i="35"/>
  <c r="K78" i="33"/>
  <c r="K77" i="33"/>
  <c r="K112" i="33"/>
  <c r="K121" i="35"/>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34" i="26"/>
  <c r="J134" i="26"/>
  <c r="D137" i="26"/>
  <c r="J137" i="26"/>
  <c r="K7" i="51"/>
  <c r="K10" i="51"/>
  <c r="J78" i="29"/>
  <c r="D78" i="29"/>
  <c r="J22" i="29"/>
  <c r="D22" i="29"/>
  <c r="K68" i="29"/>
  <c r="J88" i="29"/>
  <c r="D88" i="29"/>
  <c r="J11" i="33"/>
  <c r="J121" i="29"/>
  <c r="J134" i="34"/>
  <c r="D134" i="34"/>
  <c r="H29" i="35"/>
  <c r="K108" i="29"/>
  <c r="D48" i="34"/>
  <c r="J22" i="35"/>
  <c r="J29" i="35"/>
  <c r="H77" i="29"/>
  <c r="H107" i="29"/>
  <c r="K112" i="29"/>
  <c r="J117" i="29"/>
  <c r="D117" i="29"/>
  <c r="J135" i="34"/>
  <c r="D135" i="34"/>
  <c r="K34" i="35"/>
  <c r="J117" i="35"/>
  <c r="J9" i="33"/>
  <c r="L9" i="33" s="1"/>
  <c r="D9" i="33"/>
  <c r="J78" i="33"/>
  <c r="D78" i="33"/>
  <c r="J22" i="33"/>
  <c r="D22" i="33"/>
  <c r="J29" i="33"/>
  <c r="D29" i="33"/>
  <c r="J67" i="33"/>
  <c r="H67" i="33"/>
  <c r="K79" i="33"/>
  <c r="K86" i="35"/>
  <c r="K89" i="35"/>
  <c r="K107" i="35"/>
  <c r="H117" i="35"/>
  <c r="J99" i="33"/>
  <c r="D99" i="33"/>
  <c r="D109" i="33"/>
  <c r="J109" i="33"/>
  <c r="D48" i="38"/>
  <c r="G45" i="9"/>
  <c r="J112" i="33"/>
  <c r="D112" i="33"/>
  <c r="J117" i="33"/>
  <c r="D48" i="39"/>
  <c r="D57" i="21"/>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J9" i="24"/>
  <c r="L9" i="24" s="1"/>
  <c r="D9" i="24"/>
  <c r="D54" i="25"/>
  <c r="J7" i="51"/>
  <c r="D7" i="51"/>
  <c r="D10" i="51"/>
  <c r="J10" i="51"/>
  <c r="J34" i="29"/>
  <c r="D34" i="29"/>
  <c r="D10" i="29"/>
  <c r="J10" i="29"/>
  <c r="J89" i="29"/>
  <c r="D89" i="29"/>
  <c r="J11" i="35"/>
  <c r="H10" i="29"/>
  <c r="K22" i="29"/>
  <c r="K29" i="29"/>
  <c r="J120" i="29"/>
  <c r="D120" i="29"/>
  <c r="J107" i="29"/>
  <c r="D107" i="29"/>
  <c r="H34" i="35"/>
  <c r="K78" i="29"/>
  <c r="K99" i="29"/>
  <c r="K109" i="29"/>
  <c r="J125" i="29"/>
  <c r="K134" i="34"/>
  <c r="J34" i="35"/>
  <c r="J68" i="35"/>
  <c r="H29" i="9"/>
  <c r="N75" i="8" s="1"/>
  <c r="H79" i="29"/>
  <c r="D113" i="29"/>
  <c r="J113" i="29"/>
  <c r="K125" i="29"/>
  <c r="K35" i="35"/>
  <c r="K68" i="35"/>
  <c r="K117" i="35"/>
  <c r="D67" i="33"/>
  <c r="K67" i="33"/>
  <c r="J79" i="33"/>
  <c r="D79" i="33"/>
  <c r="K125" i="35"/>
  <c r="J34" i="33"/>
  <c r="K86" i="33"/>
  <c r="D122" i="33"/>
  <c r="J122" i="33"/>
  <c r="J113" i="35"/>
  <c r="K22" i="33"/>
  <c r="K29" i="33"/>
  <c r="H79" i="33"/>
  <c r="J88" i="33"/>
  <c r="D88" i="33"/>
  <c r="J100" i="33"/>
  <c r="D100" i="33"/>
  <c r="K120" i="33"/>
  <c r="D113" i="33"/>
  <c r="J113" i="33"/>
  <c r="D57" i="39"/>
  <c r="D54" i="21"/>
  <c r="J22" i="20"/>
  <c r="D22" i="20"/>
  <c r="J29" i="20"/>
  <c r="D29" i="20"/>
  <c r="D48" i="20"/>
  <c r="J7" i="23"/>
  <c r="K88" i="23"/>
  <c r="J35" i="29"/>
  <c r="D7" i="22"/>
  <c r="J7"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34" i="33"/>
  <c r="H86" i="33"/>
  <c r="J89" i="33"/>
  <c r="D89" i="33"/>
  <c r="J107" i="33"/>
  <c r="J110" i="33"/>
  <c r="D110" i="33"/>
  <c r="K109" i="33"/>
  <c r="H109" i="33"/>
  <c r="J114" i="33"/>
  <c r="D114" i="33"/>
  <c r="G29" i="9"/>
  <c r="M75" i="8" s="1"/>
  <c r="B10" i="10"/>
  <c r="F21" i="10"/>
  <c r="F10" i="10"/>
  <c r="K9" i="16"/>
  <c r="K8" i="16"/>
  <c r="K22" i="16"/>
  <c r="K7" i="16"/>
  <c r="J8" i="16"/>
  <c r="J9" i="16"/>
  <c r="J22" i="16"/>
  <c r="J28" i="16"/>
  <c r="J29" i="16"/>
  <c r="K10" i="16"/>
  <c r="K29" i="16"/>
  <c r="J10" i="16"/>
  <c r="J7" i="16"/>
  <c r="K28" i="16"/>
  <c r="G117" i="4" l="1"/>
  <c r="G116" i="4"/>
  <c r="G108" i="4"/>
  <c r="F13" i="10"/>
  <c r="G68" i="4"/>
  <c r="G100" i="4"/>
  <c r="G125" i="4"/>
  <c r="G79" i="4"/>
  <c r="G121" i="4"/>
  <c r="D28" i="4"/>
  <c r="D56" i="21"/>
  <c r="F111" i="4"/>
  <c r="F119" i="4"/>
  <c r="B119" i="4"/>
  <c r="B43" i="10" s="1"/>
  <c r="B47" i="4"/>
  <c r="B11" i="10" s="1"/>
  <c r="C119" i="4"/>
  <c r="E77" i="4"/>
  <c r="G77" i="4" s="1"/>
  <c r="B98" i="4"/>
  <c r="F77" i="4"/>
  <c r="B87" i="4"/>
  <c r="B22" i="10" s="1"/>
  <c r="C47" i="4"/>
  <c r="E119" i="4"/>
  <c r="B111" i="4"/>
  <c r="B32" i="10" s="1"/>
  <c r="E111" i="4"/>
  <c r="B53" i="4"/>
  <c r="B38" i="10" s="1"/>
  <c r="E87" i="4"/>
  <c r="F87" i="4"/>
  <c r="C53" i="4"/>
  <c r="F98" i="4"/>
  <c r="E66" i="4"/>
  <c r="C77" i="4"/>
  <c r="C111" i="4"/>
  <c r="C56" i="4"/>
  <c r="B77" i="4"/>
  <c r="E98" i="4"/>
  <c r="G98" i="4" s="1"/>
  <c r="C87" i="4"/>
  <c r="B56" i="4"/>
  <c r="B49" i="10" s="1"/>
  <c r="F66" i="4"/>
  <c r="C98" i="4"/>
  <c r="B66" i="4"/>
  <c r="C66" i="4"/>
  <c r="N59" i="8"/>
  <c r="M59" i="8"/>
  <c r="M79" i="8"/>
  <c r="L86" i="23"/>
  <c r="E9" i="79"/>
  <c r="E7" i="79"/>
  <c r="E48" i="78"/>
  <c r="E8" i="79"/>
  <c r="E10" i="79"/>
  <c r="H14" i="9"/>
  <c r="N62" i="8" s="1"/>
  <c r="G14" i="9"/>
  <c r="M62" i="8" s="1"/>
  <c r="N79" i="8"/>
  <c r="D34" i="4"/>
  <c r="E48" i="77"/>
  <c r="E48" i="76"/>
  <c r="E55" i="77"/>
  <c r="E57" i="76"/>
  <c r="E49" i="77"/>
  <c r="E54" i="76"/>
  <c r="E54" i="77"/>
  <c r="L7" i="35"/>
  <c r="L107" i="23"/>
  <c r="B14" i="9"/>
  <c r="M13" i="8" s="1"/>
  <c r="H77" i="33"/>
  <c r="L29" i="51"/>
  <c r="N136" i="8"/>
  <c r="E28" i="16"/>
  <c r="H62" i="9"/>
  <c r="N68" i="8"/>
  <c r="E28" i="51"/>
  <c r="G67" i="9"/>
  <c r="M73" i="8"/>
  <c r="M67" i="8"/>
  <c r="E28" i="29"/>
  <c r="E28" i="24"/>
  <c r="M70" i="8"/>
  <c r="E28" i="23"/>
  <c r="E28" i="20"/>
  <c r="M60" i="8"/>
  <c r="E28" i="25"/>
  <c r="M64" i="8"/>
  <c r="M136" i="8"/>
  <c r="G71" i="9"/>
  <c r="I11" i="9"/>
  <c r="G52" i="9"/>
  <c r="G59" i="9"/>
  <c r="G63" i="9"/>
  <c r="G60" i="9"/>
  <c r="K98" i="33"/>
  <c r="C14" i="9"/>
  <c r="L22" i="51"/>
  <c r="D47" i="39"/>
  <c r="L7" i="51"/>
  <c r="E34" i="37"/>
  <c r="E34" i="13"/>
  <c r="E34" i="29"/>
  <c r="L110" i="33"/>
  <c r="E8" i="74"/>
  <c r="E28" i="18"/>
  <c r="E7" i="72"/>
  <c r="E7" i="74"/>
  <c r="E48" i="72"/>
  <c r="E48" i="74"/>
  <c r="E28" i="37"/>
  <c r="E28" i="13"/>
  <c r="D35" i="4"/>
  <c r="C31" i="9"/>
  <c r="N30" i="8" s="1"/>
  <c r="D53" i="40"/>
  <c r="D53" i="21"/>
  <c r="L28" i="51"/>
  <c r="L125" i="35"/>
  <c r="L10" i="51"/>
  <c r="E35" i="13"/>
  <c r="E35" i="37"/>
  <c r="E35" i="33"/>
  <c r="H77" i="13"/>
  <c r="B42" i="10"/>
  <c r="E99" i="18"/>
  <c r="D29" i="4"/>
  <c r="E88" i="18"/>
  <c r="E9" i="18"/>
  <c r="E9" i="72"/>
  <c r="E67" i="18"/>
  <c r="E8" i="18"/>
  <c r="E112" i="18"/>
  <c r="E108" i="18"/>
  <c r="E120" i="18"/>
  <c r="E78" i="18"/>
  <c r="D37" i="4"/>
  <c r="D36" i="4"/>
  <c r="D39" i="4"/>
  <c r="B31" i="10"/>
  <c r="D110" i="4"/>
  <c r="L117" i="3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E55" i="37"/>
  <c r="I89" i="37"/>
  <c r="I89" i="18"/>
  <c r="I10" i="37"/>
  <c r="I10" i="18"/>
  <c r="I125" i="37"/>
  <c r="I125" i="18"/>
  <c r="I124" i="37"/>
  <c r="I113" i="37"/>
  <c r="I113" i="18"/>
  <c r="I68" i="37"/>
  <c r="I68" i="18"/>
  <c r="E137" i="37"/>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136" i="34"/>
  <c r="L68" i="33"/>
  <c r="L68" i="23"/>
  <c r="L28" i="24"/>
  <c r="H98" i="29"/>
  <c r="K98" i="29"/>
  <c r="L22" i="23"/>
  <c r="L120" i="33"/>
  <c r="K87" i="29"/>
  <c r="L137" i="26"/>
  <c r="D47" i="40"/>
  <c r="L28" i="23"/>
  <c r="L12" i="29"/>
  <c r="D53" i="13"/>
  <c r="K87" i="33"/>
  <c r="K87" i="23"/>
  <c r="L89" i="33"/>
  <c r="H87" i="29"/>
  <c r="L135" i="34"/>
  <c r="L10" i="29"/>
  <c r="L7" i="33"/>
  <c r="H66" i="23"/>
  <c r="L35" i="29"/>
  <c r="D56" i="39"/>
  <c r="L11" i="35"/>
  <c r="H87" i="35"/>
  <c r="L11" i="29"/>
  <c r="H111" i="13"/>
  <c r="L35" i="23"/>
  <c r="N135" i="8"/>
  <c r="C12" i="9"/>
  <c r="N11" i="8" s="1"/>
  <c r="N112" i="8"/>
  <c r="C25" i="9"/>
  <c r="N24" i="8" s="1"/>
  <c r="C15" i="9"/>
  <c r="N14" i="8" s="1"/>
  <c r="C23" i="9"/>
  <c r="N22" i="8" s="1"/>
  <c r="C28" i="9"/>
  <c r="N27" i="8" s="1"/>
  <c r="K111" i="13"/>
  <c r="L107" i="33"/>
  <c r="L100" i="33"/>
  <c r="N138" i="8"/>
  <c r="M112" i="8"/>
  <c r="L108" i="13"/>
  <c r="D56" i="40"/>
  <c r="N139" i="8"/>
  <c r="L109" i="35"/>
  <c r="H119" i="23"/>
  <c r="L116" i="33"/>
  <c r="C21" i="9"/>
  <c r="N20" i="8" s="1"/>
  <c r="D53" i="22"/>
  <c r="L35" i="33"/>
  <c r="L8" i="16"/>
  <c r="L67" i="29"/>
  <c r="L29" i="20"/>
  <c r="L116" i="23"/>
  <c r="L12" i="35"/>
  <c r="L28" i="25"/>
  <c r="L9" i="16"/>
  <c r="H98" i="13"/>
  <c r="K111" i="29"/>
  <c r="L7" i="16"/>
  <c r="D53" i="16"/>
  <c r="D56" i="25"/>
  <c r="L117" i="33"/>
  <c r="L10" i="35"/>
  <c r="L12" i="13"/>
  <c r="K66" i="35"/>
  <c r="D56" i="16"/>
  <c r="N133" i="8"/>
  <c r="L99" i="23"/>
  <c r="L7" i="20"/>
  <c r="K119" i="13"/>
  <c r="M113" i="8"/>
  <c r="K66" i="23"/>
  <c r="K87" i="35"/>
  <c r="M109" i="8"/>
  <c r="L11" i="33"/>
  <c r="H119" i="13"/>
  <c r="L22" i="16"/>
  <c r="L29" i="16"/>
  <c r="C16" i="9"/>
  <c r="N15" i="8" s="1"/>
  <c r="L10" i="16"/>
  <c r="D47" i="16"/>
  <c r="L28" i="16"/>
  <c r="N137" i="8"/>
  <c r="L7" i="13"/>
  <c r="N132" i="8"/>
  <c r="B29" i="9"/>
  <c r="M28" i="8" s="1"/>
  <c r="M114" i="8"/>
  <c r="M137" i="8"/>
  <c r="N111" i="8"/>
  <c r="N134" i="8"/>
  <c r="N140" i="8"/>
  <c r="C29" i="9"/>
  <c r="N28" i="8" s="1"/>
  <c r="C22" i="9"/>
  <c r="N21" i="8" s="1"/>
  <c r="C19" i="9"/>
  <c r="N18" i="8" s="1"/>
  <c r="M111" i="8"/>
  <c r="B11" i="9"/>
  <c r="B17" i="9"/>
  <c r="M16" i="8" s="1"/>
  <c r="M115" i="8"/>
  <c r="H119" i="33"/>
  <c r="L125" i="33"/>
  <c r="L121" i="23"/>
  <c r="M135" i="8"/>
  <c r="L116" i="13"/>
  <c r="N114" i="8"/>
  <c r="L10" i="33"/>
  <c r="C20" i="9"/>
  <c r="N19" i="8" s="1"/>
  <c r="B20" i="9"/>
  <c r="M19" i="8" s="1"/>
  <c r="L22" i="13"/>
  <c r="L107" i="13"/>
  <c r="L10" i="13"/>
  <c r="L121" i="33"/>
  <c r="C26" i="9"/>
  <c r="N25" i="8" s="1"/>
  <c r="H87" i="23"/>
  <c r="L29" i="24"/>
  <c r="L7" i="23"/>
  <c r="H87" i="33"/>
  <c r="L120" i="29"/>
  <c r="D47" i="22"/>
  <c r="L11" i="23"/>
  <c r="L117" i="29"/>
  <c r="K119" i="23"/>
  <c r="L34" i="13"/>
  <c r="M139" i="8"/>
  <c r="B22" i="9"/>
  <c r="M21" i="8" s="1"/>
  <c r="B21" i="9"/>
  <c r="M20" i="8" s="1"/>
  <c r="L22" i="24"/>
  <c r="L7" i="19"/>
  <c r="N109" i="8"/>
  <c r="M110" i="8"/>
  <c r="C10" i="9"/>
  <c r="L11" i="13"/>
  <c r="C11" i="9"/>
  <c r="N10" i="8" s="1"/>
  <c r="M132" i="8"/>
  <c r="C30" i="9"/>
  <c r="N29" i="8" s="1"/>
  <c r="F14" i="10"/>
  <c r="E48" i="39"/>
  <c r="E48" i="16"/>
  <c r="I89" i="13"/>
  <c r="I89" i="29"/>
  <c r="I89" i="35"/>
  <c r="I89" i="33"/>
  <c r="I89" i="23"/>
  <c r="G23" i="10"/>
  <c r="I35" i="23"/>
  <c r="I35" i="29"/>
  <c r="I35" i="35"/>
  <c r="I35" i="33"/>
  <c r="I35" i="13"/>
  <c r="G42" i="10"/>
  <c r="I134" i="26"/>
  <c r="G15" i="10"/>
  <c r="I10" i="23"/>
  <c r="I10" i="35"/>
  <c r="I10" i="29"/>
  <c r="I10" i="33"/>
  <c r="I10" i="13"/>
  <c r="G20" i="10"/>
  <c r="E49" i="39"/>
  <c r="E49" i="16"/>
  <c r="I23" i="33"/>
  <c r="I23" i="13"/>
  <c r="I23" i="29"/>
  <c r="I23" i="35"/>
  <c r="E54" i="39"/>
  <c r="E54" i="16"/>
  <c r="C25" i="10"/>
  <c r="C31" i="10"/>
  <c r="C9" i="10"/>
  <c r="C23" i="10"/>
  <c r="C41" i="10"/>
  <c r="I86" i="23"/>
  <c r="I86" i="29"/>
  <c r="I86" i="33"/>
  <c r="I86" i="35"/>
  <c r="C21" i="10"/>
  <c r="C33" i="10"/>
  <c r="C16" i="10"/>
  <c r="H18" i="9"/>
  <c r="N65" i="8" s="1"/>
  <c r="B16" i="9"/>
  <c r="M15" i="8" s="1"/>
  <c r="M140" i="8"/>
  <c r="B12" i="9"/>
  <c r="M11" i="8" s="1"/>
  <c r="H19" i="9"/>
  <c r="N66" i="8" s="1"/>
  <c r="M134" i="8"/>
  <c r="N110" i="8"/>
  <c r="I29" i="33"/>
  <c r="I29" i="23"/>
  <c r="I29" i="29"/>
  <c r="I29" i="13"/>
  <c r="I29" i="35"/>
  <c r="G21" i="10"/>
  <c r="I25" i="29"/>
  <c r="I25" i="33"/>
  <c r="I25" i="13"/>
  <c r="I30" i="23"/>
  <c r="I30" i="29"/>
  <c r="I30" i="35"/>
  <c r="I30" i="33"/>
  <c r="I30" i="13"/>
  <c r="C30" i="10"/>
  <c r="I107" i="13"/>
  <c r="I107" i="29"/>
  <c r="I107" i="35"/>
  <c r="I107" i="33"/>
  <c r="C44" i="10"/>
  <c r="I75" i="33"/>
  <c r="G14" i="10"/>
  <c r="I32" i="13"/>
  <c r="I32" i="23"/>
  <c r="I32" i="29"/>
  <c r="I32" i="33"/>
  <c r="I100" i="13"/>
  <c r="I100" i="23"/>
  <c r="I100" i="29"/>
  <c r="I100" i="33"/>
  <c r="I22" i="23"/>
  <c r="I22" i="29"/>
  <c r="I22" i="35"/>
  <c r="I22" i="33"/>
  <c r="I22" i="13"/>
  <c r="G10" i="10"/>
  <c r="I121" i="13"/>
  <c r="I121" i="23"/>
  <c r="I121" i="35"/>
  <c r="I121" i="33"/>
  <c r="I121" i="29"/>
  <c r="I113" i="23"/>
  <c r="I113" i="13"/>
  <c r="I113" i="35"/>
  <c r="I113" i="33"/>
  <c r="I113" i="29"/>
  <c r="I108" i="13"/>
  <c r="M138" i="8"/>
  <c r="N113" i="8"/>
  <c r="B41" i="9"/>
  <c r="B15" i="9"/>
  <c r="M14" i="8" s="1"/>
  <c r="B31" i="9"/>
  <c r="M30" i="8" s="1"/>
  <c r="G44" i="9"/>
  <c r="G70" i="9" s="1"/>
  <c r="H22" i="9"/>
  <c r="N69" i="8" s="1"/>
  <c r="C17" i="9"/>
  <c r="N16" i="8" s="1"/>
  <c r="B30" i="9"/>
  <c r="M29" i="8" s="1"/>
  <c r="H28" i="9"/>
  <c r="N74" i="8" s="1"/>
  <c r="B40" i="9"/>
  <c r="B19" i="9"/>
  <c r="M18" i="8" s="1"/>
  <c r="I136" i="26"/>
  <c r="G33" i="10"/>
  <c r="I7" i="29"/>
  <c r="I7" i="33"/>
  <c r="I7" i="23"/>
  <c r="I7" i="35"/>
  <c r="I7" i="13"/>
  <c r="G9" i="10"/>
  <c r="B45" i="10"/>
  <c r="I31" i="35"/>
  <c r="I31" i="13"/>
  <c r="I31" i="33"/>
  <c r="I31" i="23"/>
  <c r="I31" i="29"/>
  <c r="C45" i="10"/>
  <c r="C42" i="10"/>
  <c r="I24" i="13"/>
  <c r="I24" i="33"/>
  <c r="I67" i="33"/>
  <c r="C15" i="10"/>
  <c r="B28" i="9"/>
  <c r="M27" i="8" s="1"/>
  <c r="M133" i="8"/>
  <c r="B45" i="9"/>
  <c r="G43" i="9"/>
  <c r="G69" i="9" s="1"/>
  <c r="N115" i="8"/>
  <c r="C18" i="9"/>
  <c r="N17" i="8" s="1"/>
  <c r="N76" i="8"/>
  <c r="C13" i="10"/>
  <c r="I135" i="26"/>
  <c r="G25" i="10"/>
  <c r="I96" i="33"/>
  <c r="G24" i="10"/>
  <c r="C14" i="10"/>
  <c r="I68" i="23"/>
  <c r="I68" i="29"/>
  <c r="I68" i="35"/>
  <c r="I68" i="33"/>
  <c r="I68" i="13"/>
  <c r="G13" i="10"/>
  <c r="G136" i="4"/>
  <c r="F33" i="10"/>
  <c r="I79" i="13"/>
  <c r="I79" i="23"/>
  <c r="I79" i="33"/>
  <c r="I79" i="29"/>
  <c r="I109" i="13"/>
  <c r="I109" i="35"/>
  <c r="I109" i="29"/>
  <c r="I109" i="23"/>
  <c r="I109" i="33"/>
  <c r="I12" i="29"/>
  <c r="I12" i="33"/>
  <c r="I12" i="35"/>
  <c r="I12" i="23"/>
  <c r="I12" i="13"/>
  <c r="G41" i="10"/>
  <c r="I11" i="13"/>
  <c r="I11" i="23"/>
  <c r="I11" i="35"/>
  <c r="I11" i="33"/>
  <c r="G30" i="10"/>
  <c r="I11" i="29"/>
  <c r="F24" i="10"/>
  <c r="I125" i="13"/>
  <c r="I125" i="23"/>
  <c r="I125" i="35"/>
  <c r="I125" i="29"/>
  <c r="I125" i="33"/>
  <c r="C26" i="10"/>
  <c r="I34" i="13"/>
  <c r="I34" i="35"/>
  <c r="I34" i="23"/>
  <c r="I34" i="29"/>
  <c r="I34" i="33"/>
  <c r="G31" i="10"/>
  <c r="D96" i="4"/>
  <c r="B24" i="10"/>
  <c r="C24" i="10"/>
  <c r="I117" i="13"/>
  <c r="I117" i="23"/>
  <c r="I117" i="35"/>
  <c r="I117" i="29"/>
  <c r="I117" i="33"/>
  <c r="C10" i="10"/>
  <c r="C20" i="10"/>
  <c r="D75" i="4"/>
  <c r="B14" i="10"/>
  <c r="E57" i="39"/>
  <c r="E57" i="16"/>
  <c r="L120" i="23"/>
  <c r="L67" i="23"/>
  <c r="H98" i="33"/>
  <c r="L22" i="35"/>
  <c r="L100" i="13"/>
  <c r="D53" i="39"/>
  <c r="L109" i="29"/>
  <c r="L7" i="29"/>
  <c r="L28" i="29"/>
  <c r="L117" i="23"/>
  <c r="H98" i="23"/>
  <c r="L10" i="20"/>
  <c r="K98" i="13"/>
  <c r="L29" i="13"/>
  <c r="G41" i="9"/>
  <c r="G62" i="9" s="1"/>
  <c r="B18" i="9"/>
  <c r="M17" i="8" s="1"/>
  <c r="G42" i="9"/>
  <c r="G66" i="9" s="1"/>
  <c r="B23" i="9"/>
  <c r="M22" i="8" s="1"/>
  <c r="N64" i="8"/>
  <c r="B26" i="9"/>
  <c r="M25" i="8" s="1"/>
  <c r="N32" i="8"/>
  <c r="G56" i="9"/>
  <c r="H26" i="9"/>
  <c r="N73" i="8" s="1"/>
  <c r="B25" i="9"/>
  <c r="M24" i="8" s="1"/>
  <c r="H25" i="9"/>
  <c r="N72" i="8" s="1"/>
  <c r="L22" i="20"/>
  <c r="L109" i="33"/>
  <c r="L99" i="33"/>
  <c r="H111" i="29"/>
  <c r="L10" i="23"/>
  <c r="L28" i="13"/>
  <c r="L89" i="35"/>
  <c r="D56" i="13"/>
  <c r="L35" i="35"/>
  <c r="L99" i="29"/>
  <c r="K119" i="33"/>
  <c r="L88" i="33"/>
  <c r="L79" i="33"/>
  <c r="L34" i="29"/>
  <c r="H66" i="33"/>
  <c r="L78" i="33"/>
  <c r="L67" i="13"/>
  <c r="H66" i="35"/>
  <c r="L109" i="13"/>
  <c r="L112" i="13"/>
  <c r="L35" i="13"/>
  <c r="L79" i="29"/>
  <c r="L86" i="29"/>
  <c r="L7" i="22"/>
  <c r="K66" i="33"/>
  <c r="L89" i="29"/>
  <c r="L12" i="23"/>
  <c r="H87" i="13"/>
  <c r="L120" i="13"/>
  <c r="L68" i="13"/>
  <c r="L7" i="25"/>
  <c r="L134" i="34"/>
  <c r="L108" i="29"/>
  <c r="L34" i="35"/>
  <c r="D53" i="25"/>
  <c r="L112" i="33"/>
  <c r="L29" i="33"/>
  <c r="L121" i="29"/>
  <c r="L29" i="29"/>
  <c r="H111" i="23"/>
  <c r="L86" i="35"/>
  <c r="L112" i="29"/>
  <c r="L68" i="29"/>
  <c r="L136" i="26"/>
  <c r="D47" i="25"/>
  <c r="L112" i="23"/>
  <c r="L113" i="13"/>
  <c r="L117" i="13"/>
  <c r="L68" i="35"/>
  <c r="L86" i="33"/>
  <c r="H119" i="29"/>
  <c r="L100" i="29"/>
  <c r="L34" i="33"/>
  <c r="L125" i="29"/>
  <c r="L29" i="35"/>
  <c r="L88" i="29"/>
  <c r="L78" i="29"/>
  <c r="L88" i="23"/>
  <c r="L125" i="23"/>
  <c r="L113" i="23"/>
  <c r="H111" i="33"/>
  <c r="L107" i="35"/>
  <c r="D47" i="51"/>
  <c r="L7" i="24"/>
  <c r="L29" i="23"/>
  <c r="L28" i="20"/>
  <c r="K119" i="35"/>
  <c r="L100" i="23"/>
  <c r="L79" i="23"/>
  <c r="L67" i="33"/>
  <c r="L22" i="33"/>
  <c r="L22" i="29"/>
  <c r="J77"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K111" i="35"/>
  <c r="J111" i="29"/>
  <c r="D111" i="29"/>
  <c r="J111" i="23"/>
  <c r="D111" i="23"/>
  <c r="J87" i="13"/>
  <c r="D87" i="13"/>
  <c r="J119" i="33"/>
  <c r="D119" i="33"/>
  <c r="D77" i="29"/>
  <c r="K77" i="29"/>
  <c r="J66" i="35"/>
  <c r="D77" i="13"/>
  <c r="K77" i="13"/>
  <c r="J66" i="29"/>
  <c r="J87" i="33"/>
  <c r="D87" i="33"/>
  <c r="D119" i="29"/>
  <c r="J119" i="29"/>
  <c r="D98" i="33"/>
  <c r="J98" i="33"/>
  <c r="J87" i="29"/>
  <c r="D87" i="29"/>
  <c r="J87" i="23"/>
  <c r="D87" i="23"/>
  <c r="K119" i="29"/>
  <c r="K111" i="23"/>
  <c r="D119" i="13"/>
  <c r="J119" i="13"/>
  <c r="D98" i="13"/>
  <c r="J98" i="13"/>
  <c r="D111" i="13"/>
  <c r="J111" i="13"/>
  <c r="J98" i="29"/>
  <c r="D98" i="29"/>
  <c r="J119" i="35"/>
  <c r="H66" i="29"/>
  <c r="D119" i="23"/>
  <c r="J119" i="23"/>
  <c r="J66" i="23"/>
  <c r="D66" i="23"/>
  <c r="D77" i="33"/>
  <c r="J77" i="33"/>
  <c r="L77" i="33" s="1"/>
  <c r="J77" i="23"/>
  <c r="D77" i="23"/>
  <c r="D66" i="29"/>
  <c r="K66" i="29"/>
  <c r="E48"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113" i="33"/>
  <c r="E99" i="29"/>
  <c r="E9" i="29"/>
  <c r="E48" i="34"/>
  <c r="E86" i="29"/>
  <c r="E117" i="29"/>
  <c r="E134" i="34"/>
  <c r="E68" i="29"/>
  <c r="E88" i="29"/>
  <c r="E108" i="29"/>
  <c r="E22" i="29"/>
  <c r="E10" i="29"/>
  <c r="E79" i="29"/>
  <c r="E135" i="34"/>
  <c r="E7" i="29"/>
  <c r="E89" i="29"/>
  <c r="E100" i="29"/>
  <c r="E107" i="29"/>
  <c r="E136" i="34"/>
  <c r="E8" i="29"/>
  <c r="E78" i="29"/>
  <c r="E67" i="29"/>
  <c r="E112" i="29"/>
  <c r="E109" i="29"/>
  <c r="E120" i="29"/>
  <c r="E113" i="29"/>
  <c r="E48" i="40"/>
  <c r="E57" i="40"/>
  <c r="E54" i="40"/>
  <c r="E9" i="51"/>
  <c r="E48" i="51"/>
  <c r="E22" i="51"/>
  <c r="E10" i="51"/>
  <c r="E7" i="51"/>
  <c r="E8" i="51"/>
  <c r="E9" i="25"/>
  <c r="E57" i="25"/>
  <c r="E48" i="25"/>
  <c r="E48" i="26"/>
  <c r="E137" i="26"/>
  <c r="E49" i="26"/>
  <c r="E54" i="25"/>
  <c r="E135" i="26"/>
  <c r="E7" i="25"/>
  <c r="E136" i="26"/>
  <c r="E134" i="26"/>
  <c r="E8" i="25"/>
  <c r="E99" i="23"/>
  <c r="E9" i="24"/>
  <c r="E86" i="23"/>
  <c r="E88" i="23"/>
  <c r="E108" i="23"/>
  <c r="E116" i="23"/>
  <c r="E22" i="23"/>
  <c r="E22" i="24"/>
  <c r="E10" i="24"/>
  <c r="E7" i="24"/>
  <c r="E107" i="23"/>
  <c r="E8" i="24"/>
  <c r="E78" i="23"/>
  <c r="E67" i="23"/>
  <c r="E112" i="23"/>
  <c r="E120" i="23"/>
  <c r="E9" i="22"/>
  <c r="E48" i="21"/>
  <c r="E48" i="22"/>
  <c r="E57" i="21"/>
  <c r="E57" i="22"/>
  <c r="E49" i="22"/>
  <c r="E54" i="21"/>
  <c r="E54" i="22"/>
  <c r="E7" i="22"/>
  <c r="E8" i="22"/>
  <c r="E22" i="20"/>
  <c r="E10" i="20"/>
  <c r="E7" i="19"/>
  <c r="E7" i="20"/>
  <c r="E9" i="19"/>
  <c r="E9" i="20"/>
  <c r="E48" i="19"/>
  <c r="E48" i="20"/>
  <c r="E8" i="19"/>
  <c r="E8" i="20"/>
  <c r="E99" i="13"/>
  <c r="E9" i="13"/>
  <c r="E48" i="13"/>
  <c r="E86" i="13"/>
  <c r="E88" i="13"/>
  <c r="E124" i="13"/>
  <c r="E37" i="13"/>
  <c r="E108" i="13"/>
  <c r="E116" i="13"/>
  <c r="E22" i="13"/>
  <c r="E10" i="13"/>
  <c r="E57" i="13"/>
  <c r="E11" i="13"/>
  <c r="E54" i="13"/>
  <c r="E7" i="13"/>
  <c r="E89" i="13"/>
  <c r="E100" i="13"/>
  <c r="E107" i="13"/>
  <c r="E12" i="13"/>
  <c r="E36" i="13"/>
  <c r="E8" i="13"/>
  <c r="E78" i="13"/>
  <c r="E67" i="13"/>
  <c r="E112" i="13"/>
  <c r="E109" i="13"/>
  <c r="E120" i="13"/>
  <c r="D116" i="4"/>
  <c r="D108" i="4"/>
  <c r="D117"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F32" i="10" l="1"/>
  <c r="G111" i="4"/>
  <c r="F43" i="10"/>
  <c r="G119" i="4"/>
  <c r="C34" i="9"/>
  <c r="E24" i="9" s="1"/>
  <c r="H34" i="9"/>
  <c r="M10" i="8"/>
  <c r="B34" i="9"/>
  <c r="G34" i="9"/>
  <c r="M32" i="8"/>
  <c r="G55" i="9"/>
  <c r="G76" i="9" s="1"/>
  <c r="E47" i="78"/>
  <c r="I14" i="9"/>
  <c r="H55" i="9"/>
  <c r="N9" i="8"/>
  <c r="E56" i="76"/>
  <c r="E47" i="76"/>
  <c r="E47" i="77"/>
  <c r="E53" i="76"/>
  <c r="E53" i="77"/>
  <c r="B55" i="9"/>
  <c r="L98" i="33"/>
  <c r="C55" i="9"/>
  <c r="N13" i="8"/>
  <c r="D14"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L66" i="35"/>
  <c r="E98" i="29"/>
  <c r="E98" i="33"/>
  <c r="L119" i="33"/>
  <c r="L98" i="13"/>
  <c r="L66" i="33"/>
  <c r="L87" i="35"/>
  <c r="L66" i="23"/>
  <c r="L66" i="13"/>
  <c r="E66" i="23"/>
  <c r="E66" i="13"/>
  <c r="E66" i="29"/>
  <c r="E66" i="33"/>
  <c r="L111" i="33"/>
  <c r="D87" i="4"/>
  <c r="E98" i="23"/>
  <c r="E87" i="29"/>
  <c r="C43" i="10"/>
  <c r="I119" i="13"/>
  <c r="I119" i="23"/>
  <c r="I119" i="29"/>
  <c r="I119" i="35"/>
  <c r="I119" i="33"/>
  <c r="G43" i="10"/>
  <c r="F22" i="10"/>
  <c r="I98" i="13"/>
  <c r="I98" i="23"/>
  <c r="I98" i="29"/>
  <c r="I98" i="33"/>
  <c r="D66" i="4"/>
  <c r="B12" i="10"/>
  <c r="I66" i="13"/>
  <c r="I66" i="29"/>
  <c r="I66" i="35"/>
  <c r="I66" i="33"/>
  <c r="G12" i="10"/>
  <c r="I66" i="23"/>
  <c r="G66" i="4"/>
  <c r="F12" i="10"/>
  <c r="E53" i="39"/>
  <c r="C38" i="10"/>
  <c r="E53" i="16"/>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77" i="29"/>
  <c r="E111" i="29"/>
  <c r="E53" i="40"/>
  <c r="E56" i="40"/>
  <c r="E47" i="40"/>
  <c r="E47" i="51"/>
  <c r="E53" i="25"/>
  <c r="E47" i="25"/>
  <c r="E56" i="25"/>
  <c r="E119" i="23"/>
  <c r="E77" i="23"/>
  <c r="E111" i="23"/>
  <c r="E56" i="21"/>
  <c r="E56" i="22"/>
  <c r="E47" i="21"/>
  <c r="E47" i="22"/>
  <c r="E53" i="21"/>
  <c r="E53" i="22"/>
  <c r="E47" i="19"/>
  <c r="E47" i="20"/>
  <c r="E53" i="13"/>
  <c r="E77" i="13"/>
  <c r="E56" i="13"/>
  <c r="E111" i="13"/>
  <c r="E47" i="13"/>
  <c r="E119" i="13"/>
  <c r="D111" i="4"/>
  <c r="D77" i="4"/>
  <c r="D119" i="4"/>
  <c r="D53" i="4"/>
  <c r="D56" i="4"/>
  <c r="D47" i="4"/>
  <c r="J26" i="9" l="1"/>
  <c r="J18" i="9"/>
  <c r="J33" i="9"/>
  <c r="J25" i="9"/>
  <c r="J15" i="9"/>
  <c r="J22" i="9"/>
  <c r="J14" i="9"/>
  <c r="J11" i="9"/>
  <c r="J29" i="9"/>
  <c r="J21" i="9"/>
  <c r="J19" i="9"/>
  <c r="J28" i="9"/>
  <c r="I55" i="9"/>
  <c r="D55" i="9"/>
  <c r="C60" i="10"/>
  <c r="H107" i="4"/>
  <c r="H114" i="4"/>
  <c r="H116" i="4"/>
  <c r="H28" i="4"/>
  <c r="H98" i="4" l="1"/>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8" i="79" l="1"/>
  <c r="M9" i="79"/>
  <c r="M9" i="72"/>
  <c r="M8" i="74"/>
  <c r="J23" i="4"/>
  <c r="J24" i="4"/>
  <c r="J110" i="4"/>
  <c r="M67" i="37"/>
  <c r="M67" i="18"/>
  <c r="M107" i="37"/>
  <c r="M32" i="37"/>
  <c r="M32" i="18"/>
  <c r="M79" i="37"/>
  <c r="M79" i="18"/>
  <c r="M124" i="37"/>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77" i="18"/>
  <c r="M120" i="37"/>
  <c r="M120" i="18"/>
  <c r="J114" i="4"/>
  <c r="M98" i="37"/>
  <c r="M97" i="37"/>
  <c r="M97" i="13"/>
  <c r="M97" i="29"/>
  <c r="M97" i="33"/>
  <c r="M77" i="37"/>
  <c r="M76" i="37"/>
  <c r="M76" i="33"/>
  <c r="M76" i="29"/>
  <c r="M76" i="13"/>
  <c r="M24" i="13"/>
  <c r="M24" i="24"/>
  <c r="M24" i="33"/>
  <c r="M24" i="29"/>
  <c r="M88" i="13"/>
  <c r="M88" i="29"/>
  <c r="M88" i="23"/>
  <c r="M88" i="33"/>
  <c r="J28" i="4"/>
  <c r="M28" i="20"/>
  <c r="M28" i="25"/>
  <c r="M28" i="23"/>
  <c r="M28" i="24"/>
  <c r="M28" i="51"/>
  <c r="M28" i="29"/>
  <c r="M28" i="16"/>
  <c r="M28" i="13"/>
  <c r="M121" i="23"/>
  <c r="M121" i="13"/>
  <c r="M121" i="29"/>
  <c r="M121" i="33"/>
  <c r="M121" i="35"/>
  <c r="M125" i="23"/>
  <c r="M125" i="13"/>
  <c r="M125" i="29"/>
  <c r="M125" i="33"/>
  <c r="M125" i="35"/>
  <c r="M124" i="13"/>
  <c r="M114" i="33"/>
  <c r="M31" i="23"/>
  <c r="M31" i="13"/>
  <c r="M31" i="24"/>
  <c r="M31" i="35"/>
  <c r="M31" i="29"/>
  <c r="M31" i="33"/>
  <c r="M78" i="23"/>
  <c r="M78" i="13"/>
  <c r="M78" i="29"/>
  <c r="M78" i="33"/>
  <c r="M113" i="23"/>
  <c r="M113" i="13"/>
  <c r="M113" i="29"/>
  <c r="M113" i="33"/>
  <c r="M113" i="35"/>
  <c r="J116" i="4"/>
  <c r="M116" i="13"/>
  <c r="M116" i="23"/>
  <c r="M116" i="33"/>
  <c r="M117" i="23"/>
  <c r="M117" i="13"/>
  <c r="M117" i="29"/>
  <c r="M117" i="33"/>
  <c r="M117" i="35"/>
  <c r="M23" i="20"/>
  <c r="M23" i="13"/>
  <c r="M23" i="35"/>
  <c r="M23" i="29"/>
  <c r="M23" i="33"/>
  <c r="M32" i="13"/>
  <c r="M32" i="33"/>
  <c r="M32" i="23"/>
  <c r="M32" i="29"/>
  <c r="M79" i="13"/>
  <c r="M79" i="23"/>
  <c r="M79" i="33"/>
  <c r="M79" i="29"/>
  <c r="M8" i="20"/>
  <c r="M8" i="13"/>
  <c r="M8" i="22"/>
  <c r="M8" i="24"/>
  <c r="M8" i="51"/>
  <c r="M8" i="25"/>
  <c r="M8" i="29"/>
  <c r="M8" i="33"/>
  <c r="M8" i="19"/>
  <c r="M8" i="16"/>
  <c r="M30" i="20"/>
  <c r="M30" i="13"/>
  <c r="M30" i="23"/>
  <c r="M30" i="33"/>
  <c r="M30" i="29"/>
  <c r="M30" i="35"/>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24"/>
  <c r="M9" i="33"/>
  <c r="M86" i="23"/>
  <c r="M86" i="35"/>
  <c r="M86" i="29"/>
  <c r="M86" i="13"/>
  <c r="M86" i="33"/>
  <c r="J107" i="4"/>
  <c r="M107" i="23"/>
  <c r="M107" i="13"/>
  <c r="M107" i="35"/>
  <c r="M107" i="29"/>
  <c r="M107" i="33"/>
  <c r="M98" i="13"/>
  <c r="M98" i="23"/>
  <c r="M98" i="29"/>
  <c r="M98" i="33"/>
  <c r="M77" i="13"/>
  <c r="M77" i="23"/>
  <c r="M77" i="29"/>
  <c r="M77" i="33"/>
  <c r="M67" i="13"/>
  <c r="M67" i="23"/>
  <c r="M67" i="29"/>
  <c r="M67" i="33"/>
  <c r="M109" i="13"/>
  <c r="M109" i="23"/>
  <c r="M109" i="29"/>
  <c r="M109" i="35"/>
  <c r="M109" i="33"/>
  <c r="M112" i="13"/>
  <c r="M112" i="23"/>
  <c r="M112" i="33"/>
  <c r="M112" i="29"/>
  <c r="J108" i="4"/>
  <c r="M42" i="8"/>
  <c r="D42" i="9"/>
  <c r="H67" i="9"/>
  <c r="B69" i="9"/>
  <c r="M43" i="8"/>
  <c r="D43" i="9"/>
  <c r="M39" i="8"/>
  <c r="C56" i="9"/>
  <c r="N45" i="8"/>
  <c r="B73" i="9"/>
  <c r="D31" i="9"/>
  <c r="D16" i="9"/>
  <c r="B57" i="9"/>
  <c r="D23" i="9"/>
  <c r="B64" i="9"/>
  <c r="M37" i="8"/>
  <c r="B46" i="9"/>
  <c r="D37" i="9"/>
  <c r="I25" i="9"/>
  <c r="C51" i="9"/>
  <c r="B72" i="9"/>
  <c r="D30" i="9"/>
  <c r="M86" i="8"/>
  <c r="I21" i="9"/>
  <c r="N42" i="8"/>
  <c r="C53" i="9"/>
  <c r="C64" i="9"/>
  <c r="B62" i="9"/>
  <c r="D21" i="9"/>
  <c r="N41" i="8"/>
  <c r="N40" i="8"/>
  <c r="C71" i="9"/>
  <c r="H56" i="9"/>
  <c r="N44" i="8"/>
  <c r="M45" i="8"/>
  <c r="D45" i="9"/>
  <c r="B71" i="9"/>
  <c r="I33" i="9"/>
  <c r="C52" i="9"/>
  <c r="M85" i="8"/>
  <c r="I38" i="9"/>
  <c r="D44" i="9"/>
  <c r="M44" i="8"/>
  <c r="I22" i="9"/>
  <c r="D15" i="9"/>
  <c r="B56" i="9"/>
  <c r="N86" i="8"/>
  <c r="B67" i="9"/>
  <c r="D26" i="9"/>
  <c r="C62" i="9"/>
  <c r="D33" i="9"/>
  <c r="D11" i="9"/>
  <c r="B52" i="9"/>
  <c r="M87" i="8"/>
  <c r="I40" i="9"/>
  <c r="H60" i="9"/>
  <c r="I28" i="9"/>
  <c r="H70" i="9"/>
  <c r="H71" i="9"/>
  <c r="N92" i="8"/>
  <c r="B51" i="9"/>
  <c r="D10" i="9"/>
  <c r="N43" i="8"/>
  <c r="C69" i="9"/>
  <c r="H66" i="9"/>
  <c r="N87" i="8"/>
  <c r="H52" i="9"/>
  <c r="C58" i="9"/>
  <c r="I42" i="9"/>
  <c r="M89" i="8"/>
  <c r="B60" i="9"/>
  <c r="D19" i="9"/>
  <c r="N89" i="8"/>
  <c r="C73" i="9"/>
  <c r="I43" i="9"/>
  <c r="M90" i="8"/>
  <c r="C70" i="9"/>
  <c r="D22" i="9"/>
  <c r="B63" i="9"/>
  <c r="C59" i="9"/>
  <c r="N91" i="8"/>
  <c r="C46" i="9"/>
  <c r="N37" i="8"/>
  <c r="M41" i="8"/>
  <c r="D41" i="9"/>
  <c r="I26" i="9"/>
  <c r="N39" i="8"/>
  <c r="B66" i="9"/>
  <c r="D25" i="9"/>
  <c r="D38" i="9"/>
  <c r="M38" i="8"/>
  <c r="N88" i="8"/>
  <c r="D29" i="9"/>
  <c r="H46" i="9"/>
  <c r="N84" i="8"/>
  <c r="C67" i="9"/>
  <c r="N38" i="8"/>
  <c r="B59" i="9"/>
  <c r="D18" i="9"/>
  <c r="C63" i="9"/>
  <c r="N85" i="8"/>
  <c r="C72" i="9"/>
  <c r="I41" i="9"/>
  <c r="M88" i="8"/>
  <c r="D12" i="9"/>
  <c r="B53" i="9"/>
  <c r="C57" i="9"/>
  <c r="I37" i="9"/>
  <c r="G46" i="9"/>
  <c r="F27" i="10" s="1"/>
  <c r="M84" i="8"/>
  <c r="C60" i="9"/>
  <c r="H69" i="9"/>
  <c r="N90" i="8"/>
  <c r="D28" i="9"/>
  <c r="B70" i="9"/>
  <c r="H59" i="9"/>
  <c r="M91" i="8"/>
  <c r="I44" i="9"/>
  <c r="H63" i="9"/>
  <c r="D20" i="9"/>
  <c r="B61" i="9"/>
  <c r="C61" i="9"/>
  <c r="M92" i="8"/>
  <c r="I45" i="9"/>
  <c r="M40" i="8"/>
  <c r="D40" i="9"/>
  <c r="D27" i="9"/>
  <c r="B58" i="9"/>
  <c r="D17" i="9"/>
  <c r="I15" i="9"/>
  <c r="I29" i="9"/>
  <c r="I18" i="9"/>
  <c r="C66" i="9"/>
  <c r="I1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I119" i="4"/>
  <c r="F35" i="10"/>
  <c r="F52" i="10"/>
  <c r="H30" i="10"/>
  <c r="I135" i="4"/>
  <c r="I29" i="4"/>
  <c r="H31" i="10"/>
  <c r="F53" i="10"/>
  <c r="I89" i="4"/>
  <c r="J32" i="10"/>
  <c r="D32" i="10"/>
  <c r="B54" i="10"/>
  <c r="I66" i="4"/>
  <c r="J20" i="10"/>
  <c r="D20" i="10"/>
  <c r="B56"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1" i="9"/>
  <c r="B76" i="9" l="1"/>
  <c r="H76" i="9"/>
  <c r="M10" i="79"/>
  <c r="M7" i="79"/>
  <c r="B17" i="10"/>
  <c r="N19" i="9"/>
  <c r="M29" i="9"/>
  <c r="L17" i="9"/>
  <c r="M38" i="9"/>
  <c r="N37" i="9"/>
  <c r="M7" i="72" l="1"/>
  <c r="M7" i="74"/>
  <c r="J41" i="9"/>
  <c r="E37" i="9"/>
  <c r="M10" i="9"/>
  <c r="L45" i="9"/>
  <c r="O44" i="9"/>
  <c r="N38" i="9"/>
  <c r="M44" i="9"/>
  <c r="N32" i="9"/>
  <c r="M22" i="9"/>
  <c r="L43" i="9"/>
  <c r="L28" i="9"/>
  <c r="N23" i="9"/>
  <c r="N17" i="9"/>
  <c r="L22" i="9"/>
  <c r="L39" i="9"/>
  <c r="M18" i="9"/>
  <c r="N29" i="9"/>
  <c r="L37" i="9"/>
  <c r="L16" i="9"/>
  <c r="M12" i="9"/>
  <c r="O43" i="9"/>
  <c r="O26" i="9"/>
  <c r="M20" i="9"/>
  <c r="L12" i="9"/>
  <c r="L11" i="9"/>
  <c r="M17" i="9"/>
  <c r="L23" i="9"/>
  <c r="L40" i="9"/>
  <c r="M28" i="9"/>
  <c r="O23" i="9"/>
  <c r="M42" i="9"/>
  <c r="O30" i="9"/>
  <c r="O29" i="9"/>
  <c r="N27" i="9"/>
  <c r="N16" i="9"/>
  <c r="L26" i="9"/>
  <c r="M16" i="9"/>
  <c r="N45" i="9"/>
  <c r="L27" i="9"/>
  <c r="M40" i="9"/>
  <c r="N30" i="9"/>
  <c r="O32" i="9"/>
  <c r="O31" i="9"/>
  <c r="M14" i="9"/>
  <c r="O22" i="9"/>
  <c r="M26" i="9"/>
  <c r="N14" i="9"/>
  <c r="L44" i="9"/>
  <c r="N25" i="9"/>
  <c r="O42" i="9"/>
  <c r="N42" i="9"/>
  <c r="N21" i="9"/>
  <c r="L30" i="9"/>
  <c r="M39" i="9"/>
  <c r="L42" i="9"/>
  <c r="O11" i="9"/>
  <c r="M25" i="9"/>
  <c r="L31" i="9"/>
  <c r="M19" i="9"/>
  <c r="O37" i="9"/>
  <c r="N20" i="9"/>
  <c r="M27" i="9"/>
  <c r="O19" i="9"/>
  <c r="O20" i="9"/>
  <c r="N43" i="9"/>
  <c r="O40" i="9"/>
  <c r="L20" i="9"/>
  <c r="L10" i="9"/>
  <c r="M43" i="9"/>
  <c r="L14" i="9"/>
  <c r="L25" i="9"/>
  <c r="O45" i="9"/>
  <c r="L18" i="9"/>
  <c r="N40" i="9"/>
  <c r="O14" i="9"/>
  <c r="N26" i="9"/>
  <c r="O39" i="9"/>
  <c r="L38" i="9"/>
  <c r="N39" i="9"/>
  <c r="M45" i="9"/>
  <c r="M32" i="9"/>
  <c r="M23" i="9"/>
  <c r="N33" i="9"/>
  <c r="M30" i="9"/>
  <c r="O17" i="9"/>
  <c r="N31" i="9"/>
  <c r="L29" i="9"/>
  <c r="M31" i="9"/>
  <c r="N44" i="9"/>
  <c r="N12" i="9"/>
  <c r="O28" i="9"/>
  <c r="O16" i="9"/>
  <c r="O38" i="9"/>
  <c r="O21" i="9"/>
  <c r="M37" i="9"/>
  <c r="O27" i="9"/>
  <c r="M33" i="9"/>
  <c r="N18" i="9"/>
  <c r="N41" i="9"/>
  <c r="L33" i="9"/>
  <c r="O10" i="9"/>
  <c r="M11" i="9"/>
  <c r="M21" i="9"/>
  <c r="N22" i="9"/>
  <c r="O25" i="9"/>
  <c r="M41" i="9"/>
  <c r="O12" i="9"/>
  <c r="N10" i="9"/>
  <c r="N28" i="9"/>
  <c r="O41" i="9"/>
  <c r="O33" i="9"/>
  <c r="O18" i="9"/>
  <c r="N11" i="9"/>
  <c r="L21" i="9"/>
  <c r="J25" i="4" l="1"/>
  <c r="M35" i="37"/>
  <c r="M35" i="18"/>
  <c r="M22" i="37"/>
  <c r="M22" i="18"/>
  <c r="M29" i="37"/>
  <c r="M29" i="18"/>
  <c r="M135" i="37"/>
  <c r="M37" i="37"/>
  <c r="M1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2" i="9"/>
  <c r="M46" i="9"/>
  <c r="M71" i="9"/>
  <c r="O70" i="9"/>
  <c r="L57" i="9"/>
  <c r="M52" i="9"/>
  <c r="M59" i="9"/>
  <c r="O59" i="9"/>
  <c r="N63" i="9"/>
  <c r="O73" i="9"/>
  <c r="O58" i="9"/>
  <c r="M63" i="9"/>
  <c r="N59" i="9"/>
  <c r="N56" i="9"/>
  <c r="O72" i="9"/>
  <c r="M70" i="9"/>
  <c r="L67" i="9"/>
  <c r="L61" i="9"/>
  <c r="L66" i="9"/>
  <c r="M75" i="9"/>
  <c r="L72" i="9"/>
  <c r="M50" i="9"/>
  <c r="M34" i="9"/>
  <c r="O57" i="9"/>
  <c r="L46" i="9"/>
  <c r="L56" i="9"/>
  <c r="O69" i="9"/>
  <c r="L51" i="9"/>
  <c r="M73" i="9"/>
  <c r="N50" i="9"/>
  <c r="N34" i="9"/>
  <c r="M64" i="9"/>
  <c r="O46" i="9"/>
  <c r="N58" i="9"/>
  <c r="O52" i="9"/>
  <c r="O51" i="9"/>
  <c r="L63" i="9"/>
  <c r="N69" i="9"/>
  <c r="N73" i="9"/>
  <c r="M66" i="9"/>
  <c r="O66" i="9"/>
  <c r="N71" i="9"/>
  <c r="O62" i="9"/>
  <c r="L64" i="9"/>
  <c r="L71" i="9"/>
  <c r="L60" i="9"/>
  <c r="N67" i="9"/>
  <c r="N57" i="9"/>
  <c r="L69" i="9"/>
  <c r="O63" i="9"/>
  <c r="O75" i="9"/>
  <c r="O71" i="9"/>
  <c r="L62" i="9"/>
  <c r="O67" i="9"/>
  <c r="N52" i="9"/>
  <c r="L75" i="9"/>
  <c r="N51" i="9"/>
  <c r="M72" i="9"/>
  <c r="N66" i="9"/>
  <c r="M57" i="9"/>
  <c r="M69" i="9"/>
  <c r="O50" i="9"/>
  <c r="O34" i="9"/>
  <c r="M61" i="9"/>
  <c r="M62" i="9"/>
  <c r="M51" i="9"/>
  <c r="N72" i="9"/>
  <c r="N53" i="9"/>
  <c r="O60" i="9"/>
  <c r="M60" i="9"/>
  <c r="L70" i="9"/>
  <c r="M56" i="9"/>
  <c r="M58" i="9"/>
  <c r="N46" i="9"/>
  <c r="N64" i="9"/>
  <c r="N60" i="9"/>
  <c r="M53" i="9"/>
  <c r="N75" i="9"/>
  <c r="N62" i="9"/>
  <c r="L34" i="9"/>
  <c r="L50" i="9"/>
  <c r="M67" i="9"/>
  <c r="L58" i="9"/>
  <c r="O61" i="9"/>
  <c r="O56" i="9"/>
  <c r="O53" i="9"/>
  <c r="N70" i="9"/>
  <c r="O64" i="9"/>
  <c r="L53" i="9"/>
  <c r="L42" i="10"/>
  <c r="J11" i="4"/>
  <c r="M11" i="13"/>
  <c r="M11" i="33"/>
  <c r="M11" i="23"/>
  <c r="M11" i="29"/>
  <c r="M11" i="35"/>
  <c r="J10" i="4"/>
  <c r="M10" i="20"/>
  <c r="M10" i="23"/>
  <c r="M10" i="13"/>
  <c r="M10" i="24"/>
  <c r="M10" i="35"/>
  <c r="M10" i="51"/>
  <c r="M10" i="16"/>
  <c r="M10" i="29"/>
  <c r="M10" i="33"/>
  <c r="M68" i="13"/>
  <c r="M68" i="23"/>
  <c r="M68" i="29"/>
  <c r="M68" i="35"/>
  <c r="M68" i="33"/>
  <c r="M136" i="26"/>
  <c r="M136" i="34"/>
  <c r="M119" i="23"/>
  <c r="M119" i="13"/>
  <c r="M119" i="35"/>
  <c r="M119" i="29"/>
  <c r="M119" i="33"/>
  <c r="M111" i="23"/>
  <c r="M111" i="35"/>
  <c r="M111" i="29"/>
  <c r="M111" i="13"/>
  <c r="M111" i="33"/>
  <c r="J7" i="4"/>
  <c r="M7" i="19"/>
  <c r="M7" i="13"/>
  <c r="M7" i="23"/>
  <c r="M7" i="22"/>
  <c r="M7" i="25"/>
  <c r="M7" i="20"/>
  <c r="M7" i="24"/>
  <c r="M7" i="29"/>
  <c r="M7" i="16"/>
  <c r="M7" i="51"/>
  <c r="M7" i="35"/>
  <c r="M7" i="33"/>
  <c r="J22" i="4"/>
  <c r="M22" i="20"/>
  <c r="M22" i="13"/>
  <c r="M22" i="24"/>
  <c r="M22" i="51"/>
  <c r="M22" i="23"/>
  <c r="M22" i="29"/>
  <c r="M22" i="35"/>
  <c r="M22" i="33"/>
  <c r="M22" i="16"/>
  <c r="M29" i="23"/>
  <c r="M29" i="13"/>
  <c r="M29" i="29"/>
  <c r="M29" i="51"/>
  <c r="M29" i="35"/>
  <c r="M29" i="24"/>
  <c r="M29" i="16"/>
  <c r="M29" i="20"/>
  <c r="M29" i="33"/>
  <c r="M137" i="26"/>
  <c r="M87" i="13"/>
  <c r="M87" i="23"/>
  <c r="M87" i="33"/>
  <c r="M87" i="29"/>
  <c r="M87" i="35"/>
  <c r="J10" i="9"/>
  <c r="J34" i="9" s="1"/>
  <c r="M35" i="13"/>
  <c r="M35" i="23"/>
  <c r="M35" i="29"/>
  <c r="M35" i="35"/>
  <c r="M35" i="33"/>
  <c r="M39" i="13"/>
  <c r="M34" i="13"/>
  <c r="M34" i="23"/>
  <c r="M34" i="29"/>
  <c r="M34" i="35"/>
  <c r="M34" i="33"/>
  <c r="M66" i="13"/>
  <c r="M66" i="35"/>
  <c r="M66" i="33"/>
  <c r="M66" i="23"/>
  <c r="M66" i="29"/>
  <c r="M89" i="13"/>
  <c r="M89" i="23"/>
  <c r="M89" i="29"/>
  <c r="M89" i="35"/>
  <c r="M89" i="33"/>
  <c r="M96" i="33"/>
  <c r="M75" i="33"/>
  <c r="J37" i="4"/>
  <c r="M37" i="13"/>
  <c r="I71" i="9"/>
  <c r="M134" i="26"/>
  <c r="M134" i="34"/>
  <c r="M12" i="13"/>
  <c r="M12" i="23"/>
  <c r="M12" i="29"/>
  <c r="M12" i="35"/>
  <c r="M12" i="33"/>
  <c r="J36" i="4"/>
  <c r="M36" i="13"/>
  <c r="L21" i="10"/>
  <c r="H53" i="10"/>
  <c r="M135" i="26"/>
  <c r="M135" i="34"/>
  <c r="M25" i="13"/>
  <c r="M25" i="29"/>
  <c r="M25" i="33"/>
  <c r="L31" i="10"/>
  <c r="L22" i="10"/>
  <c r="L12" i="10"/>
  <c r="L10" i="10"/>
  <c r="I69" i="9"/>
  <c r="I66" i="9"/>
  <c r="I75" i="9"/>
  <c r="I59" i="9"/>
  <c r="I56" i="9"/>
  <c r="I34" i="9"/>
  <c r="I51" i="9"/>
  <c r="D69" i="9"/>
  <c r="D46" i="9"/>
  <c r="D51" i="9"/>
  <c r="G17" i="10"/>
  <c r="E40" i="9"/>
  <c r="E43" i="9"/>
  <c r="E38" i="9"/>
  <c r="E45" i="9"/>
  <c r="E44" i="9"/>
  <c r="E42" i="9"/>
  <c r="F17" i="10"/>
  <c r="J17" i="10" s="1"/>
  <c r="E41" i="9"/>
  <c r="B27" i="10"/>
  <c r="J27" i="10" s="1"/>
  <c r="J37" i="9"/>
  <c r="J42" i="9"/>
  <c r="G27" i="10"/>
  <c r="H27" i="10" s="1"/>
  <c r="J55" i="9"/>
  <c r="C27" i="10"/>
  <c r="J43" i="9"/>
  <c r="J44" i="9"/>
  <c r="J38" i="9"/>
  <c r="I46" i="9"/>
  <c r="J40" i="9"/>
  <c r="J45" i="9"/>
  <c r="J119" i="4"/>
  <c r="J137" i="4"/>
  <c r="J135" i="4"/>
  <c r="J111" i="4"/>
  <c r="J12" i="4"/>
  <c r="J66" i="4"/>
  <c r="J35" i="4"/>
  <c r="J134" i="4"/>
  <c r="J34" i="4"/>
  <c r="J136" i="4"/>
  <c r="J68" i="4"/>
  <c r="J89"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2" i="9"/>
  <c r="L19" i="9"/>
  <c r="N61" i="9" l="1"/>
  <c r="L59" i="9"/>
  <c r="L73" i="9"/>
  <c r="L55" i="10"/>
  <c r="M76" i="9"/>
  <c r="O76" i="9"/>
  <c r="L76" i="9"/>
  <c r="N76" i="9"/>
  <c r="L53" i="10"/>
  <c r="J46" i="9"/>
  <c r="I76" i="9"/>
  <c r="E46" i="9"/>
  <c r="H17" i="10"/>
  <c r="J59" i="9"/>
  <c r="D27" i="10"/>
  <c r="K27" i="10"/>
  <c r="L27" i="10" s="1"/>
  <c r="J69" i="9"/>
  <c r="J62" i="9"/>
  <c r="I62" i="9" s="1"/>
  <c r="J52" i="9"/>
  <c r="I52" i="9" s="1"/>
  <c r="J60" i="9"/>
  <c r="I60" i="9" s="1"/>
  <c r="J66" i="9"/>
  <c r="J67" i="9"/>
  <c r="I67" i="9" s="1"/>
  <c r="J56" i="9"/>
  <c r="J75" i="9"/>
  <c r="J51" i="9"/>
  <c r="J63" i="9"/>
  <c r="I63" i="9" s="1"/>
  <c r="J70" i="9"/>
  <c r="I70" i="9" s="1"/>
  <c r="J71" i="9"/>
  <c r="K57" i="10"/>
  <c r="H57" i="10"/>
  <c r="L46" i="10"/>
  <c r="L35" i="10"/>
  <c r="L54" i="10"/>
  <c r="J57" i="10"/>
  <c r="D57" i="10"/>
  <c r="L52" i="10"/>
  <c r="J76" i="9" l="1"/>
  <c r="L57" i="10"/>
  <c r="D32" i="9" l="1"/>
  <c r="N31" i="8" l="1"/>
  <c r="C74" i="9"/>
  <c r="D74" i="9" l="1"/>
  <c r="C76" i="9"/>
  <c r="E9" i="9"/>
  <c r="E13" i="9"/>
  <c r="E27" i="9"/>
  <c r="D34" i="9"/>
  <c r="E25" i="9"/>
  <c r="E19" i="9"/>
  <c r="E15" i="9"/>
  <c r="E33" i="9"/>
  <c r="E22" i="9"/>
  <c r="E30" i="9"/>
  <c r="E16" i="9"/>
  <c r="E11" i="9"/>
  <c r="E10" i="9"/>
  <c r="E26" i="9"/>
  <c r="E14" i="9"/>
  <c r="C17" i="10"/>
  <c r="K17" i="10" s="1"/>
  <c r="L17" i="10" s="1"/>
  <c r="E28" i="9"/>
  <c r="E32" i="9"/>
  <c r="E20" i="9"/>
  <c r="E23" i="9"/>
  <c r="E18" i="9"/>
  <c r="E12" i="9"/>
  <c r="E29" i="9"/>
  <c r="E31" i="9"/>
  <c r="E17" i="9"/>
  <c r="E21" i="9"/>
  <c r="E74" i="9"/>
  <c r="E34" i="9" l="1"/>
  <c r="E54" i="9"/>
  <c r="E65" i="9"/>
  <c r="D76" i="9"/>
  <c r="E50" i="9"/>
  <c r="D17" i="10"/>
  <c r="E55" i="9"/>
  <c r="E64" i="9"/>
  <c r="D64" i="9" s="1"/>
  <c r="E75" i="9"/>
  <c r="D75" i="9" s="1"/>
  <c r="E60" i="9"/>
  <c r="D60" i="9" s="1"/>
  <c r="E67" i="9"/>
  <c r="D67" i="9" s="1"/>
  <c r="E70" i="9"/>
  <c r="D70" i="9" s="1"/>
  <c r="E58" i="9"/>
  <c r="D58" i="9" s="1"/>
  <c r="E62" i="9"/>
  <c r="D62" i="9" s="1"/>
  <c r="E53" i="9"/>
  <c r="D53" i="9" s="1"/>
  <c r="E63" i="9"/>
  <c r="D63" i="9" s="1"/>
  <c r="E52" i="9"/>
  <c r="D52" i="9" s="1"/>
  <c r="E59" i="9"/>
  <c r="D59" i="9" s="1"/>
  <c r="E51" i="9"/>
  <c r="E71" i="9"/>
  <c r="D71" i="9" s="1"/>
  <c r="E68" i="9"/>
  <c r="E56" i="9"/>
  <c r="D56" i="9" s="1"/>
  <c r="E73" i="9"/>
  <c r="D73" i="9" s="1"/>
  <c r="E61" i="9"/>
  <c r="D61" i="9" s="1"/>
  <c r="E72" i="9"/>
  <c r="D72" i="9" s="1"/>
  <c r="E57" i="9"/>
  <c r="D57" i="9" s="1"/>
  <c r="E66" i="9"/>
  <c r="D66" i="9" s="1"/>
  <c r="E69" i="9"/>
  <c r="E76"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7"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<sst xmlns="http://schemas.openxmlformats.org/spreadsheetml/2006/main" count="6095" uniqueCount="439">
  <si>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</si>
  <si>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</si>
  <si>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</si>
  <si>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</si>
  <si>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</si>
  <si>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</si>
  <si>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</si>
  <si>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</si>
  <si>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</si>
  <si>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</si>
  <si>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</si>
  <si>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</si>
  <si>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</si>
  <si>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</si>
  <si>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</si>
  <si>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</si>
  <si>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</si>
  <si>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</si>
  <si>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</si>
  <si>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</si>
  <si>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</si>
  <si>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</si>
  <si>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</si>
  <si>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</si>
  <si>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</si>
  <si>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</si>
  <si>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</si>
  <si>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</si>
  <si>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</si>
  <si>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</si>
  <si>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</si>
  <si>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</si>
  <si>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</si>
  <si>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</si>
  <si>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</si>
  <si>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</si>
  <si>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</si>
  <si>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</si>
  <si>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</si>
  <si>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</si>
  <si>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</si>
  <si>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</si>
  <si>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</si>
  <si>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</si>
  <si>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</si>
  <si>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</si>
  <si>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</si>
  <si>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</si>
  <si>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</si>
  <si>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</si>
  <si>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</si>
  <si>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</si>
  <si>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</si>
  <si>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</si>
  <si>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</si>
  <si>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</si>
  <si>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</si>
  <si>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</si>
  <si>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</si>
  <si>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</si>
  <si>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</si>
  <si>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</si>
  <si>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</si>
  <si>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</si>
  <si>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</si>
  <si>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</si>
  <si>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</si>
  <si>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</si>
  <si>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</si>
  <si>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</si>
  <si>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</si>
  <si>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</si>
  <si>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</si>
  <si>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</si>
  <si>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</si>
  <si>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</si>
  <si>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</si>
  <si>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</si>
  <si>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</si>
  <si>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</si>
  <si>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</si>
  <si>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</si>
  <si>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</si>
  <si>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</si>
  <si>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</si>
  <si>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</si>
  <si>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</si>
  <si>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</si>
  <si>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</si>
  <si>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</si>
  <si>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</si>
  <si>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</si>
  <si>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</si>
  <si>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</si>
  <si>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</si>
  <si>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</si>
  <si>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</si>
  <si>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</si>
  <si>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</si>
  <si>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</si>
  <si>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</si>
  <si>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</si>
  <si>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</si>
  <si>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</si>
  <si>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</si>
  <si>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</si>
  <si>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</si>
  <si>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</si>
  <si>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</si>
  <si>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</si>
  <si>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</si>
  <si>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</si>
  <si>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</si>
  <si>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</si>
  <si>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</si>
  <si>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</si>
  <si>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</si>
  <si>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</si>
  <si>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</si>
  <si>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</si>
  <si>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</si>
  <si>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</si>
  <si>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</si>
  <si>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</si>
  <si>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</si>
  <si>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</si>
  <si>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</si>
  <si>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</si>
  <si>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</si>
  <si>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</si>
  <si>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</si>
  <si>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</si>
  <si>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</si>
  <si>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KLP Skadeforsikring</t>
  </si>
  <si>
    <t>Selskap</t>
  </si>
  <si>
    <t>Flytting fra andre</t>
  </si>
  <si>
    <t>Flytting til andre</t>
  </si>
  <si>
    <t>Q8</t>
  </si>
  <si>
    <t>Q9</t>
  </si>
  <si>
    <t>Q10</t>
  </si>
  <si>
    <t>Q14</t>
  </si>
  <si>
    <t>Q15</t>
  </si>
  <si>
    <t>Q16</t>
  </si>
  <si>
    <t>Q7</t>
  </si>
  <si>
    <t>R7</t>
  </si>
  <si>
    <t>R8</t>
  </si>
  <si>
    <t>R9</t>
  </si>
  <si>
    <t>R10</t>
  </si>
  <si>
    <t>R14</t>
  </si>
  <si>
    <t>R15</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</si>
  <si>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</si>
  <si>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</si>
  <si>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</si>
  <si>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</si>
  <si>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</si>
  <si>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</si>
  <si>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</si>
  <si>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</si>
  <si>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</si>
  <si>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</si>
  <si>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</si>
  <si>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</si>
  <si>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</si>
  <si>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</si>
  <si>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</si>
  <si>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</si>
  <si>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</si>
  <si>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</si>
  <si>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</si>
  <si>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</si>
  <si>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</si>
  <si>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</si>
  <si>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</si>
  <si>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</si>
  <si>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</si>
  <si>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</si>
  <si>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</si>
  <si>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</si>
  <si>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</si>
  <si>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</si>
  <si>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</si>
  <si>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</si>
  <si>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</si>
  <si>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</si>
  <si>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</si>
  <si>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</si>
  <si>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</si>
  <si>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</si>
  <si>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</si>
  <si>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</si>
  <si>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</si>
  <si>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</si>
  <si>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</si>
  <si>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</si>
  <si>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</si>
  <si>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</si>
  <si>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</si>
  <si>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</si>
  <si>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</si>
  <si>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</si>
  <si>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</si>
  <si>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</si>
  <si>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</si>
  <si>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</si>
  <si>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</si>
  <si>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</si>
  <si>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</si>
  <si>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</si>
  <si>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</si>
  <si>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</si>
  <si>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</si>
  <si>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</si>
  <si>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</si>
  <si>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</si>
  <si>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</si>
  <si>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</si>
  <si>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</si>
  <si>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</si>
  <si>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</si>
  <si>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</si>
  <si>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</si>
  <si>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</si>
  <si>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</si>
  <si>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</si>
  <si>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</si>
  <si>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</si>
  <si>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</si>
  <si>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</si>
  <si>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</si>
  <si>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</si>
  <si>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</si>
  <si>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</si>
  <si>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</si>
  <si>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</si>
  <si>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</si>
  <si>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</si>
  <si>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</si>
  <si>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</si>
  <si>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</si>
  <si>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</si>
  <si>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</si>
  <si>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</si>
  <si>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</si>
  <si>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</si>
  <si>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</si>
  <si>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</si>
  <si>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</si>
  <si>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</si>
  <si>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</si>
  <si>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</si>
  <si>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</si>
  <si>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</si>
  <si>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</si>
  <si>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</si>
  <si>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</si>
  <si>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</si>
  <si>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</si>
  <si>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</si>
  <si>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</si>
  <si>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</si>
  <si>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</si>
  <si>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</si>
  <si>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</si>
  <si>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</si>
  <si>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</si>
  <si>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</si>
  <si>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</si>
  <si>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</si>
  <si>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</si>
  <si>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</si>
  <si>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</si>
  <si>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</si>
  <si>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</si>
  <si>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</si>
  <si>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</si>
  <si>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</si>
  <si>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</si>
  <si>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</si>
  <si>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</si>
  <si>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</si>
  <si>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</si>
  <si>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</si>
  <si>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</si>
  <si>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</si>
  <si>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</si>
  <si>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</si>
  <si>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</si>
  <si>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</si>
  <si>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</si>
  <si>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</si>
  <si>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</si>
  <si>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</si>
  <si>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</si>
  <si>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</si>
  <si>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</si>
  <si>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</si>
  <si>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</si>
  <si>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</si>
  <si>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6.2 Endring i tilleggsavsetninger</t>
  </si>
  <si>
    <t xml:space="preserve">    6.3 Endring i kursreguleringsfond</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</si>
  <si>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</si>
  <si>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</si>
  <si>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</si>
  <si>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</si>
  <si>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</si>
  <si>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</si>
  <si>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</si>
  <si>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</si>
  <si>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</si>
  <si>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</si>
  <si>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</si>
  <si>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</si>
  <si>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</si>
  <si>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</si>
  <si>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</si>
  <si>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</si>
  <si>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</si>
  <si>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</si>
  <si>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</si>
  <si>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</si>
  <si>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</si>
  <si>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</si>
  <si>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</si>
  <si>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</si>
  <si>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</si>
  <si>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</si>
  <si>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</si>
  <si>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</si>
  <si>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</si>
  <si>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</si>
  <si>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</si>
  <si>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</si>
  <si>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</si>
  <si>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</si>
  <si>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</si>
  <si>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</si>
  <si>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</si>
  <si>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</si>
  <si>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</si>
  <si>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</si>
  <si>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</si>
  <si>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</si>
  <si>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</si>
  <si>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</si>
  <si>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</si>
  <si>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</si>
  <si>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</si>
  <si>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</si>
  <si>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</si>
  <si>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</si>
  <si>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</si>
  <si>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</si>
  <si>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</si>
  <si>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</si>
  <si>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</si>
  <si>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</si>
  <si>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</si>
  <si>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</si>
  <si>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</si>
  <si>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</si>
  <si>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</si>
  <si>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</si>
  <si>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</si>
  <si>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</si>
  <si>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</si>
  <si>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</si>
  <si>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</si>
  <si>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</si>
  <si>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</si>
  <si>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</si>
  <si>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</si>
  <si>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</si>
  <si>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</si>
  <si>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</si>
  <si>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</si>
  <si>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</si>
  <si>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</si>
  <si>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</si>
  <si>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</si>
  <si>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</si>
  <si>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</si>
  <si>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</si>
  <si>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14.1 Premiekapital mv.</t>
  </si>
  <si>
    <t xml:space="preserve">    14.2 Tilleggsavsetninger</t>
  </si>
  <si>
    <t>Fremtind Livsforsikring</t>
  </si>
  <si>
    <t>WaterCircle Forsikring</t>
  </si>
  <si>
    <t>Fremtind</t>
  </si>
  <si>
    <t>Fremtind Livsfors</t>
  </si>
  <si>
    <t>Landkreditt Fors.</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</si>
  <si>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</si>
  <si>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</si>
  <si>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</si>
  <si>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</si>
  <si>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</si>
  <si>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</si>
  <si>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</si>
  <si>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</si>
  <si>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</si>
  <si>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30.06.</t>
  </si>
  <si>
    <t>WaterCircles Forsikring</t>
  </si>
  <si>
    <t>Landkreditt Fors</t>
  </si>
  <si>
    <t>Codan Forsikring</t>
  </si>
  <si>
    <t>Euro Accident</t>
  </si>
  <si>
    <t xml:space="preserve">   Innskuddsbasert (inkl. EPK)</t>
  </si>
  <si>
    <t>Forsikring</t>
  </si>
  <si>
    <t>SpareBank 1 Forsikring</t>
  </si>
  <si>
    <t>Ly Forsikring</t>
  </si>
  <si>
    <t>Youplus Livsforsikring</t>
  </si>
  <si>
    <t>Youplus</t>
  </si>
  <si>
    <t>Youplus Livsf</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</si>
  <si>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</si>
  <si>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</si>
  <si>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</si>
  <si>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</si>
  <si>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</si>
  <si>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</si>
  <si>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</si>
  <si>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</si>
  <si>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1.3 Overføring av premiereserve og pensjonskapital mv. fra andre selskap/kasser</t>
  </si>
  <si>
    <t xml:space="preserve">    5.2 Overføring av premiereserve, pensjonskapital mv., tilleggsavsetninger og bufferfond til andre selskap/kasser</t>
  </si>
  <si>
    <t xml:space="preserve">    6.1 Endring i premiereserve mv.</t>
  </si>
  <si>
    <t xml:space="preserve">    6.4 Endring i bufferfond</t>
  </si>
  <si>
    <t xml:space="preserve">    6.5 Endring i premiefond, innskuddsfond og fond for regulering av pensjoner mv.</t>
  </si>
  <si>
    <t xml:space="preserve">    6.6 Endring i tekniske avsetninger for skadeforsikringsvirksomhet</t>
  </si>
  <si>
    <t xml:space="preserve">    6.7 Overføring av tilleggsavsetninger og bufferfond fra andre fors.selskap/pensj.kasser</t>
  </si>
  <si>
    <t>18. Resultat før andre inntekter og kostnader</t>
  </si>
  <si>
    <t>19. Andre inntekter og kostnader</t>
  </si>
  <si>
    <t xml:space="preserve">    13.4 Bufferfond</t>
  </si>
  <si>
    <t xml:space="preserve">    13.5 Premiefond, innskuddsfond og ford for regulering av pensjoner mv.</t>
  </si>
  <si>
    <t xml:space="preserve">    13.6 Andre tekniske avsetninger for skadeforsikringsvirksomheten</t>
  </si>
  <si>
    <t xml:space="preserve">    14.3 Bufferfond</t>
  </si>
  <si>
    <t xml:space="preserve">    14.4 Premiefond, innskuddsfond og fond for regulering av pensjoner mv.</t>
  </si>
  <si>
    <t>Bufferfond</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</si>
  <si>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</si>
  <si>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</si>
  <si>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30.6.2021</t>
  </si>
  <si>
    <t>30.6.2022</t>
  </si>
  <si>
    <t>30.6.</t>
  </si>
  <si>
    <t>1. Premieinntekter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</si>
</sst>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sz val="10"/>
      <color theme="0"/>
      <name val="Times New Roman"/>
      <family val="1"/>
    </font>
    <font>
      <b/>
      <sz val="14"/>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53">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3" fontId="46"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2" fillId="0" borderId="0" xfId="0" applyFont="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31" fillId="4" borderId="4"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3" fontId="46" fillId="4" borderId="4" xfId="15" applyNumberFormat="1" applyFont="1" applyFill="1" applyBorder="1" applyAlignment="1" applyProtection="1">
      <alignment horizontal="right"/>
      <protection locked="0"/>
    </xf>
    <xf numFmtId="3" fontId="46" fillId="4" borderId="11" xfId="15"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7" fillId="0" borderId="0" xfId="0" applyFont="1" applyFill="1"/>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4" borderId="0" xfId="7" applyFont="1" applyFill="1" applyAlignment="1" applyProtection="1">
      <alignment horizontal="center"/>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8" fillId="9" borderId="2" xfId="1" applyNumberFormat="1"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6" fillId="0" borderId="1" xfId="0" applyNumberFormat="1" applyFont="1" applyBorder="1" applyProtection="1">
      <protection locked="0"/>
    </xf>
    <xf numFmtId="3" fontId="46" fillId="0" borderId="4" xfId="0" applyNumberFormat="1" applyFont="1" applyBorder="1" applyProtection="1">
      <protection locked="0"/>
    </xf>
    <xf numFmtId="0" fontId="16" fillId="0" borderId="7" xfId="0" applyFont="1" applyBorder="1" applyAlignment="1" applyProtection="1">
      <alignment horizontal="center"/>
      <protection locked="0"/>
    </xf>
    <xf numFmtId="3" fontId="51"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1" xfId="15" applyNumberFormat="1" applyFont="1" applyFill="1" applyBorder="1" applyAlignment="1" applyProtection="1">
      <alignment horizontal="right"/>
    </xf>
    <xf numFmtId="3" fontId="31" fillId="4" borderId="7" xfId="0" applyNumberFormat="1" applyFont="1" applyFill="1" applyBorder="1" applyAlignment="1">
      <alignment horizontal="right"/>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4" xfId="15" applyNumberFormat="1" applyFont="1" applyFill="1" applyBorder="1" applyAlignment="1" applyProtection="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4" borderId="0" xfId="0" applyNumberFormat="1" applyFont="1" applyFill="1" applyAlignment="1">
      <alignment horizontal="right"/>
    </xf>
    <xf numFmtId="1" fontId="31" fillId="0" borderId="3" xfId="0" applyNumberFormat="1" applyFont="1" applyBorder="1" applyAlignment="1">
      <alignment horizontal="right"/>
    </xf>
    <xf numFmtId="0" fontId="31" fillId="0" borderId="3" xfId="0" applyFont="1" applyBorder="1" applyAlignment="1">
      <alignment horizontal="right"/>
    </xf>
    <xf numFmtId="166" fontId="31" fillId="0" borderId="3" xfId="847" applyNumberFormat="1" applyFont="1" applyBorder="1" applyAlignment="1" applyProtection="1">
      <alignment horizontal="right"/>
    </xf>
    <xf numFmtId="3" fontId="31" fillId="10" borderId="3" xfId="0"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0" fontId="46" fillId="0" borderId="11" xfId="0" applyFont="1" applyBorder="1" applyProtection="1">
      <protection locked="0"/>
    </xf>
    <xf numFmtId="0" fontId="46" fillId="0" borderId="4" xfId="0" applyFont="1" applyBorder="1" applyProtection="1">
      <protection locked="0"/>
    </xf>
    <xf numFmtId="3" fontId="46" fillId="4" borderId="4" xfId="15" applyNumberFormat="1" applyFont="1" applyFill="1" applyBorder="1" applyAlignment="1" applyProtection="1">
      <alignment horizontal="right"/>
    </xf>
    <xf numFmtId="3" fontId="46" fillId="4" borderId="7" xfId="0" applyNumberFormat="1" applyFont="1" applyFill="1" applyBorder="1" applyAlignment="1" applyProtection="1">
      <alignment horizontal="right"/>
      <protection locked="0"/>
    </xf>
    <xf numFmtId="0" fontId="46" fillId="4" borderId="7" xfId="0" applyFont="1" applyFill="1" applyBorder="1" applyAlignment="1" applyProtection="1">
      <alignment horizontal="right"/>
      <protection locked="0"/>
    </xf>
    <xf numFmtId="0" fontId="46" fillId="4" borderId="15" xfId="0" applyFont="1" applyFill="1" applyBorder="1" applyAlignment="1" applyProtection="1">
      <alignment horizontal="right"/>
      <protection locked="0"/>
    </xf>
    <xf numFmtId="0" fontId="50" fillId="0" borderId="7" xfId="0" applyFont="1" applyBorder="1" applyAlignment="1" applyProtection="1">
      <alignment horizontal="right"/>
      <protection locked="0"/>
    </xf>
    <xf numFmtId="0" fontId="46" fillId="4" borderId="3" xfId="0" applyFont="1" applyFill="1" applyBorder="1" applyAlignment="1" applyProtection="1">
      <alignment horizontal="right"/>
      <protection locked="0"/>
    </xf>
    <xf numFmtId="0" fontId="46" fillId="4" borderId="2" xfId="0" applyFont="1" applyFill="1" applyBorder="1" applyAlignment="1" applyProtection="1">
      <alignment horizontal="right"/>
      <protection locked="0"/>
    </xf>
    <xf numFmtId="0" fontId="50"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6" fillId="4" borderId="2" xfId="0" applyNumberFormat="1" applyFont="1" applyFill="1" applyBorder="1" applyAlignment="1" applyProtection="1">
      <alignment horizontal="right"/>
      <protection locked="0"/>
    </xf>
    <xf numFmtId="0" fontId="46" fillId="0" borderId="0" xfId="0" applyFont="1" applyProtection="1">
      <protection locked="0"/>
    </xf>
    <xf numFmtId="3" fontId="46" fillId="4" borderId="11" xfId="15" applyNumberFormat="1" applyFont="1" applyFill="1" applyBorder="1" applyAlignment="1" applyProtection="1">
      <alignment horizontal="right"/>
    </xf>
    <xf numFmtId="0" fontId="46" fillId="4" borderId="6" xfId="0" applyFont="1" applyFill="1" applyBorder="1" applyAlignment="1" applyProtection="1">
      <alignment horizontal="right"/>
      <protection locked="0"/>
    </xf>
    <xf numFmtId="0" fontId="46" fillId="4" borderId="5" xfId="0" applyFont="1" applyFill="1" applyBorder="1" applyAlignment="1" applyProtection="1">
      <alignment horizontal="right"/>
      <protection locked="0"/>
    </xf>
    <xf numFmtId="0" fontId="46" fillId="0" borderId="6" xfId="0" applyFont="1" applyBorder="1" applyAlignment="1" applyProtection="1">
      <alignment horizontal="right"/>
      <protection locked="0"/>
    </xf>
    <xf numFmtId="0" fontId="46" fillId="0" borderId="7" xfId="0" applyFont="1" applyBorder="1" applyProtection="1">
      <protection locked="0"/>
    </xf>
    <xf numFmtId="3" fontId="46" fillId="4" borderId="1" xfId="15"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protection locked="0"/>
    </xf>
    <xf numFmtId="0" fontId="46" fillId="4" borderId="1" xfId="0" applyFont="1" applyFill="1" applyBorder="1" applyAlignment="1" applyProtection="1">
      <alignment horizontal="right"/>
      <protection locked="0"/>
    </xf>
    <xf numFmtId="0" fontId="46"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1" fillId="4" borderId="3" xfId="0" applyNumberFormat="1" applyFont="1" applyFill="1" applyBorder="1" applyAlignment="1">
      <alignment horizontal="right"/>
    </xf>
    <xf numFmtId="3" fontId="31" fillId="4" borderId="4" xfId="847" applyNumberFormat="1" applyFont="1" applyFill="1" applyBorder="1" applyAlignment="1" applyProtection="1">
      <alignment horizontal="right"/>
    </xf>
    <xf numFmtId="3" fontId="46" fillId="4" borderId="3" xfId="0" applyNumberFormat="1" applyFont="1" applyFill="1" applyBorder="1" applyAlignment="1">
      <alignment horizontal="right"/>
    </xf>
    <xf numFmtId="3" fontId="31" fillId="0" borderId="4" xfId="847" applyNumberFormat="1" applyFont="1" applyFill="1" applyBorder="1" applyAlignment="1" applyProtection="1">
      <alignment horizontal="right"/>
    </xf>
    <xf numFmtId="0" fontId="31" fillId="0" borderId="3" xfId="0" applyFont="1" applyBorder="1" applyProtection="1">
      <protection locked="0"/>
    </xf>
    <xf numFmtId="0" fontId="20" fillId="0" borderId="3" xfId="0" applyFont="1" applyBorder="1" applyProtection="1">
      <protection locked="0"/>
    </xf>
    <xf numFmtId="3" fontId="46"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3" fillId="0" borderId="0" xfId="0" applyNumberFormat="1" applyFont="1" applyProtection="1">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3" fontId="31" fillId="0" borderId="1" xfId="15" applyNumberFormat="1" applyFont="1" applyFill="1" applyBorder="1" applyAlignment="1" applyProtection="1">
      <alignment horizontal="right"/>
      <protection locked="0"/>
    </xf>
    <xf numFmtId="3" fontId="31" fillId="0" borderId="4" xfId="15"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0" fontId="31" fillId="0" borderId="3" xfId="0" applyFont="1" applyFill="1" applyBorder="1" applyAlignment="1" applyProtection="1">
      <alignment horizontal="right"/>
      <protection locked="0"/>
    </xf>
    <xf numFmtId="3" fontId="46" fillId="0" borderId="6" xfId="0" applyNumberFormat="1" applyFont="1" applyFill="1" applyBorder="1" applyAlignment="1" applyProtection="1">
      <alignment horizontal="right"/>
      <protection locked="0"/>
    </xf>
    <xf numFmtId="3" fontId="46" fillId="0" borderId="4" xfId="15" applyNumberFormat="1" applyFont="1" applyFill="1" applyBorder="1" applyAlignment="1" applyProtection="1">
      <alignment horizontal="right"/>
      <protection locked="0"/>
    </xf>
    <xf numFmtId="3" fontId="31" fillId="0" borderId="1" xfId="0" applyNumberFormat="1" applyFont="1" applyBorder="1" applyAlignment="1" applyProtection="1">
      <alignment horizontal="right"/>
      <protection locked="0"/>
    </xf>
    <xf numFmtId="166" fontId="31" fillId="0" borderId="3" xfId="847" applyNumberFormat="1" applyFont="1" applyFill="1" applyBorder="1" applyAlignment="1" applyProtection="1">
      <alignment horizontal="right"/>
    </xf>
    <xf numFmtId="166" fontId="31" fillId="0" borderId="3" xfId="847" applyNumberFormat="1" applyFont="1" applyFill="1" applyBorder="1" applyAlignment="1" applyProtection="1">
      <alignment horizontal="right"/>
      <protection locked="0"/>
    </xf>
    <xf numFmtId="3" fontId="46" fillId="0" borderId="11" xfId="15" applyNumberFormat="1" applyFont="1" applyFill="1" applyBorder="1" applyAlignment="1" applyProtection="1">
      <alignment horizontal="right"/>
      <protection locked="0"/>
    </xf>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0" fontId="18" fillId="0" borderId="3" xfId="0" applyFont="1" applyBorder="1"/>
    <xf numFmtId="3" fontId="18" fillId="0" borderId="3" xfId="2" applyNumberFormat="1" applyFont="1" applyFill="1" applyBorder="1" applyAlignment="1">
      <alignment horizontal="left"/>
    </xf>
    <xf numFmtId="3" fontId="68" fillId="3" borderId="3" xfId="1" applyNumberFormat="1" applyFont="1" applyFill="1" applyBorder="1" applyAlignment="1">
      <alignment horizontal="right"/>
    </xf>
    <xf numFmtId="3" fontId="46" fillId="0" borderId="3" xfId="0" applyNumberFormat="1" applyFont="1" applyFill="1" applyBorder="1" applyAlignment="1" applyProtection="1">
      <alignment horizontal="right"/>
      <protection locked="0"/>
    </xf>
    <xf numFmtId="0" fontId="18" fillId="0" borderId="10" xfId="0" applyFont="1" applyFill="1" applyBorder="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14" fillId="0" borderId="6" xfId="0" applyFont="1" applyFill="1" applyBorder="1" applyAlignment="1" applyProtection="1">
      <alignment horizontal="center"/>
      <protection locked="0"/>
    </xf>
    <xf numFmtId="3" fontId="31" fillId="0"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protection locked="0"/>
    </xf>
    <xf numFmtId="3" fontId="46" fillId="0" borderId="3" xfId="845" applyNumberFormat="1" applyFont="1" applyFill="1" applyBorder="1" applyAlignment="1" applyProtection="1">
      <alignment horizontal="right"/>
      <protection locked="0"/>
    </xf>
    <xf numFmtId="3" fontId="46" fillId="0" borderId="6" xfId="845" applyNumberFormat="1" applyFont="1" applyFill="1" applyBorder="1" applyAlignment="1" applyProtection="1">
      <alignment horizontal="right"/>
      <protection locked="0"/>
    </xf>
    <xf numFmtId="3" fontId="46" fillId="0" borderId="11" xfId="0" applyNumberFormat="1" applyFont="1" applyBorder="1" applyAlignment="1" applyProtection="1">
      <alignment horizontal="right"/>
      <protection locked="0"/>
    </xf>
    <xf numFmtId="3" fontId="46" fillId="0" borderId="11" xfId="0" applyNumberFormat="1" applyFont="1" applyFill="1" applyBorder="1" applyAlignment="1" applyProtection="1">
      <alignment horizontal="right"/>
      <protection locked="0"/>
    </xf>
    <xf numFmtId="3" fontId="31" fillId="4" borderId="6" xfId="0" applyNumberFormat="1" applyFont="1" applyFill="1" applyBorder="1" applyAlignment="1" applyProtection="1">
      <alignment horizontal="right"/>
      <protection locked="0"/>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11" xfId="0" applyFont="1" applyFill="1" applyBorder="1" applyAlignment="1" applyProtection="1">
      <alignment horizontal="center"/>
      <protection locked="0"/>
    </xf>
    <xf numFmtId="0" fontId="46" fillId="0" borderId="12" xfId="0" applyFont="1" applyFill="1" applyBorder="1" applyAlignment="1" applyProtection="1">
      <alignment horizontal="center"/>
      <protection locked="0"/>
    </xf>
    <xf numFmtId="0" fontId="46" fillId="0" borderId="5" xfId="0"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73" fillId="0" borderId="1" xfId="0" applyNumberFormat="1" applyFont="1" applyFill="1" applyBorder="1" applyAlignment="1" applyProtection="1">
      <alignment horizontal="center"/>
      <protection locked="0"/>
    </xf>
    <xf numFmtId="0" fontId="73" fillId="0" borderId="14" xfId="0" applyNumberFormat="1" applyFont="1" applyFill="1" applyBorder="1" applyAlignment="1" applyProtection="1">
      <alignment horizontal="center"/>
      <protection locked="0"/>
    </xf>
    <xf numFmtId="0" fontId="73" fillId="0" borderId="15" xfId="0" applyNumberFormat="1" applyFont="1" applyFill="1" applyBorder="1" applyAlignment="1" applyProtection="1">
      <alignment horizontal="center"/>
      <protection locked="0"/>
    </xf>
    <xf numFmtId="0" fontId="73" fillId="0" borderId="11" xfId="0" applyNumberFormat="1" applyFont="1" applyFill="1" applyBorder="1" applyAlignment="1" applyProtection="1">
      <alignment horizontal="center"/>
      <protection locked="0"/>
    </xf>
    <xf numFmtId="0" fontId="73" fillId="0" borderId="12" xfId="0" applyNumberFormat="1" applyFont="1" applyFill="1" applyBorder="1" applyAlignment="1" applyProtection="1">
      <alignment horizontal="center"/>
      <protection locked="0"/>
    </xf>
    <xf numFmtId="0" fontId="73" fillId="0" borderId="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69" fillId="0" borderId="0" xfId="0" applyFont="1" applyAlignment="1">
      <alignment horizontal="left" vertical="top" wrapText="1" readingOrder="1"/>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6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2021</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Figurer!$M$8:$M$32</c:f>
              <c:numCache>
                <c:formatCode>#,##0</c:formatCode>
                <c:ptCount val="25"/>
                <c:pt idx="0">
                  <c:v>59890</c:v>
                </c:pt>
                <c:pt idx="1">
                  <c:v>216101.85700000002</c:v>
                </c:pt>
                <c:pt idx="2">
                  <c:v>1956247.7650000001</c:v>
                </c:pt>
                <c:pt idx="3">
                  <c:v>213759</c:v>
                </c:pt>
                <c:pt idx="4">
                  <c:v>8868.24</c:v>
                </c:pt>
                <c:pt idx="5">
                  <c:v>1554860.00135</c:v>
                </c:pt>
                <c:pt idx="6">
                  <c:v>460428</c:v>
                </c:pt>
                <c:pt idx="7">
                  <c:v>5314.415</c:v>
                </c:pt>
                <c:pt idx="8">
                  <c:v>1474212.797</c:v>
                </c:pt>
                <c:pt idx="9">
                  <c:v>395870</c:v>
                </c:pt>
                <c:pt idx="10">
                  <c:v>17644.029899999998</c:v>
                </c:pt>
                <c:pt idx="11">
                  <c:v>315101.851636982</c:v>
                </c:pt>
                <c:pt idx="12">
                  <c:v>33537381.302000001</c:v>
                </c:pt>
                <c:pt idx="13">
                  <c:v>219490.81400000001</c:v>
                </c:pt>
                <c:pt idx="14">
                  <c:v>39431</c:v>
                </c:pt>
                <c:pt idx="15">
                  <c:v>0</c:v>
                </c:pt>
                <c:pt idx="16">
                  <c:v>935655.99040994328</c:v>
                </c:pt>
                <c:pt idx="17">
                  <c:v>2128000</c:v>
                </c:pt>
                <c:pt idx="18">
                  <c:v>285507.81500140583</c:v>
                </c:pt>
                <c:pt idx="19">
                  <c:v>435411.44518000004</c:v>
                </c:pt>
                <c:pt idx="20">
                  <c:v>3657110.1809999999</c:v>
                </c:pt>
                <c:pt idx="21">
                  <c:v>686</c:v>
                </c:pt>
                <c:pt idx="22">
                  <c:v>545103.80000000005</c:v>
                </c:pt>
                <c:pt idx="23">
                  <c:v>1684</c:v>
                </c:pt>
                <c:pt idx="24">
                  <c:v>0</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2022</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Figurer!$N$8:$N$32</c:f>
              <c:numCache>
                <c:formatCode>#,##0</c:formatCode>
                <c:ptCount val="25"/>
                <c:pt idx="0">
                  <c:v>0</c:v>
                </c:pt>
                <c:pt idx="1">
                  <c:v>223268.03657</c:v>
                </c:pt>
                <c:pt idx="2">
                  <c:v>1941687</c:v>
                </c:pt>
                <c:pt idx="3">
                  <c:v>250147</c:v>
                </c:pt>
                <c:pt idx="4">
                  <c:v>26443</c:v>
                </c:pt>
                <c:pt idx="5">
                  <c:v>1672927.67401</c:v>
                </c:pt>
                <c:pt idx="6">
                  <c:v>508054</c:v>
                </c:pt>
                <c:pt idx="7">
                  <c:v>6356.36</c:v>
                </c:pt>
                <c:pt idx="8">
                  <c:v>1581986.0669999998</c:v>
                </c:pt>
                <c:pt idx="9">
                  <c:v>439850</c:v>
                </c:pt>
                <c:pt idx="10">
                  <c:v>17030.985049999999</c:v>
                </c:pt>
                <c:pt idx="11">
                  <c:v>350741.56139847403</c:v>
                </c:pt>
                <c:pt idx="12">
                  <c:v>32592177.502640001</c:v>
                </c:pt>
                <c:pt idx="13">
                  <c:v>277149.27799999999</c:v>
                </c:pt>
                <c:pt idx="14">
                  <c:v>26301</c:v>
                </c:pt>
                <c:pt idx="15">
                  <c:v>13753.589</c:v>
                </c:pt>
                <c:pt idx="16">
                  <c:v>908883.66104894597</c:v>
                </c:pt>
                <c:pt idx="17">
                  <c:v>5331000</c:v>
                </c:pt>
                <c:pt idx="18">
                  <c:v>315226.97251780157</c:v>
                </c:pt>
                <c:pt idx="19">
                  <c:v>437108.78225999995</c:v>
                </c:pt>
                <c:pt idx="20">
                  <c:v>3823393.7880000002</c:v>
                </c:pt>
                <c:pt idx="21">
                  <c:v>7890</c:v>
                </c:pt>
                <c:pt idx="22">
                  <c:v>611540</c:v>
                </c:pt>
                <c:pt idx="23">
                  <c:v>2120</c:v>
                </c:pt>
                <c:pt idx="24">
                  <c:v>1993</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2021</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Figurer!$M$37:$M$45</c:f>
              <c:numCache>
                <c:formatCode>#,##0</c:formatCode>
                <c:ptCount val="9"/>
                <c:pt idx="0">
                  <c:v>1164087.9040000001</c:v>
                </c:pt>
                <c:pt idx="1">
                  <c:v>5687337</c:v>
                </c:pt>
                <c:pt idx="2">
                  <c:v>0</c:v>
                </c:pt>
                <c:pt idx="3">
                  <c:v>1813519</c:v>
                </c:pt>
                <c:pt idx="4">
                  <c:v>96259.103000000003</c:v>
                </c:pt>
                <c:pt idx="5">
                  <c:v>9140677.7173800003</c:v>
                </c:pt>
                <c:pt idx="6">
                  <c:v>83074.449899999992</c:v>
                </c:pt>
                <c:pt idx="7">
                  <c:v>2700593.74584</c:v>
                </c:pt>
                <c:pt idx="8">
                  <c:v>6574958.2869999995</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2022</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Figurer!$N$37:$N$45</c:f>
              <c:numCache>
                <c:formatCode>#,##0</c:formatCode>
                <c:ptCount val="9"/>
                <c:pt idx="0">
                  <c:v>1167273.50508</c:v>
                </c:pt>
                <c:pt idx="1">
                  <c:v>6060306.909</c:v>
                </c:pt>
                <c:pt idx="2">
                  <c:v>0</c:v>
                </c:pt>
                <c:pt idx="3">
                  <c:v>2022284</c:v>
                </c:pt>
                <c:pt idx="4">
                  <c:v>103293.625</c:v>
                </c:pt>
                <c:pt idx="5">
                  <c:v>7731556.8194900006</c:v>
                </c:pt>
                <c:pt idx="6">
                  <c:v>57940.990299999998</c:v>
                </c:pt>
                <c:pt idx="7">
                  <c:v>2999062.7309600003</c:v>
                </c:pt>
                <c:pt idx="8">
                  <c:v>6429774.2280000001</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Figurer!$M$56</c:f>
              <c:strCache>
                <c:ptCount val="1"/>
                <c:pt idx="0">
                  <c:v>2021</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Figurer!$M$57:$M$79</c:f>
              <c:numCache>
                <c:formatCode>#,##0</c:formatCode>
                <c:ptCount val="23"/>
                <c:pt idx="0">
                  <c:v>0</c:v>
                </c:pt>
                <c:pt idx="1">
                  <c:v>1358359.7689999999</c:v>
                </c:pt>
                <c:pt idx="2">
                  <c:v>195668621.74615002</c:v>
                </c:pt>
                <c:pt idx="3">
                  <c:v>0</c:v>
                </c:pt>
                <c:pt idx="4">
                  <c:v>0</c:v>
                </c:pt>
                <c:pt idx="5">
                  <c:v>4079532.4523799997</c:v>
                </c:pt>
                <c:pt idx="6">
                  <c:v>1134700</c:v>
                </c:pt>
                <c:pt idx="7">
                  <c:v>0</c:v>
                </c:pt>
                <c:pt idx="8">
                  <c:v>7988385</c:v>
                </c:pt>
                <c:pt idx="9">
                  <c:v>20421.386947750718</c:v>
                </c:pt>
                <c:pt idx="10">
                  <c:v>0</c:v>
                </c:pt>
                <c:pt idx="11">
                  <c:v>563636708.30683994</c:v>
                </c:pt>
                <c:pt idx="12">
                  <c:v>67448.820000000007</c:v>
                </c:pt>
                <c:pt idx="13">
                  <c:v>0</c:v>
                </c:pt>
                <c:pt idx="14">
                  <c:v>0</c:v>
                </c:pt>
                <c:pt idx="15">
                  <c:v>54800659.999984071</c:v>
                </c:pt>
                <c:pt idx="16">
                  <c:v>87821000</c:v>
                </c:pt>
                <c:pt idx="17">
                  <c:v>19758215.866050001</c:v>
                </c:pt>
                <c:pt idx="18">
                  <c:v>195179233.26300004</c:v>
                </c:pt>
                <c:pt idx="19">
                  <c:v>0</c:v>
                </c:pt>
                <c:pt idx="20">
                  <c:v>0</c:v>
                </c:pt>
                <c:pt idx="21">
                  <c:v>0</c:v>
                </c:pt>
                <c:pt idx="22">
                  <c:v>0</c:v>
                </c:pt>
              </c:numCache>
            </c:numRef>
          </c:val>
          <c:extLst>
            <c:ext xmlns:c16="http://schemas.microsoft.com/office/drawing/2014/chart" uri="{C3380CC4-5D6E-409C-BE32-E72D297353CC}">
              <c16:uniqueId val="{00000000-F5D7-4882-A9B6-45C2F0317A05}"/>
            </c:ext>
          </c:extLst>
        </c:ser>
        <c:ser>
          <c:idx val="1"/>
          <c:order val="1"/>
          <c:tx>
            <c:strRef>
              <c:f>Figurer!$N$56</c:f>
              <c:strCache>
                <c:ptCount val="1"/>
                <c:pt idx="0">
                  <c:v>2022</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Figurer!$N$57:$N$79</c:f>
              <c:numCache>
                <c:formatCode>#,##0</c:formatCode>
                <c:ptCount val="23"/>
                <c:pt idx="0">
                  <c:v>0</c:v>
                </c:pt>
                <c:pt idx="1">
                  <c:v>1409067.9662299999</c:v>
                </c:pt>
                <c:pt idx="2">
                  <c:v>191155192</c:v>
                </c:pt>
                <c:pt idx="3">
                  <c:v>0</c:v>
                </c:pt>
                <c:pt idx="4">
                  <c:v>0</c:v>
                </c:pt>
                <c:pt idx="5">
                  <c:v>4531256.1571599999</c:v>
                </c:pt>
                <c:pt idx="6">
                  <c:v>1351782</c:v>
                </c:pt>
                <c:pt idx="7">
                  <c:v>0</c:v>
                </c:pt>
                <c:pt idx="8">
                  <c:v>8598193</c:v>
                </c:pt>
                <c:pt idx="9">
                  <c:v>25475.116409999999</c:v>
                </c:pt>
                <c:pt idx="10">
                  <c:v>0</c:v>
                </c:pt>
                <c:pt idx="11">
                  <c:v>651822235.95746005</c:v>
                </c:pt>
                <c:pt idx="12">
                  <c:v>90495.555999999997</c:v>
                </c:pt>
                <c:pt idx="13">
                  <c:v>0</c:v>
                </c:pt>
                <c:pt idx="14">
                  <c:v>0</c:v>
                </c:pt>
                <c:pt idx="15">
                  <c:v>55369879.99999357</c:v>
                </c:pt>
                <c:pt idx="16">
                  <c:v>110112000</c:v>
                </c:pt>
                <c:pt idx="17">
                  <c:v>20841895.883509997</c:v>
                </c:pt>
                <c:pt idx="18">
                  <c:v>200339753.17199999</c:v>
                </c:pt>
                <c:pt idx="19">
                  <c:v>0</c:v>
                </c:pt>
                <c:pt idx="20">
                  <c:v>0</c:v>
                </c:pt>
                <c:pt idx="21">
                  <c:v>0</c:v>
                </c:pt>
                <c:pt idx="22">
                  <c:v>1794</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Figurer!$M$83</c:f>
              <c:strCache>
                <c:ptCount val="1"/>
                <c:pt idx="0">
                  <c:v>2021</c:v>
                </c:pt>
              </c:strCache>
            </c:strRef>
          </c:tx>
          <c:invertIfNegative val="0"/>
          <c:cat>
            <c:strRef>
              <c:f>Figurer!$L$84:$L$92</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Figurer!$M$84:$M$92</c:f>
              <c:numCache>
                <c:formatCode>#,##0</c:formatCode>
                <c:ptCount val="9"/>
                <c:pt idx="0">
                  <c:v>26763939.773000002</c:v>
                </c:pt>
                <c:pt idx="1">
                  <c:v>129966187.12900001</c:v>
                </c:pt>
                <c:pt idx="2">
                  <c:v>0</c:v>
                </c:pt>
                <c:pt idx="3">
                  <c:v>38652190</c:v>
                </c:pt>
                <c:pt idx="4">
                  <c:v>2232813.0127599998</c:v>
                </c:pt>
                <c:pt idx="5">
                  <c:v>114051500</c:v>
                </c:pt>
                <c:pt idx="6">
                  <c:v>3229114.5629100003</c:v>
                </c:pt>
                <c:pt idx="7">
                  <c:v>50948452.248089992</c:v>
                </c:pt>
                <c:pt idx="8">
                  <c:v>150707923.69099998</c:v>
                </c:pt>
              </c:numCache>
            </c:numRef>
          </c:val>
          <c:extLst>
            <c:ext xmlns:c16="http://schemas.microsoft.com/office/drawing/2014/chart" uri="{C3380CC4-5D6E-409C-BE32-E72D297353CC}">
              <c16:uniqueId val="{00000000-62B1-4395-80F9-424B1553CC96}"/>
            </c:ext>
          </c:extLst>
        </c:ser>
        <c:ser>
          <c:idx val="1"/>
          <c:order val="1"/>
          <c:tx>
            <c:strRef>
              <c:f>Figurer!$N$83</c:f>
              <c:strCache>
                <c:ptCount val="1"/>
                <c:pt idx="0">
                  <c:v>2022</c:v>
                </c:pt>
              </c:strCache>
            </c:strRef>
          </c:tx>
          <c:invertIfNegative val="0"/>
          <c:cat>
            <c:strRef>
              <c:f>Figurer!$L$84:$L$92</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Figurer!$N$84:$N$92</c:f>
              <c:numCache>
                <c:formatCode>#,##0</c:formatCode>
                <c:ptCount val="9"/>
                <c:pt idx="0">
                  <c:v>26321708.566660002</c:v>
                </c:pt>
                <c:pt idx="1">
                  <c:v>130260212</c:v>
                </c:pt>
                <c:pt idx="2">
                  <c:v>0</c:v>
                </c:pt>
                <c:pt idx="3">
                  <c:v>40777682</c:v>
                </c:pt>
                <c:pt idx="4">
                  <c:v>2589206.34993</c:v>
                </c:pt>
                <c:pt idx="5">
                  <c:v>114500280</c:v>
                </c:pt>
                <c:pt idx="6">
                  <c:v>2775030.1372700003</c:v>
                </c:pt>
                <c:pt idx="7">
                  <c:v>51842088.697679996</c:v>
                </c:pt>
                <c:pt idx="8">
                  <c:v>145912125.61899999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Figurer!$M$108</c:f>
              <c:strCache>
                <c:ptCount val="1"/>
                <c:pt idx="0">
                  <c:v>2021</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Figurer!$M$109:$M$115</c:f>
              <c:numCache>
                <c:formatCode>#,##0</c:formatCode>
                <c:ptCount val="7"/>
                <c:pt idx="0">
                  <c:v>3625.74</c:v>
                </c:pt>
                <c:pt idx="1">
                  <c:v>128120</c:v>
                </c:pt>
                <c:pt idx="2">
                  <c:v>-5822</c:v>
                </c:pt>
                <c:pt idx="3">
                  <c:v>-8346122.3590000002</c:v>
                </c:pt>
                <c:pt idx="4">
                  <c:v>137.2955400001556</c:v>
                </c:pt>
                <c:pt idx="5">
                  <c:v>-4778.6397599999964</c:v>
                </c:pt>
                <c:pt idx="6">
                  <c:v>6995598.233</c:v>
                </c:pt>
              </c:numCache>
            </c:numRef>
          </c:val>
          <c:extLst>
            <c:ext xmlns:c16="http://schemas.microsoft.com/office/drawing/2014/chart" uri="{C3380CC4-5D6E-409C-BE32-E72D297353CC}">
              <c16:uniqueId val="{00000000-2BF8-4278-857F-91A0E7196849}"/>
            </c:ext>
          </c:extLst>
        </c:ser>
        <c:ser>
          <c:idx val="1"/>
          <c:order val="1"/>
          <c:tx>
            <c:strRef>
              <c:f>Figurer!$N$108</c:f>
              <c:strCache>
                <c:ptCount val="1"/>
                <c:pt idx="0">
                  <c:v>2022</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Figurer!$N$109:$N$115</c:f>
              <c:numCache>
                <c:formatCode>#,##0</c:formatCode>
                <c:ptCount val="7"/>
                <c:pt idx="0">
                  <c:v>5339.3479999999981</c:v>
                </c:pt>
                <c:pt idx="1">
                  <c:v>76914</c:v>
                </c:pt>
                <c:pt idx="2">
                  <c:v>57086</c:v>
                </c:pt>
                <c:pt idx="3">
                  <c:v>-4355080.0760000004</c:v>
                </c:pt>
                <c:pt idx="4">
                  <c:v>-1840.4171499998602</c:v>
                </c:pt>
                <c:pt idx="5">
                  <c:v>-204444.92813000001</c:v>
                </c:pt>
                <c:pt idx="6">
                  <c:v>3416282.855</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Figurer!$M$131</c:f>
              <c:strCache>
                <c:ptCount val="1"/>
                <c:pt idx="0">
                  <c:v>2021</c:v>
                </c:pt>
              </c:strCache>
            </c:strRef>
          </c:tx>
          <c:invertIfNegative val="0"/>
          <c:cat>
            <c:strRef>
              <c:f>Figurer!$L$132:$L$140</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Figurer!$M$132:$M$140</c:f>
              <c:numCache>
                <c:formatCode>#,##0</c:formatCode>
                <c:ptCount val="9"/>
                <c:pt idx="0">
                  <c:v>24962.467999999877</c:v>
                </c:pt>
                <c:pt idx="1">
                  <c:v>-1227148</c:v>
                </c:pt>
                <c:pt idx="2">
                  <c:v>0</c:v>
                </c:pt>
                <c:pt idx="3">
                  <c:v>-342266</c:v>
                </c:pt>
                <c:pt idx="4">
                  <c:v>0</c:v>
                </c:pt>
                <c:pt idx="5">
                  <c:v>13147.515189998783</c:v>
                </c:pt>
                <c:pt idx="6">
                  <c:v>-7905.0195999999996</c:v>
                </c:pt>
                <c:pt idx="7">
                  <c:v>960545.45473999996</c:v>
                </c:pt>
                <c:pt idx="8">
                  <c:v>-3907287.8450000002</c:v>
                </c:pt>
              </c:numCache>
            </c:numRef>
          </c:val>
          <c:extLst>
            <c:ext xmlns:c16="http://schemas.microsoft.com/office/drawing/2014/chart" uri="{C3380CC4-5D6E-409C-BE32-E72D297353CC}">
              <c16:uniqueId val="{00000000-B400-4C26-965B-0553A4A37873}"/>
            </c:ext>
          </c:extLst>
        </c:ser>
        <c:ser>
          <c:idx val="1"/>
          <c:order val="1"/>
          <c:tx>
            <c:strRef>
              <c:f>Figurer!$N$131</c:f>
              <c:strCache>
                <c:ptCount val="1"/>
                <c:pt idx="0">
                  <c:v>2022</c:v>
                </c:pt>
              </c:strCache>
            </c:strRef>
          </c:tx>
          <c:invertIfNegative val="0"/>
          <c:cat>
            <c:strRef>
              <c:f>Figurer!$L$132:$L$140</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Figurer!$N$132:$N$140</c:f>
              <c:numCache>
                <c:formatCode>#,##0</c:formatCode>
                <c:ptCount val="9"/>
                <c:pt idx="0">
                  <c:v>-219078.76338999998</c:v>
                </c:pt>
                <c:pt idx="1">
                  <c:v>-172405</c:v>
                </c:pt>
                <c:pt idx="2">
                  <c:v>0</c:v>
                </c:pt>
                <c:pt idx="3">
                  <c:v>1232079</c:v>
                </c:pt>
                <c:pt idx="4">
                  <c:v>376440.52899999998</c:v>
                </c:pt>
                <c:pt idx="5">
                  <c:v>624143.67715000035</c:v>
                </c:pt>
                <c:pt idx="6">
                  <c:v>-15435.860420000001</c:v>
                </c:pt>
                <c:pt idx="7">
                  <c:v>-273107.30555999978</c:v>
                </c:pt>
                <c:pt idx="8">
                  <c:v>-2494222.9329999993</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2022 </a:t>
          </a:r>
          <a:r>
            <a:rPr lang="nb-NO" sz="1100" b="0">
              <a:effectLst/>
              <a:latin typeface="Arial"/>
              <a:ea typeface="ＭＳ 明朝"/>
              <a:cs typeface="Times New Roman"/>
            </a:rPr>
            <a:t>(01.09.2022)</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1000" b="0">
              <a:effectLst/>
              <a:latin typeface="Arial"/>
              <a:ea typeface="ＭＳ 明朝"/>
              <a:cs typeface="Times New Roman"/>
            </a:rPr>
            <a:t>(revidert 28.10.2022)</a:t>
          </a:r>
          <a:endParaRPr lang="nb-NO" sz="10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Codan Forsikring:</a:t>
          </a:r>
          <a:endParaRPr lang="nb-NO">
            <a:effectLst/>
          </a:endParaRPr>
        </a:p>
        <a:p>
          <a:pPr rtl="0" eaLnBrk="1" fontAlgn="auto" latinLnBrk="0" hangingPunct="1"/>
          <a:r>
            <a:rPr lang="nb-NO" sz="1100">
              <a:solidFill>
                <a:schemeClr val="dk1"/>
              </a:solidFill>
              <a:effectLst/>
              <a:latin typeface="+mn-lt"/>
              <a:ea typeface="+mn-ea"/>
              <a:cs typeface="+mn-cs"/>
            </a:rPr>
            <a:t>Selskapet inngår i Tryg Forsikring fra 2.kvartal 2022</a:t>
          </a:r>
          <a:r>
            <a:rPr lang="nb-NO" sz="1100" baseline="0">
              <a:solidFill>
                <a:schemeClr val="dk1"/>
              </a:solidFill>
              <a:effectLst/>
              <a:latin typeface="+mn-lt"/>
              <a:ea typeface="+mn-ea"/>
              <a:cs typeface="+mn-cs"/>
            </a:rPr>
            <a:t>.</a:t>
          </a:r>
          <a:br>
            <a:rPr lang="nb-NO" sz="1100" baseline="0">
              <a:solidFill>
                <a:schemeClr val="dk1"/>
              </a:solidFill>
              <a:effectLst/>
              <a:latin typeface="+mn-lt"/>
              <a:ea typeface="+mn-ea"/>
              <a:cs typeface="+mn-cs"/>
            </a:rPr>
          </a:br>
          <a:endParaRPr lang="nb-NO">
            <a:effectLst/>
          </a:endParaRPr>
        </a:p>
        <a:p>
          <a:r>
            <a:rPr lang="nb-NO" sz="1100" u="sng">
              <a:solidFill>
                <a:schemeClr val="dk1"/>
              </a:solidFill>
              <a:effectLst/>
              <a:latin typeface="+mn-lt"/>
              <a:ea typeface="+mn-ea"/>
              <a:cs typeface="+mn-cs"/>
            </a:rPr>
            <a:t>Ly</a:t>
          </a:r>
          <a:r>
            <a:rPr lang="nb-NO" sz="1100" u="sng" baseline="0">
              <a:solidFill>
                <a:schemeClr val="dk1"/>
              </a:solidFill>
              <a:effectLst/>
              <a:latin typeface="+mn-lt"/>
              <a:ea typeface="+mn-ea"/>
              <a:cs typeface="+mn-cs"/>
            </a:rPr>
            <a:t> Forsikring</a:t>
          </a:r>
          <a:endParaRPr lang="nb-NO">
            <a:effectLst/>
          </a:endParaRPr>
        </a:p>
        <a:p>
          <a:r>
            <a:rPr lang="nb-NO" sz="1100" baseline="0">
              <a:solidFill>
                <a:schemeClr val="dk1"/>
              </a:solidFill>
              <a:effectLst/>
              <a:latin typeface="+mn-lt"/>
              <a:ea typeface="+mn-ea"/>
              <a:cs typeface="+mn-cs"/>
            </a:rPr>
            <a:t>Selskapet inngår i statistikken fra 2.kvartal 2022.</a:t>
          </a:r>
          <a:endParaRPr lang="nb-NO">
            <a:effectLst/>
          </a:endParaRPr>
        </a:p>
        <a:p>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Youplus Livsforsikring</a:t>
          </a:r>
          <a:endParaRPr lang="nb-NO">
            <a:effectLst/>
          </a:endParaRPr>
        </a:p>
        <a:p>
          <a:r>
            <a:rPr lang="nb-NO" sz="1100">
              <a:solidFill>
                <a:schemeClr val="dk1"/>
              </a:solidFill>
              <a:effectLst/>
              <a:latin typeface="+mn-lt"/>
              <a:ea typeface="+mn-ea"/>
              <a:cs typeface="+mn-cs"/>
            </a:rPr>
            <a:t>Selskapet inngår i statistikken fra 1. kvartal 2022.</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2/Q2-22/Mottatte/SpareBank%201%20Forsikring%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G68">
            <v>4972.6959999999999</v>
          </cell>
        </row>
        <row r="71">
          <cell r="AG71">
            <v>0</v>
          </cell>
        </row>
        <row r="74">
          <cell r="AG74">
            <v>1413.5129999999999</v>
          </cell>
        </row>
        <row r="75">
          <cell r="AG75">
            <v>1807.595</v>
          </cell>
        </row>
        <row r="80">
          <cell r="AG80">
            <v>22682.903541550004</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K43" sqref="K43"/>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79"/>
      <c r="C43" s="679"/>
      <c r="D43" s="679"/>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2" sqref="A2"/>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80"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9"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329</v>
      </c>
      <c r="C18" s="70" t="s">
        <v>330</v>
      </c>
      <c r="D18" s="69"/>
      <c r="E18" s="69"/>
      <c r="F18" s="69"/>
      <c r="G18" s="69"/>
      <c r="H18" s="69"/>
      <c r="I18" s="69"/>
      <c r="J18" s="69"/>
      <c r="K18" s="69"/>
      <c r="L18" s="69"/>
      <c r="M18" s="69"/>
      <c r="N18" s="69"/>
    </row>
    <row r="19" spans="1:14" ht="20.100000000000001" customHeight="1" x14ac:dyDescent="0.35">
      <c r="A19" s="70"/>
      <c r="B19" s="70" t="s">
        <v>331</v>
      </c>
      <c r="C19" s="70" t="s">
        <v>267</v>
      </c>
      <c r="D19" s="69"/>
      <c r="E19" s="69"/>
      <c r="F19" s="69"/>
      <c r="G19" s="69"/>
      <c r="H19" s="69"/>
      <c r="I19" s="69"/>
      <c r="J19" s="69"/>
      <c r="K19" s="69"/>
      <c r="L19" s="69"/>
      <c r="M19" s="69"/>
      <c r="N19" s="69"/>
    </row>
    <row r="20" spans="1:14" s="349" customFormat="1" ht="20.100000000000001" customHeight="1" x14ac:dyDescent="0.35">
      <c r="A20" s="347"/>
      <c r="B20" s="347" t="s">
        <v>333</v>
      </c>
      <c r="C20" s="347" t="s">
        <v>332</v>
      </c>
      <c r="D20" s="348"/>
      <c r="E20" s="348"/>
      <c r="F20" s="348"/>
      <c r="G20" s="348"/>
      <c r="H20" s="348"/>
      <c r="I20" s="348"/>
      <c r="J20" s="348"/>
      <c r="K20" s="348"/>
      <c r="L20" s="348"/>
      <c r="M20" s="348"/>
      <c r="N20" s="348"/>
    </row>
    <row r="21" spans="1:14" ht="20.100000000000001" customHeight="1" x14ac:dyDescent="0.35">
      <c r="A21" s="70"/>
      <c r="B21" s="70"/>
      <c r="C21" s="70"/>
    </row>
    <row r="22" spans="1:14" ht="18.75" customHeight="1" x14ac:dyDescent="0.35">
      <c r="A22" s="70"/>
      <c r="B22" s="347" t="s">
        <v>251</v>
      </c>
      <c r="C22" s="347"/>
    </row>
    <row r="23" spans="1:14" ht="20.100000000000001" customHeight="1" x14ac:dyDescent="0.35">
      <c r="A23" s="70"/>
      <c r="B23" s="350" t="s">
        <v>252</v>
      </c>
      <c r="C23" s="347" t="s">
        <v>253</v>
      </c>
    </row>
    <row r="24" spans="1:14" ht="20.100000000000001" hidden="1" customHeight="1" x14ac:dyDescent="0.35">
      <c r="A24" s="70"/>
      <c r="B24" s="350" t="s">
        <v>254</v>
      </c>
      <c r="C24" s="347" t="s">
        <v>255</v>
      </c>
    </row>
    <row r="25" spans="1:14" ht="20.100000000000001" hidden="1" customHeight="1" x14ac:dyDescent="0.35">
      <c r="A25" s="70"/>
      <c r="B25" s="350" t="s">
        <v>256</v>
      </c>
      <c r="C25" s="347" t="s">
        <v>257</v>
      </c>
    </row>
    <row r="26" spans="1:14" ht="20.100000000000001" hidden="1" customHeight="1" x14ac:dyDescent="0.35">
      <c r="A26" s="70"/>
      <c r="B26" s="350" t="s">
        <v>258</v>
      </c>
      <c r="C26" s="347" t="s">
        <v>259</v>
      </c>
    </row>
    <row r="27" spans="1:14" ht="20.100000000000001" customHeight="1" x14ac:dyDescent="0.35">
      <c r="A27" s="70"/>
      <c r="B27" s="350" t="s">
        <v>171</v>
      </c>
      <c r="C27" s="347" t="s">
        <v>260</v>
      </c>
    </row>
    <row r="28" spans="1:14" ht="20.100000000000001" hidden="1" customHeight="1" x14ac:dyDescent="0.35">
      <c r="A28" s="70"/>
      <c r="B28" s="344" t="s">
        <v>261</v>
      </c>
      <c r="C28" s="278" t="s">
        <v>262</v>
      </c>
    </row>
    <row r="29" spans="1:14" ht="20.100000000000001" hidden="1" customHeight="1" x14ac:dyDescent="0.35">
      <c r="A29" s="70"/>
      <c r="B29" s="344" t="s">
        <v>263</v>
      </c>
      <c r="C29" s="278" t="s">
        <v>264</v>
      </c>
    </row>
    <row r="30" spans="1:14" ht="18.75" customHeight="1" x14ac:dyDescent="0.35">
      <c r="A30" s="70"/>
      <c r="B30" s="350" t="s">
        <v>265</v>
      </c>
      <c r="C30" s="347" t="s">
        <v>266</v>
      </c>
    </row>
    <row r="31" spans="1:14" ht="18.75" customHeight="1" x14ac:dyDescent="0.35">
      <c r="A31" s="70"/>
      <c r="B31" s="350"/>
      <c r="C31" s="347"/>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5"/>
      <c r="D36" s="346"/>
    </row>
    <row r="37" spans="1:14" ht="26.25" x14ac:dyDescent="0.4">
      <c r="C37" s="72"/>
    </row>
    <row r="38" spans="1:14" ht="26.25" x14ac:dyDescent="0.4">
      <c r="C38" s="72"/>
    </row>
    <row r="39" spans="1:14" ht="26.25" x14ac:dyDescent="0.4">
      <c r="C39" s="345"/>
      <c r="D39" s="349"/>
      <c r="E39" s="349"/>
      <c r="F39" s="349"/>
      <c r="G39" s="349"/>
      <c r="H39" s="349"/>
      <c r="I39" s="349"/>
      <c r="J39" s="349"/>
      <c r="K39" s="349"/>
      <c r="L39" s="349"/>
      <c r="M39" s="349"/>
      <c r="N39" s="349"/>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B2" sqref="B2"/>
    </sheetView>
  </sheetViews>
  <sheetFormatPr baseColWidth="10" defaultColWidth="11.42578125" defaultRowHeight="18.75" x14ac:dyDescent="0.3"/>
  <cols>
    <col min="10" max="11" width="16.7109375" customWidth="1"/>
    <col min="12" max="12" width="20.710937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410</v>
      </c>
      <c r="B5" s="74"/>
      <c r="C5" s="74"/>
      <c r="D5" s="74"/>
      <c r="E5" s="74"/>
      <c r="F5" s="74"/>
      <c r="G5" s="74"/>
      <c r="H5" s="74"/>
      <c r="I5" s="79"/>
      <c r="J5" s="74"/>
      <c r="K5" s="74"/>
      <c r="L5" s="74" t="s">
        <v>53</v>
      </c>
      <c r="O5" s="74"/>
    </row>
    <row r="6" spans="1:15" x14ac:dyDescent="0.3">
      <c r="A6" s="74"/>
      <c r="B6" s="74"/>
      <c r="C6" s="74"/>
      <c r="D6" s="74"/>
      <c r="E6" s="74"/>
      <c r="F6" s="74"/>
      <c r="G6" s="74"/>
      <c r="H6" s="74"/>
      <c r="I6" s="74"/>
      <c r="J6" s="74"/>
      <c r="K6" s="74"/>
      <c r="L6" s="74" t="s">
        <v>0</v>
      </c>
      <c r="O6" s="74"/>
    </row>
    <row r="7" spans="1:15" x14ac:dyDescent="0.3">
      <c r="A7" s="74"/>
      <c r="B7" s="74"/>
      <c r="C7" s="74"/>
      <c r="D7" s="74"/>
      <c r="E7" s="74"/>
      <c r="F7" s="74"/>
      <c r="G7" s="74"/>
      <c r="H7" s="74"/>
      <c r="I7" s="74"/>
      <c r="J7" s="74"/>
      <c r="K7" s="74"/>
      <c r="M7" s="74">
        <v>2021</v>
      </c>
      <c r="N7" s="74">
        <v>2022</v>
      </c>
      <c r="O7" s="74"/>
    </row>
    <row r="8" spans="1:15" x14ac:dyDescent="0.3">
      <c r="A8" s="74"/>
      <c r="B8" s="74"/>
      <c r="C8" s="74"/>
      <c r="D8" s="74"/>
      <c r="E8" s="74"/>
      <c r="F8" s="74"/>
      <c r="G8" s="74"/>
      <c r="H8" s="74"/>
      <c r="I8" s="74"/>
      <c r="J8" s="74"/>
      <c r="K8" s="74"/>
      <c r="L8" s="74" t="s">
        <v>401</v>
      </c>
      <c r="M8" s="77">
        <f>'Tabel 1.1'!B9</f>
        <v>59890</v>
      </c>
      <c r="N8" s="77">
        <f>'Tabel 1.1'!C9</f>
        <v>0</v>
      </c>
      <c r="O8" s="74"/>
    </row>
    <row r="9" spans="1:15" x14ac:dyDescent="0.3">
      <c r="A9" s="74"/>
      <c r="B9" s="74"/>
      <c r="C9" s="74"/>
      <c r="D9" s="74"/>
      <c r="E9" s="74"/>
      <c r="F9" s="74"/>
      <c r="G9" s="74"/>
      <c r="H9" s="74"/>
      <c r="I9" s="74"/>
      <c r="J9" s="74"/>
      <c r="K9" s="74"/>
      <c r="L9" s="74" t="s">
        <v>54</v>
      </c>
      <c r="M9" s="77">
        <f>'Tabel 1.1'!B10</f>
        <v>216101.85700000002</v>
      </c>
      <c r="N9" s="77">
        <f>'Tabel 1.1'!C10</f>
        <v>223268.03657</v>
      </c>
      <c r="O9" s="74"/>
    </row>
    <row r="10" spans="1:15" x14ac:dyDescent="0.3">
      <c r="A10" s="74"/>
      <c r="B10" s="74"/>
      <c r="C10" s="74"/>
      <c r="D10" s="74"/>
      <c r="E10" s="74"/>
      <c r="F10" s="74"/>
      <c r="G10" s="74"/>
      <c r="H10" s="74"/>
      <c r="I10" s="74"/>
      <c r="J10" s="74"/>
      <c r="K10" s="74"/>
      <c r="L10" s="74" t="s">
        <v>55</v>
      </c>
      <c r="M10" s="77">
        <f>'Tabel 1.1'!B11</f>
        <v>1956247.7650000001</v>
      </c>
      <c r="N10" s="77">
        <f>'Tabel 1.1'!C11</f>
        <v>1941687</v>
      </c>
      <c r="O10" s="74"/>
    </row>
    <row r="11" spans="1:15" x14ac:dyDescent="0.3">
      <c r="A11" s="74"/>
      <c r="B11" s="74"/>
      <c r="C11" s="74"/>
      <c r="D11" s="74"/>
      <c r="E11" s="74"/>
      <c r="F11" s="74"/>
      <c r="G11" s="74"/>
      <c r="H11" s="74"/>
      <c r="I11" s="74"/>
      <c r="J11" s="74"/>
      <c r="K11" s="74"/>
      <c r="L11" s="74" t="s">
        <v>56</v>
      </c>
      <c r="M11" s="77">
        <f>'Tabel 1.1'!B12</f>
        <v>213759</v>
      </c>
      <c r="N11" s="77">
        <f>'Tabel 1.1'!C12</f>
        <v>250147</v>
      </c>
      <c r="O11" s="74"/>
    </row>
    <row r="12" spans="1:15" x14ac:dyDescent="0.3">
      <c r="A12" s="74"/>
      <c r="B12" s="74"/>
      <c r="C12" s="74"/>
      <c r="D12" s="74"/>
      <c r="E12" s="74"/>
      <c r="F12" s="74"/>
      <c r="G12" s="74"/>
      <c r="H12" s="74"/>
      <c r="I12" s="74"/>
      <c r="J12" s="74"/>
      <c r="K12" s="74"/>
      <c r="L12" s="74" t="s">
        <v>402</v>
      </c>
      <c r="M12" s="77">
        <f>'Tabel 1.1'!B13</f>
        <v>8868.24</v>
      </c>
      <c r="N12" s="77">
        <f>'Tabel 1.1'!C13</f>
        <v>26443</v>
      </c>
      <c r="O12" s="74"/>
    </row>
    <row r="13" spans="1:15" x14ac:dyDescent="0.3">
      <c r="A13" s="74"/>
      <c r="B13" s="74"/>
      <c r="C13" s="74"/>
      <c r="D13" s="74"/>
      <c r="E13" s="74"/>
      <c r="F13" s="74"/>
      <c r="G13" s="74"/>
      <c r="H13" s="74"/>
      <c r="I13" s="74"/>
      <c r="J13" s="74"/>
      <c r="K13" s="74"/>
      <c r="L13" s="74" t="s">
        <v>387</v>
      </c>
      <c r="M13" s="77">
        <f>'Tabel 1.1'!B14</f>
        <v>1554860.00135</v>
      </c>
      <c r="N13" s="77">
        <f>'Tabel 1.1'!C14</f>
        <v>1672927.67401</v>
      </c>
      <c r="O13" s="74"/>
    </row>
    <row r="14" spans="1:15" x14ac:dyDescent="0.3">
      <c r="A14" s="74"/>
      <c r="B14" s="74"/>
      <c r="C14" s="74"/>
      <c r="D14" s="74"/>
      <c r="E14" s="74"/>
      <c r="F14" s="74"/>
      <c r="G14" s="74"/>
      <c r="H14" s="74"/>
      <c r="I14" s="74"/>
      <c r="J14" s="74"/>
      <c r="K14" s="74"/>
      <c r="L14" s="74" t="s">
        <v>57</v>
      </c>
      <c r="M14" s="77">
        <f>'Tabel 1.1'!B15</f>
        <v>460428</v>
      </c>
      <c r="N14" s="77">
        <f>'Tabel 1.1'!C15</f>
        <v>508054</v>
      </c>
      <c r="O14" s="74"/>
    </row>
    <row r="15" spans="1:15" x14ac:dyDescent="0.3">
      <c r="A15" s="74"/>
      <c r="B15" s="74"/>
      <c r="C15" s="74"/>
      <c r="D15" s="74"/>
      <c r="E15" s="74"/>
      <c r="F15" s="74"/>
      <c r="G15" s="74"/>
      <c r="H15" s="74"/>
      <c r="I15" s="74"/>
      <c r="J15" s="74"/>
      <c r="K15" s="74"/>
      <c r="L15" s="74" t="s">
        <v>58</v>
      </c>
      <c r="M15" s="77">
        <f>'Tabel 1.1'!B16</f>
        <v>5314.415</v>
      </c>
      <c r="N15" s="77">
        <f>'Tabel 1.1'!C16</f>
        <v>6356.36</v>
      </c>
      <c r="O15" s="74"/>
    </row>
    <row r="16" spans="1:15" x14ac:dyDescent="0.3">
      <c r="A16" s="74"/>
      <c r="B16" s="74"/>
      <c r="C16" s="74"/>
      <c r="D16" s="74"/>
      <c r="E16" s="74"/>
      <c r="F16" s="74"/>
      <c r="G16" s="74"/>
      <c r="H16" s="74"/>
      <c r="I16" s="74"/>
      <c r="J16" s="74"/>
      <c r="K16" s="74"/>
      <c r="L16" s="74" t="s">
        <v>59</v>
      </c>
      <c r="M16" s="77">
        <f>'Tabel 1.1'!B17</f>
        <v>1474212.797</v>
      </c>
      <c r="N16" s="77">
        <f>'Tabel 1.1'!C17</f>
        <v>1581986.0669999998</v>
      </c>
      <c r="O16" s="74"/>
    </row>
    <row r="17" spans="1:15" x14ac:dyDescent="0.3">
      <c r="A17" s="74"/>
      <c r="B17" s="74"/>
      <c r="C17" s="74"/>
      <c r="D17" s="74"/>
      <c r="E17" s="74"/>
      <c r="F17" s="74"/>
      <c r="G17" s="74"/>
      <c r="H17" s="74"/>
      <c r="I17" s="74"/>
      <c r="J17" s="74"/>
      <c r="K17" s="74"/>
      <c r="L17" s="74" t="s">
        <v>60</v>
      </c>
      <c r="M17" s="77">
        <f>'Tabel 1.1'!B18</f>
        <v>395870</v>
      </c>
      <c r="N17" s="77">
        <f>'Tabel 1.1'!C18</f>
        <v>439850</v>
      </c>
      <c r="O17" s="74"/>
    </row>
    <row r="18" spans="1:15" x14ac:dyDescent="0.3">
      <c r="A18" s="74"/>
      <c r="B18" s="74"/>
      <c r="C18" s="74"/>
      <c r="D18" s="74"/>
      <c r="E18" s="74"/>
      <c r="F18" s="74"/>
      <c r="G18" s="74"/>
      <c r="H18" s="74"/>
      <c r="I18" s="74"/>
      <c r="J18" s="74"/>
      <c r="K18" s="74"/>
      <c r="L18" s="74" t="s">
        <v>61</v>
      </c>
      <c r="M18" s="77">
        <f>'Tabel 1.1'!B19</f>
        <v>17644.029899999998</v>
      </c>
      <c r="N18" s="77">
        <f>'Tabel 1.1'!C19</f>
        <v>17030.985049999999</v>
      </c>
      <c r="O18" s="74"/>
    </row>
    <row r="19" spans="1:15" x14ac:dyDescent="0.3">
      <c r="A19" s="74"/>
      <c r="B19" s="74"/>
      <c r="C19" s="74"/>
      <c r="D19" s="74"/>
      <c r="E19" s="74"/>
      <c r="F19" s="74"/>
      <c r="G19" s="74"/>
      <c r="H19" s="74"/>
      <c r="I19" s="74"/>
      <c r="J19" s="74"/>
      <c r="K19" s="74"/>
      <c r="L19" s="74" t="s">
        <v>62</v>
      </c>
      <c r="M19" s="77">
        <f>'Tabel 1.1'!B20</f>
        <v>315101.851636982</v>
      </c>
      <c r="N19" s="77">
        <f>'Tabel 1.1'!C20</f>
        <v>350741.56139847403</v>
      </c>
      <c r="O19" s="74"/>
    </row>
    <row r="20" spans="1:15" x14ac:dyDescent="0.3">
      <c r="A20" s="74"/>
      <c r="B20" s="74"/>
      <c r="C20" s="74"/>
      <c r="D20" s="74"/>
      <c r="E20" s="74"/>
      <c r="F20" s="74"/>
      <c r="G20" s="74"/>
      <c r="H20" s="74"/>
      <c r="I20" s="74"/>
      <c r="J20" s="74"/>
      <c r="K20" s="74"/>
      <c r="L20" s="74" t="s">
        <v>63</v>
      </c>
      <c r="M20" s="77">
        <f>'Tabel 1.1'!B21</f>
        <v>33537381.302000001</v>
      </c>
      <c r="N20" s="77">
        <f>'Tabel 1.1'!C21</f>
        <v>32592177.502640001</v>
      </c>
      <c r="O20" s="74"/>
    </row>
    <row r="21" spans="1:15" x14ac:dyDescent="0.3">
      <c r="A21" s="74"/>
      <c r="B21" s="74"/>
      <c r="C21" s="74"/>
      <c r="D21" s="74"/>
      <c r="E21" s="74"/>
      <c r="F21" s="74"/>
      <c r="G21" s="74"/>
      <c r="H21" s="74"/>
      <c r="I21" s="74"/>
      <c r="J21" s="74"/>
      <c r="K21" s="74"/>
      <c r="L21" s="74" t="s">
        <v>64</v>
      </c>
      <c r="M21" s="77">
        <f>'Tabel 1.1'!B22</f>
        <v>219490.81400000001</v>
      </c>
      <c r="N21" s="77">
        <f>'Tabel 1.1'!C22</f>
        <v>277149.27799999999</v>
      </c>
      <c r="O21" s="74"/>
    </row>
    <row r="22" spans="1:15" x14ac:dyDescent="0.3">
      <c r="A22" s="74"/>
      <c r="B22" s="74"/>
      <c r="C22" s="74"/>
      <c r="D22" s="74"/>
      <c r="E22" s="74"/>
      <c r="F22" s="74"/>
      <c r="G22" s="74"/>
      <c r="H22" s="74"/>
      <c r="I22" s="74"/>
      <c r="J22" s="74"/>
      <c r="K22" s="74"/>
      <c r="L22" s="74" t="s">
        <v>388</v>
      </c>
      <c r="M22" s="77">
        <f>'Tabel 1.1'!B23</f>
        <v>39431</v>
      </c>
      <c r="N22" s="77">
        <f>'Tabel 1.1'!C23</f>
        <v>26301</v>
      </c>
      <c r="O22" s="74"/>
    </row>
    <row r="23" spans="1:15" x14ac:dyDescent="0.3">
      <c r="A23" s="74"/>
      <c r="B23" s="74"/>
      <c r="C23" s="74"/>
      <c r="D23" s="74"/>
      <c r="E23" s="74"/>
      <c r="F23" s="74"/>
      <c r="G23" s="74"/>
      <c r="H23" s="74"/>
      <c r="I23" s="74"/>
      <c r="J23" s="74"/>
      <c r="K23" s="74"/>
      <c r="L23" s="74" t="s">
        <v>406</v>
      </c>
      <c r="M23" s="77">
        <f>'Tabel 1.1'!B24</f>
        <v>0</v>
      </c>
      <c r="N23" s="77">
        <f>'Tabel 1.1'!C24</f>
        <v>13753.589</v>
      </c>
      <c r="O23" s="74"/>
    </row>
    <row r="24" spans="1:15" x14ac:dyDescent="0.3">
      <c r="A24" s="74"/>
      <c r="B24" s="74"/>
      <c r="C24" s="74"/>
      <c r="D24" s="74"/>
      <c r="E24" s="74"/>
      <c r="F24" s="74"/>
      <c r="G24" s="74"/>
      <c r="H24" s="74"/>
      <c r="I24" s="74"/>
      <c r="J24" s="74"/>
      <c r="K24" s="74"/>
      <c r="L24" s="74" t="s">
        <v>65</v>
      </c>
      <c r="M24" s="77">
        <f>'Tabel 1.1'!B25</f>
        <v>935655.99040994328</v>
      </c>
      <c r="N24" s="77">
        <f>'Tabel 1.1'!C25</f>
        <v>908883.66104894597</v>
      </c>
      <c r="O24" s="74"/>
    </row>
    <row r="25" spans="1:15" x14ac:dyDescent="0.3">
      <c r="A25" s="74"/>
      <c r="B25" s="74"/>
      <c r="C25" s="74"/>
      <c r="D25" s="74"/>
      <c r="E25" s="74"/>
      <c r="F25" s="74"/>
      <c r="G25" s="74"/>
      <c r="H25" s="74"/>
      <c r="I25" s="74"/>
      <c r="J25" s="74"/>
      <c r="K25" s="74"/>
      <c r="L25" s="74" t="s">
        <v>66</v>
      </c>
      <c r="M25" s="77">
        <f>'Tabel 1.1'!B26</f>
        <v>2128000</v>
      </c>
      <c r="N25" s="77">
        <f>'Tabel 1.1'!C26</f>
        <v>5331000</v>
      </c>
      <c r="O25" s="74"/>
    </row>
    <row r="26" spans="1:15" s="141" customFormat="1" x14ac:dyDescent="0.3">
      <c r="A26" s="74"/>
      <c r="B26" s="74"/>
      <c r="C26" s="74"/>
      <c r="D26" s="74"/>
      <c r="E26" s="74"/>
      <c r="F26" s="74"/>
      <c r="G26" s="74"/>
      <c r="H26" s="74"/>
      <c r="I26" s="74"/>
      <c r="J26" s="74"/>
      <c r="K26" s="74"/>
      <c r="L26" s="74" t="s">
        <v>380</v>
      </c>
      <c r="M26" s="77">
        <f>'Tabel 1.1'!B27</f>
        <v>285507.81500140583</v>
      </c>
      <c r="N26" s="77">
        <f>'Tabel 1.1'!C27</f>
        <v>315226.97251780157</v>
      </c>
      <c r="O26" s="74"/>
    </row>
    <row r="27" spans="1:15" x14ac:dyDescent="0.3">
      <c r="A27" s="74"/>
      <c r="B27" s="74"/>
      <c r="C27" s="74"/>
      <c r="D27" s="74"/>
      <c r="E27" s="74"/>
      <c r="F27" s="74"/>
      <c r="G27" s="74"/>
      <c r="H27" s="74"/>
      <c r="I27" s="74"/>
      <c r="J27" s="74"/>
      <c r="K27" s="74"/>
      <c r="L27" s="74" t="s">
        <v>67</v>
      </c>
      <c r="M27" s="77">
        <f>'Tabel 1.1'!B28</f>
        <v>435411.44518000004</v>
      </c>
      <c r="N27" s="77">
        <f>'Tabel 1.1'!C28</f>
        <v>437108.78225999995</v>
      </c>
      <c r="O27" s="74"/>
    </row>
    <row r="28" spans="1:15" x14ac:dyDescent="0.3">
      <c r="A28" s="74"/>
      <c r="B28" s="74"/>
      <c r="C28" s="74"/>
      <c r="D28" s="74"/>
      <c r="E28" s="74"/>
      <c r="F28" s="74"/>
      <c r="G28" s="74"/>
      <c r="H28" s="74"/>
      <c r="I28" s="74"/>
      <c r="J28" s="74"/>
      <c r="K28" s="74"/>
      <c r="L28" s="74" t="s">
        <v>68</v>
      </c>
      <c r="M28" s="77">
        <f>'Tabel 1.1'!B29</f>
        <v>3657110.1809999999</v>
      </c>
      <c r="N28" s="77">
        <f>'Tabel 1.1'!C29</f>
        <v>3823393.7880000002</v>
      </c>
    </row>
    <row r="29" spans="1:15" x14ac:dyDescent="0.3">
      <c r="A29" s="74"/>
      <c r="B29" s="74"/>
      <c r="C29" s="74"/>
      <c r="D29" s="74"/>
      <c r="E29" s="74"/>
      <c r="F29" s="74"/>
      <c r="G29" s="74"/>
      <c r="H29" s="74"/>
      <c r="I29" s="74"/>
      <c r="J29" s="74"/>
      <c r="K29" s="74"/>
      <c r="L29" s="74" t="s">
        <v>69</v>
      </c>
      <c r="M29" s="77">
        <f>'Tabel 1.1'!B30</f>
        <v>686</v>
      </c>
      <c r="N29" s="77">
        <f>'Tabel 1.1'!C30</f>
        <v>7890</v>
      </c>
    </row>
    <row r="30" spans="1:15" x14ac:dyDescent="0.3">
      <c r="A30" s="74"/>
      <c r="B30" s="74"/>
      <c r="C30" s="74"/>
      <c r="D30" s="74"/>
      <c r="E30" s="74"/>
      <c r="F30" s="74"/>
      <c r="G30" s="74"/>
      <c r="H30" s="74"/>
      <c r="I30" s="74"/>
      <c r="J30" s="74"/>
      <c r="K30" s="74"/>
      <c r="L30" s="74" t="s">
        <v>70</v>
      </c>
      <c r="M30" s="77">
        <f>'Tabel 1.1'!B31</f>
        <v>545103.80000000005</v>
      </c>
      <c r="N30" s="77">
        <f>'Tabel 1.1'!C31</f>
        <v>611540</v>
      </c>
    </row>
    <row r="31" spans="1:15" x14ac:dyDescent="0.3">
      <c r="A31" s="75" t="s">
        <v>411</v>
      </c>
      <c r="B31" s="74"/>
      <c r="C31" s="74"/>
      <c r="D31" s="74"/>
      <c r="E31" s="74"/>
      <c r="F31" s="74"/>
      <c r="G31" s="74"/>
      <c r="H31" s="74"/>
      <c r="I31" s="79"/>
      <c r="J31" s="74"/>
      <c r="K31" s="74"/>
      <c r="L31" s="74" t="s">
        <v>396</v>
      </c>
      <c r="M31" s="77">
        <f>'Tabel 1.1'!B32</f>
        <v>1684</v>
      </c>
      <c r="N31" s="77">
        <f>'Tabel 1.1'!C32</f>
        <v>2120</v>
      </c>
    </row>
    <row r="32" spans="1:15" x14ac:dyDescent="0.3">
      <c r="B32" s="74"/>
      <c r="C32" s="74"/>
      <c r="D32" s="74"/>
      <c r="E32" s="74"/>
      <c r="F32" s="74"/>
      <c r="G32" s="74"/>
      <c r="H32" s="74"/>
      <c r="I32" s="74"/>
      <c r="J32" s="74"/>
      <c r="K32" s="74"/>
      <c r="L32" s="74" t="s">
        <v>409</v>
      </c>
      <c r="M32" s="77">
        <f>'Tabel 1.1'!B33</f>
        <v>0</v>
      </c>
      <c r="N32" s="77">
        <f>'Tabel 1.1'!C33</f>
        <v>1993</v>
      </c>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f>M7</f>
        <v>2021</v>
      </c>
      <c r="N36" s="74">
        <f>N7</f>
        <v>2022</v>
      </c>
    </row>
    <row r="37" spans="1:15" x14ac:dyDescent="0.3">
      <c r="A37" s="74"/>
      <c r="B37" s="74"/>
      <c r="C37" s="74"/>
      <c r="D37" s="74"/>
      <c r="E37" s="74"/>
      <c r="F37" s="74"/>
      <c r="G37" s="74"/>
      <c r="H37" s="74"/>
      <c r="I37" s="74"/>
      <c r="J37" s="74"/>
      <c r="K37" s="74"/>
      <c r="L37" s="79" t="s">
        <v>54</v>
      </c>
      <c r="M37" s="78">
        <f>'Tabel 1.1'!B37</f>
        <v>1164087.9040000001</v>
      </c>
      <c r="N37" s="78">
        <f>'Tabel 1.1'!C37</f>
        <v>1167273.50508</v>
      </c>
    </row>
    <row r="38" spans="1:15" x14ac:dyDescent="0.3">
      <c r="A38" s="74"/>
      <c r="B38" s="74"/>
      <c r="C38" s="74"/>
      <c r="D38" s="74"/>
      <c r="E38" s="74"/>
      <c r="F38" s="74"/>
      <c r="G38" s="74"/>
      <c r="H38" s="74"/>
      <c r="I38" s="74"/>
      <c r="J38" s="74"/>
      <c r="K38" s="74"/>
      <c r="L38" s="74" t="s">
        <v>55</v>
      </c>
      <c r="M38" s="78">
        <f>'Tabel 1.1'!B38</f>
        <v>5687337</v>
      </c>
      <c r="N38" s="78">
        <f>'Tabel 1.1'!C38</f>
        <v>6060306.909</v>
      </c>
    </row>
    <row r="39" spans="1:15" x14ac:dyDescent="0.3">
      <c r="A39" s="74"/>
      <c r="B39" s="74"/>
      <c r="C39" s="74"/>
      <c r="D39" s="74"/>
      <c r="E39" s="74"/>
      <c r="F39" s="74"/>
      <c r="G39" s="74"/>
      <c r="H39" s="74"/>
      <c r="I39" s="74"/>
      <c r="J39" s="74"/>
      <c r="K39" s="74"/>
      <c r="L39" s="74" t="s">
        <v>57</v>
      </c>
      <c r="M39" s="78">
        <f>'Tabel 1.1'!B39</f>
        <v>0</v>
      </c>
      <c r="N39" s="78">
        <f>'Tabel 1.1'!C39</f>
        <v>0</v>
      </c>
    </row>
    <row r="40" spans="1:15" x14ac:dyDescent="0.3">
      <c r="A40" s="74"/>
      <c r="B40" s="74"/>
      <c r="C40" s="74"/>
      <c r="D40" s="74"/>
      <c r="E40" s="74"/>
      <c r="F40" s="74"/>
      <c r="G40" s="74"/>
      <c r="H40" s="74"/>
      <c r="I40" s="74"/>
      <c r="J40" s="74"/>
      <c r="K40" s="74"/>
      <c r="L40" s="79" t="s">
        <v>60</v>
      </c>
      <c r="M40" s="78">
        <f>'Tabel 1.1'!B40</f>
        <v>1813519</v>
      </c>
      <c r="N40" s="78">
        <f>'Tabel 1.1'!C40</f>
        <v>2022284</v>
      </c>
    </row>
    <row r="41" spans="1:15" x14ac:dyDescent="0.3">
      <c r="A41" s="74"/>
      <c r="B41" s="74"/>
      <c r="C41" s="74"/>
      <c r="D41" s="74"/>
      <c r="E41" s="74"/>
      <c r="F41" s="74"/>
      <c r="G41" s="74"/>
      <c r="H41" s="74"/>
      <c r="I41" s="74"/>
      <c r="J41" s="74"/>
      <c r="K41" s="74"/>
      <c r="L41" s="74" t="s">
        <v>63</v>
      </c>
      <c r="M41" s="78">
        <f>'Tabel 1.1'!B41</f>
        <v>96259.103000000003</v>
      </c>
      <c r="N41" s="78">
        <f>'Tabel 1.1'!C41</f>
        <v>103293.625</v>
      </c>
      <c r="O41" s="74"/>
    </row>
    <row r="42" spans="1:15" x14ac:dyDescent="0.3">
      <c r="A42" s="74"/>
      <c r="B42" s="74"/>
      <c r="C42" s="74"/>
      <c r="D42" s="74"/>
      <c r="E42" s="74"/>
      <c r="F42" s="74"/>
      <c r="G42" s="74"/>
      <c r="H42" s="74"/>
      <c r="I42" s="74"/>
      <c r="J42" s="74"/>
      <c r="K42" s="74"/>
      <c r="L42" s="79" t="s">
        <v>65</v>
      </c>
      <c r="M42" s="78">
        <f>'Tabel 1.1'!B42</f>
        <v>9140677.7173800003</v>
      </c>
      <c r="N42" s="78">
        <f>'Tabel 1.1'!C42</f>
        <v>7731556.8194900006</v>
      </c>
      <c r="O42" s="74"/>
    </row>
    <row r="43" spans="1:15" x14ac:dyDescent="0.3">
      <c r="A43" s="74"/>
      <c r="B43" s="74"/>
      <c r="C43" s="74"/>
      <c r="D43" s="74"/>
      <c r="E43" s="74"/>
      <c r="F43" s="74"/>
      <c r="G43" s="74"/>
      <c r="H43" s="74"/>
      <c r="I43" s="74"/>
      <c r="J43" s="74"/>
      <c r="K43" s="74"/>
      <c r="L43" s="79" t="s">
        <v>71</v>
      </c>
      <c r="M43" s="78">
        <f>'Tabel 1.1'!B43</f>
        <v>83074.449899999992</v>
      </c>
      <c r="N43" s="78">
        <f>'Tabel 1.1'!C43</f>
        <v>57940.990299999998</v>
      </c>
      <c r="O43" s="74"/>
    </row>
    <row r="44" spans="1:15" x14ac:dyDescent="0.3">
      <c r="A44" s="74"/>
      <c r="B44" s="74"/>
      <c r="C44" s="74"/>
      <c r="D44" s="74"/>
      <c r="E44" s="74"/>
      <c r="F44" s="74"/>
      <c r="G44" s="74"/>
      <c r="H44" s="74"/>
      <c r="I44" s="74"/>
      <c r="J44" s="74"/>
      <c r="K44" s="74"/>
      <c r="L44" s="79" t="s">
        <v>67</v>
      </c>
      <c r="M44" s="78">
        <f>'Tabel 1.1'!B44</f>
        <v>2700593.74584</v>
      </c>
      <c r="N44" s="78">
        <f>'Tabel 1.1'!C44</f>
        <v>2999062.7309600003</v>
      </c>
      <c r="O44" s="74"/>
    </row>
    <row r="45" spans="1:15" x14ac:dyDescent="0.3">
      <c r="A45" s="74"/>
      <c r="B45" s="74"/>
      <c r="C45" s="74"/>
      <c r="D45" s="74"/>
      <c r="E45" s="74"/>
      <c r="F45" s="74"/>
      <c r="G45" s="74"/>
      <c r="H45" s="74"/>
      <c r="I45" s="74"/>
      <c r="J45" s="74"/>
      <c r="K45" s="74"/>
      <c r="L45" s="79" t="s">
        <v>72</v>
      </c>
      <c r="M45" s="78">
        <f>'Tabel 1.1'!B45</f>
        <v>6574958.2869999995</v>
      </c>
      <c r="N45" s="78">
        <f>'Tabel 1.1'!C45</f>
        <v>6429774.2280000001</v>
      </c>
      <c r="O45" s="74"/>
    </row>
    <row r="46" spans="1:15" x14ac:dyDescent="0.3">
      <c r="A46" s="74"/>
      <c r="B46" s="74"/>
      <c r="C46" s="74"/>
      <c r="D46" s="74"/>
      <c r="E46" s="74"/>
      <c r="F46" s="74"/>
      <c r="G46" s="74"/>
      <c r="H46" s="74"/>
      <c r="I46" s="74"/>
      <c r="J46" s="74"/>
      <c r="K46" s="74"/>
      <c r="L46" s="79"/>
      <c r="M46" s="78"/>
      <c r="N46" s="78"/>
      <c r="O46" s="74"/>
    </row>
    <row r="47" spans="1:15" x14ac:dyDescent="0.3">
      <c r="A47" s="74"/>
      <c r="B47" s="74"/>
      <c r="C47" s="74"/>
      <c r="D47" s="74"/>
      <c r="E47" s="74"/>
      <c r="F47" s="74"/>
      <c r="G47" s="74"/>
      <c r="H47" s="74"/>
      <c r="I47" s="74"/>
      <c r="J47" s="74"/>
      <c r="K47" s="74"/>
      <c r="M47" s="77"/>
      <c r="N47" s="77"/>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L54" s="74" t="s">
        <v>73</v>
      </c>
      <c r="O54" s="74"/>
    </row>
    <row r="55" spans="1:15" x14ac:dyDescent="0.3">
      <c r="A55" s="74"/>
      <c r="B55" s="74"/>
      <c r="C55" s="74"/>
      <c r="D55" s="74"/>
      <c r="E55" s="74"/>
      <c r="F55" s="74"/>
      <c r="G55" s="74"/>
      <c r="H55" s="74"/>
      <c r="I55" s="74"/>
      <c r="J55" s="74"/>
      <c r="K55" s="74"/>
      <c r="L55" s="74" t="s">
        <v>0</v>
      </c>
      <c r="O55" s="74"/>
    </row>
    <row r="56" spans="1:15" x14ac:dyDescent="0.3">
      <c r="A56" s="75" t="s">
        <v>412</v>
      </c>
      <c r="B56" s="74"/>
      <c r="C56" s="74"/>
      <c r="D56" s="74"/>
      <c r="E56" s="74"/>
      <c r="F56" s="74"/>
      <c r="G56" s="74"/>
      <c r="H56" s="74"/>
      <c r="I56" s="79"/>
      <c r="J56" s="74"/>
      <c r="K56" s="74"/>
      <c r="M56" s="74">
        <f>M7</f>
        <v>2021</v>
      </c>
      <c r="N56" s="74">
        <f>N7</f>
        <v>2022</v>
      </c>
      <c r="O56" s="74"/>
    </row>
    <row r="57" spans="1:15" x14ac:dyDescent="0.3">
      <c r="A57" s="74"/>
      <c r="B57" s="74"/>
      <c r="C57" s="74"/>
      <c r="D57" s="74"/>
      <c r="E57" s="74"/>
      <c r="F57" s="74"/>
      <c r="G57" s="74"/>
      <c r="H57" s="74"/>
      <c r="I57" s="74"/>
      <c r="J57" s="74"/>
      <c r="K57" s="74"/>
      <c r="L57" s="74" t="s">
        <v>401</v>
      </c>
      <c r="M57" s="77">
        <f>'Tabel 1.1'!G9</f>
        <v>0</v>
      </c>
      <c r="N57" s="77">
        <f>'Tabel 1.1'!H9</f>
        <v>0</v>
      </c>
      <c r="O57" s="74"/>
    </row>
    <row r="58" spans="1:15" x14ac:dyDescent="0.3">
      <c r="A58" s="74"/>
      <c r="B58" s="74"/>
      <c r="C58" s="74"/>
      <c r="D58" s="74"/>
      <c r="E58" s="74"/>
      <c r="F58" s="74"/>
      <c r="G58" s="74"/>
      <c r="H58" s="74"/>
      <c r="I58" s="74"/>
      <c r="J58" s="74"/>
      <c r="K58" s="74"/>
      <c r="L58" s="74" t="s">
        <v>54</v>
      </c>
      <c r="M58" s="77">
        <f>'Tabel 1.1'!G10</f>
        <v>1358359.7689999999</v>
      </c>
      <c r="N58" s="77">
        <f>'Tabel 1.1'!H10</f>
        <v>1409067.9662299999</v>
      </c>
      <c r="O58" s="74"/>
    </row>
    <row r="59" spans="1:15" x14ac:dyDescent="0.3">
      <c r="A59" s="74"/>
      <c r="B59" s="74"/>
      <c r="C59" s="74"/>
      <c r="D59" s="74"/>
      <c r="E59" s="74"/>
      <c r="F59" s="74"/>
      <c r="G59" s="74"/>
      <c r="H59" s="74"/>
      <c r="I59" s="74"/>
      <c r="J59" s="74"/>
      <c r="K59" s="74"/>
      <c r="L59" s="74" t="s">
        <v>55</v>
      </c>
      <c r="M59" s="77">
        <f>'Tabel 1.1'!G11</f>
        <v>195668621.74615002</v>
      </c>
      <c r="N59" s="77">
        <f>'Tabel 1.1'!H11</f>
        <v>191155192</v>
      </c>
      <c r="O59" s="74"/>
    </row>
    <row r="60" spans="1:15" x14ac:dyDescent="0.3">
      <c r="A60" s="74"/>
      <c r="B60" s="74"/>
      <c r="C60" s="74"/>
      <c r="D60" s="74"/>
      <c r="E60" s="74"/>
      <c r="F60" s="74"/>
      <c r="G60" s="74"/>
      <c r="H60" s="74"/>
      <c r="I60" s="74"/>
      <c r="J60" s="74"/>
      <c r="K60" s="74"/>
      <c r="L60" s="74" t="s">
        <v>56</v>
      </c>
      <c r="M60" s="77">
        <f>'Tabel 1.1'!G12</f>
        <v>0</v>
      </c>
      <c r="N60" s="77">
        <f>'Tabel 1.1'!H12</f>
        <v>0</v>
      </c>
      <c r="O60" s="74"/>
    </row>
    <row r="61" spans="1:15" x14ac:dyDescent="0.3">
      <c r="A61" s="74"/>
      <c r="B61" s="74"/>
      <c r="C61" s="74"/>
      <c r="D61" s="74"/>
      <c r="E61" s="74"/>
      <c r="F61" s="74"/>
      <c r="G61" s="74"/>
      <c r="H61" s="74"/>
      <c r="I61" s="74"/>
      <c r="J61" s="74"/>
      <c r="K61" s="74"/>
      <c r="L61" s="74" t="s">
        <v>402</v>
      </c>
      <c r="M61" s="77">
        <f>'Tabel 1.1'!G13</f>
        <v>0</v>
      </c>
      <c r="N61" s="77">
        <f>'Tabel 1.1'!H13</f>
        <v>0</v>
      </c>
      <c r="O61" s="74"/>
    </row>
    <row r="62" spans="1:15" x14ac:dyDescent="0.3">
      <c r="A62" s="74"/>
      <c r="B62" s="74"/>
      <c r="C62" s="74"/>
      <c r="D62" s="74"/>
      <c r="E62" s="74"/>
      <c r="F62" s="74"/>
      <c r="G62" s="74"/>
      <c r="H62" s="74"/>
      <c r="I62" s="74"/>
      <c r="J62" s="74"/>
      <c r="K62" s="74"/>
      <c r="L62" s="74" t="s">
        <v>387</v>
      </c>
      <c r="M62" s="77">
        <f>'Tabel 1.1'!G14</f>
        <v>4079532.4523799997</v>
      </c>
      <c r="N62" s="77">
        <f>'Tabel 1.1'!H14</f>
        <v>4531256.1571599999</v>
      </c>
      <c r="O62" s="74"/>
    </row>
    <row r="63" spans="1:15" x14ac:dyDescent="0.3">
      <c r="A63" s="74"/>
      <c r="B63" s="74"/>
      <c r="C63" s="74"/>
      <c r="D63" s="74"/>
      <c r="E63" s="74"/>
      <c r="F63" s="74"/>
      <c r="G63" s="74"/>
      <c r="H63" s="74"/>
      <c r="I63" s="74"/>
      <c r="J63" s="74"/>
      <c r="K63" s="74"/>
      <c r="L63" s="74" t="s">
        <v>57</v>
      </c>
      <c r="M63" s="77">
        <f>'Tabel 1.1'!G15</f>
        <v>1134700</v>
      </c>
      <c r="N63" s="77">
        <f>'Tabel 1.1'!H15</f>
        <v>1351782</v>
      </c>
      <c r="O63" s="74"/>
    </row>
    <row r="64" spans="1:15" x14ac:dyDescent="0.3">
      <c r="A64" s="74"/>
      <c r="B64" s="74"/>
      <c r="C64" s="74"/>
      <c r="D64" s="74"/>
      <c r="E64" s="74"/>
      <c r="F64" s="74"/>
      <c r="G64" s="74"/>
      <c r="H64" s="74"/>
      <c r="I64" s="74"/>
      <c r="J64" s="74"/>
      <c r="K64" s="74"/>
      <c r="L64" s="74" t="s">
        <v>59</v>
      </c>
      <c r="M64" s="77">
        <f>'Tabel 1.1'!G16</f>
        <v>0</v>
      </c>
      <c r="N64" s="77">
        <f>'Tabel 1.1'!H16</f>
        <v>0</v>
      </c>
      <c r="O64" s="74"/>
    </row>
    <row r="65" spans="1:15" x14ac:dyDescent="0.3">
      <c r="A65" s="74"/>
      <c r="B65" s="74"/>
      <c r="C65" s="74"/>
      <c r="D65" s="74"/>
      <c r="E65" s="74"/>
      <c r="F65" s="74"/>
      <c r="G65" s="74"/>
      <c r="H65" s="74"/>
      <c r="I65" s="74"/>
      <c r="J65" s="74"/>
      <c r="K65" s="74"/>
      <c r="L65" s="74" t="s">
        <v>60</v>
      </c>
      <c r="M65" s="77">
        <f>'Tabel 1.1'!G18</f>
        <v>7988385</v>
      </c>
      <c r="N65" s="77">
        <f>'Tabel 1.1'!H18</f>
        <v>8598193</v>
      </c>
      <c r="O65" s="74"/>
    </row>
    <row r="66" spans="1:15" x14ac:dyDescent="0.3">
      <c r="A66" s="74"/>
      <c r="B66" s="74"/>
      <c r="C66" s="74"/>
      <c r="D66" s="74"/>
      <c r="E66" s="74"/>
      <c r="F66" s="74"/>
      <c r="G66" s="74"/>
      <c r="H66" s="74"/>
      <c r="I66" s="74"/>
      <c r="J66" s="74"/>
      <c r="K66" s="74"/>
      <c r="L66" s="74" t="s">
        <v>61</v>
      </c>
      <c r="M66" s="77">
        <f>'Tabel 1.1'!G19</f>
        <v>20421.386947750718</v>
      </c>
      <c r="N66" s="77">
        <f>'Tabel 1.1'!H19</f>
        <v>25475.116409999999</v>
      </c>
      <c r="O66" s="74"/>
    </row>
    <row r="67" spans="1:15" x14ac:dyDescent="0.3">
      <c r="A67" s="74"/>
      <c r="B67" s="74"/>
      <c r="C67" s="74"/>
      <c r="D67" s="74"/>
      <c r="E67" s="74"/>
      <c r="F67" s="74"/>
      <c r="G67" s="74"/>
      <c r="H67" s="74"/>
      <c r="I67" s="74"/>
      <c r="J67" s="74"/>
      <c r="K67" s="74"/>
      <c r="L67" s="74" t="s">
        <v>62</v>
      </c>
      <c r="M67" s="77">
        <f>'Tabel 1.1'!G20</f>
        <v>0</v>
      </c>
      <c r="N67" s="77">
        <f>'Tabel 1.1'!H20</f>
        <v>0</v>
      </c>
      <c r="O67" s="74"/>
    </row>
    <row r="68" spans="1:15" x14ac:dyDescent="0.3">
      <c r="A68" s="74"/>
      <c r="B68" s="74"/>
      <c r="C68" s="74"/>
      <c r="D68" s="74"/>
      <c r="E68" s="74"/>
      <c r="F68" s="74"/>
      <c r="G68" s="74"/>
      <c r="H68" s="74"/>
      <c r="I68" s="74"/>
      <c r="J68" s="74"/>
      <c r="K68" s="74"/>
      <c r="L68" s="74" t="s">
        <v>63</v>
      </c>
      <c r="M68" s="77">
        <f>'Tabel 1.1'!G21</f>
        <v>563636708.30683994</v>
      </c>
      <c r="N68" s="77">
        <f>'Tabel 1.1'!H21</f>
        <v>651822235.95746005</v>
      </c>
      <c r="O68" s="74"/>
    </row>
    <row r="69" spans="1:15" x14ac:dyDescent="0.3">
      <c r="A69" s="74"/>
      <c r="B69" s="74"/>
      <c r="C69" s="74"/>
      <c r="D69" s="74"/>
      <c r="E69" s="74"/>
      <c r="F69" s="74"/>
      <c r="G69" s="74"/>
      <c r="H69" s="74"/>
      <c r="I69" s="74"/>
      <c r="J69" s="74"/>
      <c r="K69" s="74"/>
      <c r="L69" s="74" t="s">
        <v>64</v>
      </c>
      <c r="M69" s="77">
        <f>'Tabel 1.1'!G22</f>
        <v>67448.820000000007</v>
      </c>
      <c r="N69" s="77">
        <f>'Tabel 1.1'!H22</f>
        <v>90495.555999999997</v>
      </c>
      <c r="O69" s="74"/>
    </row>
    <row r="70" spans="1:15" x14ac:dyDescent="0.3">
      <c r="A70" s="74"/>
      <c r="B70" s="74"/>
      <c r="C70" s="74"/>
      <c r="D70" s="74"/>
      <c r="E70" s="74"/>
      <c r="F70" s="74"/>
      <c r="G70" s="74"/>
      <c r="H70" s="74"/>
      <c r="I70" s="74"/>
      <c r="J70" s="74"/>
      <c r="K70" s="74"/>
      <c r="L70" s="74" t="s">
        <v>400</v>
      </c>
      <c r="M70" s="77">
        <f>'Tabel 1.1'!G23</f>
        <v>0</v>
      </c>
      <c r="N70" s="77">
        <f>'Tabel 1.1'!H23</f>
        <v>0</v>
      </c>
      <c r="O70" s="74"/>
    </row>
    <row r="71" spans="1:15" x14ac:dyDescent="0.3">
      <c r="A71" s="74"/>
      <c r="B71" s="74"/>
      <c r="C71" s="74"/>
      <c r="D71" s="74"/>
      <c r="E71" s="74"/>
      <c r="F71" s="74"/>
      <c r="G71" s="74"/>
      <c r="H71" s="74"/>
      <c r="I71" s="74"/>
      <c r="J71" s="74"/>
      <c r="K71" s="74"/>
      <c r="L71" s="74" t="s">
        <v>406</v>
      </c>
      <c r="M71" s="77">
        <f>'Tabel 1.1'!G24</f>
        <v>0</v>
      </c>
      <c r="N71" s="77">
        <f>'Tabel 1.1'!H24</f>
        <v>0</v>
      </c>
      <c r="O71" s="74"/>
    </row>
    <row r="72" spans="1:15" x14ac:dyDescent="0.3">
      <c r="A72" s="74"/>
      <c r="B72" s="74"/>
      <c r="C72" s="74"/>
      <c r="D72" s="74"/>
      <c r="E72" s="74"/>
      <c r="F72" s="74"/>
      <c r="G72" s="74"/>
      <c r="H72" s="74"/>
      <c r="I72" s="74"/>
      <c r="J72" s="74"/>
      <c r="K72" s="74"/>
      <c r="L72" s="74" t="s">
        <v>65</v>
      </c>
      <c r="M72" s="77">
        <f>'Tabel 1.1'!G25</f>
        <v>54800659.999984071</v>
      </c>
      <c r="N72" s="77">
        <f>'Tabel 1.1'!H25</f>
        <v>55369879.99999357</v>
      </c>
      <c r="O72" s="74"/>
    </row>
    <row r="73" spans="1:15" x14ac:dyDescent="0.3">
      <c r="A73" s="74"/>
      <c r="B73" s="74"/>
      <c r="C73" s="74"/>
      <c r="D73" s="74"/>
      <c r="E73" s="74"/>
      <c r="F73" s="74"/>
      <c r="G73" s="74"/>
      <c r="H73" s="74"/>
      <c r="I73" s="74"/>
      <c r="J73" s="74"/>
      <c r="K73" s="74"/>
      <c r="L73" s="74" t="s">
        <v>66</v>
      </c>
      <c r="M73" s="77">
        <f>'Tabel 1.1'!G26</f>
        <v>87821000</v>
      </c>
      <c r="N73" s="77">
        <f>'Tabel 1.1'!H26</f>
        <v>110112000</v>
      </c>
      <c r="O73" s="74"/>
    </row>
    <row r="74" spans="1:15" x14ac:dyDescent="0.3">
      <c r="A74" s="74"/>
      <c r="B74" s="74"/>
      <c r="C74" s="74"/>
      <c r="D74" s="74"/>
      <c r="E74" s="74"/>
      <c r="F74" s="74"/>
      <c r="G74" s="74"/>
      <c r="H74" s="74"/>
      <c r="I74" s="74"/>
      <c r="J74" s="74"/>
      <c r="K74" s="74"/>
      <c r="L74" s="74" t="s">
        <v>67</v>
      </c>
      <c r="M74" s="77">
        <f>'Tabel 1.1'!G28</f>
        <v>19758215.866050001</v>
      </c>
      <c r="N74" s="77">
        <f>'Tabel 1.1'!H28</f>
        <v>20841895.883509997</v>
      </c>
      <c r="O74" s="74"/>
    </row>
    <row r="75" spans="1:15" x14ac:dyDescent="0.3">
      <c r="A75" s="74"/>
      <c r="B75" s="74"/>
      <c r="C75" s="74"/>
      <c r="D75" s="74"/>
      <c r="E75" s="74"/>
      <c r="F75" s="74"/>
      <c r="G75" s="74"/>
      <c r="H75" s="74"/>
      <c r="I75" s="74"/>
      <c r="J75" s="74"/>
      <c r="K75" s="74"/>
      <c r="L75" s="74" t="s">
        <v>68</v>
      </c>
      <c r="M75" s="77">
        <f>'Tabel 1.1'!G29</f>
        <v>195179233.26300004</v>
      </c>
      <c r="N75" s="77">
        <f>'Tabel 1.1'!H29</f>
        <v>200339753.17199999</v>
      </c>
      <c r="O75" s="74"/>
    </row>
    <row r="76" spans="1:15" x14ac:dyDescent="0.3">
      <c r="A76" s="74"/>
      <c r="B76" s="74"/>
      <c r="C76" s="74"/>
      <c r="D76" s="74"/>
      <c r="E76" s="74"/>
      <c r="F76" s="74"/>
      <c r="G76" s="74"/>
      <c r="H76" s="74"/>
      <c r="I76" s="74"/>
      <c r="J76" s="74"/>
      <c r="K76" s="74"/>
      <c r="L76" s="74" t="s">
        <v>96</v>
      </c>
      <c r="M76" s="77">
        <f>'Tabel 1.1'!G30</f>
        <v>0</v>
      </c>
      <c r="N76" s="77">
        <f>'Tabel 1.1'!H30</f>
        <v>0</v>
      </c>
      <c r="O76" s="74"/>
    </row>
    <row r="77" spans="1:15" x14ac:dyDescent="0.3">
      <c r="A77" s="74"/>
      <c r="B77" s="74"/>
      <c r="C77" s="74"/>
      <c r="D77" s="74"/>
      <c r="E77" s="74"/>
      <c r="F77" s="74"/>
      <c r="G77" s="74"/>
      <c r="H77" s="74"/>
      <c r="I77" s="74"/>
      <c r="J77" s="74"/>
      <c r="K77" s="74"/>
      <c r="L77" s="74" t="s">
        <v>97</v>
      </c>
      <c r="M77" s="77">
        <f>'Tabel 1.1'!G31</f>
        <v>0</v>
      </c>
      <c r="N77" s="77">
        <f>'Tabel 1.1'!H31</f>
        <v>0</v>
      </c>
      <c r="O77" s="74"/>
    </row>
    <row r="78" spans="1:15" x14ac:dyDescent="0.3">
      <c r="A78" s="74"/>
      <c r="B78" s="74"/>
      <c r="C78" s="74"/>
      <c r="D78" s="74"/>
      <c r="E78" s="74"/>
      <c r="F78" s="74"/>
      <c r="G78" s="74"/>
      <c r="H78" s="74"/>
      <c r="I78" s="74"/>
      <c r="J78" s="74"/>
      <c r="K78" s="74"/>
      <c r="L78" s="74" t="s">
        <v>397</v>
      </c>
      <c r="M78" s="77">
        <f>'Tabel 1.1'!G32</f>
        <v>0</v>
      </c>
      <c r="N78" s="77">
        <f>'Tabel 1.1'!H32</f>
        <v>0</v>
      </c>
      <c r="O78" s="74"/>
    </row>
    <row r="79" spans="1:15" x14ac:dyDescent="0.3">
      <c r="A79" s="74"/>
      <c r="B79" s="74"/>
      <c r="C79" s="74"/>
      <c r="D79" s="74"/>
      <c r="E79" s="74"/>
      <c r="F79" s="74"/>
      <c r="G79" s="74"/>
      <c r="H79" s="74"/>
      <c r="I79" s="74"/>
      <c r="J79" s="74"/>
      <c r="K79" s="74"/>
      <c r="L79" s="74" t="s">
        <v>409</v>
      </c>
      <c r="M79" s="77">
        <f>'Tabel 1.1'!G33</f>
        <v>0</v>
      </c>
      <c r="N79" s="77">
        <f>'Tabel 1.1'!H33</f>
        <v>1794</v>
      </c>
      <c r="O79" s="74"/>
    </row>
    <row r="80" spans="1:15" x14ac:dyDescent="0.3">
      <c r="A80" s="75" t="s">
        <v>413</v>
      </c>
      <c r="B80" s="74"/>
      <c r="C80" s="74"/>
      <c r="D80" s="74"/>
      <c r="E80" s="74"/>
      <c r="F80" s="74"/>
      <c r="G80" s="74"/>
      <c r="H80" s="74"/>
      <c r="I80" s="79"/>
      <c r="J80" s="74"/>
      <c r="K80" s="74"/>
      <c r="O80" s="74"/>
    </row>
    <row r="81" spans="1:15" x14ac:dyDescent="0.3">
      <c r="B81" s="74"/>
      <c r="C81" s="74"/>
      <c r="D81" s="74"/>
      <c r="E81" s="74"/>
      <c r="F81" s="74"/>
      <c r="G81" s="74"/>
      <c r="H81" s="74"/>
      <c r="I81" s="74"/>
      <c r="J81" s="74"/>
      <c r="K81" s="74"/>
      <c r="L81" s="74" t="s">
        <v>73</v>
      </c>
      <c r="O81" s="74"/>
    </row>
    <row r="82" spans="1:15" x14ac:dyDescent="0.3">
      <c r="A82" s="74"/>
      <c r="B82" s="74"/>
      <c r="C82" s="74"/>
      <c r="D82" s="74"/>
      <c r="E82" s="74"/>
      <c r="F82" s="74"/>
      <c r="G82" s="74"/>
      <c r="H82" s="74"/>
      <c r="I82" s="74"/>
      <c r="J82" s="74"/>
      <c r="K82" s="74"/>
      <c r="L82" s="74" t="s">
        <v>1</v>
      </c>
      <c r="O82" s="74"/>
    </row>
    <row r="83" spans="1:15" x14ac:dyDescent="0.3">
      <c r="A83" s="74"/>
      <c r="B83" s="74"/>
      <c r="C83" s="74"/>
      <c r="D83" s="74"/>
      <c r="E83" s="74"/>
      <c r="F83" s="74"/>
      <c r="G83" s="74"/>
      <c r="H83" s="74"/>
      <c r="I83" s="74"/>
      <c r="J83" s="74"/>
      <c r="K83" s="74"/>
      <c r="M83" s="74">
        <f>M7</f>
        <v>2021</v>
      </c>
      <c r="N83" s="74">
        <f>N7</f>
        <v>2022</v>
      </c>
      <c r="O83" s="74"/>
    </row>
    <row r="84" spans="1:15" x14ac:dyDescent="0.3">
      <c r="A84" s="74"/>
      <c r="B84" s="74"/>
      <c r="C84" s="74"/>
      <c r="D84" s="74"/>
      <c r="E84" s="74"/>
      <c r="F84" s="74"/>
      <c r="G84" s="74"/>
      <c r="H84" s="74"/>
      <c r="I84" s="74"/>
      <c r="J84" s="74"/>
      <c r="K84" s="74"/>
      <c r="L84" s="74" t="s">
        <v>54</v>
      </c>
      <c r="M84" s="77">
        <f>'Tabel 1.1'!G37</f>
        <v>26763939.773000002</v>
      </c>
      <c r="N84" s="77">
        <f>'Tabel 1.1'!H37</f>
        <v>26321708.566660002</v>
      </c>
      <c r="O84" s="74"/>
    </row>
    <row r="85" spans="1:15" x14ac:dyDescent="0.3">
      <c r="B85" s="74"/>
      <c r="C85" s="74"/>
      <c r="D85" s="74"/>
      <c r="E85" s="74"/>
      <c r="F85" s="74"/>
      <c r="G85" s="74"/>
      <c r="H85" s="74"/>
      <c r="I85" s="74"/>
      <c r="J85" s="74"/>
      <c r="K85" s="74"/>
      <c r="L85" s="74" t="s">
        <v>55</v>
      </c>
      <c r="M85" s="77">
        <f>'Tabel 1.1'!G38</f>
        <v>129966187.12900001</v>
      </c>
      <c r="N85" s="77">
        <f>'Tabel 1.1'!H38</f>
        <v>130260212</v>
      </c>
      <c r="O85" s="74"/>
    </row>
    <row r="86" spans="1:15" x14ac:dyDescent="0.3">
      <c r="B86" s="74"/>
      <c r="C86" s="74"/>
      <c r="D86" s="74"/>
      <c r="E86" s="74"/>
      <c r="F86" s="74"/>
      <c r="G86" s="74"/>
      <c r="H86" s="74"/>
      <c r="I86" s="74"/>
      <c r="J86" s="74"/>
      <c r="K86" s="74"/>
      <c r="L86" s="74" t="s">
        <v>57</v>
      </c>
      <c r="M86" s="77">
        <f>'Tabel 1.1'!G39</f>
        <v>0</v>
      </c>
      <c r="N86" s="77">
        <f>'Tabel 1.1'!H39</f>
        <v>0</v>
      </c>
      <c r="O86" s="74"/>
    </row>
    <row r="87" spans="1:15" x14ac:dyDescent="0.3">
      <c r="B87" s="74"/>
      <c r="C87" s="74"/>
      <c r="D87" s="74"/>
      <c r="E87" s="74"/>
      <c r="F87" s="74"/>
      <c r="G87" s="74"/>
      <c r="H87" s="74"/>
      <c r="I87" s="74"/>
      <c r="J87" s="74"/>
      <c r="K87" s="74"/>
      <c r="L87" s="79" t="s">
        <v>60</v>
      </c>
      <c r="M87" s="77">
        <f>'Tabel 1.1'!G40</f>
        <v>38652190</v>
      </c>
      <c r="N87" s="77">
        <f>'Tabel 1.1'!H40</f>
        <v>40777682</v>
      </c>
      <c r="O87" s="74"/>
    </row>
    <row r="88" spans="1:15" x14ac:dyDescent="0.3">
      <c r="B88" s="74"/>
      <c r="C88" s="74"/>
      <c r="D88" s="74"/>
      <c r="E88" s="74"/>
      <c r="F88" s="74"/>
      <c r="G88" s="74"/>
      <c r="H88" s="74"/>
      <c r="I88" s="74"/>
      <c r="J88" s="74"/>
      <c r="K88" s="74"/>
      <c r="L88" s="74" t="s">
        <v>63</v>
      </c>
      <c r="M88" s="77">
        <f>'Tabel 1.1'!G41</f>
        <v>2232813.0127599998</v>
      </c>
      <c r="N88" s="77">
        <f>'Tabel 1.1'!H41</f>
        <v>2589206.34993</v>
      </c>
      <c r="O88" s="74"/>
    </row>
    <row r="89" spans="1:15" x14ac:dyDescent="0.3">
      <c r="B89" s="74"/>
      <c r="C89" s="74"/>
      <c r="D89" s="74"/>
      <c r="E89" s="74"/>
      <c r="F89" s="74"/>
      <c r="G89" s="74"/>
      <c r="H89" s="74"/>
      <c r="I89" s="74"/>
      <c r="J89" s="74"/>
      <c r="K89" s="74"/>
      <c r="L89" s="74" t="s">
        <v>65</v>
      </c>
      <c r="M89" s="77">
        <f>'Tabel 1.1'!G42</f>
        <v>114051500</v>
      </c>
      <c r="N89" s="77">
        <f>'Tabel 1.1'!H42</f>
        <v>114500280</v>
      </c>
      <c r="O89" s="74"/>
    </row>
    <row r="90" spans="1:15" x14ac:dyDescent="0.3">
      <c r="B90" s="74"/>
      <c r="C90" s="74"/>
      <c r="D90" s="74"/>
      <c r="E90" s="74"/>
      <c r="F90" s="74"/>
      <c r="G90" s="74"/>
      <c r="H90" s="74"/>
      <c r="I90" s="74"/>
      <c r="J90" s="74"/>
      <c r="K90" s="74"/>
      <c r="L90" s="74" t="s">
        <v>71</v>
      </c>
      <c r="M90" s="77">
        <f>'Tabel 1.1'!G43</f>
        <v>3229114.5629100003</v>
      </c>
      <c r="N90" s="77">
        <f>'Tabel 1.1'!H43</f>
        <v>2775030.1372700003</v>
      </c>
      <c r="O90" s="74"/>
    </row>
    <row r="91" spans="1:15" x14ac:dyDescent="0.3">
      <c r="A91" s="74"/>
      <c r="B91" s="74"/>
      <c r="C91" s="74"/>
      <c r="D91" s="74"/>
      <c r="E91" s="74"/>
      <c r="F91" s="74"/>
      <c r="G91" s="74"/>
      <c r="H91" s="74"/>
      <c r="I91" s="74"/>
      <c r="J91" s="74"/>
      <c r="K91" s="74"/>
      <c r="L91" s="74" t="s">
        <v>67</v>
      </c>
      <c r="M91" s="77">
        <f>'Tabel 1.1'!G44</f>
        <v>50948452.248089992</v>
      </c>
      <c r="N91" s="77">
        <f>'Tabel 1.1'!H44</f>
        <v>51842088.697679996</v>
      </c>
      <c r="O91" s="74"/>
    </row>
    <row r="92" spans="1:15" ht="18.75" customHeight="1" x14ac:dyDescent="0.3">
      <c r="A92" s="74"/>
      <c r="B92" s="74"/>
      <c r="C92" s="74"/>
      <c r="D92" s="74"/>
      <c r="E92" s="74"/>
      <c r="F92" s="74"/>
      <c r="G92" s="74"/>
      <c r="H92" s="74"/>
      <c r="I92" s="74"/>
      <c r="J92" s="74"/>
      <c r="K92" s="74"/>
      <c r="L92" s="74" t="s">
        <v>72</v>
      </c>
      <c r="M92" s="77">
        <f>'Tabel 1.1'!G45</f>
        <v>150707923.69099998</v>
      </c>
      <c r="N92" s="77">
        <f>'Tabel 1.1'!H45</f>
        <v>145912125.61899999</v>
      </c>
      <c r="O92" s="74"/>
    </row>
    <row r="93" spans="1:15" ht="18.75" customHeight="1" x14ac:dyDescent="0.3">
      <c r="A93" s="74"/>
      <c r="B93" s="74"/>
      <c r="C93" s="74"/>
      <c r="D93" s="74"/>
      <c r="E93" s="74"/>
      <c r="F93" s="74"/>
      <c r="G93" s="74"/>
      <c r="H93" s="74"/>
      <c r="I93" s="74"/>
      <c r="J93" s="74"/>
      <c r="K93" s="74"/>
      <c r="M93" s="77"/>
      <c r="O93" s="74"/>
    </row>
    <row r="94" spans="1:15" ht="18.75" customHeight="1" x14ac:dyDescent="0.3">
      <c r="A94" s="74"/>
      <c r="B94" s="74"/>
      <c r="C94" s="74"/>
      <c r="D94" s="74"/>
      <c r="E94" s="74"/>
      <c r="F94" s="74"/>
      <c r="G94" s="74"/>
      <c r="H94" s="74"/>
      <c r="I94" s="74"/>
      <c r="J94" s="74"/>
      <c r="K94" s="74"/>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414</v>
      </c>
      <c r="B106" s="74"/>
      <c r="C106" s="74"/>
      <c r="D106" s="74"/>
      <c r="E106" s="74"/>
      <c r="F106" s="74"/>
      <c r="G106" s="74"/>
      <c r="H106" s="79"/>
      <c r="I106" s="74"/>
      <c r="J106" s="74"/>
      <c r="K106" s="74"/>
      <c r="L106" s="79" t="s">
        <v>74</v>
      </c>
      <c r="O106" s="74"/>
      <c r="Q106" s="74"/>
    </row>
    <row r="107" spans="1:17" ht="18.75" customHeight="1" x14ac:dyDescent="0.3">
      <c r="A107" s="74"/>
      <c r="B107" s="74"/>
      <c r="C107" s="74"/>
      <c r="D107" s="74"/>
      <c r="E107" s="74"/>
      <c r="F107" s="74"/>
      <c r="G107" s="74"/>
      <c r="H107" s="74"/>
      <c r="I107" s="74"/>
      <c r="J107" s="74"/>
      <c r="K107" s="74"/>
      <c r="L107" s="74" t="s">
        <v>0</v>
      </c>
      <c r="O107" s="74"/>
      <c r="Q107" s="74"/>
    </row>
    <row r="108" spans="1:17" ht="18.75" customHeight="1" x14ac:dyDescent="0.3">
      <c r="A108" s="74"/>
      <c r="B108" s="74"/>
      <c r="C108" s="74"/>
      <c r="D108" s="74"/>
      <c r="E108" s="74"/>
      <c r="F108" s="74"/>
      <c r="G108" s="74"/>
      <c r="H108" s="74"/>
      <c r="I108" s="74"/>
      <c r="J108" s="74"/>
      <c r="K108" s="74"/>
      <c r="M108" s="74">
        <f>M7</f>
        <v>2021</v>
      </c>
      <c r="N108" s="74">
        <f>N7</f>
        <v>2022</v>
      </c>
      <c r="O108" s="74"/>
      <c r="Q108" s="74"/>
    </row>
    <row r="109" spans="1:17" ht="18.75" customHeight="1" x14ac:dyDescent="0.3">
      <c r="A109" s="74"/>
      <c r="B109" s="74"/>
      <c r="C109" s="74"/>
      <c r="D109" s="74"/>
      <c r="E109" s="74"/>
      <c r="F109" s="74"/>
      <c r="G109" s="74"/>
      <c r="H109" s="74"/>
      <c r="I109" s="74"/>
      <c r="J109" s="74"/>
      <c r="K109" s="74"/>
      <c r="L109" s="74" t="s">
        <v>54</v>
      </c>
      <c r="M109"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3625.74</v>
      </c>
      <c r="N109"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5339.3479999999981</v>
      </c>
      <c r="O109" s="74"/>
      <c r="Q109" s="74"/>
    </row>
    <row r="110" spans="1:17" ht="18.75" customHeight="1" x14ac:dyDescent="0.3">
      <c r="A110" s="74"/>
      <c r="B110" s="74"/>
      <c r="C110" s="74"/>
      <c r="D110" s="74"/>
      <c r="E110" s="74"/>
      <c r="F110" s="74"/>
      <c r="G110" s="74"/>
      <c r="H110" s="74"/>
      <c r="I110" s="74"/>
      <c r="J110" s="74"/>
      <c r="K110" s="74"/>
      <c r="L110" s="74" t="s">
        <v>55</v>
      </c>
      <c r="M110" s="77">
        <f>'DNB Livsforsikring'!B11-'DNB Livsforsikring'!B12+'DNB Livsforsikring'!B34-'DNB Livsforsikring'!B35+'DNB Livsforsikring'!B38-'DNB Livsforsikring'!B39+'DNB Livsforsikring'!B111-'DNB Livsforsikring'!B119+'DNB Livsforsikring'!B136-'DNB Livsforsikring'!B137</f>
        <v>128120</v>
      </c>
      <c r="N110" s="77">
        <f>'DNB Livsforsikring'!C11-'DNB Livsforsikring'!C12+'DNB Livsforsikring'!C34-'DNB Livsforsikring'!C35+'DNB Livsforsikring'!C38-'DNB Livsforsikring'!C39+'DNB Livsforsikring'!C111-'DNB Livsforsikring'!C119+'DNB Livsforsikring'!C136-'DNB Livsforsikring'!C137</f>
        <v>76914</v>
      </c>
      <c r="O110" s="74"/>
      <c r="Q110" s="74"/>
    </row>
    <row r="111" spans="1:17" ht="18.75" customHeight="1" x14ac:dyDescent="0.3">
      <c r="A111" s="74"/>
      <c r="B111" s="74"/>
      <c r="C111" s="74"/>
      <c r="D111" s="74"/>
      <c r="E111" s="74"/>
      <c r="F111" s="74"/>
      <c r="G111" s="74"/>
      <c r="H111" s="74"/>
      <c r="I111" s="74"/>
      <c r="J111" s="74"/>
      <c r="K111" s="74"/>
      <c r="L111" s="79" t="s">
        <v>60</v>
      </c>
      <c r="M111" s="77">
        <f>'Gjensidige Pensjon'!B11-'Gjensidige Pensjon'!B12+'Gjensidige Pensjon'!B34-'Gjensidige Pensjon'!B35+'Gjensidige Pensjon'!B38-'Gjensidige Pensjon'!B39+'Gjensidige Pensjon'!B111-'Gjensidige Pensjon'!B119+'Gjensidige Pensjon'!B136-'Gjensidige Pensjon'!B137</f>
        <v>-5822</v>
      </c>
      <c r="N111" s="77">
        <f>'Gjensidige Pensjon'!C11-'Gjensidige Pensjon'!C12+'Gjensidige Pensjon'!C34-'Gjensidige Pensjon'!C35+'Gjensidige Pensjon'!C38-'Gjensidige Pensjon'!C39+'Gjensidige Pensjon'!C111-'Gjensidige Pensjon'!C119+'Gjensidige Pensjon'!C136-'Gjensidige Pensjon'!C137</f>
        <v>57086</v>
      </c>
      <c r="O111" s="74"/>
      <c r="Q111" s="74"/>
    </row>
    <row r="112" spans="1:17" ht="18.75" customHeight="1" x14ac:dyDescent="0.3">
      <c r="A112" s="74"/>
      <c r="B112" s="74"/>
      <c r="C112" s="74"/>
      <c r="D112" s="74"/>
      <c r="E112" s="74"/>
      <c r="F112" s="74"/>
      <c r="G112" s="74"/>
      <c r="H112" s="74"/>
      <c r="I112" s="74"/>
      <c r="J112" s="74"/>
      <c r="K112" s="74"/>
      <c r="L112" s="79" t="s">
        <v>63</v>
      </c>
      <c r="M112" s="77">
        <f>KLP!B11-KLP!B12+KLP!B34-KLP!B35+KLP!B38-KLP!B39+KLP!B111-KLP!B119+KLP!B136-KLP!B137</f>
        <v>-8346122.3590000002</v>
      </c>
      <c r="N112" s="77">
        <f>KLP!C11-KLP!C12+KLP!C34-KLP!C35+KLP!C38-KLP!C39+KLP!C111-KLP!C119+KLP!C136-KLP!C137</f>
        <v>-4355080.0760000004</v>
      </c>
      <c r="O112" s="74"/>
      <c r="Q112" s="74"/>
    </row>
    <row r="113" spans="1:17" ht="18.75" customHeight="1" x14ac:dyDescent="0.3">
      <c r="A113" s="74"/>
      <c r="B113" s="74"/>
      <c r="C113" s="74"/>
      <c r="D113" s="74"/>
      <c r="E113" s="74"/>
      <c r="F113" s="74"/>
      <c r="G113" s="74"/>
      <c r="H113" s="74"/>
      <c r="I113" s="74"/>
      <c r="J113" s="74"/>
      <c r="K113" s="74"/>
      <c r="L113" s="74" t="s">
        <v>65</v>
      </c>
      <c r="M113" s="77">
        <f>'Nordea Liv '!B11-'Nordea Liv '!B12+'Nordea Liv '!B34-'Nordea Liv '!B35+'Nordea Liv '!B38-'Nordea Liv '!B39+'Nordea Liv '!B111-'Nordea Liv '!B119+'Nordea Liv '!B136-'Nordea Liv '!B137</f>
        <v>137.2955400001556</v>
      </c>
      <c r="N113" s="77">
        <f>'Nordea Liv '!C11-'Nordea Liv '!C12+'Nordea Liv '!C34-'Nordea Liv '!C35+'Nordea Liv '!C38-'Nordea Liv '!C39+'Nordea Liv '!C111-'Nordea Liv '!C119+'Nordea Liv '!C136-'Nordea Liv '!C137</f>
        <v>-1840.4171499998602</v>
      </c>
      <c r="O113" s="74"/>
      <c r="Q113" s="74"/>
    </row>
    <row r="114" spans="1:17" ht="18.75" customHeight="1" x14ac:dyDescent="0.3">
      <c r="A114" s="74"/>
      <c r="B114" s="74"/>
      <c r="C114" s="74"/>
      <c r="D114" s="74"/>
      <c r="E114" s="74"/>
      <c r="F114" s="74"/>
      <c r="G114" s="74"/>
      <c r="H114" s="74"/>
      <c r="I114" s="74"/>
      <c r="J114" s="74"/>
      <c r="K114" s="74"/>
      <c r="L114" s="74" t="s">
        <v>67</v>
      </c>
      <c r="M114" s="77">
        <f>'Sparebank 1'!B11-'Sparebank 1'!B12+'Sparebank 1'!B34-'Sparebank 1'!B35+'Sparebank 1'!B38-'Sparebank 1'!B39+'Sparebank 1'!B111-'Sparebank 1'!B119+'Sparebank 1'!B136-'Sparebank 1'!B137</f>
        <v>-4778.6397599999964</v>
      </c>
      <c r="N114" s="77">
        <f>'Sparebank 1'!C11-'Sparebank 1'!C12+'Sparebank 1'!C34-'Sparebank 1'!C35+'Sparebank 1'!C38-'Sparebank 1'!C39+'Sparebank 1'!C111-'Sparebank 1'!C119+'Sparebank 1'!C136-'Sparebank 1'!C137</f>
        <v>-204444.92813000001</v>
      </c>
      <c r="O114" s="74"/>
      <c r="Q114" s="74"/>
    </row>
    <row r="115" spans="1:17" ht="18.75" customHeight="1" x14ac:dyDescent="0.3">
      <c r="A115" s="74"/>
      <c r="B115" s="74"/>
      <c r="C115" s="74"/>
      <c r="D115" s="74"/>
      <c r="E115" s="74"/>
      <c r="F115" s="74"/>
      <c r="G115" s="74"/>
      <c r="H115" s="74"/>
      <c r="I115" s="74"/>
      <c r="J115" s="74"/>
      <c r="K115" s="74"/>
      <c r="L115" s="74" t="s">
        <v>68</v>
      </c>
      <c r="M115"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6995598.233</v>
      </c>
      <c r="N115"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3416282.855</v>
      </c>
      <c r="O115" s="74"/>
      <c r="Q115" s="74"/>
    </row>
    <row r="116" spans="1:17" ht="18.75" customHeight="1" x14ac:dyDescent="0.3">
      <c r="A116" s="74"/>
      <c r="B116" s="74"/>
      <c r="C116" s="74"/>
      <c r="D116" s="74"/>
      <c r="E116" s="74"/>
      <c r="F116" s="74"/>
      <c r="G116" s="74"/>
      <c r="H116" s="74"/>
      <c r="I116" s="74"/>
      <c r="J116" s="74"/>
      <c r="K116" s="74"/>
      <c r="M116" s="77"/>
      <c r="N116" s="77"/>
      <c r="O116" s="74"/>
      <c r="Q116" s="74"/>
    </row>
    <row r="117" spans="1:17" ht="18.75" customHeight="1" x14ac:dyDescent="0.3">
      <c r="A117" s="74"/>
      <c r="B117" s="74"/>
      <c r="C117" s="74"/>
      <c r="D117" s="74"/>
      <c r="E117" s="74"/>
      <c r="F117" s="74"/>
      <c r="G117" s="74"/>
      <c r="H117" s="74"/>
      <c r="I117" s="74"/>
      <c r="J117" s="74"/>
      <c r="K117" s="74"/>
      <c r="M117" s="77"/>
      <c r="N117" s="77"/>
      <c r="O117" s="74"/>
    </row>
    <row r="118" spans="1:17" ht="18.75" customHeight="1" x14ac:dyDescent="0.3">
      <c r="A118" s="74"/>
      <c r="B118" s="74"/>
      <c r="C118" s="74"/>
      <c r="D118" s="74"/>
      <c r="E118" s="74"/>
      <c r="F118" s="74"/>
      <c r="G118" s="74"/>
      <c r="H118" s="74"/>
      <c r="I118" s="74"/>
      <c r="J118" s="74"/>
      <c r="K118" s="74"/>
      <c r="M118" s="77"/>
      <c r="N118" s="77"/>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O123" s="74"/>
    </row>
    <row r="124" spans="1:17" x14ac:dyDescent="0.3">
      <c r="A124" s="74"/>
      <c r="B124" s="74"/>
      <c r="C124" s="74"/>
      <c r="D124" s="74"/>
      <c r="E124" s="74"/>
      <c r="F124" s="74"/>
      <c r="G124" s="74"/>
      <c r="H124" s="74"/>
      <c r="I124" s="74"/>
      <c r="J124" s="74"/>
      <c r="K124" s="74"/>
      <c r="O124" s="74"/>
    </row>
    <row r="125" spans="1:17" x14ac:dyDescent="0.3">
      <c r="A125" s="74"/>
      <c r="B125" s="74"/>
      <c r="C125" s="74"/>
      <c r="D125" s="74"/>
      <c r="E125" s="74"/>
      <c r="F125" s="74"/>
      <c r="G125" s="74"/>
      <c r="H125" s="74"/>
      <c r="I125" s="74"/>
      <c r="J125" s="74"/>
      <c r="K125" s="74"/>
      <c r="O125" s="74"/>
    </row>
    <row r="126" spans="1:17" x14ac:dyDescent="0.3">
      <c r="A126" s="74"/>
      <c r="B126" s="74"/>
      <c r="C126" s="74"/>
      <c r="D126" s="74"/>
      <c r="E126" s="74"/>
      <c r="F126" s="74"/>
      <c r="G126" s="74"/>
      <c r="H126" s="74"/>
      <c r="I126" s="74"/>
      <c r="J126" s="74"/>
      <c r="K126" s="74"/>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L129" s="79" t="s">
        <v>75</v>
      </c>
      <c r="O129" s="74"/>
    </row>
    <row r="130" spans="1:15" x14ac:dyDescent="0.3">
      <c r="A130" s="75" t="s">
        <v>415</v>
      </c>
      <c r="B130" s="74"/>
      <c r="C130" s="74"/>
      <c r="D130" s="74"/>
      <c r="E130" s="74"/>
      <c r="F130" s="74"/>
      <c r="G130" s="74"/>
      <c r="H130" s="79"/>
      <c r="I130" s="74"/>
      <c r="J130" s="74"/>
      <c r="K130" s="74"/>
      <c r="L130" s="74" t="s">
        <v>1</v>
      </c>
      <c r="O130" s="74"/>
    </row>
    <row r="131" spans="1:15" x14ac:dyDescent="0.3">
      <c r="B131" s="74"/>
      <c r="C131" s="74"/>
      <c r="D131" s="74"/>
      <c r="E131" s="74"/>
      <c r="F131" s="74"/>
      <c r="G131" s="74"/>
      <c r="H131" s="74"/>
      <c r="I131" s="74"/>
      <c r="J131" s="74"/>
      <c r="K131" s="74"/>
      <c r="M131" s="74">
        <f>M7</f>
        <v>2021</v>
      </c>
      <c r="N131" s="74">
        <f>N7</f>
        <v>2022</v>
      </c>
      <c r="O131" s="74"/>
    </row>
    <row r="132" spans="1:15" x14ac:dyDescent="0.3">
      <c r="A132" s="74"/>
      <c r="B132" s="74"/>
      <c r="C132" s="74"/>
      <c r="D132" s="74"/>
      <c r="E132" s="74"/>
      <c r="F132" s="74"/>
      <c r="G132" s="74"/>
      <c r="H132" s="74"/>
      <c r="I132" s="74"/>
      <c r="J132" s="74"/>
      <c r="K132" s="74"/>
      <c r="L132" s="74" t="s">
        <v>54</v>
      </c>
      <c r="M132"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24962.467999999877</v>
      </c>
      <c r="N132"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-219078.76338999998</v>
      </c>
      <c r="O132" s="74"/>
    </row>
    <row r="133" spans="1:15" x14ac:dyDescent="0.3">
      <c r="A133" s="74"/>
      <c r="B133" s="74"/>
      <c r="C133" s="74"/>
      <c r="D133" s="74"/>
      <c r="E133" s="74"/>
      <c r="F133" s="74"/>
      <c r="G133" s="74"/>
      <c r="H133" s="74"/>
      <c r="I133" s="74"/>
      <c r="J133" s="74"/>
      <c r="K133" s="74"/>
      <c r="L133" s="74" t="s">
        <v>55</v>
      </c>
      <c r="M133" s="77">
        <f>'DNB Livsforsikring'!F11-'DNB Livsforsikring'!F12+'DNB Livsforsikring'!F34-'DNB Livsforsikring'!F35+'DNB Livsforsikring'!F38-'DNB Livsforsikring'!F39+'DNB Livsforsikring'!F111-'DNB Livsforsikring'!F119+'DNB Livsforsikring'!F136-'DNB Livsforsikring'!F137</f>
        <v>-1227148</v>
      </c>
      <c r="N133" s="77">
        <f>'DNB Livsforsikring'!G11-'DNB Livsforsikring'!G12+'DNB Livsforsikring'!G34-'DNB Livsforsikring'!G35+'DNB Livsforsikring'!G38-'DNB Livsforsikring'!G39+'DNB Livsforsikring'!G111-'DNB Livsforsikring'!G119+'DNB Livsforsikring'!G136-'DNB Livsforsikring'!G137</f>
        <v>-172405</v>
      </c>
      <c r="O133" s="74"/>
    </row>
    <row r="134" spans="1:15" x14ac:dyDescent="0.3">
      <c r="A134" s="74"/>
      <c r="B134" s="74"/>
      <c r="C134" s="74"/>
      <c r="D134" s="74"/>
      <c r="E134" s="74"/>
      <c r="F134" s="74"/>
      <c r="G134" s="74"/>
      <c r="H134" s="74"/>
      <c r="I134" s="74"/>
      <c r="J134" s="74"/>
      <c r="K134" s="74"/>
      <c r="L134" s="74" t="s">
        <v>57</v>
      </c>
      <c r="M134" s="77">
        <f>'Frende Livsforsikring'!F11-'Frende Livsforsikring'!F12+'Frende Livsforsikring'!F34-'Frende Livsforsikring'!F35+'Frende Livsforsikring'!F38-'Frende Livsforsikring'!F39+'Frende Livsforsikring'!F111-'Frende Livsforsikring'!F119+'Frende Livsforsikring'!F136-'Frende Livsforsikring'!F137</f>
        <v>0</v>
      </c>
      <c r="N134" s="77">
        <f>'Frende Livsforsikring'!G11-'Frende Livsforsikring'!G12+'Frende Livsforsikring'!G34-'Frende Livsforsikring'!G35+'Frende Livsforsikring'!G38-'Frende Livsforsikring'!G39+'Frende Livsforsikring'!G111-'Frende Livsforsikring'!G119+'Frende Livsforsikring'!G136-'Frende Livsforsikring'!G137</f>
        <v>0</v>
      </c>
      <c r="O134" s="74"/>
    </row>
    <row r="135" spans="1:15" x14ac:dyDescent="0.3">
      <c r="A135" s="74"/>
      <c r="B135" s="74"/>
      <c r="C135" s="74"/>
      <c r="D135" s="74"/>
      <c r="E135" s="74"/>
      <c r="F135" s="74"/>
      <c r="G135" s="74"/>
      <c r="H135" s="74"/>
      <c r="I135" s="74"/>
      <c r="J135" s="74"/>
      <c r="K135" s="74"/>
      <c r="L135" s="79" t="s">
        <v>60</v>
      </c>
      <c r="M135" s="77">
        <f>'Gjensidige Pensjon'!F11-'Gjensidige Pensjon'!F12+'Gjensidige Pensjon'!F34-'Gjensidige Pensjon'!F35+'Gjensidige Pensjon'!F38-'Gjensidige Pensjon'!F39+'Gjensidige Pensjon'!F111-'Gjensidige Pensjon'!F119+'Gjensidige Pensjon'!F136-'Gjensidige Pensjon'!F137</f>
        <v>-342266</v>
      </c>
      <c r="N135" s="77">
        <f>'Gjensidige Pensjon'!G11-'Gjensidige Pensjon'!G12+'Gjensidige Pensjon'!G34-'Gjensidige Pensjon'!G35+'Gjensidige Pensjon'!G38-'Gjensidige Pensjon'!G39+'Gjensidige Pensjon'!G111-'Gjensidige Pensjon'!G119+'Gjensidige Pensjon'!G136-'Gjensidige Pensjon'!G137</f>
        <v>1232079</v>
      </c>
      <c r="O135" s="74"/>
    </row>
    <row r="136" spans="1:15" x14ac:dyDescent="0.3">
      <c r="A136" s="74"/>
      <c r="B136" s="74"/>
      <c r="C136" s="74"/>
      <c r="D136" s="74"/>
      <c r="E136" s="74"/>
      <c r="F136" s="74"/>
      <c r="G136" s="74"/>
      <c r="H136" s="74"/>
      <c r="I136" s="74"/>
      <c r="J136" s="74"/>
      <c r="K136" s="74"/>
      <c r="L136" s="74" t="s">
        <v>63</v>
      </c>
      <c r="M136" s="77">
        <f>KLP!F11-KLP!F12+KLP!F34-KLP!F35+KLP!F38-KLP!F39+KLP!F111-KLP!F119+KLP!F136-KLP!F137</f>
        <v>0</v>
      </c>
      <c r="N136" s="77">
        <f>KLP!G11-KLP!G12+KLP!G34-KLP!G35+KLP!G38-KLP!G39+KLP!G111-KLP!G119+KLP!G136-KLP!G137</f>
        <v>376440.52899999998</v>
      </c>
      <c r="O136" s="74"/>
    </row>
    <row r="137" spans="1:15" x14ac:dyDescent="0.3">
      <c r="A137" s="74"/>
      <c r="B137" s="74"/>
      <c r="C137" s="74"/>
      <c r="D137" s="74"/>
      <c r="E137" s="74"/>
      <c r="F137" s="74"/>
      <c r="G137" s="74"/>
      <c r="H137" s="74"/>
      <c r="I137" s="74"/>
      <c r="J137" s="74"/>
      <c r="K137" s="74"/>
      <c r="L137" s="74" t="s">
        <v>65</v>
      </c>
      <c r="M137" s="77">
        <f>'Nordea Liv '!F11-'Nordea Liv '!F12+'Nordea Liv '!F34-'Nordea Liv '!F35+'Nordea Liv '!F38-'Nordea Liv '!F39+'Nordea Liv '!F111-'Nordea Liv '!F119+'Nordea Liv '!F136-'Nordea Liv '!F137</f>
        <v>13147.515189998783</v>
      </c>
      <c r="N137" s="77">
        <f>'Nordea Liv '!G11-'Nordea Liv '!G12+'Nordea Liv '!G34-'Nordea Liv '!G35+'Nordea Liv '!G38-'Nordea Liv '!G39+'Nordea Liv '!G111-'Nordea Liv '!G119+'Nordea Liv '!G136-'Nordea Liv '!G137</f>
        <v>624143.67715000035</v>
      </c>
      <c r="O137" s="74"/>
    </row>
    <row r="138" spans="1:15" x14ac:dyDescent="0.3">
      <c r="A138" s="74"/>
      <c r="B138" s="74"/>
      <c r="C138" s="74"/>
      <c r="D138" s="74"/>
      <c r="E138" s="74"/>
      <c r="F138" s="74"/>
      <c r="G138" s="74"/>
      <c r="H138" s="74"/>
      <c r="I138" s="74"/>
      <c r="J138" s="74"/>
      <c r="K138" s="74"/>
      <c r="L138" s="74" t="s">
        <v>71</v>
      </c>
      <c r="M138" s="77">
        <f>'SHB Liv'!F11-'SHB Liv'!F12+'SHB Liv'!F34-'SHB Liv'!F35+'SHB Liv'!F38-'SHB Liv'!F39+'SHB Liv'!F111-'SHB Liv'!F119+'SHB Liv'!F136-'SHB Liv'!F137</f>
        <v>-7905.0195999999996</v>
      </c>
      <c r="N138" s="77">
        <f>'SHB Liv'!G11-'SHB Liv'!G12+'SHB Liv'!G34-'SHB Liv'!G35+'SHB Liv'!G38-'SHB Liv'!G39+'SHB Liv'!G111-'SHB Liv'!G119+'SHB Liv'!G136-'SHB Liv'!G137</f>
        <v>-15435.860420000001</v>
      </c>
      <c r="O138" s="74"/>
    </row>
    <row r="139" spans="1:15" x14ac:dyDescent="0.3">
      <c r="A139" s="74"/>
      <c r="B139" s="74"/>
      <c r="C139" s="74"/>
      <c r="D139" s="74"/>
      <c r="E139" s="74"/>
      <c r="F139" s="74"/>
      <c r="G139" s="74"/>
      <c r="H139" s="74"/>
      <c r="I139" s="74"/>
      <c r="J139" s="74"/>
      <c r="K139" s="74"/>
      <c r="L139" s="74" t="s">
        <v>67</v>
      </c>
      <c r="M139" s="77">
        <f>'Sparebank 1'!F11-'Sparebank 1'!F12+'Sparebank 1'!F34-'Sparebank 1'!F35+'Sparebank 1'!F38-'Sparebank 1'!F39+'Sparebank 1'!F111-'Sparebank 1'!F119+'Sparebank 1'!F136-'Sparebank 1'!F137</f>
        <v>960545.45473999996</v>
      </c>
      <c r="N139" s="77">
        <f>'Sparebank 1'!G11-'Sparebank 1'!G12+'Sparebank 1'!G34-'Sparebank 1'!G35+'Sparebank 1'!G38-'Sparebank 1'!G39+'Sparebank 1'!G111-'Sparebank 1'!G119+'Sparebank 1'!G136-'Sparebank 1'!G137</f>
        <v>-273107.30555999978</v>
      </c>
      <c r="O139" s="74"/>
    </row>
    <row r="140" spans="1:15" x14ac:dyDescent="0.3">
      <c r="A140" s="74"/>
      <c r="B140" s="74"/>
      <c r="C140" s="74"/>
      <c r="D140" s="74"/>
      <c r="E140" s="74"/>
      <c r="F140" s="74"/>
      <c r="G140" s="74"/>
      <c r="H140" s="74"/>
      <c r="I140" s="74"/>
      <c r="J140" s="74"/>
      <c r="K140" s="74"/>
      <c r="L140" s="74" t="s">
        <v>72</v>
      </c>
      <c r="M140"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-3907287.8450000002</v>
      </c>
      <c r="N140"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-2494222.9329999993</v>
      </c>
      <c r="O140" s="74"/>
    </row>
    <row r="141" spans="1:15" x14ac:dyDescent="0.3">
      <c r="A141" s="74"/>
      <c r="B141" s="74"/>
      <c r="C141" s="74"/>
      <c r="D141" s="74"/>
      <c r="E141" s="74"/>
      <c r="F141" s="74"/>
      <c r="G141" s="74"/>
      <c r="H141" s="74"/>
      <c r="I141" s="74"/>
      <c r="J141" s="74"/>
      <c r="K141" s="74"/>
      <c r="O141" s="74"/>
    </row>
    <row r="142" spans="1:15" x14ac:dyDescent="0.3">
      <c r="A142" s="74"/>
      <c r="B142" s="74"/>
      <c r="C142" s="74"/>
      <c r="D142" s="74"/>
      <c r="E142" s="74"/>
      <c r="F142" s="74"/>
      <c r="G142" s="74"/>
      <c r="H142" s="74"/>
      <c r="I142" s="74"/>
      <c r="J142" s="74"/>
      <c r="K142" s="74"/>
      <c r="O142" s="74"/>
    </row>
    <row r="143" spans="1:15" x14ac:dyDescent="0.3">
      <c r="A143" s="74"/>
      <c r="B143" s="74"/>
      <c r="C143" s="74"/>
      <c r="D143" s="74"/>
      <c r="E143" s="74"/>
      <c r="F143" s="74"/>
      <c r="G143" s="74"/>
      <c r="H143" s="74"/>
      <c r="I143" s="74"/>
      <c r="J143" s="74"/>
      <c r="K143" s="74"/>
      <c r="O143" s="74"/>
    </row>
    <row r="144" spans="1:15" x14ac:dyDescent="0.3">
      <c r="A144" s="74"/>
      <c r="B144" s="74"/>
      <c r="C144" s="74"/>
      <c r="D144" s="74"/>
      <c r="E144" s="74"/>
      <c r="F144" s="74"/>
      <c r="G144" s="74"/>
      <c r="H144" s="74"/>
      <c r="I144" s="74"/>
      <c r="J144" s="74"/>
      <c r="K144" s="74"/>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12.140625" style="87" bestFit="1" customWidth="1"/>
    <col min="6" max="6" width="4.7109375" style="87" customWidth="1"/>
    <col min="7" max="7" width="18.42578125" style="87" customWidth="1"/>
    <col min="8" max="8" width="17.7109375" style="87" customWidth="1"/>
    <col min="9" max="9" width="8.7109375" style="87" customWidth="1"/>
    <col min="10" max="10" width="12.140625" style="87" bestFit="1" customWidth="1"/>
    <col min="11" max="11" width="13.42578125" style="87" hidden="1" customWidth="1"/>
    <col min="12" max="12" width="14.7109375" style="188" hidden="1" customWidth="1"/>
    <col min="13" max="13" width="13.71093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76</v>
      </c>
      <c r="B1" s="73" t="s">
        <v>52</v>
      </c>
      <c r="C1" s="74"/>
      <c r="D1" s="74"/>
      <c r="E1" s="74"/>
      <c r="F1" s="74"/>
      <c r="G1" s="74"/>
      <c r="H1" s="74"/>
      <c r="I1" s="74"/>
      <c r="J1" s="74"/>
      <c r="K1" s="74"/>
    </row>
    <row r="2" spans="1:16" ht="20.25" x14ac:dyDescent="0.3">
      <c r="A2" s="80" t="s">
        <v>77</v>
      </c>
      <c r="B2" s="74"/>
      <c r="C2" s="74"/>
      <c r="D2" s="74"/>
      <c r="E2" s="74"/>
      <c r="F2" s="74"/>
      <c r="G2" s="74"/>
      <c r="H2" s="74"/>
      <c r="I2" s="74"/>
      <c r="J2" s="74"/>
      <c r="K2" s="74"/>
    </row>
    <row r="3" spans="1:16" ht="18.75" x14ac:dyDescent="0.3">
      <c r="A3" s="682" t="s">
        <v>78</v>
      </c>
      <c r="B3" s="682"/>
      <c r="C3" s="74"/>
      <c r="D3" s="74"/>
      <c r="E3" s="74"/>
      <c r="F3" s="74"/>
      <c r="G3" s="74"/>
      <c r="H3" s="74"/>
      <c r="I3" s="74"/>
      <c r="J3" s="74"/>
      <c r="K3" s="74"/>
    </row>
    <row r="4" spans="1:16" ht="18.75" x14ac:dyDescent="0.3">
      <c r="A4" s="82" t="s">
        <v>398</v>
      </c>
      <c r="B4" s="83"/>
      <c r="C4" s="84"/>
      <c r="D4" s="84"/>
      <c r="E4" s="85"/>
      <c r="F4" s="86"/>
      <c r="G4" s="83"/>
      <c r="H4" s="84"/>
      <c r="I4" s="84"/>
      <c r="J4" s="85"/>
      <c r="K4" s="112"/>
      <c r="L4" s="211"/>
      <c r="M4" s="212"/>
      <c r="N4" s="213"/>
      <c r="O4" s="212"/>
    </row>
    <row r="5" spans="1:16" ht="22.5" x14ac:dyDescent="0.3">
      <c r="A5" s="88"/>
      <c r="B5" s="683" t="s">
        <v>79</v>
      </c>
      <c r="C5" s="684"/>
      <c r="D5" s="684"/>
      <c r="E5" s="685"/>
      <c r="F5" s="90"/>
      <c r="G5" s="683" t="s">
        <v>379</v>
      </c>
      <c r="H5" s="684"/>
      <c r="I5" s="684"/>
      <c r="J5" s="685"/>
      <c r="K5" s="89"/>
      <c r="L5" s="686" t="s">
        <v>135</v>
      </c>
      <c r="M5" s="681"/>
      <c r="N5" s="680" t="s">
        <v>136</v>
      </c>
      <c r="O5" s="681"/>
    </row>
    <row r="6" spans="1:16" ht="18.75" x14ac:dyDescent="0.3">
      <c r="A6" s="91"/>
      <c r="B6" s="92"/>
      <c r="C6" s="93"/>
      <c r="D6" s="93" t="s">
        <v>80</v>
      </c>
      <c r="E6" s="94" t="s">
        <v>29</v>
      </c>
      <c r="F6" s="95"/>
      <c r="G6" s="92"/>
      <c r="H6" s="93"/>
      <c r="I6" s="93" t="s">
        <v>80</v>
      </c>
      <c r="J6" s="94" t="s">
        <v>29</v>
      </c>
      <c r="K6" s="100"/>
      <c r="L6" s="214"/>
      <c r="M6" s="215"/>
      <c r="N6" s="216"/>
      <c r="O6" s="215"/>
    </row>
    <row r="7" spans="1:16" ht="15.75" x14ac:dyDescent="0.25">
      <c r="A7" s="96" t="s">
        <v>81</v>
      </c>
      <c r="B7" s="97">
        <v>2021</v>
      </c>
      <c r="C7" s="97">
        <v>2022</v>
      </c>
      <c r="D7" s="98" t="s">
        <v>82</v>
      </c>
      <c r="E7" s="99" t="s">
        <v>30</v>
      </c>
      <c r="F7" s="95"/>
      <c r="G7" s="97">
        <v>2021</v>
      </c>
      <c r="H7" s="97">
        <v>2022</v>
      </c>
      <c r="I7" s="98" t="s">
        <v>82</v>
      </c>
      <c r="J7" s="99" t="s">
        <v>30</v>
      </c>
      <c r="K7" s="100"/>
      <c r="L7" s="217">
        <v>2015</v>
      </c>
      <c r="M7" s="218">
        <v>2016</v>
      </c>
      <c r="N7" s="219">
        <v>2015</v>
      </c>
      <c r="O7" s="218">
        <v>2016</v>
      </c>
      <c r="P7" s="87" t="s">
        <v>139</v>
      </c>
    </row>
    <row r="8" spans="1:16" ht="18.75" x14ac:dyDescent="0.3">
      <c r="A8" s="101" t="s">
        <v>0</v>
      </c>
      <c r="B8" s="129"/>
      <c r="C8" s="103"/>
      <c r="D8" s="104"/>
      <c r="E8" s="406"/>
      <c r="F8" s="177"/>
      <c r="G8" s="129"/>
      <c r="H8" s="129"/>
      <c r="I8" s="103"/>
      <c r="J8" s="406"/>
      <c r="K8" s="139"/>
      <c r="L8" s="220" t="s">
        <v>0</v>
      </c>
      <c r="M8" s="221"/>
      <c r="N8" s="222"/>
      <c r="O8" s="221"/>
      <c r="P8" s="87" t="s">
        <v>147</v>
      </c>
    </row>
    <row r="9" spans="1:16" ht="18.75" x14ac:dyDescent="0.3">
      <c r="A9" s="193" t="s">
        <v>401</v>
      </c>
      <c r="B9" s="177">
        <f>'Codan Forsikring'!B7+'Codan Forsikring'!B22+'Codan Forsikring'!B36+'Codan Forsikring'!B47+'Codan Forsikring'!B66+'Codan Forsikring'!B134</f>
        <v>59890</v>
      </c>
      <c r="C9" s="177">
        <f>'Codan Forsikring'!C7+'Codan Forsikring'!C22+'Codan Forsikring'!C36+'Codan Forsikring'!C47+'Codan Forsikring'!C66+'Codan Forsikring'!C134</f>
        <v>0</v>
      </c>
      <c r="D9" s="104">
        <f t="shared" ref="D9" si="0">IF(B9=0, "    ---- ", IF(ABS(ROUND(100/B9*C9-100,1))&lt;999,ROUND(100/B9*C9-100,1),IF(ROUND(100/B9*C9-100,1)&gt;999,999,-999)))</f>
        <v>-100</v>
      </c>
      <c r="E9" s="406">
        <f t="shared" ref="E9:E33" si="1">100/C$34*C9</f>
        <v>0</v>
      </c>
      <c r="F9" s="103"/>
      <c r="G9" s="177"/>
      <c r="H9" s="177"/>
      <c r="I9" s="104"/>
      <c r="J9" s="406"/>
      <c r="K9" s="139"/>
      <c r="L9" s="220"/>
      <c r="M9" s="221"/>
      <c r="N9" s="223"/>
      <c r="O9" s="221"/>
    </row>
    <row r="10" spans="1:16" ht="18.75" x14ac:dyDescent="0.3">
      <c r="A10" s="193" t="s">
        <v>83</v>
      </c>
      <c r="B10" s="177">
        <f>'Danica Pensjonsforsikring'!B7+'Danica Pensjonsforsikring'!B22+'Danica Pensjonsforsikring'!B36+'Danica Pensjonsforsikring'!B47+'Danica Pensjonsforsikring'!B66+'Danica Pensjonsforsikring'!B134</f>
        <v>216101.85700000002</v>
      </c>
      <c r="C10" s="177">
        <f>'Danica Pensjonsforsikring'!C7+'Danica Pensjonsforsikring'!C22+'Danica Pensjonsforsikring'!C36+'Danica Pensjonsforsikring'!C47+'Danica Pensjonsforsikring'!C66+'Danica Pensjonsforsikring'!C134</f>
        <v>223268.03657</v>
      </c>
      <c r="D10" s="104">
        <f t="shared" ref="D10:D32" si="2">IF(B10=0, "    ---- ", IF(ABS(ROUND(100/B10*C10-100,1))&lt;999,ROUND(100/B10*C10-100,1),IF(ROUND(100/B10*C10-100,1)&gt;999,999,-999)))</f>
        <v>3.3</v>
      </c>
      <c r="E10" s="406">
        <f t="shared" si="1"/>
        <v>0.43465242159672252</v>
      </c>
      <c r="F10" s="103"/>
      <c r="G10" s="177">
        <f>'Danica Pensjonsforsikring'!B10+'Danica Pensjonsforsikring'!B29+'Danica Pensjonsforsikring'!B37+'Danica Pensjonsforsikring'!B87+'Danica Pensjonsforsikring'!B135</f>
        <v>1358359.7689999999</v>
      </c>
      <c r="H10" s="177">
        <f>'Danica Pensjonsforsikring'!C10+'Danica Pensjonsforsikring'!C29+'Danica Pensjonsforsikring'!C37+'Danica Pensjonsforsikring'!C87+'Danica Pensjonsforsikring'!C135</f>
        <v>1409067.9662299999</v>
      </c>
      <c r="I10" s="104">
        <f t="shared" ref="I10:I29" si="3">IF(G10=0, "    ---- ", IF(ABS(ROUND(100/G10*H10-100,1))&lt;999,ROUND(100/G10*H10-100,1),IF(ROUND(100/G10*H10-100,1)&gt;999,999,-999)))</f>
        <v>3.7</v>
      </c>
      <c r="J10" s="406">
        <f>100/H$34*H10</f>
        <v>0.1131191806593428</v>
      </c>
      <c r="K10" s="207" t="s">
        <v>143</v>
      </c>
      <c r="L10" s="223" t="e">
        <f ca="1">INDIRECT("'" &amp;#REF! &amp; "'!" &amp; $P$7)</f>
        <v>#REF!</v>
      </c>
      <c r="M10" s="221" t="e">
        <f ca="1">INDIRECT("'" &amp;#REF! &amp; "'!" &amp; $P$8)</f>
        <v>#REF!</v>
      </c>
      <c r="N10" s="223" t="e">
        <f ca="1">INDIRECT("'" &amp;#REF! &amp; "'!" &amp; $P$10)</f>
        <v>#REF!</v>
      </c>
      <c r="O10" s="221" t="e">
        <f ca="1">INDIRECT("'" &amp;#REF! &amp; "'!" &amp; $P$11)</f>
        <v>#REF!</v>
      </c>
      <c r="P10" s="87" t="s">
        <v>150</v>
      </c>
    </row>
    <row r="11" spans="1:16" ht="18.75" x14ac:dyDescent="0.3">
      <c r="A11" s="193" t="s">
        <v>84</v>
      </c>
      <c r="B11" s="177">
        <f>'DNB Livsforsikring'!B7+'DNB Livsforsikring'!B22+'DNB Livsforsikring'!B36+'DNB Livsforsikring'!B47+'DNB Livsforsikring'!B66+'DNB Livsforsikring'!B134</f>
        <v>1956247.7650000001</v>
      </c>
      <c r="C11" s="177">
        <f>'DNB Livsforsikring'!C7+'DNB Livsforsikring'!C22+'DNB Livsforsikring'!C36+'DNB Livsforsikring'!C47+'DNB Livsforsikring'!C66+'DNB Livsforsikring'!C134</f>
        <v>1941687</v>
      </c>
      <c r="D11" s="104">
        <f t="shared" si="2"/>
        <v>-0.7</v>
      </c>
      <c r="E11" s="406">
        <f t="shared" si="1"/>
        <v>3.7800258805441396</v>
      </c>
      <c r="F11" s="103"/>
      <c r="G11" s="177">
        <f>'DNB Livsforsikring'!B10+'DNB Livsforsikring'!B29+'DNB Livsforsikring'!B37+'DNB Livsforsikring'!B87+'DNB Livsforsikring'!B135</f>
        <v>195668621.74615002</v>
      </c>
      <c r="H11" s="177">
        <f>'DNB Livsforsikring'!C10+'DNB Livsforsikring'!C29+'DNB Livsforsikring'!C37+'DNB Livsforsikring'!C87+'DNB Livsforsikring'!C135</f>
        <v>191155192</v>
      </c>
      <c r="I11" s="104">
        <f t="shared" si="3"/>
        <v>-2.2999999999999998</v>
      </c>
      <c r="J11" s="406">
        <f t="shared" ref="J11:J33" si="4">100/H$34*H11</f>
        <v>15.34583087263927</v>
      </c>
      <c r="K11" s="208" t="s">
        <v>144</v>
      </c>
      <c r="L11" s="223">
        <f ca="1">INDIRECT("'" &amp; $A10 &amp; "'!" &amp; $P$7)</f>
        <v>0</v>
      </c>
      <c r="M11" s="221">
        <f ca="1">INDIRECT("'" &amp; $A10 &amp; "'!" &amp; $P$8)</f>
        <v>0</v>
      </c>
      <c r="N11" s="223">
        <f ca="1">INDIRECT("'" &amp; $A10 &amp; "'!" &amp; $P$10)</f>
        <v>0</v>
      </c>
      <c r="O11" s="221">
        <f ca="1">INDIRECT("'" &amp; $A10 &amp; "'!" &amp; $P$11)</f>
        <v>0</v>
      </c>
      <c r="P11" s="87" t="s">
        <v>155</v>
      </c>
    </row>
    <row r="12" spans="1:16" ht="18.75" x14ac:dyDescent="0.3">
      <c r="A12" s="193" t="s">
        <v>85</v>
      </c>
      <c r="B12" s="177">
        <f>'Eika Forsikring AS'!B7+'Eika Forsikring AS'!B22+'Eika Forsikring AS'!B36+'Eika Forsikring AS'!B47+'Eika Forsikring AS'!B66+'Eika Forsikring AS'!B134</f>
        <v>213759</v>
      </c>
      <c r="C12" s="177">
        <f>'Eika Forsikring AS'!C7+'Eika Forsikring AS'!C22+'Eika Forsikring AS'!C36+'Eika Forsikring AS'!C47+'Eika Forsikring AS'!C66+'Eika Forsikring AS'!C134</f>
        <v>250147</v>
      </c>
      <c r="D12" s="104">
        <f t="shared" si="2"/>
        <v>17</v>
      </c>
      <c r="E12" s="406">
        <f t="shared" si="1"/>
        <v>0.48697969031078381</v>
      </c>
      <c r="F12" s="103"/>
      <c r="G12" s="177"/>
      <c r="H12" s="177"/>
      <c r="I12" s="104"/>
      <c r="J12" s="406"/>
      <c r="K12" s="87" t="s">
        <v>137</v>
      </c>
      <c r="L12" s="223">
        <f ca="1">INDIRECT("'" &amp; $A11 &amp; "'!" &amp; $P$7)</f>
        <v>0</v>
      </c>
      <c r="M12" s="221">
        <f ca="1">INDIRECT("'" &amp; $A11 &amp; "'!" &amp; $P$8)</f>
        <v>0</v>
      </c>
      <c r="N12" s="223">
        <f ca="1">INDIRECT("'" &amp; $A11 &amp; "'!" &amp; $P$10)</f>
        <v>0</v>
      </c>
      <c r="O12" s="221">
        <f ca="1">INDIRECT("'" &amp; $A11 &amp; "'!" &amp; $P$11)</f>
        <v>0</v>
      </c>
    </row>
    <row r="13" spans="1:16" ht="18.75" x14ac:dyDescent="0.3">
      <c r="A13" s="193" t="s">
        <v>402</v>
      </c>
      <c r="B13" s="177">
        <f>'Euro Accident'!B7+'Euro Accident'!B22+'Euro Accident'!B36+'Euro Accident'!B47+'Euro Accident'!B66+'Euro Accident'!B134</f>
        <v>8868.24</v>
      </c>
      <c r="C13" s="177">
        <f>'Euro Accident'!C7+'Euro Accident'!C22+'Euro Accident'!C36+'Euro Accident'!C47+'Euro Accident'!C66+'Euro Accident'!C134</f>
        <v>26443</v>
      </c>
      <c r="D13" s="104">
        <f t="shared" ref="D13" si="5">IF(B13=0, "    ---- ", IF(ABS(ROUND(100/B13*C13-100,1))&lt;999,ROUND(100/B13*C13-100,1),IF(ROUND(100/B13*C13-100,1)&gt;999,999,-999)))</f>
        <v>198.2</v>
      </c>
      <c r="E13" s="406">
        <f t="shared" si="1"/>
        <v>5.1478546418258289E-2</v>
      </c>
      <c r="F13" s="103"/>
      <c r="G13" s="177"/>
      <c r="H13" s="177"/>
      <c r="I13" s="104"/>
      <c r="J13" s="406"/>
      <c r="L13" s="223"/>
      <c r="M13" s="221"/>
      <c r="N13" s="223"/>
      <c r="O13" s="221"/>
    </row>
    <row r="14" spans="1:16" ht="18.75" x14ac:dyDescent="0.3">
      <c r="A14" s="108" t="s">
        <v>384</v>
      </c>
      <c r="B14" s="177">
        <f>'Fremtind Livsforsikring'!B7+'Fremtind Livsforsikring'!B22+'Fremtind Livsforsikring'!B36+'Fremtind Livsforsikring'!B47+'Fremtind Livsforsikring'!B66+'Fremtind Livsforsikring'!B134</f>
        <v>1554860.00135</v>
      </c>
      <c r="C14" s="177">
        <f>'Fremtind Livsforsikring'!C7+'Fremtind Livsforsikring'!C22+'Fremtind Livsforsikring'!C36+'Fremtind Livsforsikring'!C47+'Fremtind Livsforsikring'!C66+'Fremtind Livsforsikring'!C134</f>
        <v>1672927.67401</v>
      </c>
      <c r="D14" s="104">
        <f t="shared" si="2"/>
        <v>7.6</v>
      </c>
      <c r="E14" s="406">
        <f t="shared" si="1"/>
        <v>3.2568121968351793</v>
      </c>
      <c r="F14" s="103"/>
      <c r="G14" s="177">
        <f>'Fremtind Livsforsikring'!B10+'Fremtind Livsforsikring'!B29+'Fremtind Livsforsikring'!B37+'Fremtind Livsforsikring'!B87+'Fremtind Livsforsikring'!B135</f>
        <v>4079532.4523799997</v>
      </c>
      <c r="H14" s="177">
        <f>'Fremtind Livsforsikring'!C10+'Fremtind Livsforsikring'!C29+'Fremtind Livsforsikring'!C37+'Fremtind Livsforsikring'!C87+'Fremtind Livsforsikring'!C135</f>
        <v>4531256.1571599999</v>
      </c>
      <c r="I14" s="104">
        <f t="shared" si="3"/>
        <v>11.1</v>
      </c>
      <c r="J14" s="406">
        <f t="shared" si="4"/>
        <v>0.36376668559639597</v>
      </c>
      <c r="K14" s="87" t="s">
        <v>145</v>
      </c>
      <c r="L14" s="223">
        <f ca="1">INDIRECT("'" &amp; $A12 &amp; "'!" &amp; $P$7)</f>
        <v>0</v>
      </c>
      <c r="M14" s="221">
        <f ca="1">INDIRECT("'" &amp; $A12 &amp; "'!" &amp; $P$8)</f>
        <v>0</v>
      </c>
      <c r="N14" s="223">
        <f ca="1">INDIRECT("'" &amp; $A12 &amp; "'!" &amp; $P$10)</f>
        <v>0</v>
      </c>
      <c r="O14" s="221">
        <f ca="1">INDIRECT("'" &amp; $A12 &amp; "'!" &amp; $P$11)</f>
        <v>0</v>
      </c>
    </row>
    <row r="15" spans="1:16" ht="18.75" x14ac:dyDescent="0.3">
      <c r="A15" s="193" t="s">
        <v>86</v>
      </c>
      <c r="B15" s="178">
        <f>'Frende Livsforsikring'!B7+'Frende Livsforsikring'!B22+'Frende Livsforsikring'!B36+'Frende Livsforsikring'!B47+'Frende Livsforsikring'!B66+'Frende Livsforsikring'!B134</f>
        <v>460428</v>
      </c>
      <c r="C15" s="178">
        <f>'Frende Livsforsikring'!C7+'Frende Livsforsikring'!C22+'Frende Livsforsikring'!C36+'Frende Livsforsikring'!C47+'Frende Livsforsikring'!C66+'Frende Livsforsikring'!C134</f>
        <v>508054</v>
      </c>
      <c r="D15" s="104">
        <f t="shared" si="2"/>
        <v>10.3</v>
      </c>
      <c r="E15" s="406">
        <f t="shared" si="1"/>
        <v>0.98906634731240006</v>
      </c>
      <c r="F15" s="103"/>
      <c r="G15" s="177">
        <f>'Frende Livsforsikring'!B10+'Frende Livsforsikring'!B29+'Frende Livsforsikring'!B37+'Frende Livsforsikring'!B87+'Frende Livsforsikring'!B135</f>
        <v>1134700</v>
      </c>
      <c r="H15" s="177">
        <f>'Frende Livsforsikring'!C10+'Frende Livsforsikring'!C29+'Frende Livsforsikring'!C37+'Frende Livsforsikring'!C87+'Frende Livsforsikring'!C135</f>
        <v>1351782</v>
      </c>
      <c r="I15" s="104">
        <f t="shared" si="3"/>
        <v>19.100000000000001</v>
      </c>
      <c r="J15" s="406">
        <f t="shared" si="4"/>
        <v>0.10852029563852002</v>
      </c>
      <c r="L15" s="223"/>
      <c r="M15" s="221"/>
      <c r="N15" s="223"/>
      <c r="O15" s="221"/>
    </row>
    <row r="16" spans="1:16" ht="18.75" x14ac:dyDescent="0.3">
      <c r="A16" s="193" t="s">
        <v>87</v>
      </c>
      <c r="B16" s="177">
        <f>'Frende Skadeforsikring'!B7+'Frende Skadeforsikring'!B22+'Frende Skadeforsikring'!B36+'Frende Skadeforsikring'!B47+'Frende Skadeforsikring'!B66+'Frende Skadeforsikring'!B134</f>
        <v>5314.415</v>
      </c>
      <c r="C16" s="177">
        <f>'Frende Skadeforsikring'!C7+'Frende Skadeforsikring'!C22+'Frende Skadeforsikring'!C36+'Frende Skadeforsikring'!C47+'Frende Skadeforsikring'!C66+'Frende Skadeforsikring'!C134</f>
        <v>6356.36</v>
      </c>
      <c r="D16" s="104">
        <f t="shared" si="2"/>
        <v>19.600000000000001</v>
      </c>
      <c r="E16" s="406">
        <f t="shared" si="1"/>
        <v>1.2374396751925282E-2</v>
      </c>
      <c r="F16" s="103"/>
      <c r="G16" s="177"/>
      <c r="H16" s="177"/>
      <c r="I16" s="104"/>
      <c r="J16" s="406"/>
      <c r="K16" s="87" t="s">
        <v>138</v>
      </c>
      <c r="L16" s="223">
        <f t="shared" ref="L16:L32" ca="1" si="6">INDIRECT("'" &amp; $A15 &amp; "'!" &amp; $P$7)</f>
        <v>0</v>
      </c>
      <c r="M16" s="221">
        <f t="shared" ref="M16:M32" ca="1" si="7">INDIRECT("'" &amp; $A15 &amp; "'!" &amp; $P$8)</f>
        <v>0</v>
      </c>
      <c r="N16" s="223">
        <f t="shared" ref="N16:N32" ca="1" si="8">INDIRECT("'" &amp; $A15 &amp; "'!" &amp; $P$10)</f>
        <v>0</v>
      </c>
      <c r="O16" s="221">
        <f t="shared" ref="O16:O32" ca="1" si="9">INDIRECT("'" &amp; $A15 &amp; "'!" &amp; $P$11)</f>
        <v>0</v>
      </c>
    </row>
    <row r="17" spans="1:18" ht="18.75" x14ac:dyDescent="0.3">
      <c r="A17" s="193" t="s">
        <v>88</v>
      </c>
      <c r="B17" s="177">
        <f>'Gjensidige Forsikring'!B7+'Gjensidige Forsikring'!B22+'Gjensidige Forsikring'!B36+'Gjensidige Forsikring'!B47+'Gjensidige Forsikring'!B66+'Gjensidige Forsikring'!B134</f>
        <v>1474212.797</v>
      </c>
      <c r="C17" s="177">
        <f>'Gjensidige Forsikring'!C7+'Gjensidige Forsikring'!C22+'Gjensidige Forsikring'!C36+'Gjensidige Forsikring'!C47+'Gjensidige Forsikring'!C66+'Gjensidige Forsikring'!C134</f>
        <v>1581986.0669999998</v>
      </c>
      <c r="D17" s="104">
        <f t="shared" si="2"/>
        <v>7.3</v>
      </c>
      <c r="E17" s="406">
        <f t="shared" si="1"/>
        <v>3.0797694355064613</v>
      </c>
      <c r="F17" s="103"/>
      <c r="G17" s="177"/>
      <c r="H17" s="177"/>
      <c r="I17" s="104"/>
      <c r="J17" s="406"/>
      <c r="K17" s="87" t="s">
        <v>146</v>
      </c>
      <c r="L17" s="223">
        <f t="shared" ca="1" si="6"/>
        <v>0</v>
      </c>
      <c r="M17" s="221">
        <f t="shared" ca="1" si="7"/>
        <v>0</v>
      </c>
      <c r="N17" s="223">
        <f t="shared" ca="1" si="8"/>
        <v>0</v>
      </c>
      <c r="O17" s="221">
        <f t="shared" ca="1" si="9"/>
        <v>0</v>
      </c>
    </row>
    <row r="18" spans="1:18" ht="18.75" x14ac:dyDescent="0.3">
      <c r="A18" s="193" t="s">
        <v>89</v>
      </c>
      <c r="B18" s="177">
        <f>'Gjensidige Pensjon'!B7+'Gjensidige Pensjon'!B22+'Gjensidige Pensjon'!B36+'Gjensidige Pensjon'!B47+'Gjensidige Pensjon'!B66+'Gjensidige Pensjon'!B134</f>
        <v>395870</v>
      </c>
      <c r="C18" s="177">
        <f>'Gjensidige Pensjon'!C7+'Gjensidige Pensjon'!C22+'Gjensidige Pensjon'!C36+'Gjensidige Pensjon'!C47+'Gjensidige Pensjon'!C66+'Gjensidige Pensjon'!C134</f>
        <v>439850</v>
      </c>
      <c r="D18" s="104">
        <f t="shared" si="2"/>
        <v>11.1</v>
      </c>
      <c r="E18" s="406">
        <f t="shared" si="1"/>
        <v>0.85628856945395404</v>
      </c>
      <c r="F18" s="103"/>
      <c r="G18" s="177">
        <f>'Gjensidige Pensjon'!B10+'Gjensidige Pensjon'!B29+'Gjensidige Pensjon'!B37+'Gjensidige Pensjon'!B87+'Gjensidige Pensjon'!B135</f>
        <v>7988385</v>
      </c>
      <c r="H18" s="177">
        <f>'Gjensidige Pensjon'!C10+'Gjensidige Pensjon'!C29+'Gjensidige Pensjon'!C37+'Gjensidige Pensjon'!C87+'Gjensidige Pensjon'!C135</f>
        <v>8598193</v>
      </c>
      <c r="I18" s="104">
        <f t="shared" si="3"/>
        <v>7.6</v>
      </c>
      <c r="J18" s="406">
        <f t="shared" si="4"/>
        <v>0.69025807883005796</v>
      </c>
      <c r="K18" s="87" t="s">
        <v>139</v>
      </c>
      <c r="L18" s="223">
        <f t="shared" ca="1" si="6"/>
        <v>0</v>
      </c>
      <c r="M18" s="221">
        <f t="shared" ca="1" si="7"/>
        <v>0</v>
      </c>
      <c r="N18" s="223">
        <f t="shared" ca="1" si="8"/>
        <v>0</v>
      </c>
      <c r="O18" s="221">
        <f t="shared" ca="1" si="9"/>
        <v>0</v>
      </c>
    </row>
    <row r="19" spans="1:18" ht="18.75" x14ac:dyDescent="0.3">
      <c r="A19" s="193" t="s">
        <v>90</v>
      </c>
      <c r="B19" s="177">
        <f>'Handelsbanken Liv'!B7+'Handelsbanken Liv'!B22+'Handelsbanken Liv'!B36+'Handelsbanken Liv'!B47+'Handelsbanken Liv'!B66+'Handelsbanken Liv'!B134</f>
        <v>17644.029899999998</v>
      </c>
      <c r="C19" s="177">
        <f>'Handelsbanken Liv'!C7+'Handelsbanken Liv'!C22+'Handelsbanken Liv'!C36+'Handelsbanken Liv'!C47+'Handelsbanken Liv'!C66+'Handelsbanken Liv'!C134</f>
        <v>17030.985049999999</v>
      </c>
      <c r="D19" s="104">
        <f t="shared" si="2"/>
        <v>-3.5</v>
      </c>
      <c r="E19" s="406">
        <f t="shared" si="1"/>
        <v>3.3155479879177399E-2</v>
      </c>
      <c r="F19" s="103"/>
      <c r="G19" s="177">
        <f>'Handelsbanken Liv'!B10+'Handelsbanken Liv'!B29+'Handelsbanken Liv'!B37+'Handelsbanken Liv'!B87+'Handelsbanken Liv'!B135</f>
        <v>20421.386947750718</v>
      </c>
      <c r="H19" s="177">
        <f>'Handelsbanken Liv'!C10+'Handelsbanken Liv'!C29+'Handelsbanken Liv'!C37+'Handelsbanken Liv'!C87+'Handelsbanken Liv'!C135</f>
        <v>25475.116409999999</v>
      </c>
      <c r="I19" s="104">
        <f t="shared" si="3"/>
        <v>24.7</v>
      </c>
      <c r="J19" s="406">
        <f t="shared" si="4"/>
        <v>2.0451279601584522E-3</v>
      </c>
      <c r="K19" s="87" t="s">
        <v>147</v>
      </c>
      <c r="L19" s="223">
        <f t="shared" ca="1" si="6"/>
        <v>0</v>
      </c>
      <c r="M19" s="221">
        <f t="shared" ca="1" si="7"/>
        <v>0</v>
      </c>
      <c r="N19" s="223">
        <f t="shared" ca="1" si="8"/>
        <v>0</v>
      </c>
      <c r="O19" s="221">
        <f t="shared" ca="1" si="9"/>
        <v>0</v>
      </c>
    </row>
    <row r="20" spans="1:18" ht="18.75" x14ac:dyDescent="0.3">
      <c r="A20" s="193" t="s">
        <v>91</v>
      </c>
      <c r="B20" s="177">
        <f>'If Skadeforsikring NUF'!B7+'If Skadeforsikring NUF'!B22+'If Skadeforsikring NUF'!B36+'If Skadeforsikring NUF'!B47+'If Skadeforsikring NUF'!B66+'If Skadeforsikring NUF'!B134</f>
        <v>315101.851636982</v>
      </c>
      <c r="C20" s="177">
        <f>'If Skadeforsikring NUF'!C7+'If Skadeforsikring NUF'!C22+'If Skadeforsikring NUF'!C36+'If Skadeforsikring NUF'!C47+'If Skadeforsikring NUF'!C66+'If Skadeforsikring NUF'!C134</f>
        <v>350741.56139847403</v>
      </c>
      <c r="D20" s="104">
        <f t="shared" si="2"/>
        <v>11.3</v>
      </c>
      <c r="E20" s="406">
        <f t="shared" si="1"/>
        <v>0.68281457282697633</v>
      </c>
      <c r="F20" s="103"/>
      <c r="G20" s="177"/>
      <c r="H20" s="177"/>
      <c r="I20" s="104"/>
      <c r="J20" s="406"/>
      <c r="K20" s="139"/>
      <c r="L20" s="223">
        <f t="shared" ca="1" si="6"/>
        <v>0</v>
      </c>
      <c r="M20" s="221">
        <f t="shared" ca="1" si="7"/>
        <v>0</v>
      </c>
      <c r="N20" s="223">
        <f t="shared" ca="1" si="8"/>
        <v>0</v>
      </c>
      <c r="O20" s="221">
        <f t="shared" ca="1" si="9"/>
        <v>0</v>
      </c>
    </row>
    <row r="21" spans="1:18" ht="18.75" x14ac:dyDescent="0.3">
      <c r="A21" s="193" t="s">
        <v>63</v>
      </c>
      <c r="B21" s="177">
        <f>KLP!B7+KLP!B22+KLP!B36+KLP!B47+KLP!B66+KLP!B134</f>
        <v>33537381.302000001</v>
      </c>
      <c r="C21" s="177">
        <f>KLP!C7+KLP!C22+KLP!C36+KLP!C47+KLP!C66+KLP!C134</f>
        <v>32592177.502640001</v>
      </c>
      <c r="D21" s="104">
        <f t="shared" si="2"/>
        <v>-2.8</v>
      </c>
      <c r="E21" s="406">
        <f t="shared" si="1"/>
        <v>63.449605659031377</v>
      </c>
      <c r="F21" s="103"/>
      <c r="G21" s="177">
        <f>KLP!B10+KLP!B29+KLP!B37+KLP!B87+KLP!B135</f>
        <v>563636708.30683994</v>
      </c>
      <c r="H21" s="177">
        <f>KLP!C10+KLP!C29+KLP!C37+KLP!C87+KLP!C135</f>
        <v>651822235.95746005</v>
      </c>
      <c r="I21" s="104">
        <f t="shared" si="3"/>
        <v>15.6</v>
      </c>
      <c r="J21" s="406">
        <f t="shared" si="4"/>
        <v>52.327921033025085</v>
      </c>
      <c r="K21" s="139"/>
      <c r="L21" s="223" t="e">
        <f ca="1">INDIRECT("'" &amp;#REF! &amp; "'!" &amp; $P$7)</f>
        <v>#REF!</v>
      </c>
      <c r="M21" s="221" t="e">
        <f ca="1">INDIRECT("'" &amp;#REF! &amp; "'!" &amp; $P$8)</f>
        <v>#REF!</v>
      </c>
      <c r="N21" s="223" t="e">
        <f ca="1">INDIRECT("'" &amp;#REF! &amp; "'!" &amp; $P$10)</f>
        <v>#REF!</v>
      </c>
      <c r="O21" s="221" t="e">
        <f ca="1">INDIRECT("'" &amp;#REF! &amp; "'!" &amp; $P$11)</f>
        <v>#REF!</v>
      </c>
    </row>
    <row r="22" spans="1:18" ht="18.75" x14ac:dyDescent="0.3">
      <c r="A22" s="108" t="s">
        <v>92</v>
      </c>
      <c r="B22" s="177">
        <f>'KLP Skadeforsikring AS'!B7+'KLP Skadeforsikring AS'!B22+'KLP Skadeforsikring AS'!B36+'KLP Skadeforsikring AS'!B47+'KLP Skadeforsikring AS'!B66+'KLP Skadeforsikring AS'!B134</f>
        <v>219490.81400000001</v>
      </c>
      <c r="C22" s="177">
        <f>'KLP Skadeforsikring AS'!C7+'KLP Skadeforsikring AS'!C22+'KLP Skadeforsikring AS'!C36+'KLP Skadeforsikring AS'!C47+'KLP Skadeforsikring AS'!C66+'KLP Skadeforsikring AS'!C134</f>
        <v>277149.27799999999</v>
      </c>
      <c r="D22" s="104">
        <f t="shared" si="2"/>
        <v>26.3</v>
      </c>
      <c r="E22" s="406">
        <f t="shared" si="1"/>
        <v>0.53954702463070636</v>
      </c>
      <c r="F22" s="103"/>
      <c r="G22" s="177">
        <f>'KLP Skadeforsikring AS'!B10+'KLP Skadeforsikring AS'!B29+'KLP Skadeforsikring AS'!B37+'KLP Skadeforsikring AS'!B87+'KLP Skadeforsikring AS'!B135</f>
        <v>67448.820000000007</v>
      </c>
      <c r="H22" s="177">
        <f>'KLP Skadeforsikring AS'!C10+'KLP Skadeforsikring AS'!C29+'KLP Skadeforsikring AS'!C37+'KLP Skadeforsikring AS'!C87+'KLP Skadeforsikring AS'!C135</f>
        <v>90495.555999999997</v>
      </c>
      <c r="I22" s="104">
        <f t="shared" si="3"/>
        <v>34.200000000000003</v>
      </c>
      <c r="J22" s="406">
        <f t="shared" si="4"/>
        <v>7.2649321348355307E-3</v>
      </c>
      <c r="K22" s="139"/>
      <c r="L22" s="223">
        <f ca="1">INDIRECT("'" &amp; $A33 &amp; "'!" &amp; $P$7)</f>
        <v>0</v>
      </c>
      <c r="M22" s="221">
        <f ca="1">INDIRECT("'" &amp; $A33 &amp; "'!" &amp; $P$8)</f>
        <v>0</v>
      </c>
      <c r="N22" s="223">
        <f ca="1">INDIRECT("'" &amp; $A33 &amp; "'!" &amp; $P$10)</f>
        <v>0</v>
      </c>
      <c r="O22" s="221">
        <f ca="1">INDIRECT("'" &amp; $A33 &amp; "'!" &amp; $P$11)</f>
        <v>0</v>
      </c>
    </row>
    <row r="23" spans="1:18" ht="18.75" x14ac:dyDescent="0.3">
      <c r="A23" s="108" t="s">
        <v>395</v>
      </c>
      <c r="B23" s="177">
        <f>'Landkreditt Forsikring'!B7+'Landkreditt Forsikring'!B22+'Landkreditt Forsikring'!B36+'Landkreditt Forsikring'!B47+'Landkreditt Forsikring'!B66+'Landkreditt Forsikring'!B134</f>
        <v>39431</v>
      </c>
      <c r="C23" s="177">
        <f>'Landkreditt Forsikring'!C7+'Landkreditt Forsikring'!C22+'Landkreditt Forsikring'!C36+'Landkreditt Forsikring'!C47+'Landkreditt Forsikring'!C66+'Landkreditt Forsikring'!C134</f>
        <v>26301</v>
      </c>
      <c r="D23" s="104">
        <f t="shared" si="2"/>
        <v>-33.299999999999997</v>
      </c>
      <c r="E23" s="406">
        <f t="shared" si="1"/>
        <v>5.1202104502008516E-2</v>
      </c>
      <c r="F23" s="103"/>
      <c r="G23" s="177"/>
      <c r="H23" s="177"/>
      <c r="I23" s="104"/>
      <c r="J23" s="406"/>
      <c r="K23" s="139"/>
      <c r="L23" s="223">
        <f t="shared" ca="1" si="6"/>
        <v>0</v>
      </c>
      <c r="M23" s="221">
        <f t="shared" ca="1" si="7"/>
        <v>0</v>
      </c>
      <c r="N23" s="223">
        <f t="shared" ca="1" si="8"/>
        <v>0</v>
      </c>
      <c r="O23" s="221">
        <f t="shared" ca="1" si="9"/>
        <v>0</v>
      </c>
    </row>
    <row r="24" spans="1:18" ht="18.75" x14ac:dyDescent="0.3">
      <c r="A24" s="108" t="s">
        <v>406</v>
      </c>
      <c r="B24" s="177">
        <f>'Ly Forsikring'!B7+'Ly Forsikring'!B22+'Ly Forsikring'!B36+'Ly Forsikring'!B47+'Ly Forsikring'!B66+'Ly Forsikring'!B134</f>
        <v>0</v>
      </c>
      <c r="C24" s="177">
        <f>'Ly Forsikring'!C7+'Ly Forsikring'!C22+'Ly Forsikring'!C36+'Ly Forsikring'!C47+'Ly Forsikring'!C66+'Ly Forsikring'!C134</f>
        <v>13753.589</v>
      </c>
      <c r="D24" s="104" t="str">
        <f t="shared" ref="D24" si="10">IF(B24=0, "    ---- ", IF(ABS(ROUND(100/B24*C24-100,1))&lt;999,ROUND(100/B24*C24-100,1),IF(ROUND(100/B24*C24-100,1)&gt;999,999,-999)))</f>
        <v xml:space="preserve">    ---- </v>
      </c>
      <c r="E24" s="406">
        <f t="shared" si="1"/>
        <v>2.6775130270927903E-2</v>
      </c>
      <c r="F24" s="103"/>
      <c r="G24" s="177"/>
      <c r="H24" s="177"/>
      <c r="I24" s="104"/>
      <c r="J24" s="406"/>
      <c r="K24" s="139"/>
      <c r="L24" s="223"/>
      <c r="M24" s="221"/>
      <c r="N24" s="223"/>
      <c r="O24" s="221"/>
    </row>
    <row r="25" spans="1:18" ht="18.75" x14ac:dyDescent="0.3">
      <c r="A25" s="108" t="s">
        <v>93</v>
      </c>
      <c r="B25" s="177">
        <f>'Nordea Liv '!B7+'Nordea Liv '!B22+'Nordea Liv '!B36+'Nordea Liv '!B47+'Nordea Liv '!B66+'Nordea Liv '!B134</f>
        <v>935655.99040994328</v>
      </c>
      <c r="C25" s="177">
        <f>'Nordea Liv '!C7+'Nordea Liv '!C22+'Nordea Liv '!C36+'Nordea Liv '!C47+'Nordea Liv '!C66+'Nordea Liv '!C134</f>
        <v>908883.66104894597</v>
      </c>
      <c r="D25" s="104">
        <f t="shared" si="2"/>
        <v>-2.9</v>
      </c>
      <c r="E25" s="406">
        <f t="shared" si="1"/>
        <v>1.7693911331582912</v>
      </c>
      <c r="F25" s="103"/>
      <c r="G25" s="178">
        <f>'Nordea Liv '!B10+'Nordea Liv '!B29+'Nordea Liv '!B37+'Nordea Liv '!B87+'Nordea Liv '!B135</f>
        <v>54800659.999984071</v>
      </c>
      <c r="H25" s="178">
        <f>'Nordea Liv '!C10+'Nordea Liv '!C29+'Nordea Liv '!C37+'Nordea Liv '!C87+'Nordea Liv '!C135</f>
        <v>55369879.99999357</v>
      </c>
      <c r="I25" s="104">
        <f t="shared" si="3"/>
        <v>1</v>
      </c>
      <c r="J25" s="406">
        <f t="shared" si="4"/>
        <v>4.4450627002495073</v>
      </c>
      <c r="K25" s="139"/>
      <c r="L25" s="223">
        <f ca="1">INDIRECT("'" &amp; $A23 &amp; "'!" &amp; $P$7)</f>
        <v>0</v>
      </c>
      <c r="M25" s="221">
        <f ca="1">INDIRECT("'" &amp; $A23 &amp; "'!" &amp; $P$8)</f>
        <v>0</v>
      </c>
      <c r="N25" s="223">
        <f ca="1">INDIRECT("'" &amp; $A23 &amp; "'!" &amp; $P$10)</f>
        <v>0</v>
      </c>
      <c r="O25" s="221">
        <f ca="1">INDIRECT("'" &amp; $A23 &amp; "'!" &amp; $P$11)</f>
        <v>0</v>
      </c>
    </row>
    <row r="26" spans="1:18" ht="18.75" x14ac:dyDescent="0.3">
      <c r="A26" s="108" t="s">
        <v>94</v>
      </c>
      <c r="B26" s="177">
        <f>'Oslo Pensjonsforsikring'!B7+'Oslo Pensjonsforsikring'!B22+'Oslo Pensjonsforsikring'!B36+'Oslo Pensjonsforsikring'!B47+'Oslo Pensjonsforsikring'!B66+'Oslo Pensjonsforsikring'!B134</f>
        <v>2128000</v>
      </c>
      <c r="C26" s="177">
        <f>'Oslo Pensjonsforsikring'!C7+'Oslo Pensjonsforsikring'!C22+'Oslo Pensjonsforsikring'!C36+'Oslo Pensjonsforsikring'!C47+'Oslo Pensjonsforsikring'!C66+'Oslo Pensjonsforsikring'!C134</f>
        <v>5331000</v>
      </c>
      <c r="D26" s="104">
        <f t="shared" si="2"/>
        <v>150.5</v>
      </c>
      <c r="E26" s="406">
        <f t="shared" si="1"/>
        <v>10.378252503714968</v>
      </c>
      <c r="F26" s="103"/>
      <c r="G26" s="177">
        <f>'Oslo Pensjonsforsikring'!B10+'Oslo Pensjonsforsikring'!B29+'Oslo Pensjonsforsikring'!B37+'Oslo Pensjonsforsikring'!B87+'Oslo Pensjonsforsikring'!B135</f>
        <v>87821000</v>
      </c>
      <c r="H26" s="177">
        <f>'Oslo Pensjonsforsikring'!C10+'Oslo Pensjonsforsikring'!C29+'Oslo Pensjonsforsikring'!C37+'Oslo Pensjonsforsikring'!C87+'Oslo Pensjonsforsikring'!C135</f>
        <v>110112000</v>
      </c>
      <c r="I26" s="104">
        <f t="shared" si="3"/>
        <v>25.4</v>
      </c>
      <c r="J26" s="406">
        <f t="shared" si="4"/>
        <v>8.839729182182273</v>
      </c>
      <c r="K26" s="139"/>
      <c r="L26" s="223">
        <f t="shared" ca="1" si="6"/>
        <v>0</v>
      </c>
      <c r="M26" s="221">
        <f t="shared" ca="1" si="7"/>
        <v>0</v>
      </c>
      <c r="N26" s="223">
        <f t="shared" ca="1" si="8"/>
        <v>0</v>
      </c>
      <c r="O26" s="221">
        <f t="shared" ca="1" si="9"/>
        <v>0</v>
      </c>
    </row>
    <row r="27" spans="1:18" ht="18.75" x14ac:dyDescent="0.3">
      <c r="A27" s="108" t="s">
        <v>350</v>
      </c>
      <c r="B27" s="177">
        <f>'Protector Forsikring'!B7+'Protector Forsikring'!B22+'Protector Forsikring'!B36+'Protector Forsikring'!B47+'Protector Forsikring'!B66+'Protector Forsikring'!B134</f>
        <v>285507.81500140583</v>
      </c>
      <c r="C27" s="177">
        <f>'Protector Forsikring'!C7+'Protector Forsikring'!C22+'Protector Forsikring'!C36+'Protector Forsikring'!C47+'Protector Forsikring'!C66+'Protector Forsikring'!C134</f>
        <v>315226.97251780157</v>
      </c>
      <c r="D27" s="104">
        <f t="shared" si="2"/>
        <v>10.4</v>
      </c>
      <c r="E27" s="406">
        <f t="shared" si="1"/>
        <v>0.6136756925101039</v>
      </c>
      <c r="F27" s="103"/>
      <c r="G27" s="177"/>
      <c r="H27" s="177"/>
      <c r="I27" s="104"/>
      <c r="J27" s="406"/>
      <c r="K27" s="139"/>
      <c r="L27" s="223">
        <f t="shared" ca="1" si="6"/>
        <v>0</v>
      </c>
      <c r="M27" s="221">
        <f t="shared" ca="1" si="7"/>
        <v>0</v>
      </c>
      <c r="N27" s="223">
        <f t="shared" ca="1" si="8"/>
        <v>0</v>
      </c>
      <c r="O27" s="221">
        <f t="shared" ca="1" si="9"/>
        <v>0</v>
      </c>
    </row>
    <row r="28" spans="1:18" ht="18.75" x14ac:dyDescent="0.3">
      <c r="A28" s="193" t="s">
        <v>405</v>
      </c>
      <c r="B28" s="177">
        <f>'Sparebank 1'!B7+'Sparebank 1'!B22+'Sparebank 1'!B36+'Sparebank 1'!B47+'Sparebank 1'!B66+'Sparebank 1'!B134</f>
        <v>435411.44518000004</v>
      </c>
      <c r="C28" s="177">
        <f>'Sparebank 1'!C7+'Sparebank 1'!C22+'Sparebank 1'!C36+'Sparebank 1'!C47+'Sparebank 1'!C66+'Sparebank 1'!C134</f>
        <v>437108.78225999995</v>
      </c>
      <c r="D28" s="104">
        <f t="shared" si="2"/>
        <v>0.4</v>
      </c>
      <c r="E28" s="406">
        <f t="shared" si="1"/>
        <v>0.85095203787012674</v>
      </c>
      <c r="F28" s="103"/>
      <c r="G28" s="177">
        <f>'Sparebank 1'!B10+'Sparebank 1'!B29+'Sparebank 1'!B37+'Sparebank 1'!B87+'Sparebank 1'!B135</f>
        <v>19758215.866050001</v>
      </c>
      <c r="H28" s="177">
        <f>'Sparebank 1'!C10+'Sparebank 1'!C29+'Sparebank 1'!C37+'Sparebank 1'!C87+'Sparebank 1'!C135</f>
        <v>20841895.883509997</v>
      </c>
      <c r="I28" s="104">
        <f t="shared" si="3"/>
        <v>5.5</v>
      </c>
      <c r="J28" s="406">
        <f t="shared" si="4"/>
        <v>1.6731756325692739</v>
      </c>
      <c r="K28" s="139"/>
      <c r="L28" s="223">
        <f t="shared" ca="1" si="6"/>
        <v>0</v>
      </c>
      <c r="M28" s="221">
        <f t="shared" ca="1" si="7"/>
        <v>0</v>
      </c>
      <c r="N28" s="223">
        <f t="shared" ca="1" si="8"/>
        <v>0</v>
      </c>
      <c r="O28" s="221">
        <f t="shared" ca="1" si="9"/>
        <v>0</v>
      </c>
    </row>
    <row r="29" spans="1:18" ht="18.75" x14ac:dyDescent="0.3">
      <c r="A29" s="108" t="s">
        <v>95</v>
      </c>
      <c r="B29" s="177">
        <f>'Storebrand Livsforsikring'!B7+'Storebrand Livsforsikring'!B22+'Storebrand Livsforsikring'!B36+'Storebrand Livsforsikring'!B47+'Storebrand Livsforsikring'!B66+'Storebrand Livsforsikring'!B134</f>
        <v>3657110.1809999999</v>
      </c>
      <c r="C29" s="177">
        <f>'Storebrand Livsforsikring'!C7+'Storebrand Livsforsikring'!C22+'Storebrand Livsforsikring'!C36+'Storebrand Livsforsikring'!C47+'Storebrand Livsforsikring'!C66+'Storebrand Livsforsikring'!C134</f>
        <v>3823393.7880000002</v>
      </c>
      <c r="D29" s="104">
        <f t="shared" si="2"/>
        <v>4.5</v>
      </c>
      <c r="E29" s="406">
        <f t="shared" si="1"/>
        <v>7.4432838403675223</v>
      </c>
      <c r="F29" s="103"/>
      <c r="G29" s="177">
        <f>'Storebrand Livsforsikring'!B10+'Storebrand Livsforsikring'!B29+'Storebrand Livsforsikring'!B37+'Storebrand Livsforsikring'!B87+'Storebrand Livsforsikring'!B135</f>
        <v>195179233.26300004</v>
      </c>
      <c r="H29" s="177">
        <f>'Storebrand Livsforsikring'!C10+'Storebrand Livsforsikring'!C29+'Storebrand Livsforsikring'!C37+'Storebrand Livsforsikring'!C87+'Storebrand Livsforsikring'!C135</f>
        <v>200339753.17199999</v>
      </c>
      <c r="I29" s="104">
        <f t="shared" si="3"/>
        <v>2.6</v>
      </c>
      <c r="J29" s="406">
        <f t="shared" si="4"/>
        <v>16.083162257208315</v>
      </c>
      <c r="K29" s="139"/>
      <c r="L29" s="223" t="e">
        <f t="shared" ca="1" si="6"/>
        <v>#REF!</v>
      </c>
      <c r="M29" s="221" t="e">
        <f t="shared" ca="1" si="7"/>
        <v>#REF!</v>
      </c>
      <c r="N29" s="223" t="e">
        <f t="shared" ca="1" si="8"/>
        <v>#REF!</v>
      </c>
      <c r="O29" s="221" t="e">
        <f t="shared" ca="1" si="9"/>
        <v>#REF!</v>
      </c>
    </row>
    <row r="30" spans="1:18" ht="18.75" x14ac:dyDescent="0.3">
      <c r="A30" s="108" t="s">
        <v>96</v>
      </c>
      <c r="B30" s="177">
        <f>'Telenor Forsikring'!B7+'Telenor Forsikring'!B22+'Telenor Forsikring'!B36+'Telenor Forsikring'!B47+'Telenor Forsikring'!B66+'Telenor Forsikring'!B134</f>
        <v>686</v>
      </c>
      <c r="C30" s="177">
        <f>'Telenor Forsikring'!C7+'Telenor Forsikring'!C22+'Telenor Forsikring'!C36+'Telenor Forsikring'!C47+'Telenor Forsikring'!C66+'Telenor Forsikring'!C134</f>
        <v>7890</v>
      </c>
      <c r="D30" s="104">
        <f t="shared" si="2"/>
        <v>999</v>
      </c>
      <c r="E30" s="406">
        <f t="shared" si="1"/>
        <v>1.5360047318385125E-2</v>
      </c>
      <c r="F30" s="103"/>
      <c r="G30" s="177"/>
      <c r="H30" s="177"/>
      <c r="I30" s="104"/>
      <c r="J30" s="406"/>
      <c r="K30" s="139"/>
      <c r="L30" s="223">
        <f t="shared" ca="1" si="6"/>
        <v>0</v>
      </c>
      <c r="M30" s="221">
        <f t="shared" ca="1" si="7"/>
        <v>0</v>
      </c>
      <c r="N30" s="223">
        <f t="shared" ca="1" si="8"/>
        <v>0</v>
      </c>
      <c r="O30" s="221">
        <f t="shared" ca="1" si="9"/>
        <v>0</v>
      </c>
      <c r="R30" s="558"/>
    </row>
    <row r="31" spans="1:18" ht="18.75" x14ac:dyDescent="0.3">
      <c r="A31" s="108" t="s">
        <v>97</v>
      </c>
      <c r="B31" s="177">
        <f>'Tryg Forsikring'!B7+'Tryg Forsikring'!B22+'Tryg Forsikring'!B36+'Tryg Forsikring'!B47+'Tryg Forsikring'!B66+'Tryg Forsikring'!B134</f>
        <v>545103.80000000005</v>
      </c>
      <c r="C31" s="177">
        <f>'Tryg Forsikring'!C7+'Tryg Forsikring'!C22+'Tryg Forsikring'!C36+'Tryg Forsikring'!C47+'Tryg Forsikring'!C66+'Tryg Forsikring'!C134</f>
        <v>611540</v>
      </c>
      <c r="D31" s="104">
        <f t="shared" si="2"/>
        <v>12.2</v>
      </c>
      <c r="E31" s="406">
        <f t="shared" si="1"/>
        <v>1.1905302074886235</v>
      </c>
      <c r="F31" s="103"/>
      <c r="G31" s="664"/>
      <c r="I31" s="104"/>
      <c r="J31" s="406"/>
      <c r="K31" s="207"/>
      <c r="L31" s="223">
        <f t="shared" ca="1" si="6"/>
        <v>0</v>
      </c>
      <c r="M31" s="221">
        <f t="shared" ca="1" si="7"/>
        <v>0</v>
      </c>
      <c r="N31" s="223">
        <f t="shared" ca="1" si="8"/>
        <v>0</v>
      </c>
      <c r="O31" s="221">
        <f t="shared" ca="1" si="9"/>
        <v>0</v>
      </c>
    </row>
    <row r="32" spans="1:18" ht="18.75" x14ac:dyDescent="0.3">
      <c r="A32" s="193" t="s">
        <v>399</v>
      </c>
      <c r="B32" s="177">
        <f>'WaterCircles F'!B7+'WaterCircles F'!B22+'WaterCircles F'!B36+'WaterCircles F'!B47+'WaterCircles F'!B66+'WaterCircles F'!B136</f>
        <v>1684</v>
      </c>
      <c r="C32" s="177">
        <f>'WaterCircles F'!C7+'WaterCircles F'!C22+'WaterCircles F'!C36+'WaterCircles F'!C47+'WaterCircles F'!C66+'WaterCircles F'!C136</f>
        <v>2120</v>
      </c>
      <c r="D32" s="104">
        <f t="shared" si="2"/>
        <v>25.9</v>
      </c>
      <c r="E32" s="406">
        <f t="shared" si="1"/>
        <v>4.1271610031655848E-3</v>
      </c>
      <c r="F32" s="193"/>
      <c r="G32" s="103"/>
      <c r="H32" s="103"/>
      <c r="I32" s="104"/>
      <c r="J32" s="406"/>
      <c r="K32" s="207"/>
      <c r="L32" s="223">
        <f t="shared" ca="1" si="6"/>
        <v>0</v>
      </c>
      <c r="M32" s="221">
        <f t="shared" ca="1" si="7"/>
        <v>0</v>
      </c>
      <c r="N32" s="223">
        <f t="shared" ca="1" si="8"/>
        <v>0</v>
      </c>
      <c r="O32" s="221">
        <f t="shared" ca="1" si="9"/>
        <v>0</v>
      </c>
    </row>
    <row r="33" spans="1:21" ht="18.75" x14ac:dyDescent="0.3">
      <c r="A33" s="108" t="s">
        <v>407</v>
      </c>
      <c r="B33" s="177">
        <f>'Youplus Livsforsikring'!B7+'Youplus Livsforsikring'!B22+'Youplus Livsforsikring'!B36+'Youplus Livsforsikring'!B47+'Youplus Livsforsikring'!B66+'Youplus Livsforsikring'!B134</f>
        <v>0</v>
      </c>
      <c r="C33" s="177">
        <f>'Youplus Livsforsikring'!C7+'Youplus Livsforsikring'!C22+'Youplus Livsforsikring'!C36+'Youplus Livsforsikring'!C47+'Youplus Livsforsikring'!C66+'Youplus Livsforsikring'!C134</f>
        <v>1993</v>
      </c>
      <c r="D33" s="104" t="str">
        <f>IF(B33=0, "    ---- ", IF(ABS(ROUND(100/B33*C33-100,1))&lt;999,ROUND(100/B33*C33-100,1),IF(ROUND(100/B33*C33-100,1)&gt;999,999,-999)))</f>
        <v xml:space="preserve">    ---- </v>
      </c>
      <c r="E33" s="406">
        <f t="shared" si="1"/>
        <v>3.8799206977872696E-3</v>
      </c>
      <c r="F33" s="103"/>
      <c r="G33" s="177">
        <f>'Youplus Livsforsikring'!B10+'Youplus Livsforsikring'!B29+'Youplus Livsforsikring'!B37+'Youplus Livsforsikring'!B87+'Youplus Livsforsikring'!B135</f>
        <v>0</v>
      </c>
      <c r="H33" s="177">
        <f>'Youplus Livsforsikring'!C10+'Youplus Livsforsikring'!C29+'Youplus Livsforsikring'!C37+'Youplus Livsforsikring'!C87+'Youplus Livsforsikring'!C135</f>
        <v>1794</v>
      </c>
      <c r="I33" s="104" t="str">
        <f>IF(G33=0, "    ---- ", IF(ABS(ROUND(100/G33*H33-100,1))&lt;999,ROUND(100/G33*H33-100,1),IF(ROUND(100/G33*H33-100,1)&gt;999,999,-999)))</f>
        <v xml:space="preserve">    ---- </v>
      </c>
      <c r="J33" s="406">
        <f t="shared" si="4"/>
        <v>1.4402130696776914E-4</v>
      </c>
      <c r="K33" s="139"/>
      <c r="L33" s="223">
        <f ca="1">INDIRECT("'" &amp; $A21 &amp; "'!" &amp; $P$7)</f>
        <v>0</v>
      </c>
      <c r="M33" s="221">
        <f ca="1">INDIRECT("'" &amp; $A21 &amp; "'!" &amp; $P$8)</f>
        <v>0</v>
      </c>
      <c r="N33" s="223">
        <f ca="1">INDIRECT("'" &amp; $A21 &amp; "'!" &amp; $P$10)</f>
        <v>0</v>
      </c>
      <c r="O33" s="221">
        <f ca="1">INDIRECT("'" &amp; $A21 &amp; "'!" &amp; $P$11)</f>
        <v>0</v>
      </c>
    </row>
    <row r="34" spans="1:21" s="111" customFormat="1" ht="18.75" x14ac:dyDescent="0.3">
      <c r="A34" s="137" t="s">
        <v>98</v>
      </c>
      <c r="B34" s="179">
        <f>SUM(B9:B33)</f>
        <v>48463760.304478332</v>
      </c>
      <c r="C34" s="242">
        <f>SUM(C9:C33)</f>
        <v>51367029.257495232</v>
      </c>
      <c r="D34" s="104">
        <f t="shared" ref="D34" si="11">IF(B34=0, "    ---- ", IF(ABS(ROUND(100/B34*C34-100,1))&lt;999,ROUND(100/B34*C34-100,1),IF(ROUND(100/B34*C34-100,1)&gt;999,999,-999)))</f>
        <v>6</v>
      </c>
      <c r="E34" s="407">
        <f>SUM(E9:E33)</f>
        <v>99.999999999999972</v>
      </c>
      <c r="F34" s="109"/>
      <c r="G34" s="179">
        <f>SUM(G9:G33)</f>
        <v>1131513286.6103518</v>
      </c>
      <c r="H34" s="179">
        <f>SUM(H9:H33)</f>
        <v>1245649020.8087635</v>
      </c>
      <c r="I34" s="104">
        <f t="shared" ref="I34" si="12">IF(G34=0, "    ---- ", IF(ABS(ROUND(100/G34*H34-100,1))&lt;999,ROUND(100/G34*H34-100,1),IF(ROUND(100/G34*H34-100,1)&gt;999,999,-999)))</f>
        <v>10.1</v>
      </c>
      <c r="J34" s="407">
        <f>SUM(J9:J33)</f>
        <v>99.999999999999986</v>
      </c>
      <c r="K34" s="209"/>
      <c r="L34" s="223" t="e">
        <f ca="1">SUM(L10:L32)</f>
        <v>#REF!</v>
      </c>
      <c r="M34" s="221" t="e">
        <f ca="1">SUM(M10:M32)</f>
        <v>#REF!</v>
      </c>
      <c r="N34" s="223" t="e">
        <f ca="1">SUM(N10:N32)</f>
        <v>#REF!</v>
      </c>
      <c r="O34" s="221" t="e">
        <f ca="1">SUM(O10:O32)</f>
        <v>#REF!</v>
      </c>
      <c r="U34" s="205"/>
    </row>
    <row r="35" spans="1:21" ht="18.75" x14ac:dyDescent="0.3">
      <c r="A35" s="86"/>
      <c r="B35" s="177"/>
      <c r="C35" s="139"/>
      <c r="D35" s="104"/>
      <c r="E35" s="406"/>
      <c r="F35" s="103"/>
      <c r="G35" s="177"/>
      <c r="H35" s="103"/>
      <c r="I35" s="104"/>
      <c r="J35" s="406"/>
      <c r="K35" s="207"/>
      <c r="L35" s="220" t="s">
        <v>1</v>
      </c>
      <c r="M35" s="221"/>
      <c r="N35" s="223"/>
      <c r="O35" s="221"/>
    </row>
    <row r="36" spans="1:21" ht="18.75" x14ac:dyDescent="0.3">
      <c r="A36" s="101" t="s">
        <v>1</v>
      </c>
      <c r="B36" s="177"/>
      <c r="C36" s="139"/>
      <c r="D36" s="104"/>
      <c r="E36" s="406"/>
      <c r="F36" s="103"/>
      <c r="G36" s="177"/>
      <c r="H36" s="103"/>
      <c r="I36" s="104"/>
      <c r="J36" s="406"/>
      <c r="K36" s="207"/>
      <c r="L36" s="224">
        <v>2015</v>
      </c>
      <c r="M36" s="225">
        <v>2016</v>
      </c>
      <c r="N36" s="224">
        <v>2015</v>
      </c>
      <c r="O36" s="225">
        <v>2016</v>
      </c>
      <c r="P36" s="87" t="s">
        <v>151</v>
      </c>
    </row>
    <row r="37" spans="1:21" ht="18.75" x14ac:dyDescent="0.3">
      <c r="A37" s="107" t="s">
        <v>83</v>
      </c>
      <c r="B37" s="130">
        <f>'Danica Pensjonsforsikring'!F7+'Danica Pensjonsforsikring'!F22+'Danica Pensjonsforsikring'!F66+'Danica Pensjonsforsikring'!F134</f>
        <v>1164087.9040000001</v>
      </c>
      <c r="C37" s="130">
        <f>'Danica Pensjonsforsikring'!G7+'Danica Pensjonsforsikring'!G22+'Danica Pensjonsforsikring'!G66+'Danica Pensjonsforsikring'!G134</f>
        <v>1167273.50508</v>
      </c>
      <c r="D37" s="104">
        <f t="shared" ref="D37:D46" si="13">IF(B37=0, "    ---- ", IF(ABS(ROUND(100/B37*C37-100,1))&lt;999,ROUND(100/B37*C37-100,1),IF(ROUND(100/B37*C37-100,1)&gt;999,999,-999)))</f>
        <v>0.3</v>
      </c>
      <c r="E37" s="406">
        <f t="shared" ref="E37:E45" si="14">100/C$46*C37</f>
        <v>4.3929541841022628</v>
      </c>
      <c r="F37" s="103"/>
      <c r="G37" s="177">
        <f>'Danica Pensjonsforsikring'!F10+'Danica Pensjonsforsikring'!F29+'Danica Pensjonsforsikring'!F87+'Danica Pensjonsforsikring'!F135</f>
        <v>26763939.773000002</v>
      </c>
      <c r="H37" s="177">
        <f>'Danica Pensjonsforsikring'!G10+'Danica Pensjonsforsikring'!G29+'Danica Pensjonsforsikring'!G87+'Danica Pensjonsforsikring'!G135</f>
        <v>26321708.566660002</v>
      </c>
      <c r="I37" s="104">
        <f t="shared" ref="I37:I46" si="15">IF(G37=0, "    ---- ", IF(ABS(ROUND(100/G37*H37-100,1))&lt;999,ROUND(100/G37*H37-100,1),IF(ROUND(100/G37*H37-100,1)&gt;999,999,-999)))</f>
        <v>-1.7</v>
      </c>
      <c r="J37" s="406">
        <f t="shared" ref="J37:J45" si="16">100/H$46*H37</f>
        <v>5.1112264072129161</v>
      </c>
      <c r="K37" s="207" t="s">
        <v>140</v>
      </c>
      <c r="L37" s="223">
        <f t="shared" ref="L37:L45" ca="1" si="17">INDIRECT("'" &amp; $A37 &amp; "'!" &amp; $P$36)</f>
        <v>0</v>
      </c>
      <c r="M37" s="221">
        <f t="shared" ref="M37:M45" ca="1" si="18">INDIRECT("'" &amp; $A37 &amp; "'!" &amp; $P$37)</f>
        <v>0</v>
      </c>
      <c r="N37" s="223">
        <f t="shared" ref="N37:N45" ca="1" si="19">INDIRECT("'" &amp; $A37 &amp; "'!" &amp; $P$38)</f>
        <v>0</v>
      </c>
      <c r="O37" s="221">
        <f ca="1">INDIRECT("'"&amp;$A37&amp;"'!"&amp;$P$39)</f>
        <v>0</v>
      </c>
      <c r="P37" s="87" t="s">
        <v>153</v>
      </c>
    </row>
    <row r="38" spans="1:21" ht="18.75" x14ac:dyDescent="0.3">
      <c r="A38" s="86" t="s">
        <v>84</v>
      </c>
      <c r="B38" s="130">
        <f>'DNB Livsforsikring'!F7+'DNB Livsforsikring'!F22+'DNB Livsforsikring'!F66+'DNB Livsforsikring'!F134</f>
        <v>5687337</v>
      </c>
      <c r="C38" s="130">
        <f>'DNB Livsforsikring'!G7+'DNB Livsforsikring'!G22+'DNB Livsforsikring'!G66+'DNB Livsforsikring'!G134</f>
        <v>6060306.909</v>
      </c>
      <c r="D38" s="104">
        <f t="shared" si="13"/>
        <v>6.6</v>
      </c>
      <c r="E38" s="406">
        <f t="shared" si="14"/>
        <v>22.807551509541714</v>
      </c>
      <c r="F38" s="103"/>
      <c r="G38" s="177">
        <f>'DNB Livsforsikring'!F10+'DNB Livsforsikring'!F29+'DNB Livsforsikring'!F87+'DNB Livsforsikring'!F135</f>
        <v>129966187.12900001</v>
      </c>
      <c r="H38" s="177">
        <f>'DNB Livsforsikring'!G10+'DNB Livsforsikring'!G29+'DNB Livsforsikring'!G87+'DNB Livsforsikring'!G135</f>
        <v>130260212</v>
      </c>
      <c r="I38" s="104">
        <f t="shared" si="15"/>
        <v>0.2</v>
      </c>
      <c r="J38" s="406">
        <f t="shared" si="16"/>
        <v>25.29430920859237</v>
      </c>
      <c r="K38" s="87" t="s">
        <v>148</v>
      </c>
      <c r="L38" s="223">
        <f t="shared" ca="1" si="17"/>
        <v>0</v>
      </c>
      <c r="M38" s="221">
        <f t="shared" ca="1" si="18"/>
        <v>0</v>
      </c>
      <c r="N38" s="223">
        <f t="shared" ca="1" si="19"/>
        <v>0</v>
      </c>
      <c r="O38" s="221">
        <f ca="1">INDIRECT("'"&amp;$A38&amp;"'!"&amp;$P$39)</f>
        <v>0</v>
      </c>
      <c r="P38" s="87" t="s">
        <v>152</v>
      </c>
    </row>
    <row r="39" spans="1:21" ht="18.75" x14ac:dyDescent="0.3">
      <c r="A39" s="107" t="s">
        <v>86</v>
      </c>
      <c r="B39" s="130"/>
      <c r="C39" s="130"/>
      <c r="D39" s="104"/>
      <c r="E39" s="406"/>
      <c r="F39" s="103"/>
      <c r="G39" s="177"/>
      <c r="H39" s="177"/>
      <c r="I39" s="104"/>
      <c r="J39" s="406"/>
      <c r="K39" s="87" t="s">
        <v>141</v>
      </c>
      <c r="L39" s="223">
        <f t="shared" ca="1" si="17"/>
        <v>0</v>
      </c>
      <c r="M39" s="221">
        <f t="shared" ca="1" si="18"/>
        <v>0</v>
      </c>
      <c r="N39" s="223">
        <f t="shared" ca="1" si="19"/>
        <v>0</v>
      </c>
      <c r="O39" s="221">
        <f t="shared" ref="O39:O45" ca="1" si="20">INDIRECT("'"&amp;$A39&amp;"'!"&amp;$P$39)</f>
        <v>0</v>
      </c>
      <c r="P39" s="87" t="s">
        <v>154</v>
      </c>
    </row>
    <row r="40" spans="1:21" ht="18.75" x14ac:dyDescent="0.3">
      <c r="A40" s="107" t="s">
        <v>89</v>
      </c>
      <c r="B40" s="130">
        <f>'Gjensidige Pensjon'!F7+'Gjensidige Pensjon'!F22+'Gjensidige Pensjon'!F66+'Gjensidige Pensjon'!F134</f>
        <v>1813519</v>
      </c>
      <c r="C40" s="130">
        <f>'Gjensidige Pensjon'!G7+'Gjensidige Pensjon'!G22+'Gjensidige Pensjon'!G66+'Gjensidige Pensjon'!G134</f>
        <v>2022284</v>
      </c>
      <c r="D40" s="104">
        <f t="shared" si="13"/>
        <v>11.5</v>
      </c>
      <c r="E40" s="406">
        <f t="shared" si="14"/>
        <v>7.6107278376323659</v>
      </c>
      <c r="F40" s="103"/>
      <c r="G40" s="177">
        <f>'Gjensidige Pensjon'!F10+'Gjensidige Pensjon'!F29+'Gjensidige Pensjon'!F87+'Gjensidige Pensjon'!F135</f>
        <v>38652190</v>
      </c>
      <c r="H40" s="177">
        <f>'Gjensidige Pensjon'!G10+'Gjensidige Pensjon'!G29+'Gjensidige Pensjon'!G87+'Gjensidige Pensjon'!G135</f>
        <v>40777682</v>
      </c>
      <c r="I40" s="104">
        <f t="shared" si="15"/>
        <v>5.5</v>
      </c>
      <c r="J40" s="406">
        <f t="shared" si="16"/>
        <v>7.9183296378916639</v>
      </c>
      <c r="K40" s="87" t="s">
        <v>149</v>
      </c>
      <c r="L40" s="223">
        <f t="shared" ca="1" si="17"/>
        <v>0</v>
      </c>
      <c r="M40" s="221">
        <f t="shared" ca="1" si="18"/>
        <v>0</v>
      </c>
      <c r="N40" s="223">
        <f t="shared" ca="1" si="19"/>
        <v>0</v>
      </c>
      <c r="O40" s="221">
        <f t="shared" ca="1" si="20"/>
        <v>0</v>
      </c>
    </row>
    <row r="41" spans="1:21" ht="18.75" x14ac:dyDescent="0.3">
      <c r="A41" s="107" t="s">
        <v>63</v>
      </c>
      <c r="B41" s="130">
        <f>KLP!F7+KLP!F22+KLP!F66+KLP!F134</f>
        <v>96259.103000000003</v>
      </c>
      <c r="C41" s="130">
        <f>KLP!G7+KLP!G22+KLP!G66+KLP!G134</f>
        <v>103293.625</v>
      </c>
      <c r="D41" s="104">
        <f t="shared" si="13"/>
        <v>7.3</v>
      </c>
      <c r="E41" s="406">
        <f t="shared" si="14"/>
        <v>0.38873850914978236</v>
      </c>
      <c r="F41" s="103"/>
      <c r="G41" s="177">
        <f>KLP!F10+KLP!F29+KLP!F87+KLP!F135</f>
        <v>2232813.0127599998</v>
      </c>
      <c r="H41" s="177">
        <f>KLP!G10+KLP!G29+KLP!G87+KLP!G135</f>
        <v>2589206.34993</v>
      </c>
      <c r="I41" s="104">
        <f t="shared" si="15"/>
        <v>16</v>
      </c>
      <c r="J41" s="406">
        <f t="shared" si="16"/>
        <v>0.50277966705581778</v>
      </c>
      <c r="K41" s="87" t="s">
        <v>142</v>
      </c>
      <c r="L41" s="223">
        <f t="shared" ca="1" si="17"/>
        <v>0</v>
      </c>
      <c r="M41" s="221">
        <f t="shared" ca="1" si="18"/>
        <v>0</v>
      </c>
      <c r="N41" s="223">
        <f t="shared" ca="1" si="19"/>
        <v>0</v>
      </c>
      <c r="O41" s="221">
        <f t="shared" ca="1" si="20"/>
        <v>0</v>
      </c>
    </row>
    <row r="42" spans="1:21" ht="18.75" x14ac:dyDescent="0.3">
      <c r="A42" s="107" t="s">
        <v>93</v>
      </c>
      <c r="B42" s="130">
        <f>'Nordea Liv '!F7+'Nordea Liv '!F22+'Nordea Liv '!F66+'Nordea Liv '!F134</f>
        <v>9140677.7173800003</v>
      </c>
      <c r="C42" s="130">
        <f>'Nordea Liv '!G7+'Nordea Liv '!G22+'Nordea Liv '!G66+'Nordea Liv '!G134</f>
        <v>7731556.8194900006</v>
      </c>
      <c r="D42" s="104">
        <f t="shared" si="13"/>
        <v>-15.4</v>
      </c>
      <c r="E42" s="406">
        <f t="shared" si="14"/>
        <v>29.097186505124355</v>
      </c>
      <c r="F42" s="103"/>
      <c r="G42" s="177">
        <f>'Nordea Liv '!F10+'Nordea Liv '!F29+'Nordea Liv '!F87+'Nordea Liv '!F135</f>
        <v>114051500</v>
      </c>
      <c r="H42" s="177">
        <f>'Nordea Liv '!G10+'Nordea Liv '!G29+'Nordea Liv '!G87+'Nordea Liv '!G135</f>
        <v>114500280</v>
      </c>
      <c r="I42" s="104">
        <f t="shared" si="15"/>
        <v>0.4</v>
      </c>
      <c r="J42" s="406">
        <f t="shared" si="16"/>
        <v>22.233999487045246</v>
      </c>
      <c r="K42" s="207"/>
      <c r="L42" s="223">
        <f t="shared" ca="1" si="17"/>
        <v>0</v>
      </c>
      <c r="M42" s="221">
        <f t="shared" ca="1" si="18"/>
        <v>0</v>
      </c>
      <c r="N42" s="223">
        <f t="shared" ca="1" si="19"/>
        <v>0</v>
      </c>
      <c r="O42" s="221">
        <f t="shared" ca="1" si="20"/>
        <v>0</v>
      </c>
    </row>
    <row r="43" spans="1:21" ht="18.75" x14ac:dyDescent="0.3">
      <c r="A43" s="107" t="s">
        <v>71</v>
      </c>
      <c r="B43" s="130">
        <f>'SHB Liv'!F7+'SHB Liv'!F22+'SHB Liv'!F66+'SHB Liv'!F134</f>
        <v>83074.449899999992</v>
      </c>
      <c r="C43" s="130">
        <f>'SHB Liv'!G7+'SHB Liv'!G22+'SHB Liv'!G66+'SHB Liv'!G134</f>
        <v>57940.990299999998</v>
      </c>
      <c r="D43" s="104">
        <f t="shared" si="13"/>
        <v>-30.3</v>
      </c>
      <c r="E43" s="406">
        <f t="shared" si="14"/>
        <v>0.2180569632238582</v>
      </c>
      <c r="F43" s="103"/>
      <c r="G43" s="177">
        <f>'SHB Liv'!F10+'SHB Liv'!F29+'SHB Liv'!F87+'SHB Liv'!F135</f>
        <v>3229114.5629100003</v>
      </c>
      <c r="H43" s="177">
        <f>'SHB Liv'!G10+'SHB Liv'!G29+'SHB Liv'!G87+'SHB Liv'!G135</f>
        <v>2775030.1372700003</v>
      </c>
      <c r="I43" s="104">
        <f t="shared" si="15"/>
        <v>-14.1</v>
      </c>
      <c r="J43" s="406">
        <f t="shared" si="16"/>
        <v>0.53886347394605749</v>
      </c>
      <c r="K43" s="207"/>
      <c r="L43" s="223">
        <f t="shared" ca="1" si="17"/>
        <v>0</v>
      </c>
      <c r="M43" s="221">
        <f t="shared" ca="1" si="18"/>
        <v>0</v>
      </c>
      <c r="N43" s="223">
        <f t="shared" ca="1" si="19"/>
        <v>0</v>
      </c>
      <c r="O43" s="221">
        <f t="shared" ca="1" si="20"/>
        <v>0</v>
      </c>
    </row>
    <row r="44" spans="1:21" ht="18.75" x14ac:dyDescent="0.3">
      <c r="A44" s="86" t="s">
        <v>405</v>
      </c>
      <c r="B44" s="130">
        <f>'Sparebank 1'!F7+'Sparebank 1'!F22+'Sparebank 1'!F66+'Sparebank 1'!F134</f>
        <v>2700593.74584</v>
      </c>
      <c r="C44" s="130">
        <f>'Sparebank 1'!G7+'Sparebank 1'!G22+'Sparebank 1'!G66+'Sparebank 1'!G134</f>
        <v>2999062.7309600003</v>
      </c>
      <c r="D44" s="104">
        <f t="shared" si="13"/>
        <v>11.1</v>
      </c>
      <c r="E44" s="406">
        <f t="shared" si="14"/>
        <v>11.28676793829305</v>
      </c>
      <c r="F44" s="103"/>
      <c r="G44" s="177">
        <f>'Sparebank 1'!F10+'Sparebank 1'!F29+'Sparebank 1'!F87+'Sparebank 1'!F135</f>
        <v>50948452.248089992</v>
      </c>
      <c r="H44" s="177">
        <f>'Sparebank 1'!G10+'Sparebank 1'!G29+'Sparebank 1'!G87+'Sparebank 1'!G135</f>
        <v>51842088.697679996</v>
      </c>
      <c r="I44" s="104">
        <f t="shared" si="15"/>
        <v>1.8</v>
      </c>
      <c r="J44" s="406">
        <f t="shared" si="16"/>
        <v>10.066848513484606</v>
      </c>
      <c r="K44" s="139"/>
      <c r="L44" s="223" t="e">
        <f t="shared" ca="1" si="17"/>
        <v>#REF!</v>
      </c>
      <c r="M44" s="221" t="e">
        <f t="shared" ca="1" si="18"/>
        <v>#REF!</v>
      </c>
      <c r="N44" s="223" t="e">
        <f t="shared" ca="1" si="19"/>
        <v>#REF!</v>
      </c>
      <c r="O44" s="221" t="e">
        <f t="shared" ca="1" si="20"/>
        <v>#REF!</v>
      </c>
    </row>
    <row r="45" spans="1:21" ht="18.75" x14ac:dyDescent="0.3">
      <c r="A45" s="86" t="s">
        <v>95</v>
      </c>
      <c r="B45" s="130">
        <f>'Storebrand Livsforsikring'!F7+'Storebrand Livsforsikring'!F22+'Storebrand Livsforsikring'!F66+'Storebrand Livsforsikring'!F134</f>
        <v>6574958.2869999995</v>
      </c>
      <c r="C45" s="130">
        <f>'Storebrand Livsforsikring'!G7+'Storebrand Livsforsikring'!G22+'Storebrand Livsforsikring'!G66+'Storebrand Livsforsikring'!G134</f>
        <v>6429774.2280000001</v>
      </c>
      <c r="D45" s="104">
        <f t="shared" si="13"/>
        <v>-2.2000000000000002</v>
      </c>
      <c r="E45" s="406">
        <f t="shared" si="14"/>
        <v>24.198016552932604</v>
      </c>
      <c r="F45" s="103"/>
      <c r="G45" s="177">
        <f>'Storebrand Livsforsikring'!F10+'Storebrand Livsforsikring'!F29+'Storebrand Livsforsikring'!F87+'Storebrand Livsforsikring'!F135</f>
        <v>150707923.69099998</v>
      </c>
      <c r="H45" s="177">
        <f>'Storebrand Livsforsikring'!G10+'Storebrand Livsforsikring'!G29+'Storebrand Livsforsikring'!G87+'Storebrand Livsforsikring'!G135</f>
        <v>145912125.61899999</v>
      </c>
      <c r="I45" s="104">
        <f t="shared" si="15"/>
        <v>-3.2</v>
      </c>
      <c r="J45" s="406">
        <f t="shared" si="16"/>
        <v>28.333643604771336</v>
      </c>
      <c r="K45" s="139"/>
      <c r="L45" s="223">
        <f t="shared" ca="1" si="17"/>
        <v>0</v>
      </c>
      <c r="M45" s="221">
        <f t="shared" ca="1" si="18"/>
        <v>0</v>
      </c>
      <c r="N45" s="223">
        <f t="shared" ca="1" si="19"/>
        <v>0</v>
      </c>
      <c r="O45" s="221">
        <f t="shared" ca="1" si="20"/>
        <v>0</v>
      </c>
    </row>
    <row r="46" spans="1:21" s="111" customFormat="1" ht="18.75" x14ac:dyDescent="0.3">
      <c r="A46" s="101" t="s">
        <v>99</v>
      </c>
      <c r="B46" s="242">
        <f>SUM(B37:B45)</f>
        <v>27260507.207120001</v>
      </c>
      <c r="C46" s="242">
        <f>SUM(C37:C45)</f>
        <v>26571492.807830002</v>
      </c>
      <c r="D46" s="104">
        <f t="shared" si="13"/>
        <v>-2.5</v>
      </c>
      <c r="E46" s="407">
        <f>SUM(E37:E45)</f>
        <v>99.999999999999986</v>
      </c>
      <c r="F46" s="109"/>
      <c r="G46" s="179">
        <f>SUM(G37:G45)</f>
        <v>516552120.41675997</v>
      </c>
      <c r="H46" s="179">
        <f>SUM(H37:H45)</f>
        <v>514978333.3705399</v>
      </c>
      <c r="I46" s="104">
        <f t="shared" si="15"/>
        <v>-0.3</v>
      </c>
      <c r="J46" s="407">
        <f>SUM(J37:J45)</f>
        <v>100.00000000000001</v>
      </c>
      <c r="K46" s="139"/>
      <c r="L46" s="223" t="e">
        <f ca="1">SUM(L37:L45)</f>
        <v>#REF!</v>
      </c>
      <c r="M46" s="221" t="e">
        <f ca="1">SUM(M37:M45)</f>
        <v>#REF!</v>
      </c>
      <c r="N46" s="223" t="e">
        <f ca="1">SUM(N37:N45)</f>
        <v>#REF!</v>
      </c>
      <c r="O46" s="221" t="e">
        <f ca="1">SUM(O37:O45)</f>
        <v>#REF!</v>
      </c>
    </row>
    <row r="47" spans="1:21" ht="18.75" x14ac:dyDescent="0.3">
      <c r="A47" s="101"/>
      <c r="B47" s="130"/>
      <c r="C47" s="109"/>
      <c r="D47" s="110"/>
      <c r="E47" s="406"/>
      <c r="F47" s="109"/>
      <c r="G47" s="179"/>
      <c r="H47" s="109"/>
      <c r="I47" s="110"/>
      <c r="J47" s="407"/>
      <c r="K47" s="139"/>
      <c r="L47" s="220" t="s">
        <v>100</v>
      </c>
      <c r="M47" s="226"/>
      <c r="N47" s="227"/>
      <c r="O47" s="226"/>
    </row>
    <row r="48" spans="1:21" ht="18.75" x14ac:dyDescent="0.3">
      <c r="A48" s="86"/>
      <c r="B48" s="130"/>
      <c r="C48" s="103"/>
      <c r="D48" s="104"/>
      <c r="E48" s="406"/>
      <c r="F48" s="103"/>
      <c r="G48" s="177"/>
      <c r="H48" s="103"/>
      <c r="I48" s="104"/>
      <c r="J48" s="406"/>
      <c r="K48" s="139"/>
      <c r="L48" s="224">
        <v>2015</v>
      </c>
      <c r="M48" s="225">
        <v>2016</v>
      </c>
      <c r="N48" s="224">
        <v>2015</v>
      </c>
      <c r="O48" s="225">
        <v>2016</v>
      </c>
    </row>
    <row r="49" spans="1:20" ht="18.75" x14ac:dyDescent="0.3">
      <c r="A49" s="101" t="s">
        <v>100</v>
      </c>
      <c r="B49" s="130"/>
      <c r="C49" s="103"/>
      <c r="D49" s="104"/>
      <c r="E49" s="406"/>
      <c r="F49" s="103"/>
      <c r="G49" s="177"/>
      <c r="H49" s="103"/>
      <c r="I49" s="104"/>
      <c r="J49" s="406"/>
      <c r="K49" s="139"/>
      <c r="L49" s="223"/>
      <c r="M49" s="221"/>
      <c r="N49" s="223"/>
      <c r="O49" s="221"/>
      <c r="P49" s="207"/>
      <c r="Q49" s="207"/>
      <c r="R49" s="207"/>
      <c r="S49" s="182"/>
      <c r="T49" s="139"/>
    </row>
    <row r="50" spans="1:20" ht="18.75" x14ac:dyDescent="0.3">
      <c r="A50" s="86" t="s">
        <v>401</v>
      </c>
      <c r="B50" s="130">
        <f>B9</f>
        <v>59890</v>
      </c>
      <c r="C50" s="130">
        <f>C9</f>
        <v>0</v>
      </c>
      <c r="D50" s="104">
        <f t="shared" ref="D50" si="21">IF(B50=0, "    ---- ", IF(ABS(ROUND(100/B50*C50-100,1))&lt;999,ROUND(100/B50*C50-100,1),IF(ROUND(100/B50*C50-100,1)&gt;999,999,-999)))</f>
        <v>-100</v>
      </c>
      <c r="E50" s="406">
        <f t="shared" ref="E50:E73" si="22">100/C$76*C50</f>
        <v>0</v>
      </c>
      <c r="F50" s="103"/>
      <c r="G50" s="177"/>
      <c r="H50" s="177"/>
      <c r="I50" s="104"/>
      <c r="J50" s="406"/>
      <c r="K50" s="139"/>
      <c r="L50" s="223" t="e">
        <f ca="1">L10</f>
        <v>#REF!</v>
      </c>
      <c r="M50" s="228" t="e">
        <f ca="1">M10</f>
        <v>#REF!</v>
      </c>
      <c r="N50" s="223" t="e">
        <f ca="1">N10</f>
        <v>#REF!</v>
      </c>
      <c r="O50" s="228" t="e">
        <f ca="1">O10</f>
        <v>#REF!</v>
      </c>
      <c r="P50" s="207"/>
      <c r="Q50" s="207"/>
      <c r="R50" s="207"/>
      <c r="S50" s="182"/>
      <c r="T50" s="139"/>
    </row>
    <row r="51" spans="1:20" ht="18.75" x14ac:dyDescent="0.3">
      <c r="A51" s="107" t="s">
        <v>83</v>
      </c>
      <c r="B51" s="130">
        <f>B10+B37</f>
        <v>1380189.7610000002</v>
      </c>
      <c r="C51" s="103">
        <f>C10+C37</f>
        <v>1390541.54165</v>
      </c>
      <c r="D51" s="104">
        <f t="shared" ref="D51:D74" si="23">IF(B51=0, "    ---- ", IF(ABS(ROUND(100/B51*C51-100,1))&lt;999,ROUND(100/B51*C51-100,1),IF(ROUND(100/B51*C51-100,1)&gt;999,999,-999)))</f>
        <v>0.8</v>
      </c>
      <c r="E51" s="406">
        <f t="shared" si="22"/>
        <v>1.784151796571789</v>
      </c>
      <c r="F51" s="103"/>
      <c r="G51" s="177">
        <f>G10+G37</f>
        <v>28122299.542000003</v>
      </c>
      <c r="H51" s="177">
        <f>H10+H37</f>
        <v>27730776.532890003</v>
      </c>
      <c r="I51" s="104">
        <f t="shared" ref="I51:I71" si="24">IF(G51=0, "    ---- ", IF(ABS(ROUND(100/G51*H51-100,1))&lt;999,ROUND(100/G51*H51-100,1),IF(ROUND(100/G51*H51-100,1)&gt;999,999,-999)))</f>
        <v>-1.4</v>
      </c>
      <c r="J51" s="406">
        <f t="shared" ref="J51:J71" si="25">100/H$76*H51</f>
        <v>1.5750508741707234</v>
      </c>
      <c r="K51" s="139"/>
      <c r="L51" s="223">
        <f ca="1">L11+L37</f>
        <v>0</v>
      </c>
      <c r="M51" s="221">
        <f ca="1">M11+M37</f>
        <v>0</v>
      </c>
      <c r="N51" s="223">
        <f ca="1">N11+N37</f>
        <v>0</v>
      </c>
      <c r="O51" s="221">
        <f ca="1">O11+O37</f>
        <v>0</v>
      </c>
      <c r="P51" s="207"/>
      <c r="Q51" s="207"/>
      <c r="R51" s="207"/>
      <c r="S51" s="182"/>
      <c r="T51" s="139"/>
    </row>
    <row r="52" spans="1:20" ht="18.75" x14ac:dyDescent="0.3">
      <c r="A52" s="86" t="s">
        <v>84</v>
      </c>
      <c r="B52" s="130">
        <f>B11+B38</f>
        <v>7643584.7650000006</v>
      </c>
      <c r="C52" s="103">
        <f>+C11+C38</f>
        <v>8001993.909</v>
      </c>
      <c r="D52" s="104">
        <f t="shared" si="23"/>
        <v>4.7</v>
      </c>
      <c r="E52" s="406">
        <f t="shared" si="22"/>
        <v>10.267058826562071</v>
      </c>
      <c r="F52" s="103"/>
      <c r="G52" s="177">
        <f>+G11+G38</f>
        <v>325634808.87515002</v>
      </c>
      <c r="H52" s="177">
        <f>+H11+H38</f>
        <v>321415404</v>
      </c>
      <c r="I52" s="104">
        <f t="shared" si="24"/>
        <v>-1.3</v>
      </c>
      <c r="J52" s="406">
        <f t="shared" si="25"/>
        <v>18.255731585507718</v>
      </c>
      <c r="K52" s="139"/>
      <c r="L52" s="223">
        <f ca="1">L12+L38</f>
        <v>0</v>
      </c>
      <c r="M52" s="221">
        <f ca="1">+M12+M38</f>
        <v>0</v>
      </c>
      <c r="N52" s="223">
        <f ca="1">+N12+N38</f>
        <v>0</v>
      </c>
      <c r="O52" s="221">
        <f ca="1">+O12+O38</f>
        <v>0</v>
      </c>
      <c r="P52" s="207"/>
      <c r="Q52" s="207"/>
      <c r="R52" s="207"/>
      <c r="S52" s="182"/>
      <c r="T52" s="139"/>
    </row>
    <row r="53" spans="1:20" ht="18.75" x14ac:dyDescent="0.3">
      <c r="A53" s="86" t="s">
        <v>85</v>
      </c>
      <c r="B53" s="130">
        <f t="shared" ref="B53:C55" si="26">B12</f>
        <v>213759</v>
      </c>
      <c r="C53" s="103">
        <f t="shared" si="26"/>
        <v>250147</v>
      </c>
      <c r="D53" s="104">
        <f t="shared" si="23"/>
        <v>17</v>
      </c>
      <c r="E53" s="406">
        <f t="shared" si="22"/>
        <v>0.32095425133971101</v>
      </c>
      <c r="F53" s="103"/>
      <c r="G53" s="177"/>
      <c r="H53" s="177"/>
      <c r="I53" s="104"/>
      <c r="J53" s="406"/>
      <c r="K53" s="139"/>
      <c r="L53" s="223">
        <f ca="1">L14</f>
        <v>0</v>
      </c>
      <c r="M53" s="221">
        <f ca="1">M14</f>
        <v>0</v>
      </c>
      <c r="N53" s="223">
        <f ca="1">N14</f>
        <v>0</v>
      </c>
      <c r="O53" s="221">
        <f ca="1">+O14+O39</f>
        <v>0</v>
      </c>
      <c r="P53" s="207"/>
      <c r="Q53" s="207"/>
      <c r="R53" s="207"/>
      <c r="S53" s="182"/>
      <c r="T53" s="139"/>
    </row>
    <row r="54" spans="1:20" ht="18.75" x14ac:dyDescent="0.3">
      <c r="A54" s="86" t="s">
        <v>402</v>
      </c>
      <c r="B54" s="130">
        <f t="shared" si="26"/>
        <v>8868.24</v>
      </c>
      <c r="C54" s="130">
        <f t="shared" si="26"/>
        <v>26443</v>
      </c>
      <c r="D54" s="104">
        <f t="shared" ref="D54" si="27">IF(B54=0, "    ---- ", IF(ABS(ROUND(100/B54*C54-100,1))&lt;999,ROUND(100/B54*C54-100,1),IF(ROUND(100/B54*C54-100,1)&gt;999,999,-999)))</f>
        <v>198.2</v>
      </c>
      <c r="E54" s="406">
        <f t="shared" si="22"/>
        <v>3.392802339494768E-2</v>
      </c>
      <c r="F54" s="103"/>
      <c r="G54" s="177"/>
      <c r="H54" s="177"/>
      <c r="I54" s="104"/>
      <c r="J54" s="406"/>
      <c r="K54" s="139"/>
      <c r="L54" s="223"/>
      <c r="M54" s="221"/>
      <c r="N54" s="223"/>
      <c r="O54" s="221"/>
      <c r="P54" s="207"/>
      <c r="Q54" s="207"/>
      <c r="R54" s="207"/>
      <c r="S54" s="182"/>
      <c r="T54" s="139"/>
    </row>
    <row r="55" spans="1:20" ht="18.75" x14ac:dyDescent="0.3">
      <c r="A55" s="107" t="s">
        <v>384</v>
      </c>
      <c r="B55" s="130">
        <f t="shared" si="26"/>
        <v>1554860.00135</v>
      </c>
      <c r="C55" s="130">
        <f t="shared" si="26"/>
        <v>1672927.67401</v>
      </c>
      <c r="D55" s="104">
        <f t="shared" ref="D55" si="28">IF(B55=0, "    ---- ", IF(ABS(ROUND(100/B55*C55-100,1))&lt;999,ROUND(100/B55*C55-100,1),IF(ROUND(100/B55*C55-100,1)&gt;999,999,-999)))</f>
        <v>7.6</v>
      </c>
      <c r="E55" s="406">
        <f t="shared" si="22"/>
        <v>2.1464708717568612</v>
      </c>
      <c r="F55" s="103"/>
      <c r="G55" s="177">
        <f t="shared" ref="G55:H55" si="29">G14</f>
        <v>4079532.4523799997</v>
      </c>
      <c r="H55" s="177">
        <f t="shared" si="29"/>
        <v>4531256.1571599999</v>
      </c>
      <c r="I55" s="104">
        <f t="shared" ref="I55" si="30">IF(G55=0, "    ---- ", IF(ABS(ROUND(100/G55*H55-100,1))&lt;999,ROUND(100/G55*H55-100,1),IF(ROUND(100/G55*H55-100,1)&gt;999,999,-999)))</f>
        <v>11.1</v>
      </c>
      <c r="J55" s="406">
        <f t="shared" si="25"/>
        <v>0.25736599777368524</v>
      </c>
      <c r="K55" s="139"/>
      <c r="L55" s="223"/>
      <c r="M55" s="221"/>
      <c r="N55" s="223"/>
      <c r="O55" s="221"/>
      <c r="P55" s="207"/>
      <c r="Q55" s="207"/>
      <c r="R55" s="207"/>
      <c r="S55" s="182"/>
      <c r="T55" s="139"/>
    </row>
    <row r="56" spans="1:20" ht="18.75" x14ac:dyDescent="0.3">
      <c r="A56" s="107" t="s">
        <v>86</v>
      </c>
      <c r="B56" s="130">
        <f>B15+B39</f>
        <v>460428</v>
      </c>
      <c r="C56" s="105">
        <f>C15+C39</f>
        <v>508054</v>
      </c>
      <c r="D56" s="106">
        <f t="shared" si="23"/>
        <v>10.3</v>
      </c>
      <c r="E56" s="408">
        <f t="shared" si="22"/>
        <v>0.65186506818049195</v>
      </c>
      <c r="F56" s="105"/>
      <c r="G56" s="178">
        <f>G15+G39</f>
        <v>1134700</v>
      </c>
      <c r="H56" s="178">
        <f>H15+H39</f>
        <v>1351782</v>
      </c>
      <c r="I56" s="104">
        <f t="shared" si="24"/>
        <v>19.100000000000001</v>
      </c>
      <c r="J56" s="406">
        <f t="shared" si="25"/>
        <v>7.6778427688925566E-2</v>
      </c>
      <c r="K56" s="139"/>
      <c r="L56" s="223">
        <f ca="1">L16+L39</f>
        <v>0</v>
      </c>
      <c r="M56" s="221">
        <f ca="1">M16+M39</f>
        <v>0</v>
      </c>
      <c r="N56" s="223">
        <f ca="1">N16+N39</f>
        <v>0</v>
      </c>
      <c r="O56" s="221">
        <f ca="1">O16+O39</f>
        <v>0</v>
      </c>
      <c r="P56" s="210"/>
      <c r="Q56" s="210"/>
      <c r="R56" s="210"/>
      <c r="S56" s="182"/>
      <c r="T56" s="139"/>
    </row>
    <row r="57" spans="1:20" ht="18.75" x14ac:dyDescent="0.3">
      <c r="A57" s="107" t="s">
        <v>87</v>
      </c>
      <c r="B57" s="130">
        <f>B16</f>
        <v>5314.415</v>
      </c>
      <c r="C57" s="105">
        <f>C16</f>
        <v>6356.36</v>
      </c>
      <c r="D57" s="106">
        <f t="shared" si="23"/>
        <v>19.600000000000001</v>
      </c>
      <c r="E57" s="408">
        <f t="shared" si="22"/>
        <v>8.155607562935735E-3</v>
      </c>
      <c r="F57" s="105"/>
      <c r="G57" s="178"/>
      <c r="H57" s="178"/>
      <c r="I57" s="104"/>
      <c r="J57" s="406"/>
      <c r="K57" s="139"/>
      <c r="L57" s="223">
        <f ca="1">L17</f>
        <v>0</v>
      </c>
      <c r="M57" s="221">
        <f ca="1">M17</f>
        <v>0</v>
      </c>
      <c r="N57" s="223">
        <f ca="1">N17</f>
        <v>0</v>
      </c>
      <c r="O57" s="221">
        <f ca="1">O17</f>
        <v>0</v>
      </c>
      <c r="P57" s="210"/>
      <c r="Q57" s="210"/>
      <c r="R57" s="210"/>
      <c r="S57" s="182"/>
      <c r="T57" s="139"/>
    </row>
    <row r="58" spans="1:20" ht="18.75" x14ac:dyDescent="0.3">
      <c r="A58" s="86" t="s">
        <v>88</v>
      </c>
      <c r="B58" s="103">
        <f>B17</f>
        <v>1474212.797</v>
      </c>
      <c r="C58" s="103">
        <f>+C17</f>
        <v>1581986.0669999998</v>
      </c>
      <c r="D58" s="104">
        <f t="shared" si="23"/>
        <v>7.3</v>
      </c>
      <c r="E58" s="406">
        <f t="shared" si="22"/>
        <v>2.029787100240414</v>
      </c>
      <c r="F58" s="103"/>
      <c r="G58" s="177"/>
      <c r="H58" s="177"/>
      <c r="I58" s="104"/>
      <c r="J58" s="406"/>
      <c r="K58" s="139"/>
      <c r="L58" s="223">
        <f ca="1">L18</f>
        <v>0</v>
      </c>
      <c r="M58" s="221">
        <f ca="1">+M18</f>
        <v>0</v>
      </c>
      <c r="N58" s="223">
        <f ca="1">+N18</f>
        <v>0</v>
      </c>
      <c r="O58" s="221">
        <f ca="1">+O18</f>
        <v>0</v>
      </c>
      <c r="P58" s="207"/>
      <c r="Q58" s="207"/>
      <c r="R58" s="207"/>
      <c r="S58" s="182"/>
      <c r="T58" s="139"/>
    </row>
    <row r="59" spans="1:20" ht="18.75" x14ac:dyDescent="0.3">
      <c r="A59" s="86" t="s">
        <v>89</v>
      </c>
      <c r="B59" s="103">
        <f>B18+B40</f>
        <v>2209389</v>
      </c>
      <c r="C59" s="103">
        <f>C18+C40</f>
        <v>2462134</v>
      </c>
      <c r="D59" s="104">
        <f t="shared" si="23"/>
        <v>11.4</v>
      </c>
      <c r="E59" s="406">
        <f t="shared" si="22"/>
        <v>3.1590719643571497</v>
      </c>
      <c r="F59" s="103"/>
      <c r="G59" s="177">
        <f>G18+G40</f>
        <v>46640575</v>
      </c>
      <c r="H59" s="177">
        <f>H18+H40</f>
        <v>49375875</v>
      </c>
      <c r="I59" s="104">
        <f t="shared" si="24"/>
        <v>5.9</v>
      </c>
      <c r="J59" s="406">
        <f t="shared" si="25"/>
        <v>2.8044477942929609</v>
      </c>
      <c r="K59" s="139"/>
      <c r="L59" s="223">
        <f ca="1">L19+L40</f>
        <v>0</v>
      </c>
      <c r="M59" s="221">
        <f ca="1">M19+M40</f>
        <v>0</v>
      </c>
      <c r="N59" s="223">
        <f ca="1">N19+N40</f>
        <v>0</v>
      </c>
      <c r="O59" s="221">
        <f ca="1">O19+O40</f>
        <v>0</v>
      </c>
      <c r="P59" s="207"/>
      <c r="Q59" s="207"/>
      <c r="R59" s="207"/>
      <c r="S59" s="182"/>
      <c r="T59" s="139"/>
    </row>
    <row r="60" spans="1:20" ht="18.75" x14ac:dyDescent="0.3">
      <c r="A60" s="86" t="s">
        <v>90</v>
      </c>
      <c r="B60" s="103">
        <f>B19</f>
        <v>17644.029899999998</v>
      </c>
      <c r="C60" s="103">
        <f>+C19</f>
        <v>17030.985049999999</v>
      </c>
      <c r="D60" s="104">
        <f t="shared" si="23"/>
        <v>-3.5</v>
      </c>
      <c r="E60" s="406">
        <f t="shared" si="22"/>
        <v>2.1851819355421253E-2</v>
      </c>
      <c r="F60" s="103"/>
      <c r="G60" s="177">
        <f>+G19</f>
        <v>20421.386947750718</v>
      </c>
      <c r="H60" s="177">
        <f>+H19</f>
        <v>25475.116409999999</v>
      </c>
      <c r="I60" s="104">
        <f t="shared" si="24"/>
        <v>24.7</v>
      </c>
      <c r="J60" s="406">
        <f t="shared" si="25"/>
        <v>1.4469340345944434E-3</v>
      </c>
      <c r="K60" s="139"/>
      <c r="L60" s="223">
        <f ca="1">L20</f>
        <v>0</v>
      </c>
      <c r="M60" s="221">
        <f ca="1">+M20</f>
        <v>0</v>
      </c>
      <c r="N60" s="223">
        <f ca="1">+N20</f>
        <v>0</v>
      </c>
      <c r="O60" s="221">
        <f ca="1">+O20</f>
        <v>0</v>
      </c>
      <c r="P60" s="207"/>
      <c r="Q60" s="207"/>
      <c r="R60" s="207"/>
      <c r="S60" s="182"/>
      <c r="T60" s="139"/>
    </row>
    <row r="61" spans="1:20" ht="18.75" x14ac:dyDescent="0.3">
      <c r="A61" s="86" t="s">
        <v>91</v>
      </c>
      <c r="B61" s="103">
        <f>B20</f>
        <v>315101.851636982</v>
      </c>
      <c r="C61" s="103">
        <f>+C20</f>
        <v>350741.56139847403</v>
      </c>
      <c r="D61" s="104">
        <f t="shared" si="23"/>
        <v>11.3</v>
      </c>
      <c r="E61" s="406">
        <f t="shared" si="22"/>
        <v>0.45002336726951953</v>
      </c>
      <c r="F61" s="103"/>
      <c r="G61" s="177"/>
      <c r="H61" s="177"/>
      <c r="I61" s="104"/>
      <c r="J61" s="406"/>
      <c r="K61" s="139"/>
      <c r="L61" s="223" t="e">
        <f>#REF!</f>
        <v>#REF!</v>
      </c>
      <c r="M61" s="221" t="e">
        <f>+#REF!</f>
        <v>#REF!</v>
      </c>
      <c r="N61" s="223" t="e">
        <f>+#REF!</f>
        <v>#REF!</v>
      </c>
      <c r="O61" s="221" t="e">
        <f>+#REF!</f>
        <v>#REF!</v>
      </c>
      <c r="P61" s="207"/>
      <c r="Q61" s="207"/>
      <c r="R61" s="207"/>
      <c r="S61" s="182"/>
      <c r="T61" s="139"/>
    </row>
    <row r="62" spans="1:20" ht="18.75" x14ac:dyDescent="0.3">
      <c r="A62" s="86" t="s">
        <v>63</v>
      </c>
      <c r="B62" s="105">
        <f>B21+B41</f>
        <v>33633640.405000001</v>
      </c>
      <c r="C62" s="105">
        <f>C21+C41</f>
        <v>32695471.127640001</v>
      </c>
      <c r="D62" s="106">
        <f t="shared" si="23"/>
        <v>-2.8</v>
      </c>
      <c r="E62" s="408">
        <f t="shared" si="22"/>
        <v>41.950335034882819</v>
      </c>
      <c r="F62" s="105"/>
      <c r="G62" s="178">
        <f>G21+G41</f>
        <v>565869521.31959999</v>
      </c>
      <c r="H62" s="178">
        <f>H21+H41</f>
        <v>654411442.30739009</v>
      </c>
      <c r="I62" s="104">
        <f t="shared" si="24"/>
        <v>15.6</v>
      </c>
      <c r="J62" s="406">
        <f t="shared" si="25"/>
        <v>37.169219298676438</v>
      </c>
      <c r="K62" s="139"/>
      <c r="L62" s="223">
        <f ca="1">L33+L41</f>
        <v>0</v>
      </c>
      <c r="M62" s="221">
        <f ca="1">M33+M41</f>
        <v>0</v>
      </c>
      <c r="N62" s="223">
        <f ca="1">N33+N41</f>
        <v>0</v>
      </c>
      <c r="O62" s="221">
        <f ca="1">O33+O41</f>
        <v>0</v>
      </c>
      <c r="P62" s="210"/>
      <c r="Q62" s="210"/>
      <c r="R62" s="210"/>
      <c r="S62" s="182"/>
      <c r="T62" s="139"/>
    </row>
    <row r="63" spans="1:20" ht="18.75" x14ac:dyDescent="0.3">
      <c r="A63" s="86" t="s">
        <v>92</v>
      </c>
      <c r="B63" s="103">
        <f t="shared" ref="B63:C65" si="31">B22</f>
        <v>219490.81400000001</v>
      </c>
      <c r="C63" s="103">
        <f t="shared" si="31"/>
        <v>277149.27799999999</v>
      </c>
      <c r="D63" s="104">
        <f t="shared" si="23"/>
        <v>26.3</v>
      </c>
      <c r="E63" s="406">
        <f t="shared" si="22"/>
        <v>0.35559986339964672</v>
      </c>
      <c r="F63" s="103"/>
      <c r="G63" s="177">
        <f t="shared" ref="G63:H63" si="32">G22</f>
        <v>67448.820000000007</v>
      </c>
      <c r="H63" s="177">
        <f t="shared" si="32"/>
        <v>90495.555999999997</v>
      </c>
      <c r="I63" s="104">
        <f t="shared" si="24"/>
        <v>34.200000000000003</v>
      </c>
      <c r="J63" s="406">
        <f t="shared" si="25"/>
        <v>5.1399608091505242E-3</v>
      </c>
      <c r="K63" s="139"/>
      <c r="L63" s="223">
        <f ca="1">L23</f>
        <v>0</v>
      </c>
      <c r="M63" s="221">
        <f ca="1">M23</f>
        <v>0</v>
      </c>
      <c r="N63" s="223">
        <f ca="1">N23</f>
        <v>0</v>
      </c>
      <c r="O63" s="221">
        <f ca="1">O23</f>
        <v>0</v>
      </c>
      <c r="P63" s="207"/>
      <c r="Q63" s="207"/>
      <c r="R63" s="207"/>
      <c r="S63" s="182"/>
      <c r="T63" s="139"/>
    </row>
    <row r="64" spans="1:20" ht="18.75" x14ac:dyDescent="0.3">
      <c r="A64" s="108" t="s">
        <v>395</v>
      </c>
      <c r="B64" s="103">
        <f t="shared" si="31"/>
        <v>39431</v>
      </c>
      <c r="C64" s="103">
        <f t="shared" si="31"/>
        <v>26301</v>
      </c>
      <c r="D64" s="104">
        <f t="shared" si="23"/>
        <v>-33.299999999999997</v>
      </c>
      <c r="E64" s="406">
        <f t="shared" si="22"/>
        <v>3.3745828510778619E-2</v>
      </c>
      <c r="F64" s="103"/>
      <c r="G64" s="177"/>
      <c r="H64" s="177"/>
      <c r="I64" s="104"/>
      <c r="J64" s="406"/>
      <c r="K64" s="139"/>
      <c r="L64" s="223">
        <f ca="1">L25</f>
        <v>0</v>
      </c>
      <c r="M64" s="221">
        <f ca="1">M25</f>
        <v>0</v>
      </c>
      <c r="N64" s="223">
        <f ca="1">N25</f>
        <v>0</v>
      </c>
      <c r="O64" s="221">
        <f ca="1">O25</f>
        <v>0</v>
      </c>
      <c r="P64" s="207"/>
      <c r="Q64" s="207"/>
      <c r="R64" s="207"/>
      <c r="S64" s="182"/>
      <c r="T64" s="139"/>
    </row>
    <row r="65" spans="1:240" ht="18.75" x14ac:dyDescent="0.3">
      <c r="A65" s="108" t="s">
        <v>406</v>
      </c>
      <c r="B65" s="103">
        <f t="shared" si="31"/>
        <v>0</v>
      </c>
      <c r="C65" s="103">
        <f t="shared" si="31"/>
        <v>13753.589</v>
      </c>
      <c r="D65" s="104" t="str">
        <f t="shared" ref="D65" si="33">IF(B65=0, "    ---- ", IF(ABS(ROUND(100/B65*C65-100,1))&lt;999,ROUND(100/B65*C65-100,1),IF(ROUND(100/B65*C65-100,1)&gt;999,999,-999)))</f>
        <v xml:space="preserve">    ---- </v>
      </c>
      <c r="E65" s="406">
        <f t="shared" si="22"/>
        <v>1.7646715174393795E-2</v>
      </c>
      <c r="F65" s="103"/>
      <c r="G65" s="177"/>
      <c r="H65" s="177"/>
      <c r="I65" s="104"/>
      <c r="J65" s="406"/>
      <c r="K65" s="139"/>
      <c r="L65" s="223"/>
      <c r="M65" s="221"/>
      <c r="N65" s="223"/>
      <c r="O65" s="221"/>
      <c r="P65" s="207"/>
      <c r="Q65" s="207"/>
      <c r="R65" s="207"/>
      <c r="S65" s="182"/>
      <c r="T65" s="139"/>
    </row>
    <row r="66" spans="1:240" ht="18.75" x14ac:dyDescent="0.3">
      <c r="A66" s="107" t="s">
        <v>65</v>
      </c>
      <c r="B66" s="103">
        <f>B25+B42</f>
        <v>10076333.707789943</v>
      </c>
      <c r="C66" s="103">
        <f>+C25+C42</f>
        <v>8640440.4805389456</v>
      </c>
      <c r="D66" s="104">
        <f t="shared" si="23"/>
        <v>-14.3</v>
      </c>
      <c r="E66" s="406">
        <f t="shared" si="22"/>
        <v>11.086225721982315</v>
      </c>
      <c r="F66" s="103"/>
      <c r="G66" s="177">
        <f>+G25+G42</f>
        <v>168852159.99998409</v>
      </c>
      <c r="H66" s="177">
        <f>+H25+H42</f>
        <v>169870159.99999356</v>
      </c>
      <c r="I66" s="104">
        <f t="shared" si="24"/>
        <v>0.6</v>
      </c>
      <c r="J66" s="406">
        <f t="shared" si="25"/>
        <v>9.6482744969719381</v>
      </c>
      <c r="K66" s="139"/>
      <c r="L66" s="223">
        <f ca="1">L26+L42</f>
        <v>0</v>
      </c>
      <c r="M66" s="221">
        <f ca="1">+M26+M42</f>
        <v>0</v>
      </c>
      <c r="N66" s="223">
        <f ca="1">+N26+N42</f>
        <v>0</v>
      </c>
      <c r="O66" s="221">
        <f ca="1">+O26+O42</f>
        <v>0</v>
      </c>
      <c r="P66" s="207"/>
      <c r="Q66" s="207"/>
      <c r="R66" s="207"/>
      <c r="S66" s="182"/>
      <c r="T66" s="139"/>
    </row>
    <row r="67" spans="1:240" ht="18.75" customHeight="1" x14ac:dyDescent="0.3">
      <c r="A67" s="107" t="s">
        <v>94</v>
      </c>
      <c r="B67" s="103">
        <f>B26</f>
        <v>2128000</v>
      </c>
      <c r="C67" s="103">
        <f>C26</f>
        <v>5331000</v>
      </c>
      <c r="D67" s="104">
        <f t="shared" si="23"/>
        <v>150.5</v>
      </c>
      <c r="E67" s="406">
        <f t="shared" si="22"/>
        <v>6.8400065317273411</v>
      </c>
      <c r="F67" s="103"/>
      <c r="G67" s="177">
        <f>G26</f>
        <v>87821000</v>
      </c>
      <c r="H67" s="177">
        <f>H26</f>
        <v>110112000</v>
      </c>
      <c r="I67" s="104">
        <f t="shared" si="24"/>
        <v>25.4</v>
      </c>
      <c r="J67" s="406">
        <f t="shared" si="25"/>
        <v>6.2541343424331517</v>
      </c>
      <c r="K67" s="139"/>
      <c r="L67" s="223">
        <f ca="1">L27</f>
        <v>0</v>
      </c>
      <c r="M67" s="221">
        <f ca="1">M27</f>
        <v>0</v>
      </c>
      <c r="N67" s="223">
        <f ca="1">N27</f>
        <v>0</v>
      </c>
      <c r="O67" s="221">
        <f ca="1">O27</f>
        <v>0</v>
      </c>
      <c r="P67" s="207"/>
      <c r="Q67" s="207"/>
      <c r="R67" s="207"/>
      <c r="S67" s="182"/>
      <c r="T67" s="139"/>
    </row>
    <row r="68" spans="1:240" ht="18.75" customHeight="1" x14ac:dyDescent="0.3">
      <c r="A68" s="107" t="s">
        <v>350</v>
      </c>
      <c r="B68" s="103">
        <f>B27</f>
        <v>285507.81500140583</v>
      </c>
      <c r="C68" s="103">
        <f>C27</f>
        <v>315226.97251780157</v>
      </c>
      <c r="D68" s="104">
        <f t="shared" ref="D68" si="34">IF(B68=0, "    ---- ", IF(ABS(ROUND(100/B68*C68-100,1))&lt;999,ROUND(100/B68*C68-100,1),IF(ROUND(100/B68*C68-100,1)&gt;999,999,-999)))</f>
        <v>10.4</v>
      </c>
      <c r="E68" s="406">
        <f t="shared" si="22"/>
        <v>0.40445592778060363</v>
      </c>
      <c r="F68" s="103"/>
      <c r="G68" s="177"/>
      <c r="H68" s="177"/>
      <c r="I68" s="104"/>
      <c r="J68" s="406"/>
      <c r="K68" s="139"/>
      <c r="L68" s="223"/>
      <c r="M68" s="221"/>
      <c r="N68" s="223"/>
      <c r="O68" s="221"/>
      <c r="P68" s="207"/>
      <c r="Q68" s="207"/>
      <c r="R68" s="207"/>
      <c r="S68" s="182"/>
      <c r="T68" s="139"/>
    </row>
    <row r="69" spans="1:240" ht="18.75" customHeight="1" x14ac:dyDescent="0.3">
      <c r="A69" s="107" t="s">
        <v>71</v>
      </c>
      <c r="B69" s="103">
        <f>B43</f>
        <v>83074.449899999992</v>
      </c>
      <c r="C69" s="103">
        <f>C43</f>
        <v>57940.990299999998</v>
      </c>
      <c r="D69" s="104">
        <f t="shared" si="23"/>
        <v>-30.3</v>
      </c>
      <c r="E69" s="406">
        <f t="shared" si="22"/>
        <v>7.4341915608094264E-2</v>
      </c>
      <c r="F69" s="103"/>
      <c r="G69" s="177">
        <f>G43</f>
        <v>3229114.5629100003</v>
      </c>
      <c r="H69" s="177">
        <f>H43</f>
        <v>2775030.1372700003</v>
      </c>
      <c r="I69" s="104">
        <f t="shared" si="24"/>
        <v>-14.1</v>
      </c>
      <c r="J69" s="406">
        <f t="shared" si="25"/>
        <v>0.15761598447750738</v>
      </c>
      <c r="K69" s="139"/>
      <c r="L69" s="223">
        <f ca="1">L43</f>
        <v>0</v>
      </c>
      <c r="M69" s="221">
        <f ca="1">M43</f>
        <v>0</v>
      </c>
      <c r="N69" s="223">
        <f ca="1">N43</f>
        <v>0</v>
      </c>
      <c r="O69" s="221">
        <f ca="1">O43</f>
        <v>0</v>
      </c>
      <c r="P69" s="207"/>
      <c r="Q69" s="207"/>
      <c r="R69" s="207"/>
      <c r="S69" s="182"/>
      <c r="T69" s="139"/>
    </row>
    <row r="70" spans="1:240" ht="18.75" customHeight="1" x14ac:dyDescent="0.3">
      <c r="A70" s="86" t="s">
        <v>405</v>
      </c>
      <c r="B70" s="103">
        <f>B28+B44</f>
        <v>3136005.1910199998</v>
      </c>
      <c r="C70" s="103">
        <f>+C28+C44</f>
        <v>3436171.5132200001</v>
      </c>
      <c r="D70" s="104">
        <f t="shared" si="23"/>
        <v>9.6</v>
      </c>
      <c r="E70" s="406">
        <f t="shared" si="22"/>
        <v>4.4088230340574421</v>
      </c>
      <c r="F70" s="103"/>
      <c r="G70" s="177">
        <f>+G28+G44</f>
        <v>70706668.114139989</v>
      </c>
      <c r="H70" s="177">
        <f>+H28+H44</f>
        <v>72683984.58118999</v>
      </c>
      <c r="I70" s="104">
        <f t="shared" si="24"/>
        <v>2.8</v>
      </c>
      <c r="J70" s="406">
        <f t="shared" si="25"/>
        <v>4.1283003134454193</v>
      </c>
      <c r="K70" s="139"/>
      <c r="L70" s="223" t="e">
        <f ca="1">L29+L44</f>
        <v>#REF!</v>
      </c>
      <c r="M70" s="221" t="e">
        <f t="shared" ref="M70:O71" ca="1" si="35">+M29+M44</f>
        <v>#REF!</v>
      </c>
      <c r="N70" s="223" t="e">
        <f t="shared" ca="1" si="35"/>
        <v>#REF!</v>
      </c>
      <c r="O70" s="221" t="e">
        <f t="shared" ca="1" si="35"/>
        <v>#REF!</v>
      </c>
      <c r="P70" s="207"/>
      <c r="Q70" s="207"/>
      <c r="R70" s="207"/>
      <c r="S70" s="182"/>
      <c r="T70" s="139"/>
    </row>
    <row r="71" spans="1:240" ht="18.75" customHeight="1" x14ac:dyDescent="0.3">
      <c r="A71" s="107" t="s">
        <v>95</v>
      </c>
      <c r="B71" s="103">
        <f>B45+B29</f>
        <v>10232068.467999998</v>
      </c>
      <c r="C71" s="103">
        <f>+C29+C45</f>
        <v>10253168.016000001</v>
      </c>
      <c r="D71" s="104">
        <f t="shared" si="23"/>
        <v>0.2</v>
      </c>
      <c r="E71" s="406">
        <f t="shared" si="22"/>
        <v>13.155456049585045</v>
      </c>
      <c r="F71" s="103"/>
      <c r="G71" s="177">
        <f>+G29+G45</f>
        <v>345887156.954</v>
      </c>
      <c r="H71" s="177">
        <f>+H29+H45</f>
        <v>346251878.79100001</v>
      </c>
      <c r="I71" s="104">
        <f t="shared" si="24"/>
        <v>0.1</v>
      </c>
      <c r="J71" s="406">
        <f t="shared" si="25"/>
        <v>19.666392094220377</v>
      </c>
      <c r="K71" s="139"/>
      <c r="L71" s="223">
        <f ca="1">L45+L30</f>
        <v>0</v>
      </c>
      <c r="M71" s="221">
        <f t="shared" ca="1" si="35"/>
        <v>0</v>
      </c>
      <c r="N71" s="223">
        <f t="shared" ca="1" si="35"/>
        <v>0</v>
      </c>
      <c r="O71" s="221">
        <f t="shared" ca="1" si="35"/>
        <v>0</v>
      </c>
      <c r="P71" s="207"/>
      <c r="Q71" s="207"/>
      <c r="R71" s="207"/>
      <c r="S71" s="182"/>
      <c r="T71" s="139"/>
    </row>
    <row r="72" spans="1:240" ht="18.75" customHeight="1" x14ac:dyDescent="0.3">
      <c r="A72" s="107" t="s">
        <v>96</v>
      </c>
      <c r="B72" s="103">
        <f>B30</f>
        <v>686</v>
      </c>
      <c r="C72" s="103">
        <f>+C30</f>
        <v>7890</v>
      </c>
      <c r="D72" s="104">
        <f t="shared" si="23"/>
        <v>999</v>
      </c>
      <c r="E72" s="406">
        <f t="shared" si="22"/>
        <v>1.0123363634464214E-2</v>
      </c>
      <c r="F72" s="103"/>
      <c r="G72" s="177"/>
      <c r="H72" s="177"/>
      <c r="I72" s="104"/>
      <c r="J72" s="406"/>
      <c r="K72" s="139"/>
      <c r="L72" s="223">
        <f ca="1">L31</f>
        <v>0</v>
      </c>
      <c r="M72" s="221">
        <f t="shared" ref="M72:O73" ca="1" si="36">+M31</f>
        <v>0</v>
      </c>
      <c r="N72" s="223">
        <f t="shared" ca="1" si="36"/>
        <v>0</v>
      </c>
      <c r="O72" s="221">
        <f t="shared" ca="1" si="36"/>
        <v>0</v>
      </c>
      <c r="P72" s="207"/>
      <c r="Q72" s="207"/>
      <c r="R72" s="207"/>
      <c r="S72" s="182"/>
      <c r="T72" s="139"/>
    </row>
    <row r="73" spans="1:240" ht="18.75" customHeight="1" x14ac:dyDescent="0.3">
      <c r="A73" s="107" t="s">
        <v>97</v>
      </c>
      <c r="B73" s="103">
        <f>B31</f>
        <v>545103.80000000005</v>
      </c>
      <c r="C73" s="103">
        <f>+C31</f>
        <v>611540</v>
      </c>
      <c r="D73" s="104">
        <f t="shared" si="23"/>
        <v>12.2</v>
      </c>
      <c r="E73" s="406">
        <f t="shared" si="22"/>
        <v>0.78464408073767367</v>
      </c>
      <c r="F73" s="103"/>
      <c r="G73" s="177"/>
      <c r="H73" s="177"/>
      <c r="I73" s="104"/>
      <c r="J73" s="406"/>
      <c r="K73" s="139"/>
      <c r="L73" s="223">
        <f ca="1">L32</f>
        <v>0</v>
      </c>
      <c r="M73" s="221">
        <f t="shared" ca="1" si="36"/>
        <v>0</v>
      </c>
      <c r="N73" s="223">
        <f t="shared" ca="1" si="36"/>
        <v>0</v>
      </c>
      <c r="O73" s="221">
        <f t="shared" ca="1" si="36"/>
        <v>0</v>
      </c>
      <c r="P73" s="207"/>
      <c r="Q73" s="207"/>
      <c r="R73" s="207"/>
      <c r="S73" s="182"/>
      <c r="T73" s="139"/>
    </row>
    <row r="74" spans="1:240" ht="18.75" x14ac:dyDescent="0.3">
      <c r="A74" s="193" t="s">
        <v>399</v>
      </c>
      <c r="B74" s="103">
        <f>B32</f>
        <v>1684</v>
      </c>
      <c r="C74" s="103">
        <f>C32</f>
        <v>2120</v>
      </c>
      <c r="D74" s="104">
        <f t="shared" si="23"/>
        <v>25.9</v>
      </c>
      <c r="E74" s="406">
        <f t="shared" ref="E74" si="37">100/C$34*C74</f>
        <v>4.1271610031655848E-3</v>
      </c>
      <c r="F74" s="193"/>
      <c r="G74" s="177"/>
      <c r="H74" s="177"/>
      <c r="I74" s="193"/>
      <c r="J74" s="406"/>
      <c r="K74" s="207"/>
      <c r="L74" s="223">
        <f t="shared" ref="L74" ca="1" si="38">INDIRECT("'" &amp; $A73 &amp; "'!" &amp; $P$7)</f>
        <v>0</v>
      </c>
      <c r="M74" s="221">
        <f t="shared" ref="M74" ca="1" si="39">INDIRECT("'" &amp; $A73 &amp; "'!" &amp; $P$8)</f>
        <v>0</v>
      </c>
      <c r="N74" s="223">
        <f t="shared" ref="N74" ca="1" si="40">INDIRECT("'" &amp; $A73 &amp; "'!" &amp; $P$10)</f>
        <v>0</v>
      </c>
      <c r="O74" s="221">
        <f t="shared" ref="O74" ca="1" si="41">INDIRECT("'" &amp; $A73 &amp; "'!" &amp; $P$11)</f>
        <v>0</v>
      </c>
    </row>
    <row r="75" spans="1:240" ht="18.75" x14ac:dyDescent="0.3">
      <c r="A75" s="107" t="s">
        <v>407</v>
      </c>
      <c r="B75" s="103">
        <f>B33</f>
        <v>0</v>
      </c>
      <c r="C75" s="103">
        <f>+C33</f>
        <v>1993</v>
      </c>
      <c r="D75" s="104" t="str">
        <f>IF(B75=0, "    ---- ", IF(ABS(ROUND(100/B75*C75-100,1))&lt;999,ROUND(100/B75*C75-100,1),IF(ROUND(100/B75*C75-100,1)&gt;999,999,-999)))</f>
        <v xml:space="preserve">    ---- </v>
      </c>
      <c r="E75" s="406">
        <f>100/C$76*C75</f>
        <v>2.5571436911897565E-3</v>
      </c>
      <c r="F75" s="103"/>
      <c r="G75" s="177">
        <f>G33</f>
        <v>0</v>
      </c>
      <c r="H75" s="177">
        <f>H33</f>
        <v>1794</v>
      </c>
      <c r="I75" s="104" t="str">
        <f>IF(G75=0, "    ---- ", IF(ABS(ROUND(100/G75*H75-100,1))&lt;999,ROUND(100/G75*H75-100,1),IF(ROUND(100/G75*H75-100,1)&gt;999,999,-999)))</f>
        <v xml:space="preserve">    ---- </v>
      </c>
      <c r="J75" s="406">
        <f>100/H$76*H75</f>
        <v>1.018954974055968E-4</v>
      </c>
      <c r="K75" s="139"/>
      <c r="L75" s="223" t="e">
        <f ca="1">L22+#REF!</f>
        <v>#REF!</v>
      </c>
      <c r="M75" s="221" t="e">
        <f ca="1">+M22+#REF!</f>
        <v>#REF!</v>
      </c>
      <c r="N75" s="223" t="e">
        <f ca="1">N22+#REF!</f>
        <v>#REF!</v>
      </c>
      <c r="O75" s="221" t="e">
        <f ca="1">O22+#REF!</f>
        <v>#REF!</v>
      </c>
      <c r="P75" s="207"/>
      <c r="Q75" s="207"/>
      <c r="R75" s="207"/>
      <c r="S75" s="182"/>
      <c r="T75" s="139"/>
    </row>
    <row r="76" spans="1:240" s="111" customFormat="1" ht="18.75" customHeight="1" x14ac:dyDescent="0.3">
      <c r="A76" s="113" t="s">
        <v>2</v>
      </c>
      <c r="B76" s="114">
        <f>SUM(B50:B75)</f>
        <v>75724267.511598334</v>
      </c>
      <c r="C76" s="114">
        <f>SUM(C50:C75)</f>
        <v>77938522.065325215</v>
      </c>
      <c r="D76" s="115">
        <f>IF(B76=0, "    ---- ", IF(ABS(ROUND(100/B76*C76-100,1))&lt;999,ROUND(100/B76*C76-100,1),IF(ROUND(100/B76*C76-100,1)&gt;999,999,-999)))</f>
        <v>2.9</v>
      </c>
      <c r="E76" s="409">
        <f>SUM(E50:E75)</f>
        <v>100.00140706836629</v>
      </c>
      <c r="F76" s="109"/>
      <c r="G76" s="181">
        <f>SUM(G50:G75)</f>
        <v>1648065407.027112</v>
      </c>
      <c r="H76" s="181">
        <f>SUM(H50:H75)</f>
        <v>1760627354.1793036</v>
      </c>
      <c r="I76" s="115">
        <f>IF(G76=0, "    ---- ", IF(ABS(ROUND(100/G76*H76-100,1))&lt;999,ROUND(100/G76*H76-100,1),IF(ROUND(100/G76*H76-100,1)&gt;999,999,-999)))</f>
        <v>6.8</v>
      </c>
      <c r="J76" s="409">
        <f>SUM(J50:J75)</f>
        <v>100</v>
      </c>
      <c r="K76" s="180"/>
      <c r="L76" s="229" t="e">
        <f ca="1">SUM(L50:L73)</f>
        <v>#REF!</v>
      </c>
      <c r="M76" s="230" t="e">
        <f ca="1">SUM(M50:M73)</f>
        <v>#REF!</v>
      </c>
      <c r="N76" s="229" t="e">
        <f ca="1">SUM(N50:N73)</f>
        <v>#REF!</v>
      </c>
      <c r="O76" s="230" t="e">
        <f ca="1">SUM(O50:O73)</f>
        <v>#REF!</v>
      </c>
      <c r="P76" s="209"/>
      <c r="Q76" s="209"/>
      <c r="R76" s="209"/>
      <c r="S76" s="138"/>
      <c r="T76" s="180"/>
    </row>
    <row r="77" spans="1:240" ht="18.75" customHeight="1" x14ac:dyDescent="0.3">
      <c r="A77" s="112" t="s">
        <v>101</v>
      </c>
      <c r="B77" s="112"/>
      <c r="C77" s="112"/>
      <c r="D77" s="112"/>
      <c r="E77" s="112"/>
      <c r="F77" s="112"/>
      <c r="G77" s="112"/>
      <c r="H77" s="112"/>
      <c r="I77" s="112"/>
      <c r="J77" s="112"/>
      <c r="K77" s="112"/>
      <c r="L77" s="186"/>
      <c r="M77" s="186"/>
      <c r="N77" s="186"/>
      <c r="O77" s="186"/>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7"/>
      <c r="C80" s="77"/>
      <c r="D80" s="74"/>
      <c r="E80" s="74"/>
      <c r="F80" s="74"/>
      <c r="G80" s="77"/>
      <c r="H80" s="77"/>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customHeight="1"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112"/>
      <c r="B102" s="112"/>
      <c r="C102" s="112"/>
      <c r="D102" s="112"/>
      <c r="E102" s="112"/>
      <c r="F102" s="112"/>
      <c r="G102" s="112"/>
      <c r="H102" s="112"/>
      <c r="I102" s="112"/>
      <c r="J102" s="112"/>
      <c r="K102" s="112"/>
    </row>
    <row r="103" spans="1:11" ht="18.75" x14ac:dyDescent="0.3">
      <c r="A103" s="116"/>
      <c r="B103" s="117"/>
      <c r="C103" s="117"/>
      <c r="D103" s="117"/>
      <c r="E103" s="74"/>
      <c r="F103" s="74"/>
      <c r="G103" s="74"/>
      <c r="H103" s="74"/>
      <c r="I103" s="74"/>
      <c r="J103" s="75"/>
      <c r="K103" s="75"/>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row r="115" spans="1:11" ht="18.75" x14ac:dyDescent="0.3">
      <c r="A115" s="74"/>
      <c r="B115" s="74"/>
      <c r="C115" s="74"/>
      <c r="D115" s="74"/>
      <c r="E115" s="74"/>
      <c r="F115" s="74"/>
      <c r="G115" s="74"/>
      <c r="H115" s="74"/>
      <c r="I115" s="74"/>
      <c r="J115" s="74"/>
      <c r="K115"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3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7109375" style="81" customWidth="1"/>
    <col min="11" max="11" width="18" style="81" bestFit="1" customWidth="1"/>
    <col min="12" max="12" width="9.28515625" style="81" bestFit="1" customWidth="1"/>
    <col min="13" max="13" width="11.42578125" style="81"/>
    <col min="14" max="15" width="17.28515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102</v>
      </c>
      <c r="B2" s="73"/>
      <c r="C2" s="74"/>
      <c r="D2" s="74"/>
      <c r="E2" s="74"/>
      <c r="F2" s="74"/>
      <c r="G2" s="74"/>
      <c r="H2" s="74"/>
      <c r="I2" s="74"/>
      <c r="J2" s="74"/>
      <c r="K2" s="74"/>
      <c r="L2" s="74"/>
      <c r="M2" s="74"/>
    </row>
    <row r="3" spans="1:13" ht="18.75" x14ac:dyDescent="0.3">
      <c r="A3" s="75" t="s">
        <v>103</v>
      </c>
      <c r="B3" s="74"/>
      <c r="C3" s="74"/>
      <c r="D3" s="74"/>
      <c r="E3" s="74"/>
      <c r="F3" s="74"/>
      <c r="G3" s="74"/>
      <c r="H3" s="74"/>
      <c r="I3" s="74"/>
      <c r="J3" s="74"/>
      <c r="K3" s="74"/>
      <c r="L3" s="74"/>
      <c r="M3" s="74"/>
    </row>
    <row r="4" spans="1:13" ht="18.75" x14ac:dyDescent="0.3">
      <c r="A4" s="82" t="s">
        <v>398</v>
      </c>
      <c r="B4" s="102"/>
      <c r="C4" s="118"/>
      <c r="D4" s="119"/>
      <c r="E4" s="112"/>
      <c r="F4" s="83"/>
      <c r="G4" s="84"/>
      <c r="H4" s="85"/>
      <c r="I4" s="112"/>
      <c r="J4" s="83"/>
      <c r="K4" s="84"/>
      <c r="L4" s="85"/>
      <c r="M4" s="74"/>
    </row>
    <row r="5" spans="1:13" ht="18.75" x14ac:dyDescent="0.3">
      <c r="A5" s="120"/>
      <c r="B5" s="683" t="s">
        <v>0</v>
      </c>
      <c r="C5" s="684"/>
      <c r="D5" s="685"/>
      <c r="E5" s="89"/>
      <c r="F5" s="683" t="s">
        <v>1</v>
      </c>
      <c r="G5" s="684"/>
      <c r="H5" s="685"/>
      <c r="I5" s="121"/>
      <c r="J5" s="683" t="s">
        <v>104</v>
      </c>
      <c r="K5" s="684"/>
      <c r="L5" s="685"/>
      <c r="M5" s="74"/>
    </row>
    <row r="6" spans="1:13" ht="18.75" x14ac:dyDescent="0.3">
      <c r="A6" s="122"/>
      <c r="B6" s="123"/>
      <c r="C6" s="124"/>
      <c r="D6" s="94" t="s">
        <v>105</v>
      </c>
      <c r="E6" s="100"/>
      <c r="F6" s="123"/>
      <c r="G6" s="124"/>
      <c r="H6" s="94" t="s">
        <v>105</v>
      </c>
      <c r="I6" s="125"/>
      <c r="J6" s="123"/>
      <c r="K6" s="124"/>
      <c r="L6" s="94" t="s">
        <v>105</v>
      </c>
      <c r="M6" s="74"/>
    </row>
    <row r="7" spans="1:13" ht="18.75" x14ac:dyDescent="0.3">
      <c r="A7" s="126" t="s">
        <v>106</v>
      </c>
      <c r="B7" s="127">
        <v>2021</v>
      </c>
      <c r="C7" s="185">
        <v>2022</v>
      </c>
      <c r="D7" s="99" t="s">
        <v>82</v>
      </c>
      <c r="E7" s="100"/>
      <c r="F7" s="97">
        <v>2021</v>
      </c>
      <c r="G7" s="127">
        <v>2022</v>
      </c>
      <c r="H7" s="99" t="s">
        <v>82</v>
      </c>
      <c r="I7" s="128"/>
      <c r="J7" s="184">
        <v>2021</v>
      </c>
      <c r="K7" s="185">
        <v>2022</v>
      </c>
      <c r="L7" s="99" t="s">
        <v>82</v>
      </c>
      <c r="M7" s="74"/>
    </row>
    <row r="8" spans="1:13" ht="22.5" x14ac:dyDescent="0.3">
      <c r="A8" s="192" t="s">
        <v>107</v>
      </c>
      <c r="B8" s="232"/>
      <c r="C8" s="201"/>
      <c r="D8" s="201"/>
      <c r="E8" s="182"/>
      <c r="F8" s="201"/>
      <c r="G8" s="201"/>
      <c r="H8" s="201"/>
      <c r="I8" s="202"/>
      <c r="J8" s="201"/>
      <c r="K8" s="201"/>
      <c r="L8" s="201"/>
      <c r="M8" s="74"/>
    </row>
    <row r="9" spans="1:13" ht="18.75" x14ac:dyDescent="0.3">
      <c r="A9" s="193" t="s">
        <v>108</v>
      </c>
      <c r="B9" s="104">
        <f>'Skjema total MA'!B7</f>
        <v>2766505.5161421131</v>
      </c>
      <c r="C9" s="104">
        <f>'Skjema total MA'!C7</f>
        <v>2883181.9450893933</v>
      </c>
      <c r="D9" s="233">
        <f>IF(B9=0, "    ---- ", IF(ABS(ROUND(100/B9*C9-100,1))&lt;999,ROUND(100/B9*C9-100,1),IF(ROUND(100/B9*C9-100,1)&gt;999,999,-999)))</f>
        <v>4.2</v>
      </c>
      <c r="E9" s="182"/>
      <c r="F9" s="196">
        <f>'Skjema total MA'!E7</f>
        <v>7746378.6778199989</v>
      </c>
      <c r="G9" s="196">
        <f>'Skjema total MA'!F7</f>
        <v>5789809.6160200005</v>
      </c>
      <c r="H9" s="233">
        <f>IF(F9=0, "    ---- ", IF(ABS(ROUND(100/F9*G9-100,1))&lt;999,ROUND(100/F9*G9-100,1),IF(ROUND(100/F9*G9-100,1)&gt;999,999,-999)))</f>
        <v>-25.3</v>
      </c>
      <c r="I9" s="182"/>
      <c r="J9" s="196">
        <f t="shared" ref="J9:K60" si="0">SUM(B9+F9)</f>
        <v>10512884.193962112</v>
      </c>
      <c r="K9" s="196">
        <f t="shared" si="0"/>
        <v>8672991.5611093938</v>
      </c>
      <c r="L9" s="231">
        <f>IF(J9=0, "    ---- ", IF(ABS(ROUND(100/J9*K9-100,1))&lt;999,ROUND(100/J9*K9-100,1),IF(ROUND(100/J9*K9-100,1)&gt;999,999,-999)))</f>
        <v>-17.5</v>
      </c>
      <c r="M9" s="74"/>
    </row>
    <row r="10" spans="1:13" ht="18.75" x14ac:dyDescent="0.3">
      <c r="A10" s="193" t="s">
        <v>109</v>
      </c>
      <c r="B10" s="104">
        <f>'Skjema total MA'!B22</f>
        <v>1120765.8294620232</v>
      </c>
      <c r="C10" s="104">
        <f>'Skjema total MA'!C22</f>
        <v>1246372.430242931</v>
      </c>
      <c r="D10" s="233">
        <f t="shared" ref="D10:D17" si="1">IF(B10=0, "    ---- ", IF(ABS(ROUND(100/B10*C10-100,1))&lt;999,ROUND(100/B10*C10-100,1),IF(ROUND(100/B10*C10-100,1)&gt;999,999,-999)))</f>
        <v>11.2</v>
      </c>
      <c r="E10" s="182"/>
      <c r="F10" s="196">
        <f>'Skjema total MA'!E22</f>
        <v>801478.53217000002</v>
      </c>
      <c r="G10" s="196">
        <f>'Skjema total MA'!F22</f>
        <v>479734.38548</v>
      </c>
      <c r="H10" s="233">
        <f t="shared" ref="H10:H57" si="2">IF(F10=0, "    ---- ", IF(ABS(ROUND(100/F10*G10-100,1))&lt;999,ROUND(100/F10*G10-100,1),IF(ROUND(100/F10*G10-100,1)&gt;999,999,-999)))</f>
        <v>-40.1</v>
      </c>
      <c r="I10" s="182"/>
      <c r="J10" s="196">
        <f t="shared" si="0"/>
        <v>1922244.3616320232</v>
      </c>
      <c r="K10" s="196">
        <f t="shared" si="0"/>
        <v>1726106.8157229309</v>
      </c>
      <c r="L10" s="231">
        <f t="shared" ref="L10:L60" si="3">IF(J10=0, "    ---- ", IF(ABS(ROUND(100/J10*K10-100,1))&lt;999,ROUND(100/J10*K10-100,1),IF(ROUND(100/J10*K10-100,1)&gt;999,999,-999)))</f>
        <v>-10.199999999999999</v>
      </c>
      <c r="M10" s="74"/>
    </row>
    <row r="11" spans="1:13" ht="18.75" x14ac:dyDescent="0.3">
      <c r="A11" s="193" t="s">
        <v>110</v>
      </c>
      <c r="B11" s="104">
        <f>'Skjema total MA'!B47</f>
        <v>3965357.8025241951</v>
      </c>
      <c r="C11" s="104">
        <f>'Skjema total MA'!C47</f>
        <v>4352173.6639028974</v>
      </c>
      <c r="D11" s="233">
        <f t="shared" si="1"/>
        <v>9.8000000000000007</v>
      </c>
      <c r="E11" s="182"/>
      <c r="F11" s="196"/>
      <c r="G11" s="196"/>
      <c r="H11" s="233"/>
      <c r="I11" s="182"/>
      <c r="J11" s="196">
        <f t="shared" si="0"/>
        <v>3965357.8025241951</v>
      </c>
      <c r="K11" s="196">
        <f t="shared" si="0"/>
        <v>4352173.6639028974</v>
      </c>
      <c r="L11" s="231">
        <f t="shared" si="3"/>
        <v>9.8000000000000007</v>
      </c>
      <c r="M11" s="74"/>
    </row>
    <row r="12" spans="1:13" ht="18.75" x14ac:dyDescent="0.3">
      <c r="A12" s="193" t="s">
        <v>111</v>
      </c>
      <c r="B12" s="104">
        <f>'Skjema total MA'!B66</f>
        <v>4679283.7213499993</v>
      </c>
      <c r="C12" s="104">
        <f>'Skjema total MA'!C66</f>
        <v>4368958.3706200002</v>
      </c>
      <c r="D12" s="233">
        <f t="shared" si="1"/>
        <v>-6.6</v>
      </c>
      <c r="E12" s="182"/>
      <c r="F12" s="196">
        <f>'Skjema total MA'!E66</f>
        <v>18616390.894129999</v>
      </c>
      <c r="G12" s="196">
        <f>'Skjema total MA'!F66</f>
        <v>20198655.181329999</v>
      </c>
      <c r="H12" s="233">
        <f t="shared" si="2"/>
        <v>8.5</v>
      </c>
      <c r="I12" s="182"/>
      <c r="J12" s="196">
        <f t="shared" si="0"/>
        <v>23295674.615479998</v>
      </c>
      <c r="K12" s="196">
        <f t="shared" si="0"/>
        <v>24567613.55195</v>
      </c>
      <c r="L12" s="231">
        <f t="shared" si="3"/>
        <v>5.5</v>
      </c>
      <c r="M12" s="74"/>
    </row>
    <row r="13" spans="1:13" ht="18.75" x14ac:dyDescent="0.3">
      <c r="A13" s="193" t="s">
        <v>112</v>
      </c>
      <c r="B13" s="104">
        <f>'Skjema total MA'!B68</f>
        <v>24512.352129999999</v>
      </c>
      <c r="C13" s="104">
        <f>'Skjema total MA'!C68</f>
        <v>22843.41575</v>
      </c>
      <c r="D13" s="233">
        <f t="shared" si="1"/>
        <v>-6.8</v>
      </c>
      <c r="E13" s="182"/>
      <c r="F13" s="196">
        <f>'Skjema total MA'!E68</f>
        <v>17877320.361480001</v>
      </c>
      <c r="G13" s="196">
        <f>'Skjema total MA'!F68</f>
        <v>19402305.701930001</v>
      </c>
      <c r="H13" s="233">
        <f t="shared" si="2"/>
        <v>8.5</v>
      </c>
      <c r="I13" s="182"/>
      <c r="J13" s="196">
        <f t="shared" si="0"/>
        <v>17901832.713610001</v>
      </c>
      <c r="K13" s="196">
        <f t="shared" si="0"/>
        <v>19425149.117680002</v>
      </c>
      <c r="L13" s="231">
        <f t="shared" si="3"/>
        <v>8.5</v>
      </c>
      <c r="M13" s="74"/>
    </row>
    <row r="14" spans="1:13" s="133" customFormat="1" ht="18.75" x14ac:dyDescent="0.3">
      <c r="A14" s="194" t="s">
        <v>113</v>
      </c>
      <c r="B14" s="131">
        <f>'Skjema total MA'!B75</f>
        <v>275353.79006000003</v>
      </c>
      <c r="C14" s="131">
        <f>'Skjema total MA'!C75</f>
        <v>334728.41682000004</v>
      </c>
      <c r="D14" s="233">
        <f t="shared" si="1"/>
        <v>21.6</v>
      </c>
      <c r="E14" s="183"/>
      <c r="F14" s="197">
        <f>'Skjema total MA'!E75</f>
        <v>739070.53264999995</v>
      </c>
      <c r="G14" s="197">
        <f>'Skjema total MA'!F75</f>
        <v>796349.47939999995</v>
      </c>
      <c r="H14" s="233">
        <f t="shared" si="2"/>
        <v>7.8</v>
      </c>
      <c r="I14" s="183"/>
      <c r="J14" s="196">
        <f t="shared" si="0"/>
        <v>1014424.32271</v>
      </c>
      <c r="K14" s="196">
        <f t="shared" si="0"/>
        <v>1131077.89622</v>
      </c>
      <c r="L14" s="231">
        <f t="shared" si="3"/>
        <v>11.5</v>
      </c>
      <c r="M14" s="132"/>
    </row>
    <row r="15" spans="1:13" ht="22.5" x14ac:dyDescent="0.3">
      <c r="A15" s="193" t="s">
        <v>341</v>
      </c>
      <c r="B15" s="104">
        <f>'Skjema total MA'!B134</f>
        <v>35930264.175000004</v>
      </c>
      <c r="C15" s="104">
        <f>'Skjema total MA'!C134</f>
        <v>38514732.82164</v>
      </c>
      <c r="D15" s="233">
        <f t="shared" si="1"/>
        <v>7.2</v>
      </c>
      <c r="E15" s="182"/>
      <c r="F15" s="196">
        <f>'Skjema total MA'!E134</f>
        <v>96259.103000000003</v>
      </c>
      <c r="G15" s="196">
        <f>'Skjema total MA'!F134</f>
        <v>103293.625</v>
      </c>
      <c r="H15" s="233">
        <f t="shared" si="2"/>
        <v>7.3</v>
      </c>
      <c r="I15" s="182"/>
      <c r="J15" s="196">
        <f t="shared" si="0"/>
        <v>36026523.278000005</v>
      </c>
      <c r="K15" s="196">
        <f t="shared" si="0"/>
        <v>38618026.44664</v>
      </c>
      <c r="L15" s="231">
        <f t="shared" si="3"/>
        <v>7.2</v>
      </c>
      <c r="M15" s="74"/>
    </row>
    <row r="16" spans="1:13" ht="18.75" x14ac:dyDescent="0.3">
      <c r="A16" s="193" t="s">
        <v>114</v>
      </c>
      <c r="B16" s="104">
        <f>'Skjema total MA'!B36</f>
        <v>1583.26</v>
      </c>
      <c r="C16" s="104">
        <f>'Skjema total MA'!C36</f>
        <v>1610.0260000000001</v>
      </c>
      <c r="D16" s="233">
        <f t="shared" si="1"/>
        <v>1.7</v>
      </c>
      <c r="E16" s="182"/>
      <c r="F16" s="196"/>
      <c r="G16" s="196"/>
      <c r="H16" s="233"/>
      <c r="I16" s="182"/>
      <c r="J16" s="196">
        <f t="shared" si="0"/>
        <v>1583.26</v>
      </c>
      <c r="K16" s="196">
        <f t="shared" si="0"/>
        <v>1610.0260000000001</v>
      </c>
      <c r="L16" s="231">
        <f t="shared" si="3"/>
        <v>1.7</v>
      </c>
      <c r="M16" s="74"/>
    </row>
    <row r="17" spans="1:23" s="135" customFormat="1" ht="18.75" customHeight="1" x14ac:dyDescent="0.3">
      <c r="A17" s="137" t="s">
        <v>115</v>
      </c>
      <c r="B17" s="110">
        <f>'Tabel 1.1'!B34</f>
        <v>48463760.304478332</v>
      </c>
      <c r="C17" s="198">
        <f>'Tabel 1.1'!C34</f>
        <v>51367029.257495232</v>
      </c>
      <c r="D17" s="233">
        <f t="shared" si="1"/>
        <v>6</v>
      </c>
      <c r="E17" s="138"/>
      <c r="F17" s="198">
        <f>'Tabel 1.1'!B46</f>
        <v>27260507.207120001</v>
      </c>
      <c r="G17" s="198">
        <f>'Tabel 1.1'!C46</f>
        <v>26571492.807830002</v>
      </c>
      <c r="H17" s="233">
        <f t="shared" si="2"/>
        <v>-2.5</v>
      </c>
      <c r="I17" s="138"/>
      <c r="J17" s="198">
        <f t="shared" si="0"/>
        <v>75724267.511598334</v>
      </c>
      <c r="K17" s="198">
        <f t="shared" si="0"/>
        <v>77938522.06532523</v>
      </c>
      <c r="L17" s="231">
        <f t="shared" si="3"/>
        <v>2.9</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342</v>
      </c>
      <c r="B19" s="200"/>
      <c r="C19" s="203"/>
      <c r="D19" s="196"/>
      <c r="E19" s="182"/>
      <c r="F19" s="203"/>
      <c r="G19" s="203"/>
      <c r="H19" s="233"/>
      <c r="I19" s="182"/>
      <c r="J19" s="196"/>
      <c r="K19" s="196"/>
      <c r="L19" s="231"/>
      <c r="M19" s="74"/>
    </row>
    <row r="20" spans="1:23" ht="18.75" customHeight="1" x14ac:dyDescent="0.3">
      <c r="A20" s="193" t="s">
        <v>108</v>
      </c>
      <c r="B20" s="104">
        <f>'Skjema total MA'!B10</f>
        <v>17427543.315812003</v>
      </c>
      <c r="C20" s="104">
        <f>'Skjema total MA'!C10</f>
        <v>16065706.747571107</v>
      </c>
      <c r="D20" s="233">
        <f>IF(B20=0, "    ---- ", IF(ABS(ROUND(100/B20*C20-100,1))&lt;999,ROUND(100/B20*C20-100,1),IF(ROUND(100/B20*C20-100,1)&gt;999,999,-999)))</f>
        <v>-7.8</v>
      </c>
      <c r="E20" s="182"/>
      <c r="F20" s="196">
        <f>'Skjema total MA'!E10</f>
        <v>70223464.743249997</v>
      </c>
      <c r="G20" s="196">
        <f>'Skjema total MA'!F10</f>
        <v>70683498.137465</v>
      </c>
      <c r="H20" s="233">
        <f t="shared" si="2"/>
        <v>0.7</v>
      </c>
      <c r="I20" s="182"/>
      <c r="J20" s="196">
        <f t="shared" si="0"/>
        <v>87651008.059062004</v>
      </c>
      <c r="K20" s="196">
        <f t="shared" si="0"/>
        <v>86749204.885036111</v>
      </c>
      <c r="L20" s="231">
        <f t="shared" si="3"/>
        <v>-1</v>
      </c>
      <c r="M20" s="74"/>
    </row>
    <row r="21" spans="1:23" ht="18.75" customHeight="1" x14ac:dyDescent="0.3">
      <c r="A21" s="193" t="s">
        <v>109</v>
      </c>
      <c r="B21" s="104">
        <f>'Skjema total MA'!B29</f>
        <v>45548764.014844544</v>
      </c>
      <c r="C21" s="104">
        <f>'Skjema total MA'!C29</f>
        <v>45002290.075421385</v>
      </c>
      <c r="D21" s="233">
        <f t="shared" ref="D21:D27" si="4">IF(B21=0, "    ---- ", IF(ABS(ROUND(100/B21*C21-100,1))&lt;999,ROUND(100/B21*C21-100,1),IF(ROUND(100/B21*C21-100,1)&gt;999,999,-999)))</f>
        <v>-1.2</v>
      </c>
      <c r="E21" s="182"/>
      <c r="F21" s="196">
        <f>'Skjema total MA'!E29</f>
        <v>25685828.300900001</v>
      </c>
      <c r="G21" s="196">
        <f>'Skjema total MA'!F29</f>
        <v>23674870.448199999</v>
      </c>
      <c r="H21" s="233">
        <f t="shared" si="2"/>
        <v>-7.8</v>
      </c>
      <c r="I21" s="182"/>
      <c r="J21" s="196">
        <f t="shared" si="0"/>
        <v>71234592.315744549</v>
      </c>
      <c r="K21" s="196">
        <f t="shared" si="0"/>
        <v>68677160.52362138</v>
      </c>
      <c r="L21" s="231">
        <f t="shared" si="3"/>
        <v>-3.6</v>
      </c>
      <c r="M21" s="74"/>
    </row>
    <row r="22" spans="1:23" ht="18.75" x14ac:dyDescent="0.3">
      <c r="A22" s="193" t="s">
        <v>111</v>
      </c>
      <c r="B22" s="104">
        <f>'Skjema total MA'!B87</f>
        <v>402578891.17085534</v>
      </c>
      <c r="C22" s="104">
        <f>'Skjema total MA'!C87</f>
        <v>403282680.45131111</v>
      </c>
      <c r="D22" s="233">
        <f t="shared" si="4"/>
        <v>0.2</v>
      </c>
      <c r="E22" s="182"/>
      <c r="F22" s="196">
        <f>'Skjema total MA'!E87</f>
        <v>418410014.35985005</v>
      </c>
      <c r="G22" s="196">
        <f>'Skjema total MA'!F87</f>
        <v>418030758.43494493</v>
      </c>
      <c r="H22" s="233">
        <f t="shared" si="2"/>
        <v>-0.1</v>
      </c>
      <c r="I22" s="182"/>
      <c r="J22" s="196">
        <f t="shared" si="0"/>
        <v>820988905.53070545</v>
      </c>
      <c r="K22" s="196">
        <f t="shared" si="0"/>
        <v>821313438.88625598</v>
      </c>
      <c r="L22" s="231">
        <f t="shared" si="3"/>
        <v>0</v>
      </c>
      <c r="M22" s="74"/>
    </row>
    <row r="23" spans="1:23" ht="22.5" x14ac:dyDescent="0.3">
      <c r="A23" s="193" t="s">
        <v>116</v>
      </c>
      <c r="B23" s="104">
        <f>'Skjema total MA'!B89</f>
        <v>3085371.1043245704</v>
      </c>
      <c r="C23" s="104">
        <f>'Skjema total MA'!C89</f>
        <v>3333016.8558115801</v>
      </c>
      <c r="D23" s="233">
        <f t="shared" si="4"/>
        <v>8</v>
      </c>
      <c r="E23" s="182"/>
      <c r="F23" s="196">
        <f>'Skjema total MA'!E89</f>
        <v>414322429.19332004</v>
      </c>
      <c r="G23" s="196">
        <f>'Skjema total MA'!F89</f>
        <v>413172062.09808493</v>
      </c>
      <c r="H23" s="233">
        <f t="shared" si="2"/>
        <v>-0.3</v>
      </c>
      <c r="I23" s="182"/>
      <c r="J23" s="196">
        <f t="shared" si="0"/>
        <v>417407800.29764462</v>
      </c>
      <c r="K23" s="196">
        <f t="shared" si="0"/>
        <v>416505078.95389652</v>
      </c>
      <c r="L23" s="231">
        <f t="shared" si="3"/>
        <v>-0.2</v>
      </c>
      <c r="M23" s="74"/>
    </row>
    <row r="24" spans="1:23" ht="18.75" x14ac:dyDescent="0.3">
      <c r="A24" s="194" t="s">
        <v>113</v>
      </c>
      <c r="B24" s="104">
        <f>'Skjema total MA'!B96</f>
        <v>2319961.8083600001</v>
      </c>
      <c r="C24" s="104">
        <f>'Skjema total MA'!C96</f>
        <v>3292382.3929599999</v>
      </c>
      <c r="D24" s="233">
        <f t="shared" si="4"/>
        <v>41.9</v>
      </c>
      <c r="E24" s="182"/>
      <c r="F24" s="196">
        <f>'Skjema total MA'!E96</f>
        <v>4087585.16653</v>
      </c>
      <c r="G24" s="196">
        <f>'Skjema total MA'!F96</f>
        <v>4858696.3368599992</v>
      </c>
      <c r="H24" s="233">
        <f t="shared" si="2"/>
        <v>18.899999999999999</v>
      </c>
      <c r="I24" s="182"/>
      <c r="J24" s="196">
        <f t="shared" si="0"/>
        <v>6407546.9748900002</v>
      </c>
      <c r="K24" s="196">
        <f t="shared" si="0"/>
        <v>8151078.7298199991</v>
      </c>
      <c r="L24" s="231">
        <f t="shared" si="3"/>
        <v>27.2</v>
      </c>
      <c r="M24" s="74"/>
    </row>
    <row r="25" spans="1:23" ht="22.5" x14ac:dyDescent="0.3">
      <c r="A25" s="193" t="s">
        <v>341</v>
      </c>
      <c r="B25" s="104">
        <f>'Skjema total MA'!B135</f>
        <v>662603918.01883996</v>
      </c>
      <c r="C25" s="104">
        <f>'Skjema total MA'!C135</f>
        <v>778254987.33546007</v>
      </c>
      <c r="D25" s="233">
        <f t="shared" si="4"/>
        <v>17.5</v>
      </c>
      <c r="E25" s="182"/>
      <c r="F25" s="196">
        <f>'Skjema total MA'!E135</f>
        <v>2232813.0127599998</v>
      </c>
      <c r="G25" s="196">
        <f>'Skjema total MA'!F135</f>
        <v>2589206.34993</v>
      </c>
      <c r="H25" s="233">
        <f t="shared" si="2"/>
        <v>16</v>
      </c>
      <c r="I25" s="182"/>
      <c r="J25" s="196">
        <f t="shared" si="0"/>
        <v>664836731.0316</v>
      </c>
      <c r="K25" s="196">
        <f t="shared" si="0"/>
        <v>780844193.68539011</v>
      </c>
      <c r="L25" s="231">
        <f t="shared" si="3"/>
        <v>17.399999999999999</v>
      </c>
      <c r="M25" s="74"/>
    </row>
    <row r="26" spans="1:23" ht="18.75" x14ac:dyDescent="0.3">
      <c r="A26" s="193" t="s">
        <v>114</v>
      </c>
      <c r="B26" s="104">
        <f>'Skjema total MA'!B37</f>
        <v>3354170.09</v>
      </c>
      <c r="C26" s="104">
        <f>'Skjema total MA'!C37</f>
        <v>3043356.199</v>
      </c>
      <c r="D26" s="233">
        <f t="shared" si="4"/>
        <v>-9.3000000000000007</v>
      </c>
      <c r="E26" s="182"/>
      <c r="F26" s="196"/>
      <c r="G26" s="196"/>
      <c r="H26" s="233"/>
      <c r="I26" s="182"/>
      <c r="J26" s="196">
        <f t="shared" si="0"/>
        <v>3354170.09</v>
      </c>
      <c r="K26" s="196">
        <f t="shared" si="0"/>
        <v>3043356.199</v>
      </c>
      <c r="L26" s="231">
        <f t="shared" si="3"/>
        <v>-9.3000000000000007</v>
      </c>
      <c r="M26" s="74"/>
    </row>
    <row r="27" spans="1:23" s="135" customFormat="1" ht="18.75" x14ac:dyDescent="0.3">
      <c r="A27" s="137" t="s">
        <v>117</v>
      </c>
      <c r="B27" s="110">
        <f>'Tabel 1.1'!G34</f>
        <v>1131513286.6103518</v>
      </c>
      <c r="C27" s="198">
        <f>'Tabel 1.1'!H34</f>
        <v>1245649020.8087635</v>
      </c>
      <c r="D27" s="233">
        <f t="shared" si="4"/>
        <v>10.1</v>
      </c>
      <c r="E27" s="138"/>
      <c r="F27" s="198">
        <f>'Tabel 1.1'!G46</f>
        <v>516552120.41675997</v>
      </c>
      <c r="G27" s="198">
        <f>'Tabel 1.1'!H46</f>
        <v>514978333.3705399</v>
      </c>
      <c r="H27" s="233">
        <f t="shared" si="2"/>
        <v>-0.3</v>
      </c>
      <c r="I27" s="138"/>
      <c r="J27" s="198">
        <f t="shared" si="0"/>
        <v>1648065407.0271118</v>
      </c>
      <c r="K27" s="198">
        <f t="shared" si="0"/>
        <v>1760627354.1793034</v>
      </c>
      <c r="L27" s="231">
        <f t="shared" si="3"/>
        <v>6.8</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343</v>
      </c>
      <c r="B29" s="200"/>
      <c r="C29" s="203"/>
      <c r="D29" s="196"/>
      <c r="E29" s="182"/>
      <c r="F29" s="196"/>
      <c r="G29" s="196"/>
      <c r="H29" s="233"/>
      <c r="I29" s="182"/>
      <c r="J29" s="196"/>
      <c r="K29" s="196"/>
      <c r="L29" s="231"/>
      <c r="M29" s="74"/>
    </row>
    <row r="30" spans="1:23" ht="18.75" x14ac:dyDescent="0.3">
      <c r="A30" s="193" t="s">
        <v>108</v>
      </c>
      <c r="B30" s="104">
        <f>'Skjema total MA'!B11</f>
        <v>24524</v>
      </c>
      <c r="C30" s="104">
        <f>'Skjema total MA'!C11</f>
        <v>20423</v>
      </c>
      <c r="D30" s="233">
        <f>IF(B30=0, "    ---- ", IF(ABS(ROUND(100/B30*C30-100,1))&lt;999,ROUND(100/B30*C30-100,1),IF(ROUND(100/B30*C30-100,1)&gt;999,999,-999)))</f>
        <v>-16.7</v>
      </c>
      <c r="E30" s="182"/>
      <c r="F30" s="196">
        <f>'Skjema total MA'!E11</f>
        <v>259173.54251</v>
      </c>
      <c r="G30" s="196">
        <f>'Skjema total MA'!F11</f>
        <v>134752.53171000001</v>
      </c>
      <c r="H30" s="233">
        <f t="shared" si="2"/>
        <v>-48</v>
      </c>
      <c r="I30" s="182"/>
      <c r="J30" s="196">
        <f t="shared" si="0"/>
        <v>283697.54251</v>
      </c>
      <c r="K30" s="196">
        <f t="shared" si="0"/>
        <v>155175.53171000001</v>
      </c>
      <c r="L30" s="231">
        <f t="shared" si="3"/>
        <v>-45.3</v>
      </c>
      <c r="M30" s="74"/>
    </row>
    <row r="31" spans="1:23" ht="18.75" x14ac:dyDescent="0.3">
      <c r="A31" s="193" t="s">
        <v>109</v>
      </c>
      <c r="B31" s="104">
        <f>'Skjema total MA'!B34</f>
        <v>5661.3959999999997</v>
      </c>
      <c r="C31" s="104">
        <f>'Skjema total MA'!C34</f>
        <v>13892.548870000001</v>
      </c>
      <c r="D31" s="233">
        <f t="shared" ref="D31:D38" si="5">IF(B31=0, "    ---- ", IF(ABS(ROUND(100/B31*C31-100,1))&lt;999,ROUND(100/B31*C31-100,1),IF(ROUND(100/B31*C31-100,1)&gt;999,999,-999)))</f>
        <v>145.4</v>
      </c>
      <c r="E31" s="182"/>
      <c r="F31" s="196">
        <f>'Skjema total MA'!E34</f>
        <v>21589.357619999999</v>
      </c>
      <c r="G31" s="196">
        <f>'Skjema total MA'!F34</f>
        <v>59736.161189999999</v>
      </c>
      <c r="H31" s="233">
        <f t="shared" si="2"/>
        <v>176.7</v>
      </c>
      <c r="I31" s="182"/>
      <c r="J31" s="196">
        <f t="shared" si="0"/>
        <v>27250.75362</v>
      </c>
      <c r="K31" s="196">
        <f t="shared" si="0"/>
        <v>73628.710059999998</v>
      </c>
      <c r="L31" s="231">
        <f t="shared" si="3"/>
        <v>170.2</v>
      </c>
      <c r="M31" s="74"/>
    </row>
    <row r="32" spans="1:23" ht="18.75" x14ac:dyDescent="0.3">
      <c r="A32" s="193" t="s">
        <v>111</v>
      </c>
      <c r="B32" s="104">
        <f>'Skjema total MA'!B111</f>
        <v>259773.9768</v>
      </c>
      <c r="C32" s="104">
        <f>'Skjema total MA'!C111</f>
        <v>524102.42821000004</v>
      </c>
      <c r="D32" s="233">
        <f t="shared" si="5"/>
        <v>101.8</v>
      </c>
      <c r="E32" s="182"/>
      <c r="F32" s="196">
        <f>'Skjema total MA'!E111</f>
        <v>29226126.996290002</v>
      </c>
      <c r="G32" s="196">
        <f>'Skjema total MA'!F111</f>
        <v>21130986.35069</v>
      </c>
      <c r="H32" s="233">
        <f t="shared" si="2"/>
        <v>-27.7</v>
      </c>
      <c r="I32" s="182"/>
      <c r="J32" s="196">
        <f t="shared" si="0"/>
        <v>29485900.97309</v>
      </c>
      <c r="K32" s="196">
        <f t="shared" si="0"/>
        <v>21655088.778900001</v>
      </c>
      <c r="L32" s="231">
        <f t="shared" si="3"/>
        <v>-26.6</v>
      </c>
      <c r="M32" s="74"/>
    </row>
    <row r="33" spans="1:15" ht="22.5" x14ac:dyDescent="0.3">
      <c r="A33" s="193" t="s">
        <v>341</v>
      </c>
      <c r="B33" s="104">
        <f>'Skjema total MA'!B136</f>
        <v>7134946.7209999999</v>
      </c>
      <c r="C33" s="104">
        <f>'Skjema total MA'!C136</f>
        <v>3276579.2050000001</v>
      </c>
      <c r="D33" s="233">
        <f t="shared" si="5"/>
        <v>-54.1</v>
      </c>
      <c r="E33" s="182"/>
      <c r="F33" s="196">
        <f>'Skjema total MA'!E136</f>
        <v>0</v>
      </c>
      <c r="G33" s="196">
        <f>'Skjema total MA'!F136</f>
        <v>376440.52899999998</v>
      </c>
      <c r="H33" s="233" t="str">
        <f t="shared" si="2"/>
        <v xml:space="preserve">    ---- </v>
      </c>
      <c r="I33" s="182"/>
      <c r="J33" s="196">
        <f t="shared" si="0"/>
        <v>7134946.7209999999</v>
      </c>
      <c r="K33" s="196">
        <f t="shared" si="0"/>
        <v>3653019.7340000002</v>
      </c>
      <c r="L33" s="231">
        <f t="shared" si="3"/>
        <v>-48.8</v>
      </c>
      <c r="M33" s="74"/>
    </row>
    <row r="34" spans="1:15" ht="18.75" x14ac:dyDescent="0.3">
      <c r="A34" s="193" t="s">
        <v>114</v>
      </c>
      <c r="B34" s="104"/>
      <c r="C34" s="104"/>
      <c r="D34" s="233"/>
      <c r="E34" s="182"/>
      <c r="F34" s="196"/>
      <c r="G34" s="196"/>
      <c r="H34" s="233"/>
      <c r="I34" s="182"/>
      <c r="J34" s="196"/>
      <c r="K34" s="196"/>
      <c r="L34" s="231"/>
      <c r="M34" s="74"/>
    </row>
    <row r="35" spans="1:15" s="135" customFormat="1" ht="18.75" x14ac:dyDescent="0.3">
      <c r="A35" s="137" t="s">
        <v>118</v>
      </c>
      <c r="B35" s="110">
        <f>SUM(B30:B34)</f>
        <v>7424906.0937999999</v>
      </c>
      <c r="C35" s="198">
        <f>SUM(C30:C34)</f>
        <v>3834997.1820800002</v>
      </c>
      <c r="D35" s="233">
        <f t="shared" si="5"/>
        <v>-48.3</v>
      </c>
      <c r="E35" s="138"/>
      <c r="F35" s="198">
        <f>SUM(F30:F34)</f>
        <v>29506889.896420002</v>
      </c>
      <c r="G35" s="198">
        <f>SUM(G30:G34)</f>
        <v>21701915.572589997</v>
      </c>
      <c r="H35" s="233">
        <f t="shared" si="2"/>
        <v>-26.5</v>
      </c>
      <c r="I35" s="138"/>
      <c r="J35" s="198">
        <f t="shared" si="0"/>
        <v>36931795.990220003</v>
      </c>
      <c r="K35" s="198">
        <f t="shared" si="0"/>
        <v>25536912.754669998</v>
      </c>
      <c r="L35" s="231">
        <f t="shared" si="3"/>
        <v>-30.9</v>
      </c>
      <c r="M35" s="75"/>
    </row>
    <row r="36" spans="1:15" ht="18.75" x14ac:dyDescent="0.3">
      <c r="A36" s="137"/>
      <c r="B36" s="110"/>
      <c r="C36" s="198"/>
      <c r="D36" s="233"/>
      <c r="E36" s="138"/>
      <c r="F36" s="198"/>
      <c r="G36" s="198"/>
      <c r="H36" s="233"/>
      <c r="I36" s="138"/>
      <c r="J36" s="196"/>
      <c r="K36" s="196"/>
      <c r="L36" s="231"/>
      <c r="M36" s="74"/>
    </row>
    <row r="37" spans="1:15" ht="22.5" x14ac:dyDescent="0.3">
      <c r="A37" s="137" t="s">
        <v>344</v>
      </c>
      <c r="B37" s="110"/>
      <c r="C37" s="198"/>
      <c r="D37" s="196"/>
      <c r="E37" s="138"/>
      <c r="F37" s="198"/>
      <c r="G37" s="198"/>
      <c r="H37" s="233"/>
      <c r="I37" s="138"/>
      <c r="J37" s="196"/>
      <c r="K37" s="196"/>
      <c r="L37" s="231"/>
      <c r="M37" s="74"/>
    </row>
    <row r="38" spans="1:15" s="135" customFormat="1" ht="18.75" x14ac:dyDescent="0.3">
      <c r="A38" s="137" t="s">
        <v>110</v>
      </c>
      <c r="B38" s="110">
        <f>'Skjema total MA'!B53</f>
        <v>235110.696</v>
      </c>
      <c r="C38" s="110">
        <f>'Skjema total MA'!C53</f>
        <v>108750.51699999999</v>
      </c>
      <c r="D38" s="233">
        <f t="shared" si="5"/>
        <v>-53.7</v>
      </c>
      <c r="E38" s="138"/>
      <c r="F38" s="198"/>
      <c r="G38" s="198"/>
      <c r="H38" s="233"/>
      <c r="I38" s="138"/>
      <c r="J38" s="198">
        <f t="shared" si="0"/>
        <v>235110.696</v>
      </c>
      <c r="K38" s="198">
        <f t="shared" si="0"/>
        <v>108750.51699999999</v>
      </c>
      <c r="L38" s="231">
        <f t="shared" si="3"/>
        <v>-53.7</v>
      </c>
      <c r="M38" s="75"/>
    </row>
    <row r="39" spans="1:15" ht="18.75" x14ac:dyDescent="0.3">
      <c r="A39" s="137"/>
      <c r="B39" s="110"/>
      <c r="C39" s="198"/>
      <c r="D39" s="196"/>
      <c r="E39" s="138"/>
      <c r="F39" s="198"/>
      <c r="G39" s="198"/>
      <c r="H39" s="233"/>
      <c r="I39" s="138"/>
      <c r="J39" s="196"/>
      <c r="K39" s="196"/>
      <c r="L39" s="231"/>
      <c r="M39" s="74"/>
    </row>
    <row r="40" spans="1:15" ht="22.5" x14ac:dyDescent="0.3">
      <c r="A40" s="192" t="s">
        <v>345</v>
      </c>
      <c r="B40" s="200"/>
      <c r="C40" s="203"/>
      <c r="D40" s="196"/>
      <c r="E40" s="182"/>
      <c r="F40" s="196"/>
      <c r="G40" s="196"/>
      <c r="H40" s="233"/>
      <c r="I40" s="182"/>
      <c r="J40" s="196"/>
      <c r="K40" s="196"/>
      <c r="L40" s="231"/>
      <c r="M40" s="74"/>
    </row>
    <row r="41" spans="1:15" ht="18.75" x14ac:dyDescent="0.3">
      <c r="A41" s="193" t="s">
        <v>108</v>
      </c>
      <c r="B41" s="104">
        <f>'Skjema total MA'!B12</f>
        <v>3700</v>
      </c>
      <c r="C41" s="104">
        <f>'Skjema total MA'!C12</f>
        <v>2843</v>
      </c>
      <c r="D41" s="233">
        <f>IF(B41=0, "    ---- ", IF(ABS(ROUND(100/B41*C41-100,1))&lt;999,ROUND(100/B41*C41-100,1),IF(ROUND(100/B41*C41-100,1)&gt;999,999,-999)))</f>
        <v>-23.2</v>
      </c>
      <c r="E41" s="182"/>
      <c r="F41" s="196">
        <f>'Skjema total MA'!E12</f>
        <v>99172.854860000007</v>
      </c>
      <c r="G41" s="196">
        <f>'Skjema total MA'!F12</f>
        <v>99862.416819999999</v>
      </c>
      <c r="H41" s="233">
        <f t="shared" si="2"/>
        <v>0.7</v>
      </c>
      <c r="I41" s="182"/>
      <c r="J41" s="196">
        <f t="shared" si="0"/>
        <v>102872.85486000001</v>
      </c>
      <c r="K41" s="196">
        <f t="shared" si="0"/>
        <v>102705.41682</v>
      </c>
      <c r="L41" s="231">
        <f t="shared" si="3"/>
        <v>-0.2</v>
      </c>
      <c r="M41" s="74"/>
    </row>
    <row r="42" spans="1:15" ht="18.75" x14ac:dyDescent="0.3">
      <c r="A42" s="193" t="s">
        <v>109</v>
      </c>
      <c r="B42" s="104">
        <f>'Skjema total MA'!B35</f>
        <v>-65822.47709</v>
      </c>
      <c r="C42" s="104">
        <f>'Skjema total MA'!C35</f>
        <v>-11502.167289999999</v>
      </c>
      <c r="D42" s="233">
        <f t="shared" ref="D42:D46" si="6">IF(B42=0, "    ---- ", IF(ABS(ROUND(100/B42*C42-100,1))&lt;999,ROUND(100/B42*C42-100,1),IF(ROUND(100/B42*C42-100,1)&gt;999,999,-999)))</f>
        <v>-82.5</v>
      </c>
      <c r="E42" s="182"/>
      <c r="F42" s="196">
        <f>'Skjema total MA'!E35</f>
        <v>110139.29119</v>
      </c>
      <c r="G42" s="196">
        <f>'Skjema total MA'!F35</f>
        <v>58496.306189999996</v>
      </c>
      <c r="H42" s="233">
        <f t="shared" si="2"/>
        <v>-46.9</v>
      </c>
      <c r="I42" s="182"/>
      <c r="J42" s="196">
        <f t="shared" si="0"/>
        <v>44316.814100000003</v>
      </c>
      <c r="K42" s="196">
        <f t="shared" si="0"/>
        <v>46994.138899999998</v>
      </c>
      <c r="L42" s="231">
        <f t="shared" si="3"/>
        <v>6</v>
      </c>
      <c r="M42" s="74"/>
    </row>
    <row r="43" spans="1:15" ht="18.75" x14ac:dyDescent="0.3">
      <c r="A43" s="193" t="s">
        <v>111</v>
      </c>
      <c r="B43" s="104">
        <f>'Skjema total MA'!B119</f>
        <v>356144.94210999983</v>
      </c>
      <c r="C43" s="104">
        <f>'Skjema total MA'!C119</f>
        <v>474688.94764999987</v>
      </c>
      <c r="D43" s="233">
        <f t="shared" si="6"/>
        <v>33.299999999999997</v>
      </c>
      <c r="E43" s="182"/>
      <c r="F43" s="196">
        <f>'Skjema total MA'!E119</f>
        <v>33783529.177040003</v>
      </c>
      <c r="G43" s="196">
        <f>'Skjema total MA'!F119</f>
        <v>22485143.505799998</v>
      </c>
      <c r="H43" s="233">
        <f t="shared" si="2"/>
        <v>-33.4</v>
      </c>
      <c r="I43" s="182"/>
      <c r="J43" s="196">
        <f t="shared" si="0"/>
        <v>34139674.119150005</v>
      </c>
      <c r="K43" s="196">
        <f t="shared" si="0"/>
        <v>22959832.453449998</v>
      </c>
      <c r="L43" s="231">
        <f t="shared" si="3"/>
        <v>-32.700000000000003</v>
      </c>
      <c r="M43" s="74"/>
    </row>
    <row r="44" spans="1:15" ht="22.5" x14ac:dyDescent="0.3">
      <c r="A44" s="193" t="s">
        <v>341</v>
      </c>
      <c r="B44" s="104">
        <f>'Skjema total MA'!B137</f>
        <v>8346122.3590000002</v>
      </c>
      <c r="C44" s="104">
        <f>'Skjema total MA'!C137</f>
        <v>4374704.62</v>
      </c>
      <c r="D44" s="233">
        <f t="shared" si="6"/>
        <v>-47.6</v>
      </c>
      <c r="E44" s="182"/>
      <c r="F44" s="196"/>
      <c r="G44" s="196"/>
      <c r="H44" s="233"/>
      <c r="I44" s="182"/>
      <c r="J44" s="196">
        <f t="shared" si="0"/>
        <v>8346122.3590000002</v>
      </c>
      <c r="K44" s="196">
        <f t="shared" si="0"/>
        <v>4374704.62</v>
      </c>
      <c r="L44" s="231">
        <f t="shared" si="3"/>
        <v>-47.6</v>
      </c>
      <c r="M44" s="74"/>
    </row>
    <row r="45" spans="1:15" ht="18.75" x14ac:dyDescent="0.3">
      <c r="A45" s="193" t="s">
        <v>114</v>
      </c>
      <c r="B45" s="104">
        <f>'Skjema total MA'!B39</f>
        <v>3</v>
      </c>
      <c r="C45" s="104">
        <f>'Skjema total MA'!C39</f>
        <v>6</v>
      </c>
      <c r="D45" s="233">
        <f t="shared" si="6"/>
        <v>100</v>
      </c>
      <c r="E45" s="182"/>
      <c r="F45" s="196"/>
      <c r="G45" s="196"/>
      <c r="H45" s="233"/>
      <c r="I45" s="182"/>
      <c r="J45" s="196">
        <f t="shared" si="0"/>
        <v>3</v>
      </c>
      <c r="K45" s="196">
        <f t="shared" si="0"/>
        <v>6</v>
      </c>
      <c r="L45" s="231">
        <f t="shared" si="3"/>
        <v>100</v>
      </c>
      <c r="M45" s="74"/>
    </row>
    <row r="46" spans="1:15" s="135" customFormat="1" ht="18.75" x14ac:dyDescent="0.3">
      <c r="A46" s="137" t="s">
        <v>119</v>
      </c>
      <c r="B46" s="110">
        <f>SUM(B41:B45)</f>
        <v>8640147.8240200002</v>
      </c>
      <c r="C46" s="198">
        <f>SUM(C41:C45)</f>
        <v>4840740.4003600003</v>
      </c>
      <c r="D46" s="233">
        <f t="shared" si="6"/>
        <v>-44</v>
      </c>
      <c r="E46" s="138"/>
      <c r="F46" s="198">
        <f>SUM(F41:F45)</f>
        <v>33992841.323090002</v>
      </c>
      <c r="G46" s="277">
        <f>SUM(G41:G45)</f>
        <v>22643502.228809997</v>
      </c>
      <c r="H46" s="233">
        <f t="shared" si="2"/>
        <v>-33.4</v>
      </c>
      <c r="I46" s="138"/>
      <c r="J46" s="198">
        <f t="shared" si="0"/>
        <v>42632989.14711</v>
      </c>
      <c r="K46" s="198">
        <f t="shared" si="0"/>
        <v>27484242.629169997</v>
      </c>
      <c r="L46" s="231">
        <f t="shared" si="3"/>
        <v>-35.5</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346</v>
      </c>
      <c r="B48" s="110"/>
      <c r="C48" s="198"/>
      <c r="D48" s="196"/>
      <c r="E48" s="138"/>
      <c r="F48" s="198"/>
      <c r="G48" s="198"/>
      <c r="H48" s="233"/>
      <c r="I48" s="138"/>
      <c r="J48" s="196"/>
      <c r="K48" s="196"/>
      <c r="L48" s="231"/>
      <c r="M48" s="74"/>
    </row>
    <row r="49" spans="1:15" s="135" customFormat="1" ht="18.75" x14ac:dyDescent="0.3">
      <c r="A49" s="137" t="s">
        <v>110</v>
      </c>
      <c r="B49" s="110">
        <f>'Skjema total MA'!B56</f>
        <v>93364.087</v>
      </c>
      <c r="C49" s="110">
        <f>'Skjema total MA'!C56</f>
        <v>82468.290000000008</v>
      </c>
      <c r="D49" s="233">
        <f t="shared" ref="D49" si="7">IF(B49=0, "    ---- ", IF(ABS(ROUND(100/B49*C49-100,1))&lt;999,ROUND(100/B49*C49-100,1),IF(ROUND(100/B49*C49-100,1)&gt;999,999,-999)))</f>
        <v>-11.7</v>
      </c>
      <c r="E49" s="138"/>
      <c r="F49" s="198"/>
      <c r="G49" s="198"/>
      <c r="H49" s="233"/>
      <c r="I49" s="138"/>
      <c r="J49" s="198">
        <f>SUM(B49+F49)</f>
        <v>93364.087</v>
      </c>
      <c r="K49" s="198">
        <f>SUM(C49+G49)</f>
        <v>82468.290000000008</v>
      </c>
      <c r="L49" s="231">
        <f t="shared" si="3"/>
        <v>-11.7</v>
      </c>
      <c r="M49" s="75"/>
    </row>
    <row r="50" spans="1:15" ht="18.75" x14ac:dyDescent="0.3">
      <c r="A50" s="137"/>
      <c r="B50" s="104"/>
      <c r="C50" s="196"/>
      <c r="D50" s="196"/>
      <c r="E50" s="182"/>
      <c r="F50" s="196"/>
      <c r="G50" s="196"/>
      <c r="H50" s="233"/>
      <c r="I50" s="182"/>
      <c r="J50" s="196"/>
      <c r="K50" s="196"/>
      <c r="L50" s="231"/>
      <c r="M50" s="74"/>
    </row>
    <row r="51" spans="1:15" ht="21.75" x14ac:dyDescent="0.3">
      <c r="A51" s="192" t="s">
        <v>347</v>
      </c>
      <c r="B51" s="104"/>
      <c r="C51" s="196"/>
      <c r="D51" s="196"/>
      <c r="E51" s="182"/>
      <c r="F51" s="196"/>
      <c r="G51" s="196"/>
      <c r="H51" s="233"/>
      <c r="I51" s="182"/>
      <c r="J51" s="196"/>
      <c r="K51" s="196"/>
      <c r="L51" s="231"/>
      <c r="M51" s="74"/>
    </row>
    <row r="52" spans="1:15" ht="18.75" x14ac:dyDescent="0.3">
      <c r="A52" s="193" t="s">
        <v>108</v>
      </c>
      <c r="B52" s="104">
        <f>B30-B41</f>
        <v>20824</v>
      </c>
      <c r="C52" s="196">
        <f>C30-C41</f>
        <v>17580</v>
      </c>
      <c r="D52" s="233">
        <f>IF(B52=0, "    ---- ", IF(ABS(ROUND(100/B52*C52-100,1))&lt;999,ROUND(100/B52*C52-100,1),IF(ROUND(100/B52*C52-100,1)&gt;999,999,-999)))</f>
        <v>-15.6</v>
      </c>
      <c r="E52" s="182"/>
      <c r="F52" s="196">
        <f>F30-F41</f>
        <v>160000.68764999998</v>
      </c>
      <c r="G52" s="196">
        <f>G30-G41</f>
        <v>34890.114890000012</v>
      </c>
      <c r="H52" s="233">
        <f t="shared" si="2"/>
        <v>-78.2</v>
      </c>
      <c r="I52" s="182"/>
      <c r="J52" s="196">
        <f t="shared" si="0"/>
        <v>180824.68764999998</v>
      </c>
      <c r="K52" s="196">
        <f t="shared" si="0"/>
        <v>52470.114890000012</v>
      </c>
      <c r="L52" s="231">
        <f t="shared" si="3"/>
        <v>-71</v>
      </c>
      <c r="M52" s="74"/>
    </row>
    <row r="53" spans="1:15" ht="18.75" x14ac:dyDescent="0.3">
      <c r="A53" s="193" t="s">
        <v>109</v>
      </c>
      <c r="B53" s="104">
        <f t="shared" ref="B53:C56" si="8">B31-B42</f>
        <v>71483.873089999994</v>
      </c>
      <c r="C53" s="196">
        <f t="shared" si="8"/>
        <v>25394.71616</v>
      </c>
      <c r="D53" s="233">
        <f t="shared" ref="D53:D60" si="9">IF(B53=0, "    ---- ", IF(ABS(ROUND(100/B53*C53-100,1))&lt;999,ROUND(100/B53*C53-100,1),IF(ROUND(100/B53*C53-100,1)&gt;999,999,-999)))</f>
        <v>-64.5</v>
      </c>
      <c r="E53" s="182"/>
      <c r="F53" s="196">
        <f t="shared" ref="F53:G55" si="10">F31-F42</f>
        <v>-88549.933570000008</v>
      </c>
      <c r="G53" s="196">
        <f t="shared" si="10"/>
        <v>1239.8550000000032</v>
      </c>
      <c r="H53" s="233">
        <f t="shared" si="2"/>
        <v>-101.4</v>
      </c>
      <c r="I53" s="182"/>
      <c r="J53" s="196">
        <f t="shared" si="0"/>
        <v>-17066.060480000015</v>
      </c>
      <c r="K53" s="196">
        <f t="shared" si="0"/>
        <v>26634.571160000003</v>
      </c>
      <c r="L53" s="231">
        <f t="shared" si="3"/>
        <v>-256.10000000000002</v>
      </c>
      <c r="M53" s="74"/>
    </row>
    <row r="54" spans="1:15" ht="18.75" x14ac:dyDescent="0.3">
      <c r="A54" s="193" t="s">
        <v>111</v>
      </c>
      <c r="B54" s="104">
        <f t="shared" si="8"/>
        <v>-96370.965309999825</v>
      </c>
      <c r="C54" s="196">
        <f t="shared" si="8"/>
        <v>49413.480560000171</v>
      </c>
      <c r="D54" s="233">
        <f t="shared" si="9"/>
        <v>-151.30000000000001</v>
      </c>
      <c r="E54" s="182"/>
      <c r="F54" s="196">
        <f t="shared" si="10"/>
        <v>-4557402.1807500012</v>
      </c>
      <c r="G54" s="196">
        <f t="shared" si="10"/>
        <v>-1354157.1551099978</v>
      </c>
      <c r="H54" s="233">
        <f t="shared" si="2"/>
        <v>-70.3</v>
      </c>
      <c r="I54" s="182"/>
      <c r="J54" s="196">
        <f t="shared" si="0"/>
        <v>-4653773.1460600011</v>
      </c>
      <c r="K54" s="196">
        <f t="shared" si="0"/>
        <v>-1304743.6745499978</v>
      </c>
      <c r="L54" s="231">
        <f t="shared" si="3"/>
        <v>-72</v>
      </c>
      <c r="M54" s="74"/>
    </row>
    <row r="55" spans="1:15" ht="22.5" x14ac:dyDescent="0.3">
      <c r="A55" s="193" t="s">
        <v>341</v>
      </c>
      <c r="B55" s="104">
        <f t="shared" si="8"/>
        <v>-1211175.6380000003</v>
      </c>
      <c r="C55" s="196">
        <f t="shared" si="8"/>
        <v>-1098125.415</v>
      </c>
      <c r="D55" s="233">
        <f t="shared" si="9"/>
        <v>-9.3000000000000007</v>
      </c>
      <c r="E55" s="182"/>
      <c r="F55" s="196">
        <f t="shared" si="10"/>
        <v>0</v>
      </c>
      <c r="G55" s="196">
        <f t="shared" si="10"/>
        <v>376440.52899999998</v>
      </c>
      <c r="H55" s="233" t="str">
        <f t="shared" si="2"/>
        <v xml:space="preserve">    ---- </v>
      </c>
      <c r="I55" s="182"/>
      <c r="J55" s="196">
        <f t="shared" si="0"/>
        <v>-1211175.6380000003</v>
      </c>
      <c r="K55" s="196">
        <f t="shared" si="0"/>
        <v>-721684.88600000006</v>
      </c>
      <c r="L55" s="231">
        <f t="shared" si="3"/>
        <v>-40.4</v>
      </c>
      <c r="M55" s="74"/>
    </row>
    <row r="56" spans="1:15" ht="18.75" x14ac:dyDescent="0.3">
      <c r="A56" s="193" t="s">
        <v>114</v>
      </c>
      <c r="B56" s="104">
        <f t="shared" si="8"/>
        <v>-3</v>
      </c>
      <c r="C56" s="196">
        <f t="shared" si="8"/>
        <v>-6</v>
      </c>
      <c r="D56" s="233">
        <f t="shared" si="9"/>
        <v>100</v>
      </c>
      <c r="E56" s="182"/>
      <c r="F56" s="196"/>
      <c r="G56" s="196"/>
      <c r="H56" s="233"/>
      <c r="I56" s="182"/>
      <c r="J56" s="196">
        <f t="shared" si="0"/>
        <v>-3</v>
      </c>
      <c r="K56" s="196">
        <f t="shared" si="0"/>
        <v>-6</v>
      </c>
      <c r="L56" s="231">
        <f t="shared" si="3"/>
        <v>100</v>
      </c>
      <c r="M56" s="74"/>
    </row>
    <row r="57" spans="1:15" s="135" customFormat="1" ht="18.75" x14ac:dyDescent="0.3">
      <c r="A57" s="137" t="s">
        <v>120</v>
      </c>
      <c r="B57" s="110">
        <f>SUM(B52:B56)</f>
        <v>-1215241.73022</v>
      </c>
      <c r="C57" s="198">
        <f>SUM(C52:C56)</f>
        <v>-1005743.2182799999</v>
      </c>
      <c r="D57" s="233">
        <f>IF(B57=0, "    ---- ", IF(ABS(ROUND(100/B57*C57-100,1))&lt;999,ROUND(100/B57*C57-100,1),IF(ROUND(100/B57*C57-100,1)&gt;999,999,-999)))</f>
        <v>-17.2</v>
      </c>
      <c r="E57" s="138"/>
      <c r="F57" s="198">
        <f>SUM(F52:F56)</f>
        <v>-4485951.4266700009</v>
      </c>
      <c r="G57" s="277">
        <f>SUM(G52:G56)</f>
        <v>-941586.65621999779</v>
      </c>
      <c r="H57" s="233">
        <f t="shared" si="2"/>
        <v>-79</v>
      </c>
      <c r="I57" s="138"/>
      <c r="J57" s="198">
        <f t="shared" si="0"/>
        <v>-5701193.1568900011</v>
      </c>
      <c r="K57" s="196">
        <f t="shared" si="0"/>
        <v>-1947329.8744999976</v>
      </c>
      <c r="L57" s="231">
        <f t="shared" si="3"/>
        <v>-65.8</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348</v>
      </c>
      <c r="B59" s="110"/>
      <c r="C59" s="198"/>
      <c r="D59" s="233"/>
      <c r="E59" s="138"/>
      <c r="F59" s="198"/>
      <c r="G59" s="198"/>
      <c r="H59" s="233"/>
      <c r="I59" s="138"/>
      <c r="J59" s="198"/>
      <c r="K59" s="196"/>
      <c r="L59" s="231"/>
      <c r="M59" s="74"/>
    </row>
    <row r="60" spans="1:15" s="135" customFormat="1" ht="18.75" x14ac:dyDescent="0.3">
      <c r="A60" s="137" t="s">
        <v>110</v>
      </c>
      <c r="B60" s="110">
        <f>B38-B49</f>
        <v>141746.609</v>
      </c>
      <c r="C60" s="198">
        <f>C38-C49</f>
        <v>26282.226999999984</v>
      </c>
      <c r="D60" s="233">
        <f t="shared" si="9"/>
        <v>-81.5</v>
      </c>
      <c r="E60" s="138"/>
      <c r="F60" s="198"/>
      <c r="G60" s="198"/>
      <c r="H60" s="233"/>
      <c r="I60" s="138"/>
      <c r="J60" s="198">
        <f t="shared" si="0"/>
        <v>141746.609</v>
      </c>
      <c r="K60" s="196">
        <f t="shared" si="0"/>
        <v>26282.226999999984</v>
      </c>
      <c r="L60" s="231">
        <f t="shared" si="3"/>
        <v>-81.5</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121</v>
      </c>
      <c r="C62" s="139"/>
      <c r="D62" s="139"/>
      <c r="E62" s="139"/>
      <c r="F62" s="139"/>
      <c r="G62" s="112"/>
      <c r="H62" s="74"/>
      <c r="I62" s="112"/>
      <c r="J62" s="112"/>
      <c r="K62" s="112"/>
      <c r="L62" s="74"/>
      <c r="M62" s="74"/>
    </row>
    <row r="63" spans="1:15" ht="18.75" x14ac:dyDescent="0.3">
      <c r="A63" s="112" t="s">
        <v>122</v>
      </c>
      <c r="C63" s="139"/>
      <c r="D63" s="139"/>
      <c r="E63" s="139"/>
      <c r="F63" s="139"/>
      <c r="G63" s="74"/>
      <c r="H63" s="74"/>
      <c r="I63" s="74"/>
      <c r="J63" s="74"/>
      <c r="K63" s="74"/>
      <c r="L63" s="74"/>
      <c r="M63" s="74"/>
    </row>
    <row r="64" spans="1:15" ht="18.75" x14ac:dyDescent="0.3">
      <c r="A64" s="112" t="s">
        <v>101</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C39" sqref="C39"/>
    </sheetView>
  </sheetViews>
  <sheetFormatPr baseColWidth="10" defaultColWidth="11.42578125" defaultRowHeight="18" x14ac:dyDescent="0.25"/>
  <cols>
    <col min="1" max="1" width="35.7109375" style="81" customWidth="1"/>
    <col min="2" max="2" width="18.28515625" style="81" customWidth="1"/>
    <col min="3" max="3" width="17.71093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28515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156</v>
      </c>
      <c r="B2" s="80"/>
      <c r="C2" s="80"/>
      <c r="D2" s="80"/>
      <c r="E2" s="80"/>
      <c r="F2" s="74"/>
      <c r="G2" s="74"/>
      <c r="H2" s="74"/>
      <c r="I2" s="74"/>
      <c r="J2" s="74"/>
    </row>
    <row r="3" spans="1:10" ht="20.100000000000001" customHeight="1" x14ac:dyDescent="0.3">
      <c r="A3" s="75"/>
      <c r="B3" s="75"/>
      <c r="C3" s="75"/>
      <c r="D3" s="75"/>
      <c r="E3" s="261"/>
      <c r="F3" s="74"/>
      <c r="G3" s="74"/>
      <c r="H3" s="74"/>
      <c r="I3" s="74"/>
      <c r="J3" s="74"/>
    </row>
    <row r="4" spans="1:10" ht="20.100000000000001" customHeight="1" x14ac:dyDescent="0.3">
      <c r="A4" s="262"/>
      <c r="B4" s="687" t="s">
        <v>157</v>
      </c>
      <c r="C4" s="687"/>
      <c r="D4" s="688"/>
      <c r="E4" s="89"/>
      <c r="F4" s="689" t="s">
        <v>157</v>
      </c>
      <c r="G4" s="687"/>
      <c r="H4" s="688"/>
      <c r="I4" s="74"/>
      <c r="J4" s="74"/>
    </row>
    <row r="5" spans="1:10" ht="18.75" customHeight="1" x14ac:dyDescent="0.3">
      <c r="A5" s="263" t="s">
        <v>398</v>
      </c>
      <c r="B5" s="690" t="s">
        <v>158</v>
      </c>
      <c r="C5" s="691"/>
      <c r="D5" s="692"/>
      <c r="E5" s="264"/>
      <c r="F5" s="693" t="s">
        <v>159</v>
      </c>
      <c r="G5" s="694"/>
      <c r="H5" s="695"/>
      <c r="I5" s="112"/>
      <c r="J5" s="74"/>
    </row>
    <row r="6" spans="1:10" ht="18.75" customHeight="1" x14ac:dyDescent="0.3">
      <c r="A6" s="122"/>
      <c r="B6" s="120"/>
      <c r="C6" s="192"/>
      <c r="D6" s="265" t="s">
        <v>80</v>
      </c>
      <c r="E6" s="265"/>
      <c r="F6" s="123"/>
      <c r="G6" s="124"/>
      <c r="H6" s="94" t="s">
        <v>80</v>
      </c>
      <c r="I6" s="100"/>
      <c r="J6" s="74"/>
    </row>
    <row r="7" spans="1:10" ht="18.75" customHeight="1" x14ac:dyDescent="0.3">
      <c r="A7" s="126"/>
      <c r="B7" s="97">
        <v>2021</v>
      </c>
      <c r="C7" s="97">
        <v>2022</v>
      </c>
      <c r="D7" s="266" t="s">
        <v>82</v>
      </c>
      <c r="E7" s="265"/>
      <c r="F7" s="97">
        <v>2021</v>
      </c>
      <c r="G7" s="127">
        <v>2022</v>
      </c>
      <c r="H7" s="267" t="s">
        <v>82</v>
      </c>
      <c r="I7" s="100"/>
      <c r="J7" s="74"/>
    </row>
    <row r="8" spans="1:10" ht="18.75" customHeight="1" x14ac:dyDescent="0.3">
      <c r="A8" s="101" t="s">
        <v>160</v>
      </c>
      <c r="B8" s="109">
        <f>SUM(B9:B14)</f>
        <v>181485.27886719001</v>
      </c>
      <c r="C8" s="109">
        <f>SUM(C9:C14)</f>
        <v>183174.47809603001</v>
      </c>
      <c r="D8" s="268">
        <f t="shared" ref="D8:D38" si="0">IF(B8=0, "    ---- ", IF(ABS(ROUND(100/B8*C8-100,1))&lt;999,ROUND(100/B8*C8-100,1),IF(ROUND(100/B8*C8-100,1)&gt;999,999,-999)))</f>
        <v>0.9</v>
      </c>
      <c r="E8" s="269"/>
      <c r="F8" s="268">
        <f>SUM(F9:F14)</f>
        <v>100</v>
      </c>
      <c r="G8" s="268">
        <f>SUM(G9:G14)</f>
        <v>100</v>
      </c>
      <c r="H8" s="269">
        <f t="shared" ref="H8:H38" si="1">IF(F8=0, "    ---- ", IF(ABS(ROUND(100/F8*G8-100,1))&lt;999,ROUND(100/F8*G8-100,1),IF(ROUND(100/F8*G8-100,1)&gt;999,999,-999)))</f>
        <v>0</v>
      </c>
      <c r="I8" s="104"/>
      <c r="J8" s="74"/>
    </row>
    <row r="9" spans="1:10" ht="18.75" customHeight="1" x14ac:dyDescent="0.3">
      <c r="A9" s="86" t="s">
        <v>161</v>
      </c>
      <c r="B9" s="106">
        <f>'Tabell 6'!AO21</f>
        <v>4478.4544352299999</v>
      </c>
      <c r="C9" s="106">
        <f>'Tabell 6'!AP21</f>
        <v>4069.0876412600001</v>
      </c>
      <c r="D9" s="270">
        <f t="shared" si="0"/>
        <v>-9.1</v>
      </c>
      <c r="E9" s="270"/>
      <c r="F9" s="270">
        <f>'Tabell 6'!AO21/'Tabell 6'!AO29*100</f>
        <v>2.4676681564389087</v>
      </c>
      <c r="G9" s="270">
        <f>'Tabell 6'!AP21/'Tabell 6'!AP29*100</f>
        <v>2.2214271789145013</v>
      </c>
      <c r="H9" s="271">
        <f t="shared" si="1"/>
        <v>-10</v>
      </c>
      <c r="I9" s="104"/>
      <c r="J9" s="77"/>
    </row>
    <row r="10" spans="1:10" ht="18.75" customHeight="1" x14ac:dyDescent="0.3">
      <c r="A10" s="86" t="s">
        <v>162</v>
      </c>
      <c r="B10" s="105">
        <f>'Tabell 6'!AO18+'Tabell 6'!AO22</f>
        <v>77302.712313319993</v>
      </c>
      <c r="C10" s="105">
        <f>'Tabell 6'!AP18+'Tabell 6'!AP22</f>
        <v>72810.031068709999</v>
      </c>
      <c r="D10" s="270">
        <f t="shared" si="0"/>
        <v>-5.8</v>
      </c>
      <c r="E10" s="270"/>
      <c r="F10" s="270">
        <f>('Tabell 6'!AO18+'Tabell 6'!AO22)/'Tabell 6'!AO29*100</f>
        <v>42.594480828326425</v>
      </c>
      <c r="G10" s="270">
        <f>('Tabell 6'!AP18+'Tabell 6'!AP22)/'Tabell 6'!AP29*100</f>
        <v>39.749004242031482</v>
      </c>
      <c r="H10" s="271">
        <f t="shared" si="1"/>
        <v>-6.7</v>
      </c>
      <c r="I10" s="104"/>
      <c r="J10" s="74"/>
    </row>
    <row r="11" spans="1:10" ht="18.75" customHeight="1" x14ac:dyDescent="0.3">
      <c r="A11" s="86" t="s">
        <v>163</v>
      </c>
      <c r="B11" s="105">
        <f>'Tabell 6'!AO14</f>
        <v>1007.84924075</v>
      </c>
      <c r="C11" s="105">
        <f>'Tabell 6'!AP14</f>
        <v>1007.72358975</v>
      </c>
      <c r="D11" s="270">
        <f t="shared" si="0"/>
        <v>0</v>
      </c>
      <c r="E11" s="270"/>
      <c r="F11" s="270">
        <f>'Tabell 6'!AO14/'Tabell 6'!AO29*100</f>
        <v>0.55533387999339545</v>
      </c>
      <c r="G11" s="270">
        <f>'Tabell 6'!AP14/'Tabell 6'!AP29*100</f>
        <v>0.55014410316577866</v>
      </c>
      <c r="H11" s="271">
        <f t="shared" si="1"/>
        <v>-0.9</v>
      </c>
      <c r="I11" s="104"/>
      <c r="J11" s="74"/>
    </row>
    <row r="12" spans="1:10" ht="18.75" customHeight="1" x14ac:dyDescent="0.3">
      <c r="A12" s="108" t="s">
        <v>164</v>
      </c>
      <c r="B12" s="105">
        <f>'Tabell 6'!AO15</f>
        <v>25884.877783080003</v>
      </c>
      <c r="C12" s="105">
        <f>'Tabell 6'!AP15</f>
        <v>25142.263688350002</v>
      </c>
      <c r="D12" s="272">
        <f t="shared" si="0"/>
        <v>-2.9</v>
      </c>
      <c r="E12" s="272"/>
      <c r="F12" s="270">
        <f>'Tabell 6'!AO15/'Tabell 6'!AO29*100</f>
        <v>14.26279748123396</v>
      </c>
      <c r="G12" s="270">
        <f>'Tabell 6'!AP15/'Tabell 6'!AP29*100</f>
        <v>13.725855233592673</v>
      </c>
      <c r="H12" s="271">
        <f t="shared" si="1"/>
        <v>-3.8</v>
      </c>
      <c r="I12" s="104"/>
      <c r="J12" s="74"/>
    </row>
    <row r="13" spans="1:10" ht="18.75" customHeight="1" x14ac:dyDescent="0.3">
      <c r="A13" s="86" t="s">
        <v>165</v>
      </c>
      <c r="B13" s="105">
        <f>'Tabell 6'!AO19+'Tabell 6'!AO23</f>
        <v>30827.373330820003</v>
      </c>
      <c r="C13" s="105">
        <f>'Tabell 6'!AP19+'Tabell 6'!AP23</f>
        <v>35633.000933750001</v>
      </c>
      <c r="D13" s="270">
        <f t="shared" si="0"/>
        <v>15.6</v>
      </c>
      <c r="E13" s="270"/>
      <c r="F13" s="270">
        <f>('Tabell 6'!AO19+'Tabell 6'!AO23)/'Tabell 6'!AO29*100</f>
        <v>16.986156410724263</v>
      </c>
      <c r="G13" s="270">
        <f>('Tabell 6'!AP19+'Tabell 6'!AP23)/'Tabell 6'!AP29*100</f>
        <v>19.453038056463985</v>
      </c>
      <c r="H13" s="271">
        <f t="shared" si="1"/>
        <v>14.5</v>
      </c>
      <c r="I13" s="104"/>
      <c r="J13" s="74"/>
    </row>
    <row r="14" spans="1:10" ht="18.75" customHeight="1" x14ac:dyDescent="0.3">
      <c r="A14" s="86" t="s">
        <v>166</v>
      </c>
      <c r="B14" s="177">
        <f>'Tabell 6'!AO17-'Tabell 6'!AO18+'Tabell 6'!AO24+'Tabell 6'!AO25+'Tabell 6'!AO26+'Tabell 6'!AO28</f>
        <v>41984.011763990005</v>
      </c>
      <c r="C14" s="177">
        <f>'Tabell 6'!AP17-'Tabell 6'!AP18+'Tabell 6'!AP24+'Tabell 6'!AP25+'Tabell 6'!AP26+'Tabell 6'!AP28</f>
        <v>44512.371174209999</v>
      </c>
      <c r="D14" s="270">
        <f t="shared" si="0"/>
        <v>6</v>
      </c>
      <c r="E14" s="270"/>
      <c r="F14" s="270">
        <f>('Tabell 6'!AO17-'Tabell 6'!AO18+'Tabell 6'!AO24+'Tabell 6'!AO25+'Tabell 6'!AO26+'Tabell 6'!AO28)/'Tabell 6'!AO29*100</f>
        <v>23.133563243283049</v>
      </c>
      <c r="G14" s="270">
        <f>('Tabell 6'!AP17-'Tabell 6'!AP18+'Tabell 6'!AP24+'Tabell 6'!AP25+'Tabell 6'!AP26+'Tabell 6'!AP28)/'Tabell 6'!AP29*100</f>
        <v>24.300531185831574</v>
      </c>
      <c r="H14" s="271">
        <f t="shared" si="1"/>
        <v>5</v>
      </c>
      <c r="I14" s="104"/>
      <c r="J14" s="74"/>
    </row>
    <row r="15" spans="1:10" ht="18.75" customHeight="1" x14ac:dyDescent="0.3">
      <c r="A15" s="193"/>
      <c r="B15" s="103"/>
      <c r="C15" s="177"/>
      <c r="D15" s="271"/>
      <c r="E15" s="271"/>
      <c r="F15" s="271"/>
      <c r="G15" s="270"/>
      <c r="H15" s="271"/>
      <c r="I15" s="104"/>
      <c r="J15" s="74"/>
    </row>
    <row r="16" spans="1:10" s="135" customFormat="1" ht="18.75" customHeight="1" x14ac:dyDescent="0.3">
      <c r="A16" s="101" t="s">
        <v>167</v>
      </c>
      <c r="B16" s="109">
        <f>SUM(B17:B22)</f>
        <v>1237940.0141490898</v>
      </c>
      <c r="C16" s="109">
        <f>SUM(C17:C22)</f>
        <v>1272893.3935393298</v>
      </c>
      <c r="D16" s="268">
        <f t="shared" si="0"/>
        <v>2.8</v>
      </c>
      <c r="E16" s="268"/>
      <c r="F16" s="268">
        <f>SUM(F17:F22)</f>
        <v>99.999999999999986</v>
      </c>
      <c r="G16" s="268">
        <f>SUM(G17:G22)</f>
        <v>99.999999999999986</v>
      </c>
      <c r="H16" s="269">
        <f t="shared" si="1"/>
        <v>0</v>
      </c>
      <c r="I16" s="110"/>
      <c r="J16" s="75"/>
    </row>
    <row r="17" spans="1:10" ht="18.75" customHeight="1" x14ac:dyDescent="0.3">
      <c r="A17" s="86" t="s">
        <v>161</v>
      </c>
      <c r="B17" s="103">
        <f>'Tabell 6'!AO40</f>
        <v>239949.12301869004</v>
      </c>
      <c r="C17" s="103">
        <f>'Tabell 6'!AP40</f>
        <v>261404.25482643998</v>
      </c>
      <c r="D17" s="270">
        <f t="shared" si="0"/>
        <v>8.9</v>
      </c>
      <c r="E17" s="270"/>
      <c r="F17" s="270">
        <f>'Tabell 6'!AO40/('Tabell 6'!AO45+'Tabell 6'!AO46)*100</f>
        <v>19.382936190460036</v>
      </c>
      <c r="G17" s="270">
        <f>'Tabell 6'!AP40/('Tabell 6'!AP45+'Tabell 6'!AP46)*100</f>
        <v>20.536225276462091</v>
      </c>
      <c r="H17" s="271">
        <f t="shared" si="1"/>
        <v>6</v>
      </c>
      <c r="I17" s="104"/>
      <c r="J17" s="74"/>
    </row>
    <row r="18" spans="1:10" ht="18.75" customHeight="1" x14ac:dyDescent="0.3">
      <c r="A18" s="86" t="s">
        <v>162</v>
      </c>
      <c r="B18" s="103">
        <f>'Tabell 6'!AO37+'Tabell 6'!AO41</f>
        <v>343581.06546021998</v>
      </c>
      <c r="C18" s="103">
        <f>'Tabell 6'!AP37+'Tabell 6'!AP41</f>
        <v>320310.78795576002</v>
      </c>
      <c r="D18" s="270">
        <f t="shared" si="0"/>
        <v>-6.8</v>
      </c>
      <c r="E18" s="270"/>
      <c r="F18" s="270">
        <f>('Tabell 6'!AO37+'Tabell 6'!AO41)/('Tabell 6'!AO45+'Tabell 6'!AO46)*100</f>
        <v>27.754258003881048</v>
      </c>
      <c r="G18" s="270">
        <f>('Tabell 6'!AP37+'Tabell 6'!AP41)/('Tabell 6'!AP45+'Tabell 6'!AP46)*100</f>
        <v>25.163991704373867</v>
      </c>
      <c r="H18" s="271">
        <f t="shared" si="1"/>
        <v>-9.3000000000000007</v>
      </c>
      <c r="I18" s="104"/>
      <c r="J18" s="74"/>
    </row>
    <row r="19" spans="1:10" ht="18.75" customHeight="1" x14ac:dyDescent="0.3">
      <c r="A19" s="86" t="s">
        <v>163</v>
      </c>
      <c r="B19" s="103">
        <f>'Tabell 6'!AO33</f>
        <v>19.310409679999999</v>
      </c>
      <c r="C19" s="103">
        <f>'Tabell 6'!AP33</f>
        <v>14.22554581</v>
      </c>
      <c r="D19" s="270">
        <f t="shared" si="0"/>
        <v>-26.3</v>
      </c>
      <c r="E19" s="270"/>
      <c r="F19" s="270">
        <f>'Tabell 6'!AO33/('Tabell 6'!AO45+'Tabell 6'!AO46)*100</f>
        <v>1.559882503133498E-3</v>
      </c>
      <c r="G19" s="270">
        <f>'Tabell 6'!AP33/('Tabell 6'!AP45+'Tabell 6'!AP46)*100</f>
        <v>1.1175755866282967E-3</v>
      </c>
      <c r="H19" s="271">
        <f t="shared" si="1"/>
        <v>-28.4</v>
      </c>
      <c r="I19" s="104"/>
      <c r="J19" s="74"/>
    </row>
    <row r="20" spans="1:10" ht="18.75" customHeight="1" x14ac:dyDescent="0.3">
      <c r="A20" s="108" t="s">
        <v>164</v>
      </c>
      <c r="B20" s="105">
        <f>'Tabell 6'!AO34</f>
        <v>168275.22349696001</v>
      </c>
      <c r="C20" s="105">
        <f>'Tabell 6'!AP34</f>
        <v>185069.44948394998</v>
      </c>
      <c r="D20" s="272">
        <f t="shared" si="0"/>
        <v>10</v>
      </c>
      <c r="E20" s="272"/>
      <c r="F20" s="270">
        <f>'Tabell 6'!AO34/('Tabell 6'!AO45+'Tabell 6'!AO46)*100</f>
        <v>13.593164577738094</v>
      </c>
      <c r="G20" s="270">
        <f>'Tabell 6'!AP34/('Tabell 6'!AP45+'Tabell 6'!AP46)*100</f>
        <v>14.539273314111334</v>
      </c>
      <c r="H20" s="271">
        <f t="shared" si="1"/>
        <v>7</v>
      </c>
      <c r="I20" s="104"/>
      <c r="J20" s="74"/>
    </row>
    <row r="21" spans="1:10" ht="18.75" customHeight="1" x14ac:dyDescent="0.3">
      <c r="A21" s="86" t="s">
        <v>165</v>
      </c>
      <c r="B21" s="103">
        <f>'Tabell 6'!AO38+'Tabell 6'!AO42</f>
        <v>472117.98134526983</v>
      </c>
      <c r="C21" s="103">
        <f>'Tabell 6'!AP38+'Tabell 6'!AP42</f>
        <v>485128.94244788989</v>
      </c>
      <c r="D21" s="270">
        <f t="shared" si="0"/>
        <v>2.8</v>
      </c>
      <c r="E21" s="270"/>
      <c r="F21" s="270">
        <f>('Tabell 6'!AO38+'Tabell 6'!AO42)/('Tabell 6'!AO45+'Tabell 6'!AO46)*100</f>
        <v>38.137387591416108</v>
      </c>
      <c r="G21" s="270">
        <f>('Tabell 6'!AP38+'Tabell 6'!AP42)/('Tabell 6'!AP45+'Tabell 6'!AP46)*100</f>
        <v>38.112299498936814</v>
      </c>
      <c r="H21" s="271">
        <f t="shared" si="1"/>
        <v>-0.1</v>
      </c>
      <c r="I21" s="104"/>
      <c r="J21" s="74"/>
    </row>
    <row r="22" spans="1:10" ht="18.75" customHeight="1" x14ac:dyDescent="0.3">
      <c r="A22" s="193" t="s">
        <v>166</v>
      </c>
      <c r="B22" s="103">
        <f>'Tabell 6'!AO36-'Tabell 6'!AO37+'Tabell 6'!AO43+'Tabell 6'!AO44+'Tabell 6'!AO46</f>
        <v>13997.31041826999</v>
      </c>
      <c r="C22" s="103">
        <f>'Tabell 6'!AP36-'Tabell 6'!AP37+'Tabell 6'!AP43+'Tabell 6'!AP44+'Tabell 6'!AP46</f>
        <v>20965.73327948001</v>
      </c>
      <c r="D22" s="270">
        <f t="shared" si="0"/>
        <v>49.8</v>
      </c>
      <c r="E22" s="270"/>
      <c r="F22" s="271">
        <f>('Tabell 6'!AO36-'Tabell 6'!AO37+'Tabell 6'!AO43+'Tabell 6'!AO44+'Tabell 6'!AO46)/('Tabell 6'!AO45+'Tabell 6'!AO46)*100</f>
        <v>1.1306937540015765</v>
      </c>
      <c r="G22" s="271">
        <f>('Tabell 6'!AP36-'Tabell 6'!AP37+'Tabell 6'!AP43+'Tabell 6'!AP44+'Tabell 6'!AP46)/('Tabell 6'!AP45+'Tabell 6'!AP46)*100</f>
        <v>1.6470926305292517</v>
      </c>
      <c r="H22" s="271">
        <f t="shared" si="1"/>
        <v>45.7</v>
      </c>
      <c r="I22" s="104"/>
      <c r="J22" s="74"/>
    </row>
    <row r="23" spans="1:10" ht="18.75" customHeight="1" x14ac:dyDescent="0.3">
      <c r="A23" s="86"/>
      <c r="B23" s="177"/>
      <c r="C23" s="177"/>
      <c r="D23" s="271"/>
      <c r="E23" s="270"/>
      <c r="F23" s="270"/>
      <c r="G23" s="271"/>
      <c r="H23" s="271"/>
      <c r="I23" s="182"/>
      <c r="J23" s="74"/>
    </row>
    <row r="24" spans="1:10" ht="18.75" customHeight="1" x14ac:dyDescent="0.3">
      <c r="A24" s="137" t="s">
        <v>168</v>
      </c>
      <c r="B24" s="109">
        <f>SUM(B25:B30)</f>
        <v>514460.38208669005</v>
      </c>
      <c r="C24" s="109">
        <f>SUM(C25:C30)</f>
        <v>515484.21447503997</v>
      </c>
      <c r="D24" s="268">
        <f t="shared" si="0"/>
        <v>0.2</v>
      </c>
      <c r="E24" s="268"/>
      <c r="F24" s="269">
        <f>SUM(F25:F30)</f>
        <v>100</v>
      </c>
      <c r="G24" s="269">
        <f>SUM(G25:G30)</f>
        <v>100</v>
      </c>
      <c r="H24" s="271">
        <f t="shared" si="1"/>
        <v>0</v>
      </c>
      <c r="I24" s="182"/>
      <c r="J24" s="74"/>
    </row>
    <row r="25" spans="1:10" ht="18.75" customHeight="1" x14ac:dyDescent="0.3">
      <c r="A25" s="193" t="s">
        <v>161</v>
      </c>
      <c r="B25" s="103">
        <f>'Tabell 6'!AO55</f>
        <v>334437.41218846</v>
      </c>
      <c r="C25" s="103">
        <f>'Tabell 6'!AP55</f>
        <v>329497.98832354299</v>
      </c>
      <c r="D25" s="270">
        <f t="shared" si="0"/>
        <v>-1.5</v>
      </c>
      <c r="E25" s="270"/>
      <c r="F25" s="270">
        <f>'Tabell 6'!AO55/('Tabell 6'!AO60+'Tabell 6'!AO61)*100</f>
        <v>65.007418225667195</v>
      </c>
      <c r="G25" s="270">
        <f>'Tabell 6'!AP55/('Tabell 6'!AP60+'Tabell 6'!AP61)*100</f>
        <v>63.920092811978336</v>
      </c>
      <c r="H25" s="271">
        <f t="shared" si="1"/>
        <v>-1.7</v>
      </c>
      <c r="I25" s="182"/>
      <c r="J25" s="74"/>
    </row>
    <row r="26" spans="1:10" ht="18.75" customHeight="1" x14ac:dyDescent="0.3">
      <c r="A26" s="193" t="s">
        <v>162</v>
      </c>
      <c r="B26" s="103">
        <f>'Tabell 6'!AO52+'Tabell 6'!AO56</f>
        <v>167605.91157786001</v>
      </c>
      <c r="C26" s="103">
        <f>'Tabell 6'!AP52+'Tabell 6'!AP56</f>
        <v>162245.64758500998</v>
      </c>
      <c r="D26" s="270">
        <f t="shared" si="0"/>
        <v>-3.2</v>
      </c>
      <c r="E26" s="270"/>
      <c r="F26" s="270">
        <f>('Tabell 6'!AO52+'Tabell 6'!AO56)/('Tabell 6'!AO60+'Tabell 6'!AO61)*100</f>
        <v>32.578973505799965</v>
      </c>
      <c r="G26" s="270">
        <f>('Tabell 6'!AP52+'Tabell 6'!AP56)/('Tabell 6'!AP60+'Tabell 6'!AP61)*100</f>
        <v>31.474416292308405</v>
      </c>
      <c r="H26" s="271">
        <f t="shared" si="1"/>
        <v>-3.4</v>
      </c>
      <c r="I26" s="182"/>
      <c r="J26" s="74"/>
    </row>
    <row r="27" spans="1:10" ht="18.75" customHeight="1" x14ac:dyDescent="0.3">
      <c r="A27" s="193" t="s">
        <v>163</v>
      </c>
      <c r="B27" s="103">
        <f>'Tabell 6'!AO48</f>
        <v>0</v>
      </c>
      <c r="C27" s="103">
        <f>'Tabell 6'!AP48</f>
        <v>0</v>
      </c>
      <c r="D27" s="270" t="str">
        <f t="shared" si="0"/>
        <v xml:space="preserve">    ---- </v>
      </c>
      <c r="E27" s="270"/>
      <c r="F27" s="270">
        <f>'Tabell 6'!AO48/('Tabell 6'!AO60+'Tabell 6'!AO61)*100</f>
        <v>0</v>
      </c>
      <c r="G27" s="270">
        <f>'Tabell 6'!AP48/('Tabell 6'!AP60+'Tabell 6'!AP61)*100</f>
        <v>0</v>
      </c>
      <c r="H27" s="271" t="str">
        <f t="shared" si="1"/>
        <v xml:space="preserve">    ---- </v>
      </c>
      <c r="I27" s="182"/>
      <c r="J27" s="74"/>
    </row>
    <row r="28" spans="1:10" ht="18.75" customHeight="1" x14ac:dyDescent="0.3">
      <c r="A28" s="108" t="s">
        <v>164</v>
      </c>
      <c r="B28" s="105">
        <f>'Tabell 6'!AO49</f>
        <v>8061.9056508800004</v>
      </c>
      <c r="C28" s="105">
        <f>'Tabell 6'!AP49</f>
        <v>18130.737621377</v>
      </c>
      <c r="D28" s="272">
        <f t="shared" si="0"/>
        <v>124.9</v>
      </c>
      <c r="E28" s="272"/>
      <c r="F28" s="270">
        <f>'Tabell 6'!AO49/('Tabell 6'!AO60+'Tabell 6'!AO61)*100</f>
        <v>1.5670605418011598</v>
      </c>
      <c r="G28" s="270">
        <f>'Tabell 6'!AP49/('Tabell 6'!AP60+'Tabell 6'!AP61)*100</f>
        <v>3.5172246040242037</v>
      </c>
      <c r="H28" s="271">
        <f t="shared" si="1"/>
        <v>124.4</v>
      </c>
      <c r="I28" s="182"/>
      <c r="J28" s="74"/>
    </row>
    <row r="29" spans="1:10" ht="18.75" customHeight="1" x14ac:dyDescent="0.3">
      <c r="A29" s="193" t="s">
        <v>165</v>
      </c>
      <c r="B29" s="103">
        <f>'Tabell 6'!AO53+'Tabell 6'!AO57</f>
        <v>3714.8146888900001</v>
      </c>
      <c r="C29" s="103">
        <f>'Tabell 6'!AP53+'Tabell 6'!AP57</f>
        <v>4429.8552061099999</v>
      </c>
      <c r="D29" s="270">
        <f t="shared" si="0"/>
        <v>19.2</v>
      </c>
      <c r="E29" s="270"/>
      <c r="F29" s="270">
        <f>('Tabell 6'!AO53+'Tabell 6'!AO57)/('Tabell 6'!AO60+'Tabell 6'!AO61)*100</f>
        <v>0.72207983709502221</v>
      </c>
      <c r="G29" s="270">
        <f>('Tabell 6'!AP53+'Tabell 6'!AP57)/('Tabell 6'!AP60+'Tabell 6'!AP61)*100</f>
        <v>0.85935807183179924</v>
      </c>
      <c r="H29" s="271">
        <f t="shared" si="1"/>
        <v>19</v>
      </c>
      <c r="I29" s="182"/>
      <c r="J29" s="74"/>
    </row>
    <row r="30" spans="1:10" ht="18.75" customHeight="1" x14ac:dyDescent="0.3">
      <c r="A30" s="86" t="s">
        <v>166</v>
      </c>
      <c r="B30" s="103">
        <f>'Tabell 6'!AO51-'Tabell 6'!AO52+'Tabell 6'!AO58+'Tabell 6'!AO59+'Tabell 6'!AO61</f>
        <v>640.33798060000004</v>
      </c>
      <c r="C30" s="103">
        <f>'Tabell 6'!AP51-'Tabell 6'!AP52+'Tabell 6'!AP58+'Tabell 6'!AP59+'Tabell 6'!AP61</f>
        <v>1179.9857390000002</v>
      </c>
      <c r="D30" s="271">
        <f t="shared" si="0"/>
        <v>84.3</v>
      </c>
      <c r="E30" s="271"/>
      <c r="F30" s="271">
        <f>('Tabell 6'!AO51-'Tabell 6'!AO52+'Tabell 6'!AO58+'Tabell 6'!AO59+'Tabell 6'!AO61)/('Tabell 6'!AO60+'Tabell 6'!AO61)*100</f>
        <v>0.12446788963665988</v>
      </c>
      <c r="G30" s="271">
        <f>('Tabell 6'!AP51-'Tabell 6'!AP52+'Tabell 6'!AP58+'Tabell 6'!AP59+'Tabell 6'!AP61)/('Tabell 6'!AP60+'Tabell 6'!AP61)*100</f>
        <v>0.22890821985726115</v>
      </c>
      <c r="H30" s="271">
        <f t="shared" si="1"/>
        <v>83.9</v>
      </c>
      <c r="I30" s="182"/>
      <c r="J30" s="74"/>
    </row>
    <row r="31" spans="1:10" ht="18.75" customHeight="1" x14ac:dyDescent="0.3">
      <c r="A31" s="193"/>
      <c r="B31" s="177"/>
      <c r="C31" s="177"/>
      <c r="D31" s="270"/>
      <c r="E31" s="270"/>
      <c r="F31" s="270"/>
      <c r="G31" s="271"/>
      <c r="H31" s="271"/>
      <c r="I31" s="182"/>
      <c r="J31" s="74"/>
    </row>
    <row r="32" spans="1:10" ht="18.75" customHeight="1" x14ac:dyDescent="0.3">
      <c r="A32" s="137" t="s">
        <v>2</v>
      </c>
      <c r="B32" s="109">
        <f>SUM(B33:B38)</f>
        <v>1933885.6751029701</v>
      </c>
      <c r="C32" s="109">
        <f>SUM(C33:C38)</f>
        <v>1971552.0861104</v>
      </c>
      <c r="D32" s="268">
        <f t="shared" si="0"/>
        <v>1.9</v>
      </c>
      <c r="E32" s="268"/>
      <c r="F32" s="268">
        <f>SUM(F33:F38)</f>
        <v>99.999999999999986</v>
      </c>
      <c r="G32" s="268">
        <f>SUM(G33:G38)</f>
        <v>100</v>
      </c>
      <c r="H32" s="269">
        <f t="shared" si="1"/>
        <v>0</v>
      </c>
      <c r="I32" s="182"/>
      <c r="J32" s="74"/>
    </row>
    <row r="33" spans="1:10" ht="18.75" customHeight="1" x14ac:dyDescent="0.3">
      <c r="A33" s="193" t="s">
        <v>161</v>
      </c>
      <c r="B33" s="103">
        <f t="shared" ref="B33:C38" si="2">B9+B17+B25</f>
        <v>578864.98964238004</v>
      </c>
      <c r="C33" s="103">
        <f t="shared" si="2"/>
        <v>594971.33079124289</v>
      </c>
      <c r="D33" s="270">
        <f t="shared" si="0"/>
        <v>2.8</v>
      </c>
      <c r="E33" s="270"/>
      <c r="F33" s="270">
        <f>B33/B32*100</f>
        <v>29.932740962650662</v>
      </c>
      <c r="G33" s="270">
        <f>C33/C32*100</f>
        <v>30.177814473318794</v>
      </c>
      <c r="H33" s="271">
        <f t="shared" si="1"/>
        <v>0.8</v>
      </c>
      <c r="I33" s="182"/>
      <c r="J33" s="74"/>
    </row>
    <row r="34" spans="1:10" ht="18.75" customHeight="1" x14ac:dyDescent="0.3">
      <c r="A34" s="193" t="s">
        <v>162</v>
      </c>
      <c r="B34" s="103">
        <f t="shared" si="2"/>
        <v>588489.68935140001</v>
      </c>
      <c r="C34" s="103">
        <f t="shared" si="2"/>
        <v>555366.46660948009</v>
      </c>
      <c r="D34" s="270">
        <f t="shared" si="0"/>
        <v>-5.6</v>
      </c>
      <c r="E34" s="270"/>
      <c r="F34" s="270">
        <f>B34/B32*100</f>
        <v>30.430428071714516</v>
      </c>
      <c r="G34" s="270">
        <f>C34/C32*100</f>
        <v>28.168997944413505</v>
      </c>
      <c r="H34" s="271">
        <f t="shared" si="1"/>
        <v>-7.4</v>
      </c>
      <c r="I34" s="182"/>
      <c r="J34" s="74"/>
    </row>
    <row r="35" spans="1:10" ht="18.75" customHeight="1" x14ac:dyDescent="0.3">
      <c r="A35" s="193" t="s">
        <v>163</v>
      </c>
      <c r="B35" s="103">
        <f t="shared" si="2"/>
        <v>1027.1596504300001</v>
      </c>
      <c r="C35" s="103">
        <f t="shared" si="2"/>
        <v>1021.9491355599999</v>
      </c>
      <c r="D35" s="270">
        <f t="shared" si="0"/>
        <v>-0.5</v>
      </c>
      <c r="E35" s="270"/>
      <c r="F35" s="270">
        <f>B35/B32*100</f>
        <v>5.3113773148731183E-2</v>
      </c>
      <c r="G35" s="270">
        <f>C35/C32*100</f>
        <v>5.1834752059539267E-2</v>
      </c>
      <c r="H35" s="271">
        <f t="shared" si="1"/>
        <v>-2.4</v>
      </c>
      <c r="I35" s="182"/>
      <c r="J35" s="74"/>
    </row>
    <row r="36" spans="1:10" ht="18.75" customHeight="1" x14ac:dyDescent="0.3">
      <c r="A36" s="108" t="s">
        <v>164</v>
      </c>
      <c r="B36" s="105">
        <f t="shared" si="2"/>
        <v>202222.00693092003</v>
      </c>
      <c r="C36" s="105">
        <f t="shared" si="2"/>
        <v>228342.45079367698</v>
      </c>
      <c r="D36" s="272">
        <f t="shared" si="0"/>
        <v>12.9</v>
      </c>
      <c r="E36" s="272"/>
      <c r="F36" s="270">
        <f>B36/B32*100</f>
        <v>10.456771542100217</v>
      </c>
      <c r="G36" s="270">
        <f>C36/C32*100</f>
        <v>11.581862452549508</v>
      </c>
      <c r="H36" s="271">
        <f t="shared" si="1"/>
        <v>10.8</v>
      </c>
      <c r="I36" s="182"/>
      <c r="J36" s="74"/>
    </row>
    <row r="37" spans="1:10" ht="18.75" customHeight="1" x14ac:dyDescent="0.3">
      <c r="A37" s="193" t="s">
        <v>165</v>
      </c>
      <c r="B37" s="103">
        <f t="shared" si="2"/>
        <v>506660.16936497984</v>
      </c>
      <c r="C37" s="103">
        <f t="shared" si="2"/>
        <v>525191.79858774994</v>
      </c>
      <c r="D37" s="270">
        <f t="shared" si="0"/>
        <v>3.7</v>
      </c>
      <c r="E37" s="270"/>
      <c r="F37" s="270">
        <f>B37/B32*100</f>
        <v>26.199075565209025</v>
      </c>
      <c r="G37" s="270">
        <f>C37/C32*100</f>
        <v>26.638494731522961</v>
      </c>
      <c r="H37" s="271">
        <f t="shared" si="1"/>
        <v>1.7</v>
      </c>
      <c r="I37" s="182"/>
      <c r="J37" s="74"/>
    </row>
    <row r="38" spans="1:10" ht="18.75" customHeight="1" x14ac:dyDescent="0.3">
      <c r="A38" s="273" t="s">
        <v>166</v>
      </c>
      <c r="B38" s="274">
        <f t="shared" si="2"/>
        <v>56621.660162859996</v>
      </c>
      <c r="C38" s="274">
        <f t="shared" si="2"/>
        <v>66658.090192690011</v>
      </c>
      <c r="D38" s="275">
        <f t="shared" si="0"/>
        <v>17.7</v>
      </c>
      <c r="E38" s="270"/>
      <c r="F38" s="275">
        <f>B38/B32*100</f>
        <v>2.927870085176838</v>
      </c>
      <c r="G38" s="275">
        <f>C38/C32*100</f>
        <v>3.3809956461356907</v>
      </c>
      <c r="H38" s="276">
        <f t="shared" si="1"/>
        <v>15.5</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169</v>
      </c>
      <c r="B40" s="112"/>
      <c r="C40" s="112"/>
      <c r="D40" s="112"/>
      <c r="E40" s="112"/>
      <c r="F40" s="182"/>
      <c r="G40" s="182"/>
      <c r="H40" s="182"/>
      <c r="I40" s="182"/>
      <c r="J40" s="74"/>
    </row>
    <row r="41" spans="1:10" ht="18.75" x14ac:dyDescent="0.3">
      <c r="A41" s="112" t="s">
        <v>101</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O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3" sqref="A3"/>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52">
        <v>4</v>
      </c>
      <c r="B1" s="4"/>
      <c r="C1" s="4"/>
      <c r="D1" s="4"/>
      <c r="E1" s="4"/>
      <c r="F1" s="4"/>
      <c r="G1" s="4"/>
      <c r="H1" s="4"/>
      <c r="I1" s="4"/>
      <c r="J1" s="4"/>
    </row>
    <row r="2" spans="1:14" ht="15.75" customHeight="1" x14ac:dyDescent="0.25">
      <c r="A2" s="165" t="s">
        <v>28</v>
      </c>
      <c r="B2" s="696"/>
      <c r="C2" s="696"/>
      <c r="D2" s="696"/>
      <c r="E2" s="696"/>
      <c r="F2" s="696"/>
      <c r="G2" s="696"/>
      <c r="H2" s="696"/>
      <c r="I2" s="696"/>
      <c r="J2" s="696"/>
    </row>
    <row r="3" spans="1:14" ht="15.75" customHeight="1" x14ac:dyDescent="0.25">
      <c r="A3" s="163"/>
      <c r="B3" s="299"/>
      <c r="C3" s="299"/>
      <c r="D3" s="299"/>
      <c r="E3" s="299"/>
      <c r="F3" s="299"/>
      <c r="G3" s="299"/>
      <c r="H3" s="299"/>
      <c r="I3" s="299"/>
      <c r="J3" s="299"/>
    </row>
    <row r="4" spans="1:14" ht="15.75" customHeight="1" x14ac:dyDescent="0.2">
      <c r="A4" s="144"/>
      <c r="B4" s="697" t="s">
        <v>0</v>
      </c>
      <c r="C4" s="698"/>
      <c r="D4" s="698"/>
      <c r="E4" s="697" t="s">
        <v>1</v>
      </c>
      <c r="F4" s="698"/>
      <c r="G4" s="698"/>
      <c r="H4" s="697" t="s">
        <v>2</v>
      </c>
      <c r="I4" s="698"/>
      <c r="J4" s="699"/>
    </row>
    <row r="5" spans="1:14" ht="15.75" customHeight="1" x14ac:dyDescent="0.2">
      <c r="A5" s="158"/>
      <c r="B5" s="20" t="s">
        <v>435</v>
      </c>
      <c r="C5" s="20" t="s">
        <v>436</v>
      </c>
      <c r="D5" s="251" t="s">
        <v>3</v>
      </c>
      <c r="E5" s="20" t="s">
        <v>435</v>
      </c>
      <c r="F5" s="20" t="s">
        <v>436</v>
      </c>
      <c r="G5" s="251" t="s">
        <v>3</v>
      </c>
      <c r="H5" s="20" t="s">
        <v>435</v>
      </c>
      <c r="I5" s="20" t="s">
        <v>436</v>
      </c>
      <c r="J5" s="251" t="s">
        <v>3</v>
      </c>
      <c r="M5" s="3"/>
      <c r="N5" s="3"/>
    </row>
    <row r="6" spans="1:14" ht="15.75" customHeight="1" x14ac:dyDescent="0.2">
      <c r="A6" s="662"/>
      <c r="B6" s="15"/>
      <c r="C6" s="15"/>
      <c r="D6" s="17" t="s">
        <v>4</v>
      </c>
      <c r="E6" s="16"/>
      <c r="F6" s="16"/>
      <c r="G6" s="15" t="s">
        <v>4</v>
      </c>
      <c r="H6" s="16"/>
      <c r="I6" s="16"/>
      <c r="J6" s="15" t="s">
        <v>4</v>
      </c>
      <c r="M6" s="331"/>
      <c r="N6" s="3"/>
    </row>
    <row r="7" spans="1:14" s="43" customFormat="1" ht="15.75" customHeight="1" x14ac:dyDescent="0.2">
      <c r="A7" s="14" t="s">
        <v>23</v>
      </c>
      <c r="B7" s="236">
        <f>'Fremtind Livsforsikring'!B7+'Danica Pensjonsforsikring'!B7+'DNB Livsforsikring'!B7+'Eika Forsikring AS'!B7+'Frende Livsforsikring'!B7+'Frende Skadeforsikring'!B7+'Gjensidige Forsikring'!B7+'Gjensidige Pensjon'!B7+'Handelsbanken Liv'!B7+'If Skadeforsikring NUF'!B7+KLP!B7+'KLP Skadeforsikring AS'!B7+'Landkreditt Forsikring'!B7+'Nordea Liv '!B7+'Oslo Pensjonsforsikring'!B7+'Protector Forsikring'!B7+'SHB Liv'!B7+'Sparebank 1'!B7+'Storebrand Livsforsikring'!B7+'Telenor Forsikring'!B7+'Tryg Forsikring'!B7+'WaterCircles F'!B7+'Codan Forsikring'!B7+'Euro Accident'!B7+'Ly Forsikring'!B7+'Youplus Livsforsikring'!B7</f>
        <v>2766505.5161421131</v>
      </c>
      <c r="C7" s="236">
        <f>'Fremtind Livsforsikring'!C7+'Danica Pensjonsforsikring'!C7+'DNB Livsforsikring'!C7+'Eika Forsikring AS'!C7+'Frende Livsforsikring'!C7+'Frende Skadeforsikring'!C7+'Gjensidige Forsikring'!C7+'Gjensidige Pensjon'!C7+'Handelsbanken Liv'!C7+'If Skadeforsikring NUF'!C7+KLP!C7+'KLP Skadeforsikring AS'!C7+'Landkreditt Forsikring'!C7+'Nordea Liv '!C7+'Oslo Pensjonsforsikring'!C7+'Protector Forsikring'!C7+'SHB Liv'!C7+'Sparebank 1'!C7+'Storebrand Livsforsikring'!C7+'Telenor Forsikring'!C7+'Tryg Forsikring'!C7+'WaterCircles F'!C7+'Codan Forsikring'!C7+'Euro Accident'!C7+'Ly Forsikring'!C7+'Youplus Livsforsikring'!C7</f>
        <v>2883181.9450893933</v>
      </c>
      <c r="D7" s="160">
        <f t="shared" ref="D7:D12" si="0">IF(B7=0, "    ---- ", IF(ABS(ROUND(100/B7*C7-100,1))&lt;999,ROUND(100/B7*C7-100,1),IF(ROUND(100/B7*C7-100,1)&gt;999,999,-999)))</f>
        <v>4.2</v>
      </c>
      <c r="E7" s="236">
        <f>'Fremtind Livsforsikring'!F7+'Danica Pensjonsforsikring'!F7+'DNB Livsforsikring'!F7+'Eika Forsikring AS'!F7+'Frende Livsforsikring'!F7+'Frende Skadeforsikring'!F7+'Gjensidige Forsikring'!F7+'Gjensidige Pensjon'!F7+'Handelsbanken Liv'!F7+'If Skadeforsikring NUF'!F7+KLP!F7+'KLP Skadeforsikring AS'!F7+'Landkreditt Forsikring'!F7+'Nordea Liv '!F7+'Oslo Pensjonsforsikring'!F7+'Protector Forsikring'!F7+'SHB Liv'!F7+'Sparebank 1'!F7+'Storebrand Livsforsikring'!F7+'Telenor Forsikring'!F7+'Tryg Forsikring'!F7+'WaterCircles F'!F7+'Codan Forsikring'!F7+'Euro Accident'!F7+'Ly Forsikring'!F7+'Youplus Livsforsikring'!F7</f>
        <v>7746378.6778199989</v>
      </c>
      <c r="F7" s="236">
        <f>'Fremtind Livsforsikring'!G7+'Danica Pensjonsforsikring'!G7+'DNB Livsforsikring'!G7+'Eika Forsikring AS'!G7+'Frende Livsforsikring'!G7+'Frende Skadeforsikring'!G7+'Gjensidige Forsikring'!G7+'Gjensidige Pensjon'!G7+'Handelsbanken Liv'!G7+'If Skadeforsikring NUF'!G7+KLP!G7+'KLP Skadeforsikring AS'!G7+'Landkreditt Forsikring'!G7+'Nordea Liv '!G7+'Oslo Pensjonsforsikring'!G7+'Protector Forsikring'!G7+'SHB Liv'!G7+'Sparebank 1'!G7+'Storebrand Livsforsikring'!G7+'Telenor Forsikring'!G7+'Tryg Forsikring'!G7+'WaterCircles F'!G7+'Codan Forsikring'!G7+'Euro Accident'!G7+'Ly Forsikring'!G7+'Youplus Livsforsikring'!G7</f>
        <v>5789809.6160200005</v>
      </c>
      <c r="G7" s="160">
        <f t="shared" ref="G7:G12" si="1">IF(E7=0, "    ---- ", IF(ABS(ROUND(100/E7*F7-100,1))&lt;999,ROUND(100/E7*F7-100,1),IF(ROUND(100/E7*F7-100,1)&gt;999,999,-999)))</f>
        <v>-25.3</v>
      </c>
      <c r="H7" s="282">
        <f t="shared" ref="H7:H12" si="2">B7+E7</f>
        <v>10512884.193962112</v>
      </c>
      <c r="I7" s="283">
        <f t="shared" ref="I7:I12" si="3">C7+F7</f>
        <v>8672991.5611093938</v>
      </c>
      <c r="J7" s="171">
        <f t="shared" ref="J7:J12" si="4">IF(H7=0, "    ---- ", IF(ABS(ROUND(100/H7*I7-100,1))&lt;999,ROUND(100/H7*I7-100,1),IF(ROUND(100/H7*I7-100,1)&gt;999,999,-999)))</f>
        <v>-17.5</v>
      </c>
      <c r="M7" s="417"/>
      <c r="N7" s="417"/>
    </row>
    <row r="8" spans="1:14"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NUF'!B8+KLP!B8+'KLP Skadeforsikring AS'!B8+'Landkreditt Forsikring'!B8+'Nordea Liv '!B8+'Oslo Pensjonsforsikring'!B8+'Protector Forsikring'!B8+'SHB Liv'!B8+'Sparebank 1'!B8+'Storebrand Livsforsikring'!B8+'Telenor Forsikring'!B8+'Tryg Forsikring'!B8+'WaterCircles F'!B8+'Codan Forsikring'!B8+'Euro Accident'!B8+'Ly Forsikring'!B8+'Youplus Livsforsikring'!B8</f>
        <v>1810390.7110328772</v>
      </c>
      <c r="C8" s="44">
        <f>'Fremtind Livsforsikring'!C8+'Danica Pensjonsforsikring'!C8+'DNB Livsforsikring'!C8+'Eika Forsikring AS'!C8+'Frende Livsforsikring'!C8+'Frende Skadeforsikring'!C8+'Gjensidige Forsikring'!C8+'Gjensidige Pensjon'!C8+'Handelsbanken Liv'!C8+'If Skadeforsikring NUF'!C8+KLP!C8+'KLP Skadeforsikring AS'!C8+'Landkreditt Forsikring'!C8+'Nordea Liv '!C8+'Oslo Pensjonsforsikring'!C8+'Protector Forsikring'!C8+'SHB Liv'!C8+'Sparebank 1'!C8+'Storebrand Livsforsikring'!C8+'Telenor Forsikring'!C8+'Tryg Forsikring'!C8+'WaterCircles F'!C8+'Codan Forsikring'!C8+'Euro Accident'!C8+'Ly Forsikring'!C8+'Youplus Livsforsikring'!C8</f>
        <v>1893905.1457004368</v>
      </c>
      <c r="D8" s="166">
        <f t="shared" si="0"/>
        <v>4.5999999999999996</v>
      </c>
      <c r="E8" s="187"/>
      <c r="F8" s="187"/>
      <c r="G8" s="176"/>
      <c r="H8" s="189">
        <f t="shared" si="2"/>
        <v>1810390.7110328772</v>
      </c>
      <c r="I8" s="190">
        <f t="shared" si="3"/>
        <v>1893905.1457004368</v>
      </c>
      <c r="J8" s="171">
        <f t="shared" si="4"/>
        <v>4.5999999999999996</v>
      </c>
    </row>
    <row r="9" spans="1:14"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NUF'!B9+KLP!B9+'KLP Skadeforsikring AS'!B9+'Landkreditt Forsikring'!B9+'Nordea Liv '!B9+'Oslo Pensjonsforsikring'!B9+'Protector Forsikring'!B9+'SHB Liv'!B9+'Sparebank 1'!B9+'Storebrand Livsforsikring'!B9+'Telenor Forsikring'!B9+'Tryg Forsikring'!B9+'WaterCircles F'!B9+'Codan Forsikring'!B9+'Euro Accident'!B9+'Ly Forsikring'!B9+'Youplus Livsforsikring'!B9</f>
        <v>590600.06144997897</v>
      </c>
      <c r="C9" s="44">
        <f>'Fremtind Livsforsikring'!C9+'Danica Pensjonsforsikring'!C9+'DNB Livsforsikring'!C9+'Eika Forsikring AS'!C9+'Frende Livsforsikring'!C9+'Frende Skadeforsikring'!C9+'Gjensidige Forsikring'!C9+'Gjensidige Pensjon'!C9+'Handelsbanken Liv'!C9+'If Skadeforsikring NUF'!C9+KLP!C9+'KLP Skadeforsikring AS'!C9+'Landkreditt Forsikring'!C9+'Nordea Liv '!C9+'Oslo Pensjonsforsikring'!C9+'Protector Forsikring'!C9+'SHB Liv'!C9+'Sparebank 1'!C9+'Storebrand Livsforsikring'!C9+'Telenor Forsikring'!C9+'Tryg Forsikring'!C9+'WaterCircles F'!C9+'Codan Forsikring'!C9+'Euro Accident'!C9+'Ly Forsikring'!C9+'Youplus Livsforsikring'!C9</f>
        <v>580410.48291982454</v>
      </c>
      <c r="D9" s="176">
        <f t="shared" si="0"/>
        <v>-1.7</v>
      </c>
      <c r="E9" s="187"/>
      <c r="F9" s="187"/>
      <c r="G9" s="176"/>
      <c r="H9" s="189">
        <f t="shared" si="2"/>
        <v>590600.06144997897</v>
      </c>
      <c r="I9" s="190">
        <f t="shared" si="3"/>
        <v>580410.48291982454</v>
      </c>
      <c r="J9" s="171">
        <f t="shared" si="4"/>
        <v>-1.7</v>
      </c>
    </row>
    <row r="10" spans="1:14" s="43" customFormat="1" ht="15.75" customHeight="1" x14ac:dyDescent="0.2">
      <c r="A10" s="39" t="s">
        <v>351</v>
      </c>
      <c r="B10" s="236">
        <f>'Fremtind Livsforsikring'!B10+'Danica Pensjonsforsikring'!B10+'DNB Livsforsikring'!B10+'Eika Forsikring AS'!B10+'Frende Livsforsikring'!B10+'Frende Skadeforsikring'!B10+'Gjensidige Forsikring'!B10+'Gjensidige Pensjon'!B10+'Handelsbanken Liv'!B10+'If Skadeforsikring NUF'!B10+KLP!B10+'KLP Skadeforsikring AS'!B10+'Landkreditt Forsikring'!B10+'Nordea Liv '!B10+'Oslo Pensjonsforsikring'!B10+'Protector Forsikring'!B10+'SHB Liv'!B10+'Sparebank 1'!B10+'Storebrand Livsforsikring'!B10+'Telenor Forsikring'!B10+'Tryg Forsikring'!B10+'WaterCircles F'!B10+'Codan Forsikring'!B10+'Euro Accident'!B10+'Ly Forsikring'!B10+'Youplus Livsforsikring'!B10</f>
        <v>17427543.315812003</v>
      </c>
      <c r="C10" s="236">
        <f>'Fremtind Livsforsikring'!C10+'Danica Pensjonsforsikring'!C10+'DNB Livsforsikring'!C10+'Eika Forsikring AS'!C10+'Frende Livsforsikring'!C10+'Frende Skadeforsikring'!C10+'Gjensidige Forsikring'!C10+'Gjensidige Pensjon'!C10+'Handelsbanken Liv'!C10+'If Skadeforsikring NUF'!C10+KLP!C10+'KLP Skadeforsikring AS'!C10+'Landkreditt Forsikring'!C10+'Nordea Liv '!C10+'Oslo Pensjonsforsikring'!C10+'Protector Forsikring'!C10+'SHB Liv'!C10+'Sparebank 1'!C10+'Storebrand Livsforsikring'!C10+'Telenor Forsikring'!C10+'Tryg Forsikring'!C10+'WaterCircles F'!C10+'Codan Forsikring'!C10+'Euro Accident'!C10+'Ly Forsikring'!C10+'Youplus Livsforsikring'!C10</f>
        <v>16065706.747571107</v>
      </c>
      <c r="D10" s="160">
        <f t="shared" si="0"/>
        <v>-7.8</v>
      </c>
      <c r="E10" s="236">
        <f>'Fremtind Livsforsikring'!F10+'Danica Pensjonsforsikring'!F10+'DNB Livsforsikring'!F10+'Eika Forsikring AS'!F10+'Frende Livsforsikring'!F10+'Frende Skadeforsikring'!F10+'Gjensidige Forsikring'!F10+'Gjensidige Pensjon'!F10+'Handelsbanken Liv'!F10+'If Skadeforsikring NUF'!F10+KLP!F10+'KLP Skadeforsikring AS'!F10+'Landkreditt Forsikring'!F10+'Nordea Liv '!F10+'Oslo Pensjonsforsikring'!F10+'Protector Forsikring'!F10+'SHB Liv'!F10+'Sparebank 1'!F10+'Storebrand Livsforsikring'!F10+'Telenor Forsikring'!F10+'Tryg Forsikring'!F10+'WaterCircles F'!F10+'Codan Forsikring'!F10+'Euro Accident'!F10+'Ly Forsikring'!F10+'Youplus Livsforsikring'!F10</f>
        <v>70223464.743249997</v>
      </c>
      <c r="F10" s="236">
        <f>'Fremtind Livsforsikring'!G10+'Danica Pensjonsforsikring'!G10+'DNB Livsforsikring'!G10+'Eika Forsikring AS'!G10+'Frende Livsforsikring'!G10+'Frende Skadeforsikring'!G10+'Gjensidige Forsikring'!G10+'Gjensidige Pensjon'!G10+'Handelsbanken Liv'!G10+'If Skadeforsikring NUF'!G10+KLP!G10+'KLP Skadeforsikring AS'!G10+'Landkreditt Forsikring'!G10+'Nordea Liv '!G10+'Oslo Pensjonsforsikring'!G10+'Protector Forsikring'!G10+'SHB Liv'!G10+'Sparebank 1'!G10+'Storebrand Livsforsikring'!G10+'Telenor Forsikring'!G10+'Tryg Forsikring'!G10+'WaterCircles F'!G10+'Codan Forsikring'!G10+'Euro Accident'!G10+'Ly Forsikring'!G10+'Youplus Livsforsikring'!G10</f>
        <v>70683498.137465</v>
      </c>
      <c r="G10" s="160">
        <f t="shared" si="1"/>
        <v>0.7</v>
      </c>
      <c r="H10" s="282">
        <f t="shared" si="2"/>
        <v>87651008.059062004</v>
      </c>
      <c r="I10" s="283">
        <f t="shared" si="3"/>
        <v>86749204.885036111</v>
      </c>
      <c r="J10" s="171">
        <f t="shared" si="4"/>
        <v>-1</v>
      </c>
    </row>
    <row r="11" spans="1:14" s="43" customFormat="1" ht="15.75" customHeight="1" x14ac:dyDescent="0.2">
      <c r="A11" s="39" t="s">
        <v>352</v>
      </c>
      <c r="B11" s="236">
        <f>'Fremtind Livsforsikring'!B11+'Danica Pensjonsforsikring'!B11+'DNB Livsforsikring'!B11+'Eika Forsikring AS'!B11+'Frende Livsforsikring'!B11+'Frende Skadeforsikring'!B11+'Gjensidige Forsikring'!B11+'Gjensidige Pensjon'!B11+'Handelsbanken Liv'!B11+'If Skadeforsikring NUF'!B11+KLP!B11+'KLP Skadeforsikring AS'!B11+'Landkreditt Forsikring'!B11+'Nordea Liv '!B11+'Oslo Pensjonsforsikring'!B11+'Protector Forsikring'!B11+'SHB Liv'!B11+'Sparebank 1'!B11+'Storebrand Livsforsikring'!B11+'Telenor Forsikring'!B11+'Tryg Forsikring'!B11+'WaterCircles F'!B11+'Codan Forsikring'!B11+'Euro Accident'!B11+'Ly Forsikring'!B11+'Youplus Livsforsikring'!B11</f>
        <v>24524</v>
      </c>
      <c r="C11" s="236">
        <f>'Fremtind Livsforsikring'!C11+'Danica Pensjonsforsikring'!C11+'DNB Livsforsikring'!C11+'Eika Forsikring AS'!C11+'Frende Livsforsikring'!C11+'Frende Skadeforsikring'!C11+'Gjensidige Forsikring'!C11+'Gjensidige Pensjon'!C11+'Handelsbanken Liv'!C11+'If Skadeforsikring NUF'!C11+KLP!C11+'KLP Skadeforsikring AS'!C11+'Landkreditt Forsikring'!C11+'Nordea Liv '!C11+'Oslo Pensjonsforsikring'!C11+'Protector Forsikring'!C11+'SHB Liv'!C11+'Sparebank 1'!C11+'Storebrand Livsforsikring'!C11+'Telenor Forsikring'!C11+'Tryg Forsikring'!C11+'WaterCircles F'!C11+'Codan Forsikring'!C11+'Euro Accident'!C11+'Ly Forsikring'!C11+'Youplus Livsforsikring'!C11</f>
        <v>20423</v>
      </c>
      <c r="D11" s="171">
        <f t="shared" si="0"/>
        <v>-16.7</v>
      </c>
      <c r="E11" s="236">
        <f>'Fremtind Livsforsikring'!F11+'Danica Pensjonsforsikring'!F11+'DNB Livsforsikring'!F11+'Eika Forsikring AS'!F11+'Frende Livsforsikring'!F11+'Frende Skadeforsikring'!F11+'Gjensidige Forsikring'!F11+'Gjensidige Pensjon'!F11+'Handelsbanken Liv'!F11+'If Skadeforsikring NUF'!F11+KLP!F11+'KLP Skadeforsikring AS'!F11+'Landkreditt Forsikring'!F11+'Nordea Liv '!F11+'Oslo Pensjonsforsikring'!F11+'Protector Forsikring'!F11+'SHB Liv'!F11+'Sparebank 1'!F11+'Storebrand Livsforsikring'!F11+'Telenor Forsikring'!F11+'Tryg Forsikring'!F11+'WaterCircles F'!F11+'Codan Forsikring'!F11+'Euro Accident'!F11+'Ly Forsikring'!F11+'Youplus Livsforsikring'!F11</f>
        <v>259173.54251</v>
      </c>
      <c r="F11" s="236">
        <f>'Fremtind Livsforsikring'!G11+'Danica Pensjonsforsikring'!G11+'DNB Livsforsikring'!G11+'Eika Forsikring AS'!G11+'Frende Livsforsikring'!G11+'Frende Skadeforsikring'!G11+'Gjensidige Forsikring'!G11+'Gjensidige Pensjon'!G11+'Handelsbanken Liv'!G11+'If Skadeforsikring NUF'!G11+KLP!G11+'KLP Skadeforsikring AS'!G11+'Landkreditt Forsikring'!G11+'Nordea Liv '!G11+'Oslo Pensjonsforsikring'!G11+'Protector Forsikring'!G11+'SHB Liv'!G11+'Sparebank 1'!G11+'Storebrand Livsforsikring'!G11+'Telenor Forsikring'!G11+'Tryg Forsikring'!G11+'WaterCircles F'!G11+'Codan Forsikring'!G11+'Euro Accident'!G11+'Ly Forsikring'!G11+'Youplus Livsforsikring'!G11</f>
        <v>134752.53171000001</v>
      </c>
      <c r="G11" s="171">
        <f t="shared" si="1"/>
        <v>-48</v>
      </c>
      <c r="H11" s="282">
        <f t="shared" si="2"/>
        <v>283697.54251</v>
      </c>
      <c r="I11" s="283">
        <f t="shared" si="3"/>
        <v>155175.53171000001</v>
      </c>
      <c r="J11" s="171">
        <f t="shared" si="4"/>
        <v>-45.3</v>
      </c>
    </row>
    <row r="12" spans="1:14" s="43" customFormat="1" ht="15.75" customHeight="1" x14ac:dyDescent="0.2">
      <c r="A12" s="504" t="s">
        <v>353</v>
      </c>
      <c r="B12" s="281">
        <f>'Fremtind Livsforsikring'!B12+'Danica Pensjonsforsikring'!B12+'DNB Livsforsikring'!B12+'Eika Forsikring AS'!B12+'Frende Livsforsikring'!B12+'Frende Skadeforsikring'!B12+'Gjensidige Forsikring'!B12+'Gjensidige Pensjon'!B12+'Handelsbanken Liv'!B12+'If Skadeforsikring NUF'!B12+KLP!B12+'KLP Skadeforsikring AS'!B12+'Landkreditt Forsikring'!B12+'Nordea Liv '!B12+'Oslo Pensjonsforsikring'!B12+'Protector Forsikring'!B12+'SHB Liv'!B12+'Sparebank 1'!B12+'Storebrand Livsforsikring'!B12+'Telenor Forsikring'!B12+'Tryg Forsikring'!B12+'WaterCircles F'!B12+'Codan Forsikring'!B12+'Euro Accident'!B12+'Ly Forsikring'!B12+'Youplus Livsforsikring'!B12</f>
        <v>3700</v>
      </c>
      <c r="C12" s="281">
        <f>'Fremtind Livsforsikring'!C12+'Danica Pensjonsforsikring'!C12+'DNB Livsforsikring'!C12+'Eika Forsikring AS'!C12+'Frende Livsforsikring'!C12+'Frende Skadeforsikring'!C12+'Gjensidige Forsikring'!C12+'Gjensidige Pensjon'!C12+'Handelsbanken Liv'!C12+'If Skadeforsikring NUF'!C12+KLP!C12+'KLP Skadeforsikring AS'!C12+'Landkreditt Forsikring'!C12+'Nordea Liv '!C12+'Oslo Pensjonsforsikring'!C12+'Protector Forsikring'!C12+'SHB Liv'!C12+'Sparebank 1'!C12+'Storebrand Livsforsikring'!C12+'Telenor Forsikring'!C12+'Tryg Forsikring'!C12+'WaterCircles F'!C12+'Codan Forsikring'!C12+'Euro Accident'!C12+'Ly Forsikring'!C12+'Youplus Livsforsikring'!C12</f>
        <v>2843</v>
      </c>
      <c r="D12" s="170">
        <f t="shared" si="0"/>
        <v>-23.2</v>
      </c>
      <c r="E12" s="281">
        <f>'Fremtind Livsforsikring'!F12+'Danica Pensjonsforsikring'!F12+'DNB Livsforsikring'!F12+'Eika Forsikring AS'!F12+'Frende Livsforsikring'!F12+'Frende Skadeforsikring'!F12+'Gjensidige Forsikring'!F12+'Gjensidige Pensjon'!F12+'Handelsbanken Liv'!F12+'If Skadeforsikring NUF'!F12+KLP!F12+'KLP Skadeforsikring AS'!F12+'Landkreditt Forsikring'!F12+'Nordea Liv '!F12+'Oslo Pensjonsforsikring'!F12+'Protector Forsikring'!F12+'SHB Liv'!F12+'Sparebank 1'!F12+'Storebrand Livsforsikring'!F12+'Telenor Forsikring'!F12+'Tryg Forsikring'!F12+'WaterCircles F'!F12+'Codan Forsikring'!F12+'Euro Accident'!F12+'Ly Forsikring'!F12+'Youplus Livsforsikring'!F12</f>
        <v>99172.854860000007</v>
      </c>
      <c r="F12" s="281">
        <f>'Fremtind Livsforsikring'!G12+'Danica Pensjonsforsikring'!G12+'DNB Livsforsikring'!G12+'Eika Forsikring AS'!G12+'Frende Livsforsikring'!G12+'Frende Skadeforsikring'!G12+'Gjensidige Forsikring'!G12+'Gjensidige Pensjon'!G12+'Handelsbanken Liv'!G12+'If Skadeforsikring NUF'!G12+KLP!G12+'KLP Skadeforsikring AS'!G12+'Landkreditt Forsikring'!G12+'Nordea Liv '!G12+'Oslo Pensjonsforsikring'!G12+'Protector Forsikring'!G12+'SHB Liv'!G12+'Sparebank 1'!G12+'Storebrand Livsforsikring'!G12+'Telenor Forsikring'!G12+'Tryg Forsikring'!G12+'WaterCircles F'!G12+'Codan Forsikring'!G12+'Euro Accident'!G12+'Ly Forsikring'!G12+'Youplus Livsforsikring'!G12</f>
        <v>99862.416819999999</v>
      </c>
      <c r="G12" s="169">
        <f t="shared" si="1"/>
        <v>0.7</v>
      </c>
      <c r="H12" s="284">
        <f t="shared" si="2"/>
        <v>102872.85486000001</v>
      </c>
      <c r="I12" s="285">
        <f t="shared" si="3"/>
        <v>102705.41682</v>
      </c>
      <c r="J12" s="169">
        <f t="shared" si="4"/>
        <v>-0.2</v>
      </c>
    </row>
    <row r="13" spans="1:14" s="43" customFormat="1" ht="15.75" customHeight="1" x14ac:dyDescent="0.2">
      <c r="A13" s="168"/>
      <c r="B13" s="35"/>
      <c r="C13" s="5"/>
      <c r="D13" s="32"/>
      <c r="E13" s="35"/>
      <c r="F13" s="5"/>
      <c r="G13" s="32"/>
      <c r="H13" s="48"/>
      <c r="I13" s="48"/>
      <c r="J13" s="32"/>
    </row>
    <row r="14" spans="1:14" ht="15.75" customHeight="1" x14ac:dyDescent="0.2">
      <c r="A14" s="153" t="s">
        <v>271</v>
      </c>
    </row>
    <row r="15" spans="1:14" ht="15.75" customHeight="1" x14ac:dyDescent="0.2">
      <c r="A15" s="149"/>
      <c r="E15" s="7"/>
      <c r="F15" s="7"/>
      <c r="G15" s="7"/>
      <c r="H15" s="7"/>
      <c r="I15" s="7"/>
      <c r="J15" s="7"/>
    </row>
    <row r="16" spans="1:14" s="3" customFormat="1" ht="15.75" customHeight="1" x14ac:dyDescent="0.25">
      <c r="A16" s="164"/>
      <c r="C16" s="30"/>
      <c r="D16" s="30"/>
      <c r="E16" s="30"/>
      <c r="F16" s="30"/>
      <c r="G16" s="30"/>
      <c r="H16" s="30"/>
      <c r="I16" s="30"/>
      <c r="J16" s="30"/>
    </row>
    <row r="17" spans="1:11" ht="15.75" customHeight="1" x14ac:dyDescent="0.25">
      <c r="A17" s="147" t="s">
        <v>268</v>
      </c>
      <c r="B17" s="28"/>
      <c r="C17" s="28"/>
      <c r="D17" s="29"/>
      <c r="E17" s="28"/>
      <c r="F17" s="28"/>
      <c r="G17" s="28"/>
      <c r="H17" s="28"/>
      <c r="I17" s="28"/>
      <c r="J17" s="28"/>
    </row>
    <row r="18" spans="1:11" ht="15.75" customHeight="1" x14ac:dyDescent="0.25">
      <c r="A18" s="149"/>
      <c r="B18" s="696"/>
      <c r="C18" s="696"/>
      <c r="D18" s="696"/>
      <c r="E18" s="696"/>
      <c r="F18" s="696"/>
      <c r="G18" s="696"/>
      <c r="H18" s="696"/>
      <c r="I18" s="696"/>
      <c r="J18" s="696"/>
    </row>
    <row r="19" spans="1:11" ht="15.75" customHeight="1" x14ac:dyDescent="0.2">
      <c r="A19" s="144"/>
      <c r="B19" s="697" t="s">
        <v>0</v>
      </c>
      <c r="C19" s="698"/>
      <c r="D19" s="698"/>
      <c r="E19" s="697" t="s">
        <v>1</v>
      </c>
      <c r="F19" s="698"/>
      <c r="G19" s="699"/>
      <c r="H19" s="698" t="s">
        <v>2</v>
      </c>
      <c r="I19" s="698"/>
      <c r="J19" s="699"/>
    </row>
    <row r="20" spans="1:11" ht="15.75" customHeight="1" x14ac:dyDescent="0.2">
      <c r="A20" s="140" t="s">
        <v>5</v>
      </c>
      <c r="B20" s="20" t="s">
        <v>435</v>
      </c>
      <c r="C20" s="20" t="s">
        <v>436</v>
      </c>
      <c r="D20" s="251" t="s">
        <v>3</v>
      </c>
      <c r="E20" s="20" t="s">
        <v>435</v>
      </c>
      <c r="F20" s="20" t="s">
        <v>436</v>
      </c>
      <c r="G20" s="251" t="s">
        <v>3</v>
      </c>
      <c r="H20" s="20" t="s">
        <v>435</v>
      </c>
      <c r="I20" s="20" t="s">
        <v>436</v>
      </c>
      <c r="J20" s="251" t="s">
        <v>3</v>
      </c>
    </row>
    <row r="21" spans="1:11" ht="15.75" customHeight="1" x14ac:dyDescent="0.2">
      <c r="A21" s="663"/>
      <c r="B21" s="15"/>
      <c r="C21" s="15"/>
      <c r="D21" s="17" t="s">
        <v>4</v>
      </c>
      <c r="E21" s="16"/>
      <c r="F21" s="16"/>
      <c r="G21" s="15" t="s">
        <v>4</v>
      </c>
      <c r="H21" s="16"/>
      <c r="I21" s="16"/>
      <c r="J21" s="15" t="s">
        <v>4</v>
      </c>
    </row>
    <row r="22" spans="1:11" s="43" customFormat="1" ht="15.75" customHeight="1" x14ac:dyDescent="0.2">
      <c r="A22" s="14" t="s">
        <v>23</v>
      </c>
      <c r="B22" s="236">
        <f>'Fremtind Livsforsikring'!B22+'Danica Pensjonsforsikring'!B22+'DNB Livsforsikring'!B22+'Eika Forsikring AS'!B22+'Frende Livsforsikring'!B22+'Frende Skadeforsikring'!B22+'Gjensidige Forsikring'!B22+'Gjensidige Pensjon'!B22+'Handelsbanken Liv'!B22+'If Skadeforsikring NUF'!B22+KLP!B22+'KLP Skadeforsikring AS'!B22+'Landkreditt Forsikring'!B22+'Nordea Liv '!B22+'Oslo Pensjonsforsikring'!B22+'Protector Forsikring'!B22+'SHB Liv'!B22+'Sparebank 1'!B22+'Storebrand Livsforsikring'!B22+'Telenor Forsikring'!B22+'Tryg Forsikring'!B22+'WaterCircles F'!B22+'Codan Forsikring'!B22+'Euro Accident'!B22+'Ly Forsikring'!B22+'Youplus Livsforsikring'!B22</f>
        <v>1120765.8294620232</v>
      </c>
      <c r="C22" s="236">
        <f>'Fremtind Livsforsikring'!C22+'Danica Pensjonsforsikring'!C22+'DNB Livsforsikring'!C22+'Eika Forsikring AS'!C22+'Frende Livsforsikring'!C22+'Frende Skadeforsikring'!C22+'Gjensidige Forsikring'!C22+'Gjensidige Pensjon'!C22+'Handelsbanken Liv'!C22+'If Skadeforsikring NUF'!C22+KLP!C22+'KLP Skadeforsikring AS'!C22+'Landkreditt Forsikring'!C22+'Nordea Liv '!C22+'Oslo Pensjonsforsikring'!C22+'Protector Forsikring'!C22+'SHB Liv'!C22+'Sparebank 1'!C22+'Storebrand Livsforsikring'!C22+'Telenor Forsikring'!C22+'Tryg Forsikring'!C22+'WaterCircles F'!C22+'Codan Forsikring'!C22+'Euro Accident'!C22+'Ly Forsikring'!C22+'Youplus Livsforsikring'!C22</f>
        <v>1246372.430242931</v>
      </c>
      <c r="D22" s="11">
        <f t="shared" ref="D22:D39" si="5">IF(B22=0, "    ---- ", IF(ABS(ROUND(100/B22*C22-100,1))&lt;999,ROUND(100/B22*C22-100,1),IF(ROUND(100/B22*C22-100,1)&gt;999,999,-999)))</f>
        <v>11.2</v>
      </c>
      <c r="E22" s="236">
        <f>'Fremtind Livsforsikring'!F22+'Danica Pensjonsforsikring'!F22+'DNB Livsforsikring'!F22+'Eika Forsikring AS'!F22+'Frende Livsforsikring'!F22+'Frende Skadeforsikring'!F22+'Gjensidige Forsikring'!F22+'Gjensidige Pensjon'!F22+'Handelsbanken Liv'!F22+'If Skadeforsikring NUF'!F22+KLP!F22+'KLP Skadeforsikring AS'!F22+'Landkreditt Forsikring'!F22+'Nordea Liv '!F22+'Oslo Pensjonsforsikring'!F22+'Protector Forsikring'!F22+'SHB Liv'!F22+'Sparebank 1'!F22+'Storebrand Livsforsikring'!F22+'Telenor Forsikring'!F22+'Tryg Forsikring'!F22+'WaterCircles F'!F22+'Codan Forsikring'!F22+'Euro Accident'!F22+'Ly Forsikring'!F22+'Youplus Livsforsikring'!F22</f>
        <v>801478.53217000002</v>
      </c>
      <c r="F22" s="236">
        <f>'Fremtind Livsforsikring'!G22+'Danica Pensjonsforsikring'!G22+'DNB Livsforsikring'!G22+'Eika Forsikring AS'!G22+'Frende Livsforsikring'!G22+'Frende Skadeforsikring'!G22+'Gjensidige Forsikring'!G22+'Gjensidige Pensjon'!G22+'Handelsbanken Liv'!G22+'If Skadeforsikring NUF'!G22+KLP!G22+'KLP Skadeforsikring AS'!G22+'Landkreditt Forsikring'!G22+'Nordea Liv '!G22+'Oslo Pensjonsforsikring'!G22+'Protector Forsikring'!G22+'SHB Liv'!G22+'Sparebank 1'!G22+'Storebrand Livsforsikring'!G22+'Telenor Forsikring'!G22+'Tryg Forsikring'!G22+'WaterCircles F'!G22+'Codan Forsikring'!G22+'Euro Accident'!G22+'Ly Forsikring'!G22+'Youplus Livsforsikring'!G22</f>
        <v>479734.38548</v>
      </c>
      <c r="G22" s="351">
        <f t="shared" ref="G22:G35" si="6">IF(E22=0, "    ---- ", IF(ABS(ROUND(100/E22*F22-100,1))&lt;999,ROUND(100/E22*F22-100,1),IF(ROUND(100/E22*F22-100,1)&gt;999,999,-999)))</f>
        <v>-40.1</v>
      </c>
      <c r="H22" s="310">
        <f>SUM(B22,E22)</f>
        <v>1922244.3616320232</v>
      </c>
      <c r="I22" s="236">
        <f t="shared" ref="I22:I39" si="7">SUM(C22,F22)</f>
        <v>1726106.8157229309</v>
      </c>
      <c r="J22" s="24">
        <f t="shared" ref="J22:J39" si="8">IF(H22=0, "    ---- ", IF(ABS(ROUND(100/H22*I22-100,1))&lt;999,ROUND(100/H22*I22-100,1),IF(ROUND(100/H22*I22-100,1)&gt;999,999,-999)))</f>
        <v>-10.199999999999999</v>
      </c>
    </row>
    <row r="23" spans="1:11" ht="15.75" customHeight="1" x14ac:dyDescent="0.2">
      <c r="A23" s="505" t="s">
        <v>354</v>
      </c>
      <c r="B23" s="44">
        <f>'Fremtind Livsforsikring'!B23+'Danica Pensjonsforsikring'!B23+'DNB Livsforsikring'!B23+'Eika Forsikring AS'!B23+'Frende Livsforsikring'!B23+'Frende Skadeforsikring'!B23+'Gjensidige Forsikring'!B23+'Gjensidige Pensjon'!B23+'Handelsbanken Liv'!B23+'If Skadeforsikring NUF'!B23+KLP!B23+'KLP Skadeforsikring AS'!B23+'Landkreditt Forsikring'!B23+'Nordea Liv '!B23+'Oslo Pensjonsforsikring'!B23+'Protector Forsikring'!B23+'SHB Liv'!B23+'Sparebank 1'!B23+'Storebrand Livsforsikring'!B23+'Telenor Forsikring'!B23+'Tryg Forsikring'!B23+'WaterCircles F'!B23+'Codan Forsikring'!B23+'Euro Accident'!B23+'Ly Forsikring'!B23+'Youplus Livsforsikring'!B23</f>
        <v>448685.46215703333</v>
      </c>
      <c r="C23" s="44">
        <f>'Fremtind Livsforsikring'!C23+'Danica Pensjonsforsikring'!C23+'DNB Livsforsikring'!C23+'Eika Forsikring AS'!C23+'Frende Livsforsikring'!C23+'Frende Skadeforsikring'!C23+'Gjensidige Forsikring'!C23+'Gjensidige Pensjon'!C23+'Handelsbanken Liv'!C23+'If Skadeforsikring NUF'!C23+KLP!C23+'KLP Skadeforsikring AS'!C23+'Landkreditt Forsikring'!C23+'Nordea Liv '!C23+'Oslo Pensjonsforsikring'!C23+'Protector Forsikring'!C23+'SHB Liv'!C23+'Sparebank 1'!C23+'Storebrand Livsforsikring'!C23+'Telenor Forsikring'!C23+'Tryg Forsikring'!C23+'WaterCircles F'!C23+'Codan Forsikring'!C23+'Euro Accident'!C23+'Ly Forsikring'!C23+'Youplus Livsforsikring'!C23</f>
        <v>520993.09219293104</v>
      </c>
      <c r="D23" s="27">
        <f>IF($A$1=4,IF(B23=0, "    ---- ", IF(ABS(ROUND(100/B23*C23-100,1))&lt;999,ROUND(100/B23*C23-100,1),IF(ROUND(100/B23*C23-100,1)&gt;999,999,-999))),"")</f>
        <v>16.100000000000001</v>
      </c>
      <c r="E23" s="44">
        <f>'Fremtind Livsforsikring'!F23+'Danica Pensjonsforsikring'!F23+'DNB Livsforsikring'!F23+'Eika Forsikring AS'!F23+'Frende Livsforsikring'!F23+'Frende Skadeforsikring'!F23+'Gjensidige Forsikring'!F23+'Gjensidige Pensjon'!F23+'Handelsbanken Liv'!F23+'If Skadeforsikring NUF'!F23+KLP!F23+'KLP Skadeforsikring AS'!F23+'Landkreditt Forsikring'!F23+'Nordea Liv '!F23+'Oslo Pensjonsforsikring'!F23+'Protector Forsikring'!F23+'SHB Liv'!F23+'Sparebank 1'!F23+'Storebrand Livsforsikring'!F23+'Telenor Forsikring'!F23+'Tryg Forsikring'!F23+'WaterCircles F'!F23+'Codan Forsikring'!F23+'Euro Accident'!F23+'Ly Forsikring'!F23+'Youplus Livsforsikring'!F23</f>
        <v>144435.14938000002</v>
      </c>
      <c r="F23" s="44">
        <f>'Fremtind Livsforsikring'!G23+'Danica Pensjonsforsikring'!G23+'DNB Livsforsikring'!G23+'Eika Forsikring AS'!G23+'Frende Livsforsikring'!G23+'Frende Skadeforsikring'!G23+'Gjensidige Forsikring'!G23+'Gjensidige Pensjon'!G23+'Handelsbanken Liv'!G23+'If Skadeforsikring NUF'!G23+KLP!G23+'KLP Skadeforsikring AS'!G23+'Landkreditt Forsikring'!G23+'Nordea Liv '!G23+'Oslo Pensjonsforsikring'!G23+'Protector Forsikring'!G23+'SHB Liv'!G23+'Sparebank 1'!G23+'Storebrand Livsforsikring'!G23+'Telenor Forsikring'!G23+'Tryg Forsikring'!G23+'WaterCircles F'!G23+'Codan Forsikring'!G23+'Euro Accident'!G23+'Ly Forsikring'!G23+'Youplus Livsforsikring'!G23</f>
        <v>32186.997389999997</v>
      </c>
      <c r="G23" s="166">
        <f>IF($A$1=4,IF(E23=0, "    ---- ", IF(ABS(ROUND(100/E23*F23-100,1))&lt;999,ROUND(100/E23*F23-100,1),IF(ROUND(100/E23*F23-100,1)&gt;999,999,-999))),"")</f>
        <v>-77.7</v>
      </c>
      <c r="H23" s="234">
        <f t="shared" ref="H23:H39" si="9">SUM(B23,E23)</f>
        <v>593120.61153703334</v>
      </c>
      <c r="I23" s="44">
        <f t="shared" si="7"/>
        <v>553180.08958293102</v>
      </c>
      <c r="J23" s="23">
        <f t="shared" si="8"/>
        <v>-6.7</v>
      </c>
    </row>
    <row r="24" spans="1:11" ht="15.75" customHeight="1" x14ac:dyDescent="0.2">
      <c r="A24" s="505" t="s">
        <v>355</v>
      </c>
      <c r="B24" s="44">
        <f>'Fremtind Livsforsikring'!B24+'Danica Pensjonsforsikring'!B24+'DNB Livsforsikring'!B24+'Eika Forsikring AS'!B24+'Frende Livsforsikring'!B24+'Frende Skadeforsikring'!B24+'Gjensidige Forsikring'!B24+'Gjensidige Pensjon'!B24+'Handelsbanken Liv'!B24+'If Skadeforsikring NUF'!B24+KLP!B24+'KLP Skadeforsikring AS'!B24+'Landkreditt Forsikring'!B24+'Nordea Liv '!B24+'Oslo Pensjonsforsikring'!B24+'Protector Forsikring'!B24+'SHB Liv'!B24+'Sparebank 1'!B24+'Storebrand Livsforsikring'!B24+'Telenor Forsikring'!B24+'Tryg Forsikring'!B24+'WaterCircles F'!B24+'Codan Forsikring'!B24+'Euro Accident'!B24+'Ly Forsikring'!B24+'Youplus Livsforsikring'!B24</f>
        <v>13842.588312490599</v>
      </c>
      <c r="C24" s="44">
        <f>'Fremtind Livsforsikring'!C24+'Danica Pensjonsforsikring'!C24+'DNB Livsforsikring'!C24+'Eika Forsikring AS'!C24+'Frende Livsforsikring'!C24+'Frende Skadeforsikring'!C24+'Gjensidige Forsikring'!C24+'Gjensidige Pensjon'!C24+'Handelsbanken Liv'!C24+'If Skadeforsikring NUF'!C24+KLP!C24+'KLP Skadeforsikring AS'!C24+'Landkreditt Forsikring'!C24+'Nordea Liv '!C24+'Oslo Pensjonsforsikring'!C24+'Protector Forsikring'!C24+'SHB Liv'!C24+'Sparebank 1'!C24+'Storebrand Livsforsikring'!C24+'Telenor Forsikring'!C24+'Tryg Forsikring'!C24+'WaterCircles F'!C24+'Codan Forsikring'!C24+'Euro Accident'!C24+'Ly Forsikring'!C24+'Youplus Livsforsikring'!C24</f>
        <v>6699.6870499999995</v>
      </c>
      <c r="D24" s="27">
        <f t="shared" ref="D24:D25" si="10">IF($A$1=4,IF(B24=0, "    ---- ", IF(ABS(ROUND(100/B24*C24-100,1))&lt;999,ROUND(100/B24*C24-100,1),IF(ROUND(100/B24*C24-100,1)&gt;999,999,-999))),"")</f>
        <v>-51.6</v>
      </c>
      <c r="E24" s="44">
        <f>'Fremtind Livsforsikring'!F24+'Danica Pensjonsforsikring'!F24+'DNB Livsforsikring'!F24+'Eika Forsikring AS'!F24+'Frende Livsforsikring'!F24+'Frende Skadeforsikring'!F24+'Gjensidige Forsikring'!F24+'Gjensidige Pensjon'!F24+'Handelsbanken Liv'!F24+'If Skadeforsikring NUF'!F24+KLP!F24+'KLP Skadeforsikring AS'!F24+'Landkreditt Forsikring'!F24+'Nordea Liv '!F24+'Oslo Pensjonsforsikring'!F24+'Protector Forsikring'!F24+'SHB Liv'!F24+'Sparebank 1'!F24+'Storebrand Livsforsikring'!F24+'Telenor Forsikring'!F24+'Tryg Forsikring'!F24+'WaterCircles F'!F24+'Codan Forsikring'!F24+'Euro Accident'!F24+'Ly Forsikring'!F24+'Youplus Livsforsikring'!F24</f>
        <v>55.213290000000001</v>
      </c>
      <c r="F24" s="44">
        <f>'Fremtind Livsforsikring'!G24+'Danica Pensjonsforsikring'!G24+'DNB Livsforsikring'!G24+'Eika Forsikring AS'!G24+'Frende Livsforsikring'!G24+'Frende Skadeforsikring'!G24+'Gjensidige Forsikring'!G24+'Gjensidige Pensjon'!G24+'Handelsbanken Liv'!G24+'If Skadeforsikring NUF'!G24+KLP!G24+'KLP Skadeforsikring AS'!G24+'Landkreditt Forsikring'!G24+'Nordea Liv '!G24+'Oslo Pensjonsforsikring'!G24+'Protector Forsikring'!G24+'SHB Liv'!G24+'Sparebank 1'!G24+'Storebrand Livsforsikring'!G24+'Telenor Forsikring'!G24+'Tryg Forsikring'!G24+'WaterCircles F'!G24+'Codan Forsikring'!G24+'Euro Accident'!G24+'Ly Forsikring'!G24+'Youplus Livsforsikring'!G24</f>
        <v>314.47982999999999</v>
      </c>
      <c r="G24" s="166">
        <f t="shared" ref="G24:G25" si="11">IF($A$1=4,IF(E24=0, "    ---- ", IF(ABS(ROUND(100/E24*F24-100,1))&lt;999,ROUND(100/E24*F24-100,1),IF(ROUND(100/E24*F24-100,1)&gt;999,999,-999))),"")</f>
        <v>469.6</v>
      </c>
      <c r="H24" s="234">
        <f t="shared" si="9"/>
        <v>13897.801602490599</v>
      </c>
      <c r="I24" s="44">
        <f t="shared" si="7"/>
        <v>7014.1668799999998</v>
      </c>
      <c r="J24" s="11">
        <f t="shared" si="8"/>
        <v>-49.5</v>
      </c>
    </row>
    <row r="25" spans="1:11" ht="15.75" customHeight="1" x14ac:dyDescent="0.2">
      <c r="A25" s="505" t="s">
        <v>356</v>
      </c>
      <c r="B25" s="44">
        <f>'Fremtind Livsforsikring'!B25+'Danica Pensjonsforsikring'!B25+'DNB Livsforsikring'!B25+'Eika Forsikring AS'!B25+'Frende Livsforsikring'!B25+'Frende Skadeforsikring'!B25+'Gjensidige Forsikring'!B25+'Gjensidige Pensjon'!B25+'Handelsbanken Liv'!B25+'If Skadeforsikring NUF'!B25+KLP!B25+'KLP Skadeforsikring AS'!B25+'Landkreditt Forsikring'!B25+'Nordea Liv '!B25+'Oslo Pensjonsforsikring'!B25+'Protector Forsikring'!B25+'SHB Liv'!B25+'Sparebank 1'!B25+'Storebrand Livsforsikring'!B25+'Telenor Forsikring'!B25+'Tryg Forsikring'!B25+'WaterCircles F'!B25+'Codan Forsikring'!B25+'Euro Accident'!B25+'Ly Forsikring'!B25+'Youplus Livsforsikring'!B25</f>
        <v>18108.595052498902</v>
      </c>
      <c r="C25" s="44">
        <f>'Fremtind Livsforsikring'!C25+'Danica Pensjonsforsikring'!C25+'DNB Livsforsikring'!C25+'Eika Forsikring AS'!C25+'Frende Livsforsikring'!C25+'Frende Skadeforsikring'!C25+'Gjensidige Forsikring'!C25+'Gjensidige Pensjon'!C25+'Handelsbanken Liv'!C25+'If Skadeforsikring NUF'!C25+KLP!C25+'KLP Skadeforsikring AS'!C25+'Landkreditt Forsikring'!C25+'Nordea Liv '!C25+'Oslo Pensjonsforsikring'!C25+'Protector Forsikring'!C25+'SHB Liv'!C25+'Sparebank 1'!C25+'Storebrand Livsforsikring'!C25+'Telenor Forsikring'!C25+'Tryg Forsikring'!C25+'WaterCircles F'!C25+'Codan Forsikring'!C25+'Euro Accident'!C25+'Ly Forsikring'!C25+'Youplus Livsforsikring'!C25</f>
        <v>7655</v>
      </c>
      <c r="D25" s="27">
        <f t="shared" si="10"/>
        <v>-57.7</v>
      </c>
      <c r="E25" s="44">
        <f>'Fremtind Livsforsikring'!F25+'Danica Pensjonsforsikring'!F25+'DNB Livsforsikring'!F25+'Eika Forsikring AS'!F25+'Frende Livsforsikring'!F25+'Frende Skadeforsikring'!F25+'Gjensidige Forsikring'!F25+'Gjensidige Pensjon'!F25+'Handelsbanken Liv'!F25+'If Skadeforsikring NUF'!F25+KLP!F25+'KLP Skadeforsikring AS'!F25+'Landkreditt Forsikring'!F25+'Nordea Liv '!F25+'Oslo Pensjonsforsikring'!F25+'Protector Forsikring'!F25+'SHB Liv'!F25+'Sparebank 1'!F25+'Storebrand Livsforsikring'!F25+'Telenor Forsikring'!F25+'Tryg Forsikring'!F25+'WaterCircles F'!F25+'Codan Forsikring'!F25+'Euro Accident'!F25+'Ly Forsikring'!F25+'Youplus Livsforsikring'!F25</f>
        <v>8047.5657199999996</v>
      </c>
      <c r="F25" s="44">
        <f>'Fremtind Livsforsikring'!G25+'Danica Pensjonsforsikring'!G25+'DNB Livsforsikring'!G25+'Eika Forsikring AS'!G25+'Frende Livsforsikring'!G25+'Frende Skadeforsikring'!G25+'Gjensidige Forsikring'!G25+'Gjensidige Pensjon'!G25+'Handelsbanken Liv'!G25+'If Skadeforsikring NUF'!G25+KLP!G25+'KLP Skadeforsikring AS'!G25+'Landkreditt Forsikring'!G25+'Nordea Liv '!G25+'Oslo Pensjonsforsikring'!G25+'Protector Forsikring'!G25+'SHB Liv'!G25+'Sparebank 1'!G25+'Storebrand Livsforsikring'!G25+'Telenor Forsikring'!G25+'Tryg Forsikring'!G25+'WaterCircles F'!G25+'Codan Forsikring'!G25+'Euro Accident'!G25+'Ly Forsikring'!G25+'Youplus Livsforsikring'!G25</f>
        <v>8980.5961900000002</v>
      </c>
      <c r="G25" s="166">
        <f t="shared" si="11"/>
        <v>11.6</v>
      </c>
      <c r="H25" s="234">
        <f t="shared" si="9"/>
        <v>26156.160772498901</v>
      </c>
      <c r="I25" s="44">
        <f t="shared" si="7"/>
        <v>16635.59619</v>
      </c>
      <c r="J25" s="27">
        <f t="shared" si="8"/>
        <v>-36.4</v>
      </c>
    </row>
    <row r="26" spans="1:11" ht="15.75" customHeight="1" x14ac:dyDescent="0.2">
      <c r="A26" s="505" t="s">
        <v>357</v>
      </c>
      <c r="B26" s="44"/>
      <c r="C26" s="44"/>
      <c r="D26" s="27"/>
      <c r="E26" s="44">
        <f>'Fremtind Livsforsikring'!F26+'Danica Pensjonsforsikring'!F26+'DNB Livsforsikring'!F26+'Eika Forsikring AS'!F26+'Frende Livsforsikring'!F26+'Frende Skadeforsikring'!F26+'Gjensidige Forsikring'!F26+'Gjensidige Pensjon'!F26+'Handelsbanken Liv'!F26+'If Skadeforsikring NUF'!F26+KLP!F26+'KLP Skadeforsikring AS'!F26+'Landkreditt Forsikring'!F26+'Nordea Liv '!F26+'Oslo Pensjonsforsikring'!F26+'Protector Forsikring'!F26+'SHB Liv'!F26+'Sparebank 1'!F26+'Storebrand Livsforsikring'!F26+'Telenor Forsikring'!F26+'Tryg Forsikring'!F26+'WaterCircles F'!F26+'Codan Forsikring'!F26+'Euro Accident'!F26+'Ly Forsikring'!F26+'Youplus Livsforsikring'!F26</f>
        <v>648940.60378</v>
      </c>
      <c r="F26" s="44">
        <f>'Fremtind Livsforsikring'!G26+'Danica Pensjonsforsikring'!G26+'DNB Livsforsikring'!G26+'Eika Forsikring AS'!G26+'Frende Livsforsikring'!G26+'Frende Skadeforsikring'!G26+'Gjensidige Forsikring'!G26+'Gjensidige Pensjon'!G26+'Handelsbanken Liv'!G26+'If Skadeforsikring NUF'!G26+KLP!G26+'KLP Skadeforsikring AS'!G26+'Landkreditt Forsikring'!G26+'Nordea Liv '!G26+'Oslo Pensjonsforsikring'!G26+'Protector Forsikring'!G26+'SHB Liv'!G26+'Sparebank 1'!G26+'Storebrand Livsforsikring'!G26+'Telenor Forsikring'!G26+'Tryg Forsikring'!G26+'WaterCircles F'!G26+'Codan Forsikring'!G26+'Euro Accident'!G26+'Ly Forsikring'!G26+'Youplus Livsforsikring'!G26</f>
        <v>438252.31206999999</v>
      </c>
      <c r="G26" s="166">
        <f t="shared" ref="G26" si="12">IF($A$1=4,IF(E26=0, "    ---- ", IF(ABS(ROUND(100/E26*F26-100,1))&lt;999,ROUND(100/E26*F26-100,1),IF(ROUND(100/E26*F26-100,1)&gt;999,999,-999))),"")</f>
        <v>-32.5</v>
      </c>
      <c r="H26" s="234">
        <f t="shared" ref="H26" si="13">SUM(B26,E26)</f>
        <v>648940.60378</v>
      </c>
      <c r="I26" s="44">
        <f t="shared" ref="I26" si="14">SUM(C26,F26)</f>
        <v>438252.31206999999</v>
      </c>
      <c r="J26" s="27">
        <f t="shared" ref="J26" si="15">IF(H26=0, "    ---- ", IF(ABS(ROUND(100/H26*I26-100,1))&lt;999,ROUND(100/H26*I26-100,1),IF(ROUND(100/H26*I26-100,1)&gt;999,999,-999)))</f>
        <v>-32.5</v>
      </c>
    </row>
    <row r="27" spans="1:11" ht="15.75" customHeight="1" x14ac:dyDescent="0.2">
      <c r="A27" s="503" t="s">
        <v>11</v>
      </c>
      <c r="B27" s="44"/>
      <c r="C27" s="44"/>
      <c r="D27" s="27"/>
      <c r="E27" s="44"/>
      <c r="F27" s="44"/>
      <c r="G27" s="166"/>
      <c r="H27" s="234"/>
      <c r="I27" s="44"/>
      <c r="J27" s="27"/>
    </row>
    <row r="28" spans="1:11" ht="15.75" customHeight="1" x14ac:dyDescent="0.2">
      <c r="A28" s="49" t="s">
        <v>272</v>
      </c>
      <c r="B28" s="44">
        <f>'Fremtind Livsforsikring'!B28+'Danica Pensjonsforsikring'!B28+'DNB Livsforsikring'!B28+'Eika Forsikring AS'!B28+'Frende Livsforsikring'!B28+'Frende Skadeforsikring'!B28+'Gjensidige Forsikring'!B28+'Gjensidige Pensjon'!B28+'Handelsbanken Liv'!B28+'If Skadeforsikring NUF'!B28+KLP!B28+'KLP Skadeforsikring AS'!B28+'Landkreditt Forsikring'!B28+'Nordea Liv '!B28+'Oslo Pensjonsforsikring'!B28+'Protector Forsikring'!B28+'SHB Liv'!B28+'Sparebank 1'!B28+'Storebrand Livsforsikring'!B28+'Telenor Forsikring'!B28+'Tryg Forsikring'!B28+'WaterCircles F'!B28+'Codan Forsikring'!B28+'Euro Accident'!B28+'Ly Forsikring'!B28+'Youplus Livsforsikring'!B28</f>
        <v>1220573.912215655</v>
      </c>
      <c r="C28" s="44">
        <f>'Fremtind Livsforsikring'!C28+'Danica Pensjonsforsikring'!C28+'DNB Livsforsikring'!C28+'Eika Forsikring AS'!C28+'Frende Livsforsikring'!C28+'Frende Skadeforsikring'!C28+'Gjensidige Forsikring'!C28+'Gjensidige Pensjon'!C28+'Handelsbanken Liv'!C28+'If Skadeforsikring NUF'!C28+KLP!C28+'KLP Skadeforsikring AS'!C28+'Landkreditt Forsikring'!C28+'Nordea Liv '!C28+'Oslo Pensjonsforsikring'!C28+'Protector Forsikring'!C28+'SHB Liv'!C28+'Sparebank 1'!C28+'Storebrand Livsforsikring'!C28+'Telenor Forsikring'!C28+'Tryg Forsikring'!C28+'WaterCircles F'!C28+'Codan Forsikring'!C28+'Euro Accident'!C28+'Ly Forsikring'!C28+'Youplus Livsforsikring'!C28</f>
        <v>1350533.0852018471</v>
      </c>
      <c r="D28" s="23">
        <f t="shared" si="5"/>
        <v>10.6</v>
      </c>
      <c r="E28" s="187"/>
      <c r="F28" s="187"/>
      <c r="G28" s="166"/>
      <c r="H28" s="234">
        <f t="shared" si="9"/>
        <v>1220573.912215655</v>
      </c>
      <c r="I28" s="44">
        <f t="shared" si="7"/>
        <v>1350533.0852018471</v>
      </c>
      <c r="J28" s="23">
        <f t="shared" si="8"/>
        <v>10.6</v>
      </c>
      <c r="K28" s="3"/>
    </row>
    <row r="29" spans="1:11" s="417" customFormat="1" ht="15.75" customHeight="1" x14ac:dyDescent="0.2">
      <c r="A29" s="39" t="s">
        <v>358</v>
      </c>
      <c r="B29" s="236">
        <f>'Fremtind Livsforsikring'!B29+'Danica Pensjonsforsikring'!B29+'DNB Livsforsikring'!B29+'Eika Forsikring AS'!B29+'Frende Livsforsikring'!B29+'Frende Skadeforsikring'!B29+'Gjensidige Forsikring'!B29+'Gjensidige Pensjon'!B29+'Handelsbanken Liv'!B29+'If Skadeforsikring NUF'!B29+KLP!B29+'KLP Skadeforsikring AS'!B29+'Landkreditt Forsikring'!B29+'Nordea Liv '!B29+'Oslo Pensjonsforsikring'!B29+'Protector Forsikring'!B29+'SHB Liv'!B29+'Sparebank 1'!B29+'Storebrand Livsforsikring'!B29+'Telenor Forsikring'!B29+'Tryg Forsikring'!B29+'WaterCircles F'!B29+'Codan Forsikring'!B29+'Euro Accident'!B29+'Ly Forsikring'!B29+'Youplus Livsforsikring'!B29</f>
        <v>45548764.014844544</v>
      </c>
      <c r="C29" s="236">
        <f>'Fremtind Livsforsikring'!C29+'Danica Pensjonsforsikring'!C29+'DNB Livsforsikring'!C29+'Eika Forsikring AS'!C29+'Frende Livsforsikring'!C29+'Frende Skadeforsikring'!C29+'Gjensidige Forsikring'!C29+'Gjensidige Pensjon'!C29+'Handelsbanken Liv'!C29+'If Skadeforsikring NUF'!C29+KLP!C29+'KLP Skadeforsikring AS'!C29+'Landkreditt Forsikring'!C29+'Nordea Liv '!C29+'Oslo Pensjonsforsikring'!C29+'Protector Forsikring'!C29+'SHB Liv'!C29+'Sparebank 1'!C29+'Storebrand Livsforsikring'!C29+'Telenor Forsikring'!C29+'Tryg Forsikring'!C29+'WaterCircles F'!C29+'Codan Forsikring'!C29+'Euro Accident'!C29+'Ly Forsikring'!C29+'Youplus Livsforsikring'!C29</f>
        <v>45002290.075421385</v>
      </c>
      <c r="D29" s="24">
        <f t="shared" si="5"/>
        <v>-1.2</v>
      </c>
      <c r="E29" s="310">
        <f>'Fremtind Livsforsikring'!F29+'Danica Pensjonsforsikring'!F29+'DNB Livsforsikring'!F29+'Eika Forsikring AS'!F29+'Frende Livsforsikring'!F29+'Frende Skadeforsikring'!F29+'Gjensidige Forsikring'!F29+'Gjensidige Pensjon'!F29+'Handelsbanken Liv'!F29+'If Skadeforsikring NUF'!F29+KLP!F29+'KLP Skadeforsikring AS'!F29+'Landkreditt Forsikring'!F29+'Nordea Liv '!F29+'Oslo Pensjonsforsikring'!F29+'Protector Forsikring'!F29+'SHB Liv'!F29+'Sparebank 1'!F29+'Storebrand Livsforsikring'!F29+'Telenor Forsikring'!F29+'Tryg Forsikring'!F29+'WaterCircles F'!F29+'Codan Forsikring'!F29+'Euro Accident'!F29+'Ly Forsikring'!F29+'Youplus Livsforsikring'!F29</f>
        <v>25685828.300900001</v>
      </c>
      <c r="F29" s="310">
        <f>'Fremtind Livsforsikring'!G29+'Danica Pensjonsforsikring'!G29+'DNB Livsforsikring'!G29+'Eika Forsikring AS'!G29+'Frende Livsforsikring'!G29+'Frende Skadeforsikring'!G29+'Gjensidige Forsikring'!G29+'Gjensidige Pensjon'!G29+'Handelsbanken Liv'!G29+'If Skadeforsikring NUF'!G29+KLP!G29+'KLP Skadeforsikring AS'!G29+'Landkreditt Forsikring'!G29+'Nordea Liv '!G29+'Oslo Pensjonsforsikring'!G29+'Protector Forsikring'!G29+'SHB Liv'!G29+'Sparebank 1'!G29+'Storebrand Livsforsikring'!G29+'Telenor Forsikring'!G29+'Tryg Forsikring'!G29+'WaterCircles F'!G29+'Codan Forsikring'!G29+'Euro Accident'!G29+'Ly Forsikring'!G29+'Youplus Livsforsikring'!G29</f>
        <v>23674870.448199999</v>
      </c>
      <c r="G29" s="171">
        <f t="shared" si="6"/>
        <v>-7.8</v>
      </c>
      <c r="H29" s="310">
        <f t="shared" si="9"/>
        <v>71234592.315744549</v>
      </c>
      <c r="I29" s="236">
        <f t="shared" si="7"/>
        <v>68677160.52362138</v>
      </c>
      <c r="J29" s="24">
        <f t="shared" si="8"/>
        <v>-3.6</v>
      </c>
    </row>
    <row r="30" spans="1:11" s="3" customFormat="1" ht="15.75" customHeight="1" x14ac:dyDescent="0.2">
      <c r="A30" s="505" t="s">
        <v>354</v>
      </c>
      <c r="B30" s="44">
        <f>'Fremtind Livsforsikring'!B30+'Danica Pensjonsforsikring'!B30+'DNB Livsforsikring'!B30+'Eika Forsikring AS'!B30+'Frende Livsforsikring'!B30+'Frende Skadeforsikring'!B30+'Gjensidige Forsikring'!B30+'Gjensidige Pensjon'!B30+'Handelsbanken Liv'!B30+'If Skadeforsikring NUF'!B30+KLP!B30+'KLP Skadeforsikring AS'!B30+'Landkreditt Forsikring'!B30+'Nordea Liv '!B30+'Oslo Pensjonsforsikring'!B30+'Protector Forsikring'!B30+'SHB Liv'!B30+'Sparebank 1'!B30+'Storebrand Livsforsikring'!B30+'Telenor Forsikring'!B30+'Tryg Forsikring'!B30+'WaterCircles F'!B30+'Codan Forsikring'!B30+'Euro Accident'!B30+'Ly Forsikring'!B30+'Youplus Livsforsikring'!B30</f>
        <v>13530365.426179329</v>
      </c>
      <c r="C30" s="44">
        <f>'Fremtind Livsforsikring'!C30+'Danica Pensjonsforsikring'!C30+'DNB Livsforsikring'!C30+'Eika Forsikring AS'!C30+'Frende Livsforsikring'!C30+'Frende Skadeforsikring'!C30+'Gjensidige Forsikring'!C30+'Gjensidige Pensjon'!C30+'Handelsbanken Liv'!C30+'If Skadeforsikring NUF'!C30+KLP!C30+'KLP Skadeforsikring AS'!C30+'Landkreditt Forsikring'!C30+'Nordea Liv '!C30+'Oslo Pensjonsforsikring'!C30+'Protector Forsikring'!C30+'SHB Liv'!C30+'Sparebank 1'!C30+'Storebrand Livsforsikring'!C30+'Telenor Forsikring'!C30+'Tryg Forsikring'!C30+'WaterCircles F'!C30+'Codan Forsikring'!C30+'Euro Accident'!C30+'Ly Forsikring'!C30+'Youplus Livsforsikring'!C30</f>
        <v>9691151.1820133291</v>
      </c>
      <c r="D30" s="27">
        <f t="shared" ref="D30:D32" si="16">IF($A$1=4,IF(B30=0, "    ---- ", IF(ABS(ROUND(100/B30*C30-100,1))&lt;999,ROUND(100/B30*C30-100,1),IF(ROUND(100/B30*C30-100,1)&gt;999,999,-999))),"")</f>
        <v>-28.4</v>
      </c>
      <c r="E30" s="44">
        <f>'Fremtind Livsforsikring'!F30+'Danica Pensjonsforsikring'!F30+'DNB Livsforsikring'!F30+'Eika Forsikring AS'!F30+'Frende Livsforsikring'!F30+'Frende Skadeforsikring'!F30+'Gjensidige Forsikring'!F30+'Gjensidige Pensjon'!F30+'Handelsbanken Liv'!F30+'If Skadeforsikring NUF'!F30+KLP!F30+'KLP Skadeforsikring AS'!F30+'Landkreditt Forsikring'!F30+'Nordea Liv '!F30+'Oslo Pensjonsforsikring'!F30+'Protector Forsikring'!F30+'SHB Liv'!F30+'Sparebank 1'!F30+'Storebrand Livsforsikring'!F30+'Telenor Forsikring'!F30+'Tryg Forsikring'!F30+'WaterCircles F'!F30+'Codan Forsikring'!F30+'Euro Accident'!F30+'Ly Forsikring'!F30+'Youplus Livsforsikring'!F30</f>
        <v>4168234.9162818161</v>
      </c>
      <c r="F30" s="44">
        <f>'Fremtind Livsforsikring'!G30+'Danica Pensjonsforsikring'!G30+'DNB Livsforsikring'!G30+'Eika Forsikring AS'!G30+'Frende Livsforsikring'!G30+'Frende Skadeforsikring'!G30+'Gjensidige Forsikring'!G30+'Gjensidige Pensjon'!G30+'Handelsbanken Liv'!G30+'If Skadeforsikring NUF'!G30+KLP!G30+'KLP Skadeforsikring AS'!G30+'Landkreditt Forsikring'!G30+'Nordea Liv '!G30+'Oslo Pensjonsforsikring'!G30+'Protector Forsikring'!G30+'SHB Liv'!G30+'Sparebank 1'!G30+'Storebrand Livsforsikring'!G30+'Telenor Forsikring'!G30+'Tryg Forsikring'!G30+'WaterCircles F'!G30+'Codan Forsikring'!G30+'Euro Accident'!G30+'Ly Forsikring'!G30+'Youplus Livsforsikring'!G30</f>
        <v>3573278.6804772681</v>
      </c>
      <c r="G30" s="166">
        <f t="shared" ref="G30:G32" si="17">IF($A$1=4,IF(E30=0, "    ---- ", IF(ABS(ROUND(100/E30*F30-100,1))&lt;999,ROUND(100/E30*F30-100,1),IF(ROUND(100/E30*F30-100,1)&gt;999,999,-999))),"")</f>
        <v>-14.3</v>
      </c>
      <c r="H30" s="234">
        <f t="shared" si="9"/>
        <v>17698600.342461146</v>
      </c>
      <c r="I30" s="44">
        <f t="shared" si="7"/>
        <v>13264429.862490598</v>
      </c>
      <c r="J30" s="23">
        <f t="shared" si="8"/>
        <v>-25.1</v>
      </c>
    </row>
    <row r="31" spans="1:11" s="3" customFormat="1" ht="15.75" customHeight="1" x14ac:dyDescent="0.2">
      <c r="A31" s="505" t="s">
        <v>355</v>
      </c>
      <c r="B31" s="44">
        <f>'Fremtind Livsforsikring'!B31+'Danica Pensjonsforsikring'!B31+'DNB Livsforsikring'!B31+'Eika Forsikring AS'!B31+'Frende Livsforsikring'!B31+'Frende Skadeforsikring'!B31+'Gjensidige Forsikring'!B31+'Gjensidige Pensjon'!B31+'Handelsbanken Liv'!B31+'If Skadeforsikring NUF'!B31+KLP!B31+'KLP Skadeforsikring AS'!B31+'Landkreditt Forsikring'!B31+'Nordea Liv '!B31+'Oslo Pensjonsforsikring'!B31+'Protector Forsikring'!B31+'SHB Liv'!B31+'Sparebank 1'!B31+'Storebrand Livsforsikring'!B31+'Telenor Forsikring'!B31+'Tryg Forsikring'!B31+'WaterCircles F'!B31+'Codan Forsikring'!B31+'Euro Accident'!B31+'Ly Forsikring'!B31+'Youplus Livsforsikring'!B31</f>
        <v>22907263.450327102</v>
      </c>
      <c r="C31" s="44">
        <f>'Fremtind Livsforsikring'!C31+'Danica Pensjonsforsikring'!C31+'DNB Livsforsikring'!C31+'Eika Forsikring AS'!C31+'Frende Livsforsikring'!C31+'Frende Skadeforsikring'!C31+'Gjensidige Forsikring'!C31+'Gjensidige Pensjon'!C31+'Handelsbanken Liv'!C31+'If Skadeforsikring NUF'!C31+KLP!C31+'KLP Skadeforsikring AS'!C31+'Landkreditt Forsikring'!C31+'Nordea Liv '!C31+'Oslo Pensjonsforsikring'!C31+'Protector Forsikring'!C31+'SHB Liv'!C31+'Sparebank 1'!C31+'Storebrand Livsforsikring'!C31+'Telenor Forsikring'!C31+'Tryg Forsikring'!C31+'WaterCircles F'!C31+'Codan Forsikring'!C31+'Euro Accident'!C31+'Ly Forsikring'!C31+'Youplus Livsforsikring'!C31</f>
        <v>26217129.588845354</v>
      </c>
      <c r="D31" s="27">
        <f t="shared" si="16"/>
        <v>14.4</v>
      </c>
      <c r="E31" s="44">
        <f>'Fremtind Livsforsikring'!F31+'Danica Pensjonsforsikring'!F31+'DNB Livsforsikring'!F31+'Eika Forsikring AS'!F31+'Frende Livsforsikring'!F31+'Frende Skadeforsikring'!F31+'Gjensidige Forsikring'!F31+'Gjensidige Pensjon'!F31+'Handelsbanken Liv'!F31+'If Skadeforsikring NUF'!F31+KLP!F31+'KLP Skadeforsikring AS'!F31+'Landkreditt Forsikring'!F31+'Nordea Liv '!F31+'Oslo Pensjonsforsikring'!F31+'Protector Forsikring'!F31+'SHB Liv'!F31+'Sparebank 1'!F31+'Storebrand Livsforsikring'!F31+'Telenor Forsikring'!F31+'Tryg Forsikring'!F31+'WaterCircles F'!F31+'Codan Forsikring'!F31+'Euro Accident'!F31+'Ly Forsikring'!F31+'Youplus Livsforsikring'!F31</f>
        <v>9681640.0419855881</v>
      </c>
      <c r="F31" s="44">
        <f>'Fremtind Livsforsikring'!G31+'Danica Pensjonsforsikring'!G31+'DNB Livsforsikring'!G31+'Eika Forsikring AS'!G31+'Frende Livsforsikring'!G31+'Frende Skadeforsikring'!G31+'Gjensidige Forsikring'!G31+'Gjensidige Pensjon'!G31+'Handelsbanken Liv'!G31+'If Skadeforsikring NUF'!G31+KLP!G31+'KLP Skadeforsikring AS'!G31+'Landkreditt Forsikring'!G31+'Nordea Liv '!G31+'Oslo Pensjonsforsikring'!G31+'Protector Forsikring'!G31+'SHB Liv'!G31+'Sparebank 1'!G31+'Storebrand Livsforsikring'!G31+'Telenor Forsikring'!G31+'Tryg Forsikring'!G31+'WaterCircles F'!G31+'Codan Forsikring'!G31+'Euro Accident'!G31+'Ly Forsikring'!G31+'Youplus Livsforsikring'!G31</f>
        <v>7906412.0309294537</v>
      </c>
      <c r="G31" s="166">
        <f t="shared" si="17"/>
        <v>-18.3</v>
      </c>
      <c r="H31" s="234">
        <f t="shared" si="9"/>
        <v>32588903.492312692</v>
      </c>
      <c r="I31" s="44">
        <f t="shared" si="7"/>
        <v>34123541.619774804</v>
      </c>
      <c r="J31" s="23">
        <f t="shared" si="8"/>
        <v>4.7</v>
      </c>
    </row>
    <row r="32" spans="1:11" ht="15.75" customHeight="1" x14ac:dyDescent="0.2">
      <c r="A32" s="505" t="s">
        <v>356</v>
      </c>
      <c r="B32" s="44">
        <f>'Fremtind Livsforsikring'!B32+'Danica Pensjonsforsikring'!B32+'DNB Livsforsikring'!B32+'Eika Forsikring AS'!B32+'Frende Livsforsikring'!B32+'Frende Skadeforsikring'!B32+'Gjensidige Forsikring'!B32+'Gjensidige Pensjon'!B32+'Handelsbanken Liv'!B32+'If Skadeforsikring NUF'!B32+KLP!B32+'KLP Skadeforsikring AS'!B32+'Landkreditt Forsikring'!B32+'Nordea Liv '!B32+'Oslo Pensjonsforsikring'!B32+'Protector Forsikring'!B32+'SHB Liv'!B32+'Sparebank 1'!B32+'Storebrand Livsforsikring'!B32+'Telenor Forsikring'!B32+'Tryg Forsikring'!B32+'WaterCircles F'!B32+'Codan Forsikring'!B32+'Euro Accident'!B32+'Ly Forsikring'!B32+'Youplus Livsforsikring'!B32</f>
        <v>2944608.9241881049</v>
      </c>
      <c r="C32" s="44">
        <f>'Fremtind Livsforsikring'!C32+'Danica Pensjonsforsikring'!C32+'DNB Livsforsikring'!C32+'Eika Forsikring AS'!C32+'Frende Livsforsikring'!C32+'Frende Skadeforsikring'!C32+'Gjensidige Forsikring'!C32+'Gjensidige Pensjon'!C32+'Handelsbanken Liv'!C32+'If Skadeforsikring NUF'!C32+KLP!C32+'KLP Skadeforsikring AS'!C32+'Landkreditt Forsikring'!C32+'Nordea Liv '!C32+'Oslo Pensjonsforsikring'!C32+'Protector Forsikring'!C32+'SHB Liv'!C32+'Sparebank 1'!C32+'Storebrand Livsforsikring'!C32+'Telenor Forsikring'!C32+'Tryg Forsikring'!C32+'WaterCircles F'!C32+'Codan Forsikring'!C32+'Euro Accident'!C32+'Ly Forsikring'!C32+'Youplus Livsforsikring'!C32</f>
        <v>2065523.526732713</v>
      </c>
      <c r="D32" s="27">
        <f t="shared" si="16"/>
        <v>-29.9</v>
      </c>
      <c r="E32" s="44">
        <f>'Fremtind Livsforsikring'!F32+'Danica Pensjonsforsikring'!F32+'DNB Livsforsikring'!F32+'Eika Forsikring AS'!F32+'Frende Livsforsikring'!F32+'Frende Skadeforsikring'!F32+'Gjensidige Forsikring'!F32+'Gjensidige Pensjon'!F32+'Handelsbanken Liv'!F32+'If Skadeforsikring NUF'!F32+KLP!F32+'KLP Skadeforsikring AS'!F32+'Landkreditt Forsikring'!F32+'Nordea Liv '!F32+'Oslo Pensjonsforsikring'!F32+'Protector Forsikring'!F32+'SHB Liv'!F32+'Sparebank 1'!F32+'Storebrand Livsforsikring'!F32+'Telenor Forsikring'!F32+'Tryg Forsikring'!F32+'WaterCircles F'!F32+'Codan Forsikring'!F32+'Euro Accident'!F32+'Ly Forsikring'!F32+'Youplus Livsforsikring'!F32</f>
        <v>5676850.9467107207</v>
      </c>
      <c r="F32" s="44">
        <f>'Fremtind Livsforsikring'!G32+'Danica Pensjonsforsikring'!G32+'DNB Livsforsikring'!G32+'Eika Forsikring AS'!G32+'Frende Livsforsikring'!G32+'Frende Skadeforsikring'!G32+'Gjensidige Forsikring'!G32+'Gjensidige Pensjon'!G32+'Handelsbanken Liv'!G32+'If Skadeforsikring NUF'!G32+KLP!G32+'KLP Skadeforsikring AS'!G32+'Landkreditt Forsikring'!G32+'Nordea Liv '!G32+'Oslo Pensjonsforsikring'!G32+'Protector Forsikring'!G32+'SHB Liv'!G32+'Sparebank 1'!G32+'Storebrand Livsforsikring'!G32+'Telenor Forsikring'!G32+'Tryg Forsikring'!G32+'WaterCircles F'!G32+'Codan Forsikring'!G32+'Euro Accident'!G32+'Ly Forsikring'!G32+'Youplus Livsforsikring'!G32</f>
        <v>5285950.70283016</v>
      </c>
      <c r="G32" s="166">
        <f t="shared" si="17"/>
        <v>-6.9</v>
      </c>
      <c r="H32" s="234">
        <f t="shared" si="9"/>
        <v>8621459.870898826</v>
      </c>
      <c r="I32" s="44">
        <f t="shared" si="7"/>
        <v>7351474.229562873</v>
      </c>
      <c r="J32" s="24">
        <f t="shared" si="8"/>
        <v>-14.7</v>
      </c>
    </row>
    <row r="33" spans="1:10" ht="15.75" customHeight="1" x14ac:dyDescent="0.2">
      <c r="A33" s="505" t="s">
        <v>357</v>
      </c>
      <c r="B33" s="44"/>
      <c r="C33" s="44"/>
      <c r="D33" s="27"/>
      <c r="E33" s="44">
        <f>'Fremtind Livsforsikring'!F33+'Danica Pensjonsforsikring'!F33+'DNB Livsforsikring'!F33+'Eika Forsikring AS'!F33+'Frende Livsforsikring'!F33+'Frende Skadeforsikring'!F33+'Gjensidige Forsikring'!F33+'Gjensidige Pensjon'!F33+'Handelsbanken Liv'!F33+'If Skadeforsikring NUF'!F33+KLP!F33+'KLP Skadeforsikring AS'!F33+'Landkreditt Forsikring'!F33+'Nordea Liv '!F33+'Oslo Pensjonsforsikring'!F33+'Protector Forsikring'!F33+'SHB Liv'!F33+'Sparebank 1'!F33+'Storebrand Livsforsikring'!F33+'Telenor Forsikring'!F33+'Tryg Forsikring'!F33+'WaterCircles F'!F33+'Codan Forsikring'!F33+'Euro Accident'!F33+'Ly Forsikring'!F33+'Youplus Livsforsikring'!F33</f>
        <v>6159102.3959218701</v>
      </c>
      <c r="F33" s="44">
        <f>'Fremtind Livsforsikring'!G33+'Danica Pensjonsforsikring'!G33+'DNB Livsforsikring'!G33+'Eika Forsikring AS'!G33+'Frende Livsforsikring'!G33+'Frende Skadeforsikring'!G33+'Gjensidige Forsikring'!G33+'Gjensidige Pensjon'!G33+'Handelsbanken Liv'!G33+'If Skadeforsikring NUF'!G33+KLP!G33+'KLP Skadeforsikring AS'!G33+'Landkreditt Forsikring'!G33+'Nordea Liv '!G33+'Oslo Pensjonsforsikring'!G33+'Protector Forsikring'!G33+'SHB Liv'!G33+'Sparebank 1'!G33+'Storebrand Livsforsikring'!G33+'Telenor Forsikring'!G33+'Tryg Forsikring'!G33+'WaterCircles F'!G33+'Codan Forsikring'!G33+'Euro Accident'!G33+'Ly Forsikring'!G33+'Youplus Livsforsikring'!G33</f>
        <v>6909229.0339631103</v>
      </c>
      <c r="G33" s="166">
        <f t="shared" ref="G33" si="18">IF($A$1=4,IF(E33=0, "    ---- ", IF(ABS(ROUND(100/E33*F33-100,1))&lt;999,ROUND(100/E33*F33-100,1),IF(ROUND(100/E33*F33-100,1)&gt;999,999,-999))),"")</f>
        <v>12.2</v>
      </c>
      <c r="H33" s="234">
        <f t="shared" ref="H33" si="19">SUM(B33,E33)</f>
        <v>6159102.3959218701</v>
      </c>
      <c r="I33" s="44">
        <f t="shared" ref="I33" si="20">SUM(C33,F33)</f>
        <v>6909229.0339631103</v>
      </c>
      <c r="J33" s="24">
        <f t="shared" ref="J33" si="21">IF(H33=0, "    ---- ", IF(ABS(ROUND(100/H33*I33-100,1))&lt;999,ROUND(100/H33*I33-100,1),IF(ROUND(100/H33*I33-100,1)&gt;999,999,-999)))</f>
        <v>12.2</v>
      </c>
    </row>
    <row r="34" spans="1:10" s="43" customFormat="1" ht="15.75" customHeight="1" x14ac:dyDescent="0.2">
      <c r="A34" s="39" t="s">
        <v>352</v>
      </c>
      <c r="B34" s="236">
        <f>'Fremtind Livsforsikring'!B34+'Danica Pensjonsforsikring'!B34+'DNB Livsforsikring'!B34+'Eika Forsikring AS'!B34+'Frende Livsforsikring'!B34+'Frende Skadeforsikring'!B34+'Gjensidige Forsikring'!B34+'Gjensidige Pensjon'!B34+'Handelsbanken Liv'!B34+'If Skadeforsikring NUF'!B34+KLP!B34+'KLP Skadeforsikring AS'!B34+'Landkreditt Forsikring'!B34+'Nordea Liv '!B34+'Oslo Pensjonsforsikring'!B34+'Protector Forsikring'!B34+'SHB Liv'!B34+'Sparebank 1'!B34+'Storebrand Livsforsikring'!B34+'Telenor Forsikring'!B34+'Tryg Forsikring'!B34+'WaterCircles F'!B34+'Codan Forsikring'!B34+'Euro Accident'!B34+'Ly Forsikring'!B34+'Youplus Livsforsikring'!B34</f>
        <v>5661.3959999999997</v>
      </c>
      <c r="C34" s="236">
        <f>'Fremtind Livsforsikring'!C34+'Danica Pensjonsforsikring'!C34+'DNB Livsforsikring'!C34+'Eika Forsikring AS'!C34+'Frende Livsforsikring'!C34+'Frende Skadeforsikring'!C34+'Gjensidige Forsikring'!C34+'Gjensidige Pensjon'!C34+'Handelsbanken Liv'!C34+'If Skadeforsikring NUF'!C34+KLP!C34+'KLP Skadeforsikring AS'!C34+'Landkreditt Forsikring'!C34+'Nordea Liv '!C34+'Oslo Pensjonsforsikring'!C34+'Protector Forsikring'!C34+'SHB Liv'!C34+'Sparebank 1'!C34+'Storebrand Livsforsikring'!C34+'Telenor Forsikring'!C34+'Tryg Forsikring'!C34+'WaterCircles F'!C34+'Codan Forsikring'!C34+'Euro Accident'!C34+'Ly Forsikring'!C34+'Youplus Livsforsikring'!C34</f>
        <v>13892.548870000001</v>
      </c>
      <c r="D34" s="24">
        <f t="shared" si="5"/>
        <v>145.4</v>
      </c>
      <c r="E34" s="310">
        <f>'Fremtind Livsforsikring'!F34+'Danica Pensjonsforsikring'!F34+'DNB Livsforsikring'!F34+'Eika Forsikring AS'!F34+'Frende Livsforsikring'!F34+'Frende Skadeforsikring'!F34+'Gjensidige Forsikring'!F34+'Gjensidige Pensjon'!F34+'Handelsbanken Liv'!F34+'If Skadeforsikring NUF'!F34+KLP!F34+'KLP Skadeforsikring AS'!F34+'Landkreditt Forsikring'!F34+'Nordea Liv '!F34+'Oslo Pensjonsforsikring'!F34+'Protector Forsikring'!F34+'SHB Liv'!F34+'Sparebank 1'!F34+'Storebrand Livsforsikring'!F34+'Telenor Forsikring'!F34+'Tryg Forsikring'!F34+'WaterCircles F'!F34+'Codan Forsikring'!F34+'Euro Accident'!F34+'Ly Forsikring'!F34+'Youplus Livsforsikring'!F34</f>
        <v>21589.357619999999</v>
      </c>
      <c r="F34" s="310">
        <f>'Fremtind Livsforsikring'!G34+'Danica Pensjonsforsikring'!G34+'DNB Livsforsikring'!G34+'Eika Forsikring AS'!G34+'Frende Livsforsikring'!G34+'Frende Skadeforsikring'!G34+'Gjensidige Forsikring'!G34+'Gjensidige Pensjon'!G34+'Handelsbanken Liv'!G34+'If Skadeforsikring NUF'!G34+KLP!G34+'KLP Skadeforsikring AS'!G34+'Landkreditt Forsikring'!G34+'Nordea Liv '!G34+'Oslo Pensjonsforsikring'!G34+'Protector Forsikring'!G34+'SHB Liv'!G34+'Sparebank 1'!G34+'Storebrand Livsforsikring'!G34+'Telenor Forsikring'!G34+'Tryg Forsikring'!G34+'WaterCircles F'!G34+'Codan Forsikring'!G34+'Euro Accident'!G34+'Ly Forsikring'!G34+'Youplus Livsforsikring'!G34</f>
        <v>59736.161189999999</v>
      </c>
      <c r="G34" s="171">
        <f t="shared" si="6"/>
        <v>176.7</v>
      </c>
      <c r="H34" s="310">
        <f t="shared" si="9"/>
        <v>27250.75362</v>
      </c>
      <c r="I34" s="236">
        <f t="shared" si="7"/>
        <v>73628.710059999998</v>
      </c>
      <c r="J34" s="24">
        <f t="shared" si="8"/>
        <v>170.2</v>
      </c>
    </row>
    <row r="35" spans="1:10" s="43" customFormat="1" ht="15.75" customHeight="1" x14ac:dyDescent="0.2">
      <c r="A35" s="39" t="s">
        <v>353</v>
      </c>
      <c r="B35" s="236">
        <f>'Fremtind Livsforsikring'!B35+'Danica Pensjonsforsikring'!B35+'DNB Livsforsikring'!B35+'Eika Forsikring AS'!B35+'Frende Livsforsikring'!B35+'Frende Skadeforsikring'!B35+'Gjensidige Forsikring'!B35+'Gjensidige Pensjon'!B35+'Handelsbanken Liv'!B35+'If Skadeforsikring NUF'!B35+KLP!B35+'KLP Skadeforsikring AS'!B35+'Landkreditt Forsikring'!B35+'Nordea Liv '!B35+'Oslo Pensjonsforsikring'!B35+'Protector Forsikring'!B35+'SHB Liv'!B35+'Sparebank 1'!B35+'Storebrand Livsforsikring'!B35+'Telenor Forsikring'!B35+'Tryg Forsikring'!B35+'WaterCircles F'!B35+'Codan Forsikring'!B35+'Euro Accident'!B35+'Ly Forsikring'!B35+'Youplus Livsforsikring'!B35</f>
        <v>-65822.47709</v>
      </c>
      <c r="C35" s="236">
        <f>'Fremtind Livsforsikring'!C35+'Danica Pensjonsforsikring'!C35+'DNB Livsforsikring'!C35+'Eika Forsikring AS'!C35+'Frende Livsforsikring'!C35+'Frende Skadeforsikring'!C35+'Gjensidige Forsikring'!C35+'Gjensidige Pensjon'!C35+'Handelsbanken Liv'!C35+'If Skadeforsikring NUF'!C35+KLP!C35+'KLP Skadeforsikring AS'!C35+'Landkreditt Forsikring'!C35+'Nordea Liv '!C35+'Oslo Pensjonsforsikring'!C35+'Protector Forsikring'!C35+'SHB Liv'!C35+'Sparebank 1'!C35+'Storebrand Livsforsikring'!C35+'Telenor Forsikring'!C35+'Tryg Forsikring'!C35+'WaterCircles F'!C35+'Codan Forsikring'!C35+'Euro Accident'!C35+'Ly Forsikring'!C35+'Youplus Livsforsikring'!C35</f>
        <v>-11502.167289999999</v>
      </c>
      <c r="D35" s="24">
        <f t="shared" si="5"/>
        <v>-82.5</v>
      </c>
      <c r="E35" s="310">
        <f>'Fremtind Livsforsikring'!F35+'Danica Pensjonsforsikring'!F35+'DNB Livsforsikring'!F35+'Eika Forsikring AS'!F35+'Frende Livsforsikring'!F35+'Frende Skadeforsikring'!F35+'Gjensidige Forsikring'!F35+'Gjensidige Pensjon'!F35+'Handelsbanken Liv'!F35+'If Skadeforsikring NUF'!F35+KLP!F35+'KLP Skadeforsikring AS'!F35+'Landkreditt Forsikring'!F35+'Nordea Liv '!F35+'Oslo Pensjonsforsikring'!F35+'Protector Forsikring'!F35+'SHB Liv'!F35+'Sparebank 1'!F35+'Storebrand Livsforsikring'!F35+'Telenor Forsikring'!F35+'Tryg Forsikring'!F35+'WaterCircles F'!F35+'Codan Forsikring'!F35+'Euro Accident'!F35+'Ly Forsikring'!F35+'Youplus Livsforsikring'!F35</f>
        <v>110139.29119</v>
      </c>
      <c r="F35" s="310">
        <f>'Fremtind Livsforsikring'!G35+'Danica Pensjonsforsikring'!G35+'DNB Livsforsikring'!G35+'Eika Forsikring AS'!G35+'Frende Livsforsikring'!G35+'Frende Skadeforsikring'!G35+'Gjensidige Forsikring'!G35+'Gjensidige Pensjon'!G35+'Handelsbanken Liv'!G35+'If Skadeforsikring NUF'!G35+KLP!G35+'KLP Skadeforsikring AS'!G35+'Landkreditt Forsikring'!G35+'Nordea Liv '!G35+'Oslo Pensjonsforsikring'!G35+'Protector Forsikring'!G35+'SHB Liv'!G35+'Sparebank 1'!G35+'Storebrand Livsforsikring'!G35+'Telenor Forsikring'!G35+'Tryg Forsikring'!G35+'WaterCircles F'!G35+'Codan Forsikring'!G35+'Euro Accident'!G35+'Ly Forsikring'!G35+'Youplus Livsforsikring'!G35</f>
        <v>58496.306189999996</v>
      </c>
      <c r="G35" s="171">
        <f t="shared" si="6"/>
        <v>-46.9</v>
      </c>
      <c r="H35" s="310">
        <f t="shared" si="9"/>
        <v>44316.814100000003</v>
      </c>
      <c r="I35" s="236">
        <f t="shared" si="7"/>
        <v>46994.138899999998</v>
      </c>
      <c r="J35" s="24">
        <f t="shared" si="8"/>
        <v>6</v>
      </c>
    </row>
    <row r="36" spans="1:10" s="43" customFormat="1" ht="15.75" customHeight="1" x14ac:dyDescent="0.2">
      <c r="A36" s="12" t="s">
        <v>280</v>
      </c>
      <c r="B36" s="236">
        <f>'Fremtind Livsforsikring'!B36+'Danica Pensjonsforsikring'!B36+'DNB Livsforsikring'!B36+'Eika Forsikring AS'!B36+'Frende Livsforsikring'!B36+'Frende Skadeforsikring'!B36+'Gjensidige Forsikring'!B36+'Gjensidige Pensjon'!B36+'Handelsbanken Liv'!B36+'If Skadeforsikring NUF'!B36+KLP!B36+'KLP Skadeforsikring AS'!B36+'Landkreditt Forsikring'!B36+'Nordea Liv '!B36+'Oslo Pensjonsforsikring'!B36+'Protector Forsikring'!B36+'SHB Liv'!B36+'Sparebank 1'!B36+'Storebrand Livsforsikring'!B36+'Telenor Forsikring'!B36+'Tryg Forsikring'!B36+'WaterCircles F'!B36+'Codan Forsikring'!B36+'Euro Accident'!B36+'Ly Forsikring'!B36+'Youplus Livsforsikring'!B36</f>
        <v>1583.26</v>
      </c>
      <c r="C36" s="236">
        <f>'Fremtind Livsforsikring'!C36+'Danica Pensjonsforsikring'!C36+'DNB Livsforsikring'!C36+'Eika Forsikring AS'!C36+'Frende Livsforsikring'!C36+'Frende Skadeforsikring'!C36+'Gjensidige Forsikring'!C36+'Gjensidige Pensjon'!C36+'Handelsbanken Liv'!C36+'If Skadeforsikring NUF'!C36+KLP!C36+'KLP Skadeforsikring AS'!C36+'Landkreditt Forsikring'!C36+'Nordea Liv '!C36+'Oslo Pensjonsforsikring'!C36+'Protector Forsikring'!C36+'SHB Liv'!C36+'Sparebank 1'!C36+'Storebrand Livsforsikring'!C36+'Telenor Forsikring'!C36+'Tryg Forsikring'!C36+'WaterCircles F'!C36+'Codan Forsikring'!C36+'Euro Accident'!C36+'Ly Forsikring'!C36+'Youplus Livsforsikring'!C36</f>
        <v>1610.0260000000001</v>
      </c>
      <c r="D36" s="11">
        <f t="shared" si="5"/>
        <v>1.7</v>
      </c>
      <c r="E36" s="321"/>
      <c r="F36" s="321"/>
      <c r="G36" s="171"/>
      <c r="H36" s="310">
        <f t="shared" si="9"/>
        <v>1583.26</v>
      </c>
      <c r="I36" s="236">
        <f t="shared" si="7"/>
        <v>1610.0260000000001</v>
      </c>
      <c r="J36" s="11">
        <f t="shared" si="8"/>
        <v>1.7</v>
      </c>
    </row>
    <row r="37" spans="1:10" s="43" customFormat="1" ht="15.75" customHeight="1" x14ac:dyDescent="0.2">
      <c r="A37" s="506" t="s">
        <v>359</v>
      </c>
      <c r="B37" s="236">
        <f>'Fremtind Livsforsikring'!B37+'Danica Pensjonsforsikring'!B37+'DNB Livsforsikring'!B37+'Eika Forsikring AS'!B37+'Frende Livsforsikring'!B37+'Frende Skadeforsikring'!B37+'Gjensidige Forsikring'!B37+'Gjensidige Pensjon'!B37+'Handelsbanken Liv'!B37+'If Skadeforsikring NUF'!B37+KLP!B37+'KLP Skadeforsikring AS'!B37+'Landkreditt Forsikring'!B37+'Nordea Liv '!B37+'Oslo Pensjonsforsikring'!B37+'Protector Forsikring'!B37+'SHB Liv'!B37+'Sparebank 1'!B37+'Storebrand Livsforsikring'!B37+'Telenor Forsikring'!B37+'Tryg Forsikring'!B37+'WaterCircles F'!B37+'Codan Forsikring'!B37+'Euro Accident'!B37+'Ly Forsikring'!B37+'Youplus Livsforsikring'!B37</f>
        <v>3354170.09</v>
      </c>
      <c r="C37" s="236">
        <f>'Fremtind Livsforsikring'!C37+'Danica Pensjonsforsikring'!C37+'DNB Livsforsikring'!C37+'Eika Forsikring AS'!C37+'Frende Livsforsikring'!C37+'Frende Skadeforsikring'!C37+'Gjensidige Forsikring'!C37+'Gjensidige Pensjon'!C37+'Handelsbanken Liv'!C37+'If Skadeforsikring NUF'!C37+KLP!C37+'KLP Skadeforsikring AS'!C37+'Landkreditt Forsikring'!C37+'Nordea Liv '!C37+'Oslo Pensjonsforsikring'!C37+'Protector Forsikring'!C37+'SHB Liv'!C37+'Sparebank 1'!C37+'Storebrand Livsforsikring'!C37+'Telenor Forsikring'!C37+'Tryg Forsikring'!C37+'WaterCircles F'!C37+'Codan Forsikring'!C37+'Euro Accident'!C37+'Ly Forsikring'!C37+'Youplus Livsforsikring'!C37</f>
        <v>3043356.199</v>
      </c>
      <c r="D37" s="24">
        <f t="shared" si="5"/>
        <v>-9.3000000000000007</v>
      </c>
      <c r="E37" s="326"/>
      <c r="F37" s="326"/>
      <c r="G37" s="171"/>
      <c r="H37" s="310">
        <f t="shared" si="9"/>
        <v>3354170.09</v>
      </c>
      <c r="I37" s="236">
        <f t="shared" si="7"/>
        <v>3043356.199</v>
      </c>
      <c r="J37" s="24">
        <f t="shared" si="8"/>
        <v>-9.3000000000000007</v>
      </c>
    </row>
    <row r="38" spans="1:10" s="43" customFormat="1" ht="15.75" customHeight="1" x14ac:dyDescent="0.2">
      <c r="A38" s="506" t="s">
        <v>360</v>
      </c>
      <c r="B38" s="236"/>
      <c r="C38" s="236"/>
      <c r="D38" s="24"/>
      <c r="E38" s="321"/>
      <c r="F38" s="321"/>
      <c r="G38" s="171"/>
      <c r="H38" s="310"/>
      <c r="I38" s="236"/>
      <c r="J38" s="24"/>
    </row>
    <row r="39" spans="1:10" s="43" customFormat="1" ht="15.75" customHeight="1" x14ac:dyDescent="0.2">
      <c r="A39" s="507" t="s">
        <v>361</v>
      </c>
      <c r="B39" s="281">
        <f>'Fremtind Livsforsikring'!B39+'Danica Pensjonsforsikring'!B39+'DNB Livsforsikring'!B39+'Eika Forsikring AS'!B39+'Frende Livsforsikring'!B39+'Frende Skadeforsikring'!B39+'Gjensidige Forsikring'!B39+'Gjensidige Pensjon'!B39+'Handelsbanken Liv'!B39+'If Skadeforsikring NUF'!B39+KLP!B39+'KLP Skadeforsikring AS'!B39+'Landkreditt Forsikring'!B39+'Nordea Liv '!B39+'Oslo Pensjonsforsikring'!B39+'Protector Forsikring'!B39+'SHB Liv'!B39+'Sparebank 1'!B39+'Storebrand Livsforsikring'!B39+'Telenor Forsikring'!B39+'Tryg Forsikring'!B39+'WaterCircles F'!B39+'Codan Forsikring'!B39+'Euro Accident'!B39+'Ly Forsikring'!B39+'Youplus Livsforsikring'!B39</f>
        <v>3</v>
      </c>
      <c r="C39" s="281">
        <f>'Fremtind Livsforsikring'!C39+'Danica Pensjonsforsikring'!C39+'DNB Livsforsikring'!C39+'Eika Forsikring AS'!C39+'Frende Livsforsikring'!C39+'Frende Skadeforsikring'!C39+'Gjensidige Forsikring'!C39+'Gjensidige Pensjon'!C39+'Handelsbanken Liv'!C39+'If Skadeforsikring NUF'!C39+KLP!C39+'KLP Skadeforsikring AS'!C39+'Landkreditt Forsikring'!C39+'Nordea Liv '!C39+'Oslo Pensjonsforsikring'!C39+'Protector Forsikring'!C39+'SHB Liv'!C39+'Sparebank 1'!C39+'Storebrand Livsforsikring'!C39+'Telenor Forsikring'!C39+'Tryg Forsikring'!C39+'WaterCircles F'!C39+'Codan Forsikring'!C39+'Euro Accident'!C39+'Ly Forsikring'!C39+'Youplus Livsforsikring'!C39</f>
        <v>6</v>
      </c>
      <c r="D39" s="36">
        <f t="shared" si="5"/>
        <v>100</v>
      </c>
      <c r="E39" s="327"/>
      <c r="F39" s="327"/>
      <c r="G39" s="169"/>
      <c r="H39" s="316">
        <f t="shared" si="9"/>
        <v>3</v>
      </c>
      <c r="I39" s="281">
        <f t="shared" si="7"/>
        <v>6</v>
      </c>
      <c r="J39" s="36">
        <f t="shared" si="8"/>
        <v>100</v>
      </c>
    </row>
    <row r="40" spans="1:10" ht="15.75" customHeight="1" x14ac:dyDescent="0.2">
      <c r="A40" s="47"/>
    </row>
    <row r="41" spans="1:10" ht="15.75" customHeight="1" x14ac:dyDescent="0.2">
      <c r="A41" s="155"/>
    </row>
    <row r="42" spans="1:10" ht="15.75" customHeight="1" x14ac:dyDescent="0.25">
      <c r="A42" s="147" t="s">
        <v>269</v>
      </c>
      <c r="B42" s="696"/>
      <c r="C42" s="696"/>
      <c r="D42" s="696"/>
      <c r="E42" s="700"/>
      <c r="F42" s="700"/>
      <c r="G42" s="700"/>
      <c r="H42" s="700"/>
      <c r="I42" s="700"/>
      <c r="J42" s="700"/>
    </row>
    <row r="43" spans="1:10" ht="15.75" customHeight="1" x14ac:dyDescent="0.25">
      <c r="A43" s="163"/>
      <c r="B43" s="432"/>
      <c r="C43" s="432"/>
      <c r="D43" s="432"/>
      <c r="E43" s="300"/>
      <c r="F43" s="300"/>
      <c r="G43" s="300"/>
      <c r="H43" s="300"/>
      <c r="I43" s="300"/>
      <c r="J43" s="300"/>
    </row>
    <row r="44" spans="1:10" s="3" customFormat="1" ht="15.75" customHeight="1" x14ac:dyDescent="0.25">
      <c r="A44" s="249"/>
      <c r="B44" s="328" t="s">
        <v>0</v>
      </c>
      <c r="C44" s="329"/>
      <c r="D44" s="257"/>
      <c r="E44" s="42"/>
      <c r="F44" s="42"/>
      <c r="G44" s="40"/>
      <c r="H44" s="42"/>
      <c r="I44" s="42"/>
      <c r="J44" s="40"/>
    </row>
    <row r="45" spans="1:10" s="3" customFormat="1" ht="15.75" customHeight="1" x14ac:dyDescent="0.2">
      <c r="A45" s="140"/>
      <c r="B45" s="254" t="s">
        <v>435</v>
      </c>
      <c r="C45" s="255" t="s">
        <v>436</v>
      </c>
      <c r="D45" s="252" t="s">
        <v>3</v>
      </c>
      <c r="E45" s="42"/>
      <c r="F45" s="42"/>
      <c r="G45" s="40"/>
      <c r="H45" s="42"/>
      <c r="I45" s="42"/>
      <c r="J45" s="40"/>
    </row>
    <row r="46" spans="1:10" s="3" customFormat="1" ht="15.75" customHeight="1" x14ac:dyDescent="0.2">
      <c r="A46" s="663"/>
      <c r="B46" s="46"/>
      <c r="C46" s="256"/>
      <c r="D46" s="17" t="s">
        <v>4</v>
      </c>
      <c r="E46" s="40"/>
      <c r="F46" s="40"/>
      <c r="G46" s="40"/>
      <c r="H46" s="40"/>
      <c r="I46" s="40"/>
      <c r="J46" s="40"/>
    </row>
    <row r="47" spans="1:10" s="417" customFormat="1" ht="15.75" customHeight="1" x14ac:dyDescent="0.2">
      <c r="A47" s="14" t="s">
        <v>23</v>
      </c>
      <c r="B47" s="236">
        <f>'Fremtind Livsforsikring'!B47+'Danica Pensjonsforsikring'!B47+'DNB Livsforsikring'!B47+'Eika Forsikring AS'!B47+'Frende Livsforsikring'!B47+'Frende Skadeforsikring'!B47+'Gjensidige Forsikring'!B47+'Gjensidige Pensjon'!B47+'Handelsbanken Liv'!B47+'If Skadeforsikring NUF'!B47+KLP!B47+'KLP Skadeforsikring AS'!B47+'Landkreditt Forsikring'!B47+'Nordea Liv '!B47+'Oslo Pensjonsforsikring'!B47+'Protector Forsikring'!B47+'SHB Liv'!B47+'Sparebank 1'!B47+'Storebrand Livsforsikring'!B47+'Telenor Forsikring'!B47+'Tryg Forsikring'!B47+'WaterCircles F'!B47+'Codan Forsikring'!B47+'Euro Accident'!B47+'Ly Forsikring'!B47+'Youplus Livsforsikring'!B47</f>
        <v>3965357.8025241951</v>
      </c>
      <c r="C47" s="236">
        <f>'Fremtind Livsforsikring'!C47+'Danica Pensjonsforsikring'!C47+'DNB Livsforsikring'!C47+'Eika Forsikring AS'!C47+'Frende Livsforsikring'!C47+'Frende Skadeforsikring'!C47+'Gjensidige Forsikring'!C47+'Gjensidige Pensjon'!C47+'Handelsbanken Liv'!C47+'If Skadeforsikring NUF'!C47+KLP!C47+'KLP Skadeforsikring AS'!C47+'Landkreditt Forsikring'!C47+'Nordea Liv '!C47+'Oslo Pensjonsforsikring'!C47+'Protector Forsikring'!C47+'SHB Liv'!C47+'Sparebank 1'!C47+'Storebrand Livsforsikring'!C47+'Telenor Forsikring'!C47+'Tryg Forsikring'!C47+'WaterCircles F'!C47+'Codan Forsikring'!C47+'Euro Accident'!C47+'Ly Forsikring'!C47+'Youplus Livsforsikring'!C47</f>
        <v>4352173.6639028974</v>
      </c>
      <c r="D47" s="24">
        <f t="shared" ref="D47:D57" si="22">IF(B47=0, "    ---- ", IF(ABS(ROUND(100/B47*C47-100,1))&lt;999,ROUND(100/B47*C47-100,1),IF(ROUND(100/B47*C47-100,1)&gt;999,999,-999)))</f>
        <v>9.8000000000000007</v>
      </c>
      <c r="E47" s="418"/>
      <c r="F47" s="419"/>
      <c r="G47" s="32"/>
      <c r="H47" s="420"/>
      <c r="I47" s="420"/>
      <c r="J47" s="32"/>
    </row>
    <row r="48" spans="1:10" s="3" customFormat="1" ht="15.75" customHeight="1" x14ac:dyDescent="0.2">
      <c r="A48" s="38" t="s">
        <v>362</v>
      </c>
      <c r="B48" s="44">
        <f>'Fremtind Livsforsikring'!B48+'Danica Pensjonsforsikring'!B48+'DNB Livsforsikring'!B48+'Eika Forsikring AS'!B48+'Frende Livsforsikring'!B48+'Frende Skadeforsikring'!B48+'Gjensidige Forsikring'!B48+'Gjensidige Pensjon'!B48+'Handelsbanken Liv'!B48+'If Skadeforsikring NUF'!B48+KLP!B48+'KLP Skadeforsikring AS'!B48+'Landkreditt Forsikring'!B48+'Nordea Liv '!B48+'Oslo Pensjonsforsikring'!B48+'Protector Forsikring'!B48+'SHB Liv'!B48+'Sparebank 1'!B48+'Storebrand Livsforsikring'!B48+'Telenor Forsikring'!B48+'Tryg Forsikring'!B48+'WaterCircles F'!B48+'Codan Forsikring'!B48+'Euro Accident'!B48+'Ly Forsikring'!B48+'Youplus Livsforsikring'!B48</f>
        <v>2275759.7333641946</v>
      </c>
      <c r="C48" s="44">
        <f>'Fremtind Livsforsikring'!C48+'Danica Pensjonsforsikring'!C48+'DNB Livsforsikring'!C48+'Eika Forsikring AS'!C48+'Frende Livsforsikring'!C48+'Frende Skadeforsikring'!C48+'Gjensidige Forsikring'!C48+'Gjensidige Pensjon'!C48+'Handelsbanken Liv'!C48+'If Skadeforsikring NUF'!C48+KLP!C48+'KLP Skadeforsikring AS'!C48+'Landkreditt Forsikring'!C48+'Nordea Liv '!C48+'Oslo Pensjonsforsikring'!C48+'Protector Forsikring'!C48+'SHB Liv'!C48+'Sparebank 1'!C48+'Storebrand Livsforsikring'!C48+'Telenor Forsikring'!C48+'Tryg Forsikring'!C48+'WaterCircles F'!C48+'Codan Forsikring'!C48+'Euro Accident'!C48+'Ly Forsikring'!C48+'Youplus Livsforsikring'!C48</f>
        <v>2465008.4002828971</v>
      </c>
      <c r="D48" s="24">
        <f t="shared" si="22"/>
        <v>8.3000000000000007</v>
      </c>
      <c r="E48" s="35"/>
      <c r="F48" s="5"/>
      <c r="G48" s="34"/>
      <c r="H48" s="33"/>
      <c r="I48" s="33"/>
      <c r="J48" s="32"/>
    </row>
    <row r="49" spans="1:10" s="3" customFormat="1" ht="15.75" customHeight="1" x14ac:dyDescent="0.2">
      <c r="A49" s="38" t="s">
        <v>363</v>
      </c>
      <c r="B49" s="191">
        <f>'Fremtind Livsforsikring'!B49+'Danica Pensjonsforsikring'!B49+'DNB Livsforsikring'!B49+'Eika Forsikring AS'!B49+'Frende Livsforsikring'!B49+'Frende Skadeforsikring'!B49+'Gjensidige Forsikring'!B49+'Gjensidige Pensjon'!B49+'Handelsbanken Liv'!B49+'If Skadeforsikring NUF'!B49+KLP!B49+'KLP Skadeforsikring AS'!B49+'Landkreditt Forsikring'!B49+'Nordea Liv '!B49+'Oslo Pensjonsforsikring'!B49+'Protector Forsikring'!B49+'SHB Liv'!B49+'Sparebank 1'!B49+'Storebrand Livsforsikring'!B49+'Telenor Forsikring'!B49+'Tryg Forsikring'!B49+'WaterCircles F'!B49+'Codan Forsikring'!B49+'Euro Accident'!B49+'Ly Forsikring'!B49+'Youplus Livsforsikring'!B49</f>
        <v>1689597.9861100002</v>
      </c>
      <c r="C49" s="191">
        <f>'Fremtind Livsforsikring'!C49+'Danica Pensjonsforsikring'!C49+'DNB Livsforsikring'!C49+'Eika Forsikring AS'!C49+'Frende Livsforsikring'!C49+'Frende Skadeforsikring'!C49+'Gjensidige Forsikring'!C49+'Gjensidige Pensjon'!C49+'Handelsbanken Liv'!C49+'If Skadeforsikring NUF'!C49+KLP!C49+'KLP Skadeforsikring AS'!C49+'Landkreditt Forsikring'!C49+'Nordea Liv '!C49+'Oslo Pensjonsforsikring'!C49+'Protector Forsikring'!C49+'SHB Liv'!C49+'Sparebank 1'!C49+'Storebrand Livsforsikring'!C49+'Telenor Forsikring'!C49+'Tryg Forsikring'!C49+'WaterCircles F'!C49+'Codan Forsikring'!C49+'Euro Accident'!C49+'Ly Forsikring'!C49+'Youplus Livsforsikring'!C49</f>
        <v>1887165.2636200001</v>
      </c>
      <c r="D49" s="24">
        <f t="shared" si="22"/>
        <v>11.7</v>
      </c>
      <c r="E49" s="35"/>
      <c r="F49" s="5"/>
      <c r="G49" s="34"/>
      <c r="H49" s="37"/>
      <c r="I49" s="37"/>
      <c r="J49" s="32"/>
    </row>
    <row r="50" spans="1:10" s="3" customFormat="1" ht="15.75" customHeight="1" x14ac:dyDescent="0.2">
      <c r="A50" s="298" t="s">
        <v>6</v>
      </c>
      <c r="B50" s="326"/>
      <c r="C50" s="326"/>
      <c r="D50" s="27"/>
      <c r="E50" s="35"/>
      <c r="F50" s="5"/>
      <c r="G50" s="34"/>
      <c r="H50" s="33"/>
      <c r="I50" s="33"/>
      <c r="J50" s="32"/>
    </row>
    <row r="51" spans="1:10" s="3" customFormat="1" ht="15.75" customHeight="1" x14ac:dyDescent="0.2">
      <c r="A51" s="298" t="s">
        <v>7</v>
      </c>
      <c r="B51" s="326"/>
      <c r="C51" s="326"/>
      <c r="D51" s="27"/>
      <c r="E51" s="35"/>
      <c r="F51" s="5"/>
      <c r="G51" s="34"/>
      <c r="H51" s="33"/>
      <c r="I51" s="33"/>
      <c r="J51" s="32"/>
    </row>
    <row r="52" spans="1:10" s="3" customFormat="1" ht="15.75" customHeight="1" x14ac:dyDescent="0.2">
      <c r="A52" s="298" t="s">
        <v>8</v>
      </c>
      <c r="B52" s="326"/>
      <c r="C52" s="326"/>
      <c r="D52" s="27"/>
      <c r="E52" s="35"/>
      <c r="F52" s="5"/>
      <c r="G52" s="34"/>
      <c r="H52" s="33"/>
      <c r="I52" s="33"/>
      <c r="J52" s="32"/>
    </row>
    <row r="53" spans="1:10" s="417" customFormat="1" ht="15.75" customHeight="1" x14ac:dyDescent="0.2">
      <c r="A53" s="39" t="s">
        <v>364</v>
      </c>
      <c r="B53" s="236">
        <f>'Fremtind Livsforsikring'!B53+'Danica Pensjonsforsikring'!B53+'DNB Livsforsikring'!B53+'Eika Forsikring AS'!B53+'Frende Livsforsikring'!B53+'Frende Skadeforsikring'!B53+'Gjensidige Forsikring'!B53+'Gjensidige Pensjon'!B53+'Handelsbanken Liv'!B53+'If Skadeforsikring NUF'!B53+KLP!B53+'KLP Skadeforsikring AS'!B53+'Landkreditt Forsikring'!B53+'Nordea Liv '!B53+'Oslo Pensjonsforsikring'!B53+'Protector Forsikring'!B53+'SHB Liv'!B53+'Sparebank 1'!B53+'Storebrand Livsforsikring'!B53+'Telenor Forsikring'!B53+'Tryg Forsikring'!B53+'WaterCircles F'!B53+'Codan Forsikring'!B53+'Euro Accident'!B53+'Ly Forsikring'!B53+'Youplus Livsforsikring'!B53</f>
        <v>235110.696</v>
      </c>
      <c r="C53" s="236">
        <f>'Fremtind Livsforsikring'!C53+'Danica Pensjonsforsikring'!C53+'DNB Livsforsikring'!C53+'Eika Forsikring AS'!C53+'Frende Livsforsikring'!C53+'Frende Skadeforsikring'!C53+'Gjensidige Forsikring'!C53+'Gjensidige Pensjon'!C53+'Handelsbanken Liv'!C53+'If Skadeforsikring NUF'!C53+KLP!C53+'KLP Skadeforsikring AS'!C53+'Landkreditt Forsikring'!C53+'Nordea Liv '!C53+'Oslo Pensjonsforsikring'!C53+'Protector Forsikring'!C53+'SHB Liv'!C53+'Sparebank 1'!C53+'Storebrand Livsforsikring'!C53+'Telenor Forsikring'!C53+'Tryg Forsikring'!C53+'WaterCircles F'!C53+'Codan Forsikring'!C53+'Euro Accident'!C53+'Ly Forsikring'!C53+'Youplus Livsforsikring'!C53</f>
        <v>108750.51699999999</v>
      </c>
      <c r="D53" s="24">
        <f t="shared" si="22"/>
        <v>-53.7</v>
      </c>
      <c r="E53" s="418"/>
      <c r="F53" s="419"/>
      <c r="G53" s="32"/>
      <c r="H53" s="174"/>
      <c r="I53" s="174"/>
      <c r="J53" s="32"/>
    </row>
    <row r="54" spans="1:10" s="3" customFormat="1" ht="15.75" customHeight="1" x14ac:dyDescent="0.2">
      <c r="A54" s="38" t="s">
        <v>362</v>
      </c>
      <c r="B54" s="44">
        <f>'Fremtind Livsforsikring'!B54+'Danica Pensjonsforsikring'!B54+'DNB Livsforsikring'!B54+'Eika Forsikring AS'!B54+'Frende Livsforsikring'!B54+'Frende Skadeforsikring'!B54+'Gjensidige Forsikring'!B54+'Gjensidige Pensjon'!B54+'Handelsbanken Liv'!B54+'If Skadeforsikring NUF'!B54+KLP!B54+'KLP Skadeforsikring AS'!B54+'Landkreditt Forsikring'!B54+'Nordea Liv '!B54+'Oslo Pensjonsforsikring'!B54+'Protector Forsikring'!B54+'SHB Liv'!B54+'Sparebank 1'!B54+'Storebrand Livsforsikring'!B54+'Telenor Forsikring'!B54+'Tryg Forsikring'!B54+'WaterCircles F'!B54+'Codan Forsikring'!B54+'Euro Accident'!B54+'Ly Forsikring'!B54+'Youplus Livsforsikring'!B54</f>
        <v>229249.864</v>
      </c>
      <c r="C54" s="44">
        <f>'Fremtind Livsforsikring'!C54+'Danica Pensjonsforsikring'!C54+'DNB Livsforsikring'!C54+'Eika Forsikring AS'!C54+'Frende Livsforsikring'!C54+'Frende Skadeforsikring'!C54+'Gjensidige Forsikring'!C54+'Gjensidige Pensjon'!C54+'Handelsbanken Liv'!C54+'If Skadeforsikring NUF'!C54+KLP!C54+'KLP Skadeforsikring AS'!C54+'Landkreditt Forsikring'!C54+'Nordea Liv '!C54+'Oslo Pensjonsforsikring'!C54+'Protector Forsikring'!C54+'SHB Liv'!C54+'Sparebank 1'!C54+'Storebrand Livsforsikring'!C54+'Telenor Forsikring'!C54+'Tryg Forsikring'!C54+'WaterCircles F'!C54+'Codan Forsikring'!C54+'Euro Accident'!C54+'Ly Forsikring'!C54+'Youplus Livsforsikring'!C54</f>
        <v>107801.51699999999</v>
      </c>
      <c r="D54" s="24">
        <f t="shared" si="22"/>
        <v>-53</v>
      </c>
      <c r="E54" s="35"/>
      <c r="F54" s="5"/>
      <c r="G54" s="34"/>
      <c r="H54" s="33"/>
      <c r="I54" s="33"/>
      <c r="J54" s="32"/>
    </row>
    <row r="55" spans="1:10" s="3" customFormat="1" ht="15.75" customHeight="1" x14ac:dyDescent="0.2">
      <c r="A55" s="38" t="s">
        <v>363</v>
      </c>
      <c r="B55" s="44">
        <f>'Fremtind Livsforsikring'!B55+'Danica Pensjonsforsikring'!B55+'DNB Livsforsikring'!B55+'Eika Forsikring AS'!B55+'Frende Livsforsikring'!B55+'Frende Skadeforsikring'!B55+'Gjensidige Forsikring'!B55+'Gjensidige Pensjon'!B55+'Handelsbanken Liv'!B55+'If Skadeforsikring NUF'!B55+KLP!B55+'KLP Skadeforsikring AS'!B55+'Landkreditt Forsikring'!B55+'Nordea Liv '!B55+'Oslo Pensjonsforsikring'!B55+'Protector Forsikring'!B55+'SHB Liv'!B55+'Sparebank 1'!B55+'Storebrand Livsforsikring'!B55+'Telenor Forsikring'!B55+'Tryg Forsikring'!B55+'WaterCircles F'!B55+'Codan Forsikring'!B55+'Euro Accident'!B55+'Ly Forsikring'!B55+'Youplus Livsforsikring'!B55</f>
        <v>5860.8320000000003</v>
      </c>
      <c r="C55" s="44">
        <f>'Fremtind Livsforsikring'!C55+'Danica Pensjonsforsikring'!C55+'DNB Livsforsikring'!C55+'Eika Forsikring AS'!C55+'Frende Livsforsikring'!C55+'Frende Skadeforsikring'!C55+'Gjensidige Forsikring'!C55+'Gjensidige Pensjon'!C55+'Handelsbanken Liv'!C55+'If Skadeforsikring NUF'!C55+KLP!C55+'KLP Skadeforsikring AS'!C55+'Landkreditt Forsikring'!C55+'Nordea Liv '!C55+'Oslo Pensjonsforsikring'!C55+'Protector Forsikring'!C55+'SHB Liv'!C55+'Sparebank 1'!C55+'Storebrand Livsforsikring'!C55+'Telenor Forsikring'!C55+'Tryg Forsikring'!C55+'WaterCircles F'!C55+'Codan Forsikring'!C55+'Euro Accident'!C55+'Ly Forsikring'!C55+'Youplus Livsforsikring'!C55</f>
        <v>949</v>
      </c>
      <c r="D55" s="24">
        <f t="shared" si="22"/>
        <v>-83.8</v>
      </c>
      <c r="E55" s="35"/>
      <c r="F55" s="5"/>
      <c r="G55" s="34"/>
      <c r="H55" s="33"/>
      <c r="I55" s="33"/>
      <c r="J55" s="32"/>
    </row>
    <row r="56" spans="1:10" s="417" customFormat="1" ht="15.75" customHeight="1" x14ac:dyDescent="0.2">
      <c r="A56" s="39" t="s">
        <v>365</v>
      </c>
      <c r="B56" s="236">
        <f>'Fremtind Livsforsikring'!B56+'Danica Pensjonsforsikring'!B56+'DNB Livsforsikring'!B56+'Eika Forsikring AS'!B56+'Frende Livsforsikring'!B56+'Frende Skadeforsikring'!B56+'Gjensidige Forsikring'!B56+'Gjensidige Pensjon'!B56+'Handelsbanken Liv'!B56+'If Skadeforsikring NUF'!B56+KLP!B56+'KLP Skadeforsikring AS'!B56+'Landkreditt Forsikring'!B56+'Nordea Liv '!B56+'Oslo Pensjonsforsikring'!B56+'Protector Forsikring'!B56+'SHB Liv'!B56+'Sparebank 1'!B56+'Storebrand Livsforsikring'!B56+'Telenor Forsikring'!B56+'Tryg Forsikring'!B56+'WaterCircles F'!B56+'Codan Forsikring'!B56+'Euro Accident'!B56+'Ly Forsikring'!B56+'Youplus Livsforsikring'!B56</f>
        <v>93364.087</v>
      </c>
      <c r="C56" s="236">
        <f>'Fremtind Livsforsikring'!C56+'Danica Pensjonsforsikring'!C56+'DNB Livsforsikring'!C56+'Eika Forsikring AS'!C56+'Frende Livsforsikring'!C56+'Frende Skadeforsikring'!C56+'Gjensidige Forsikring'!C56+'Gjensidige Pensjon'!C56+'Handelsbanken Liv'!C56+'If Skadeforsikring NUF'!C56+KLP!C56+'KLP Skadeforsikring AS'!C56+'Landkreditt Forsikring'!C56+'Nordea Liv '!C56+'Oslo Pensjonsforsikring'!C56+'Protector Forsikring'!C56+'SHB Liv'!C56+'Sparebank 1'!C56+'Storebrand Livsforsikring'!C56+'Telenor Forsikring'!C56+'Tryg Forsikring'!C56+'WaterCircles F'!C56+'Codan Forsikring'!C56+'Euro Accident'!C56+'Ly Forsikring'!C56+'Youplus Livsforsikring'!C56</f>
        <v>82468.290000000008</v>
      </c>
      <c r="D56" s="24">
        <f t="shared" si="22"/>
        <v>-11.7</v>
      </c>
      <c r="E56" s="418"/>
      <c r="F56" s="419"/>
      <c r="G56" s="32"/>
      <c r="H56" s="174"/>
      <c r="I56" s="174"/>
      <c r="J56" s="32"/>
    </row>
    <row r="57" spans="1:10" s="3" customFormat="1" ht="15.75" customHeight="1" x14ac:dyDescent="0.2">
      <c r="A57" s="38" t="s">
        <v>362</v>
      </c>
      <c r="B57" s="44">
        <f>'Fremtind Livsforsikring'!B57+'Danica Pensjonsforsikring'!B57+'DNB Livsforsikring'!B57+'Eika Forsikring AS'!B57+'Frende Livsforsikring'!B57+'Frende Skadeforsikring'!B57+'Gjensidige Forsikring'!B57+'Gjensidige Pensjon'!B57+'Handelsbanken Liv'!B57+'If Skadeforsikring NUF'!B57+KLP!B57+'KLP Skadeforsikring AS'!B57+'Landkreditt Forsikring'!B57+'Nordea Liv '!B57+'Oslo Pensjonsforsikring'!B57+'Protector Forsikring'!B57+'SHB Liv'!B57+'Sparebank 1'!B57+'Storebrand Livsforsikring'!B57+'Telenor Forsikring'!B57+'Tryg Forsikring'!B57+'WaterCircles F'!B57+'Codan Forsikring'!B57+'Euro Accident'!B57+'Ly Forsikring'!B57+'Youplus Livsforsikring'!B57</f>
        <v>93364.087</v>
      </c>
      <c r="C57" s="44">
        <f>'Fremtind Livsforsikring'!C57+'Danica Pensjonsforsikring'!C57+'DNB Livsforsikring'!C57+'Eika Forsikring AS'!C57+'Frende Livsforsikring'!C57+'Frende Skadeforsikring'!C57+'Gjensidige Forsikring'!C57+'Gjensidige Pensjon'!C57+'Handelsbanken Liv'!C57+'If Skadeforsikring NUF'!C57+KLP!C57+'KLP Skadeforsikring AS'!C57+'Landkreditt Forsikring'!C57+'Nordea Liv '!C57+'Oslo Pensjonsforsikring'!C57+'Protector Forsikring'!C57+'SHB Liv'!C57+'Sparebank 1'!C57+'Storebrand Livsforsikring'!C57+'Telenor Forsikring'!C57+'Tryg Forsikring'!C57+'WaterCircles F'!C57+'Codan Forsikring'!C57+'Euro Accident'!C57+'Ly Forsikring'!C57+'Youplus Livsforsikring'!C57</f>
        <v>82468.290000000008</v>
      </c>
      <c r="D57" s="24">
        <f t="shared" si="22"/>
        <v>-11.7</v>
      </c>
      <c r="E57" s="35"/>
      <c r="F57" s="5"/>
      <c r="G57" s="34"/>
      <c r="H57" s="33"/>
      <c r="I57" s="33"/>
      <c r="J57" s="32"/>
    </row>
    <row r="58" spans="1:10" s="3" customFormat="1" ht="15.75" customHeight="1" x14ac:dyDescent="0.2">
      <c r="A58" s="38" t="s">
        <v>363</v>
      </c>
      <c r="B58" s="45"/>
      <c r="C58" s="45"/>
      <c r="D58" s="36"/>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270</v>
      </c>
      <c r="C61" s="26"/>
      <c r="D61" s="25"/>
      <c r="E61" s="26"/>
      <c r="F61" s="26"/>
      <c r="G61" s="25"/>
      <c r="H61" s="26"/>
      <c r="I61" s="26"/>
      <c r="J61" s="25"/>
    </row>
    <row r="62" spans="1:10" ht="20.100000000000001" customHeight="1" x14ac:dyDescent="0.25">
      <c r="A62" s="149"/>
      <c r="B62" s="696"/>
      <c r="C62" s="696"/>
      <c r="D62" s="696"/>
      <c r="E62" s="696"/>
      <c r="F62" s="696"/>
      <c r="G62" s="696"/>
      <c r="H62" s="696"/>
      <c r="I62" s="696"/>
      <c r="J62" s="696"/>
    </row>
    <row r="63" spans="1:10" ht="15.75" customHeight="1" x14ac:dyDescent="0.2">
      <c r="A63" s="144"/>
      <c r="B63" s="697" t="s">
        <v>0</v>
      </c>
      <c r="C63" s="698"/>
      <c r="D63" s="698"/>
      <c r="E63" s="697" t="s">
        <v>1</v>
      </c>
      <c r="F63" s="698"/>
      <c r="G63" s="699"/>
      <c r="H63" s="698" t="s">
        <v>2</v>
      </c>
      <c r="I63" s="698"/>
      <c r="J63" s="699"/>
    </row>
    <row r="64" spans="1:10" ht="15.75" customHeight="1" x14ac:dyDescent="0.2">
      <c r="A64" s="140"/>
      <c r="B64" s="253" t="s">
        <v>435</v>
      </c>
      <c r="C64" s="253" t="s">
        <v>436</v>
      </c>
      <c r="D64" s="19" t="s">
        <v>3</v>
      </c>
      <c r="E64" s="253" t="s">
        <v>435</v>
      </c>
      <c r="F64" s="253" t="s">
        <v>436</v>
      </c>
      <c r="G64" s="19" t="s">
        <v>3</v>
      </c>
      <c r="H64" s="253" t="s">
        <v>435</v>
      </c>
      <c r="I64" s="253" t="s">
        <v>436</v>
      </c>
      <c r="J64" s="19" t="s">
        <v>3</v>
      </c>
    </row>
    <row r="65" spans="1:10" ht="15.75" customHeight="1" x14ac:dyDescent="0.2">
      <c r="A65" s="663"/>
      <c r="B65" s="15"/>
      <c r="C65" s="15"/>
      <c r="D65" s="17" t="s">
        <v>4</v>
      </c>
      <c r="E65" s="16"/>
      <c r="F65" s="16"/>
      <c r="G65" s="15" t="s">
        <v>4</v>
      </c>
      <c r="H65" s="16"/>
      <c r="I65" s="16"/>
      <c r="J65" s="15" t="s">
        <v>4</v>
      </c>
    </row>
    <row r="66" spans="1:10" s="43" customFormat="1" ht="15.75" customHeight="1" x14ac:dyDescent="0.2">
      <c r="A66" s="14" t="s">
        <v>23</v>
      </c>
      <c r="B66" s="330">
        <f>'Fremtind Livsforsikring'!B66+'Danica Pensjonsforsikring'!B66+'DNB Livsforsikring'!B66+'Eika Forsikring AS'!B66+'Frende Livsforsikring'!B66+'Frende Skadeforsikring'!B66+'Gjensidige Forsikring'!B66+'Gjensidige Pensjon'!B66+'Handelsbanken Liv'!B66+'If Skadeforsikring NUF'!B66+KLP!B66+'KLP Skadeforsikring AS'!B66+'Landkreditt Forsikring'!B66+'Nordea Liv '!B66+'Oslo Pensjonsforsikring'!B66+'Protector Forsikring'!B66+'SHB Liv'!B66+'Sparebank 1'!B66+'Storebrand Livsforsikring'!B66+'Telenor Forsikring'!B66+'Tryg Forsikring'!B66+'WaterCircles F'!B66+'Codan Forsikring'!B66+'Euro Accident'!B66+'Ly Forsikring'!B66+'Youplus Livsforsikring'!B66</f>
        <v>4679283.7213499993</v>
      </c>
      <c r="C66" s="330">
        <f>'Fremtind Livsforsikring'!C66+'Danica Pensjonsforsikring'!C66+'DNB Livsforsikring'!C66+'Eika Forsikring AS'!C66+'Frende Livsforsikring'!C66+'Frende Skadeforsikring'!C66+'Gjensidige Forsikring'!C66+'Gjensidige Pensjon'!C66+'Handelsbanken Liv'!C66+'If Skadeforsikring NUF'!C66+KLP!C66+'KLP Skadeforsikring AS'!C66+'Landkreditt Forsikring'!C66+'Nordea Liv '!C66+'Oslo Pensjonsforsikring'!C66+'Protector Forsikring'!C66+'SHB Liv'!C66+'Sparebank 1'!C66+'Storebrand Livsforsikring'!C66+'Telenor Forsikring'!C66+'Tryg Forsikring'!C66+'WaterCircles F'!C66+'Codan Forsikring'!C66+'Euro Accident'!C66+'Ly Forsikring'!C66+'Youplus Livsforsikring'!C66</f>
        <v>4368958.3706200002</v>
      </c>
      <c r="D66" s="24">
        <f t="shared" ref="D66:D111" si="23">IF(B66=0, "    ---- ", IF(ABS(ROUND(100/B66*C66-100,1))&lt;999,ROUND(100/B66*C66-100,1),IF(ROUND(100/B66*C66-100,1)&gt;999,999,-999)))</f>
        <v>-6.6</v>
      </c>
      <c r="E66" s="236">
        <f>'Fremtind Livsforsikring'!F66+'Danica Pensjonsforsikring'!F66+'DNB Livsforsikring'!F66+'Eika Forsikring AS'!F66+'Frende Livsforsikring'!F66+'Frende Skadeforsikring'!F66+'Gjensidige Forsikring'!F66+'Gjensidige Pensjon'!F66+'Handelsbanken Liv'!F66+'If Skadeforsikring NUF'!F66+KLP!F66+'KLP Skadeforsikring AS'!F66+'Landkreditt Forsikring'!F66+'Nordea Liv '!F66+'Oslo Pensjonsforsikring'!F66+'Protector Forsikring'!F66+'SHB Liv'!F66+'Sparebank 1'!F66+'Storebrand Livsforsikring'!F66+'Telenor Forsikring'!F66+'Tryg Forsikring'!F66+'WaterCircles F'!F66+'Codan Forsikring'!F66+'Euro Accident'!F66+'Ly Forsikring'!F66+'Youplus Livsforsikring'!F66</f>
        <v>18616390.894129999</v>
      </c>
      <c r="F66" s="236">
        <f>'Fremtind Livsforsikring'!G66+'Danica Pensjonsforsikring'!G66+'DNB Livsforsikring'!G66+'Eika Forsikring AS'!G66+'Frende Livsforsikring'!G66+'Frende Skadeforsikring'!G66+'Gjensidige Forsikring'!G66+'Gjensidige Pensjon'!G66+'Handelsbanken Liv'!G66+'If Skadeforsikring NUF'!G66+KLP!G66+'KLP Skadeforsikring AS'!G66+'Landkreditt Forsikring'!G66+'Nordea Liv '!G66+'Oslo Pensjonsforsikring'!G66+'Protector Forsikring'!G66+'SHB Liv'!G66+'Sparebank 1'!G66+'Storebrand Livsforsikring'!G66+'Telenor Forsikring'!G66+'Tryg Forsikring'!G66+'WaterCircles F'!G66+'Codan Forsikring'!G66+'Euro Accident'!G66+'Ly Forsikring'!G66+'Youplus Livsforsikring'!G66</f>
        <v>20198655.181329999</v>
      </c>
      <c r="G66" s="171">
        <f t="shared" ref="G66:G68" si="24">IF(E66=0, "    ---- ", IF(ABS(ROUND(100/E66*F66-100,1))&lt;999,ROUND(100/E66*F66-100,1),IF(ROUND(100/E66*F66-100,1)&gt;999,999,-999)))</f>
        <v>8.5</v>
      </c>
      <c r="H66" s="330">
        <f t="shared" ref="H66:H86" si="25">SUM(B66,E66)</f>
        <v>23295674.615479998</v>
      </c>
      <c r="I66" s="330">
        <f t="shared" ref="I66:I86" si="26">SUM(C66,F66)</f>
        <v>24567613.55195</v>
      </c>
      <c r="J66" s="24">
        <f t="shared" ref="J66:J111" si="27">IF(H66=0, "    ---- ", IF(ABS(ROUND(100/H66*I66-100,1))&lt;999,ROUND(100/H66*I66-100,1),IF(ROUND(100/H66*I66-100,1)&gt;999,999,-999)))</f>
        <v>5.5</v>
      </c>
    </row>
    <row r="67" spans="1:10" ht="15.75" customHeight="1" x14ac:dyDescent="0.25">
      <c r="A67" s="21" t="s">
        <v>9</v>
      </c>
      <c r="B67" s="234">
        <f>'Fremtind Livsforsikring'!B67+'Danica Pensjonsforsikring'!B67+'DNB Livsforsikring'!B67+'Eika Forsikring AS'!B67+'Frende Livsforsikring'!B67+'Frende Skadeforsikring'!B67+'Gjensidige Forsikring'!B67+'Gjensidige Pensjon'!B67+'Handelsbanken Liv'!B67+'If Skadeforsikring NUF'!B67+KLP!B67+'KLP Skadeforsikring AS'!B67+'Landkreditt Forsikring'!B67+'Nordea Liv '!B67+'Oslo Pensjonsforsikring'!B67+'Protector Forsikring'!B67+'SHB Liv'!B67+'Sparebank 1'!B67+'Storebrand Livsforsikring'!B67+'Telenor Forsikring'!B67+'Tryg Forsikring'!B67+'WaterCircles F'!B67+'Codan Forsikring'!B67+'Euro Accident'!B67+'Ly Forsikring'!B67+'Youplus Livsforsikring'!B67</f>
        <v>3416855.9413520144</v>
      </c>
      <c r="C67" s="234">
        <f>'Fremtind Livsforsikring'!C67+'Danica Pensjonsforsikring'!C67+'DNB Livsforsikring'!C67+'Eika Forsikring AS'!C67+'Frende Livsforsikring'!C67+'Frende Skadeforsikring'!C67+'Gjensidige Forsikring'!C67+'Gjensidige Pensjon'!C67+'Handelsbanken Liv'!C67+'If Skadeforsikring NUF'!C67+KLP!C67+'KLP Skadeforsikring AS'!C67+'Landkreditt Forsikring'!C67+'Nordea Liv '!C67+'Oslo Pensjonsforsikring'!C67+'Protector Forsikring'!C67+'SHB Liv'!C67+'Sparebank 1'!C67+'Storebrand Livsforsikring'!C67+'Telenor Forsikring'!C67+'Tryg Forsikring'!C67+'WaterCircles F'!C67+'Codan Forsikring'!C67+'Euro Accident'!C67+'Ly Forsikring'!C67+'Youplus Livsforsikring'!C67</f>
        <v>2925655.5803055391</v>
      </c>
      <c r="D67" s="241">
        <f t="shared" si="23"/>
        <v>-14.4</v>
      </c>
      <c r="E67" s="44"/>
      <c r="F67" s="44"/>
      <c r="G67" s="166"/>
      <c r="H67" s="237">
        <f t="shared" si="25"/>
        <v>3416855.9413520144</v>
      </c>
      <c r="I67" s="237">
        <f t="shared" si="26"/>
        <v>2925655.5803055391</v>
      </c>
      <c r="J67" s="23">
        <f t="shared" si="27"/>
        <v>-14.4</v>
      </c>
    </row>
    <row r="68" spans="1:10" ht="15.75" customHeight="1" x14ac:dyDescent="0.25">
      <c r="A68" s="21" t="s">
        <v>10</v>
      </c>
      <c r="B68" s="234">
        <f>'Fremtind Livsforsikring'!B68+'Danica Pensjonsforsikring'!B68+'DNB Livsforsikring'!B68+'Eika Forsikring AS'!B68+'Frende Livsforsikring'!B68+'Frende Skadeforsikring'!B68+'Gjensidige Forsikring'!B68+'Gjensidige Pensjon'!B68+'Handelsbanken Liv'!B68+'If Skadeforsikring NUF'!B68+KLP!B68+'KLP Skadeforsikring AS'!B68+'Landkreditt Forsikring'!B68+'Nordea Liv '!B68+'Oslo Pensjonsforsikring'!B68+'Protector Forsikring'!B68+'SHB Liv'!B68+'Sparebank 1'!B68+'Storebrand Livsforsikring'!B68+'Telenor Forsikring'!B68+'Tryg Forsikring'!B68+'WaterCircles F'!B68+'Codan Forsikring'!B68+'Euro Accident'!B68+'Ly Forsikring'!B68+'Youplus Livsforsikring'!B68</f>
        <v>24512.352129999999</v>
      </c>
      <c r="C68" s="234">
        <f>'Fremtind Livsforsikring'!C68+'Danica Pensjonsforsikring'!C68+'DNB Livsforsikring'!C68+'Eika Forsikring AS'!C68+'Frende Livsforsikring'!C68+'Frende Skadeforsikring'!C68+'Gjensidige Forsikring'!C68+'Gjensidige Pensjon'!C68+'Handelsbanken Liv'!C68+'If Skadeforsikring NUF'!C68+KLP!C68+'KLP Skadeforsikring AS'!C68+'Landkreditt Forsikring'!C68+'Nordea Liv '!C68+'Oslo Pensjonsforsikring'!C68+'Protector Forsikring'!C68+'SHB Liv'!C68+'Sparebank 1'!C68+'Storebrand Livsforsikring'!C68+'Telenor Forsikring'!C68+'Tryg Forsikring'!C68+'WaterCircles F'!C68+'Codan Forsikring'!C68+'Euro Accident'!C68+'Ly Forsikring'!C68+'Youplus Livsforsikring'!C68</f>
        <v>22843.41575</v>
      </c>
      <c r="D68" s="241">
        <f t="shared" si="23"/>
        <v>-6.8</v>
      </c>
      <c r="E68" s="44">
        <f>'Fremtind Livsforsikring'!F68+'Danica Pensjonsforsikring'!F68+'DNB Livsforsikring'!F68+'Eika Forsikring AS'!F68+'Frende Livsforsikring'!F68+'Frende Skadeforsikring'!F68+'Gjensidige Forsikring'!F68+'Gjensidige Pensjon'!F68+'Handelsbanken Liv'!F68+'If Skadeforsikring NUF'!F68+KLP!F68+'KLP Skadeforsikring AS'!F68+'Landkreditt Forsikring'!F68+'Nordea Liv '!F68+'Oslo Pensjonsforsikring'!F68+'Protector Forsikring'!F68+'SHB Liv'!F68+'Sparebank 1'!F68+'Storebrand Livsforsikring'!F68+'Telenor Forsikring'!F68+'Tryg Forsikring'!F68+'WaterCircles F'!F68+'Codan Forsikring'!F68+'Euro Accident'!F68+'Ly Forsikring'!F68+'Youplus Livsforsikring'!F68</f>
        <v>17877320.361480001</v>
      </c>
      <c r="F68" s="44">
        <f>'Fremtind Livsforsikring'!G68+'Danica Pensjonsforsikring'!G68+'DNB Livsforsikring'!G68+'Eika Forsikring AS'!G68+'Frende Livsforsikring'!G68+'Frende Skadeforsikring'!G68+'Gjensidige Forsikring'!G68+'Gjensidige Pensjon'!G68+'Handelsbanken Liv'!G68+'If Skadeforsikring NUF'!G68+KLP!G68+'KLP Skadeforsikring AS'!G68+'Landkreditt Forsikring'!G68+'Nordea Liv '!G68+'Oslo Pensjonsforsikring'!G68+'Protector Forsikring'!G68+'SHB Liv'!G68+'Sparebank 1'!G68+'Storebrand Livsforsikring'!G68+'Telenor Forsikring'!G68+'Tryg Forsikring'!G68+'WaterCircles F'!G68+'Codan Forsikring'!G68+'Euro Accident'!G68+'Ly Forsikring'!G68+'Youplus Livsforsikring'!G68</f>
        <v>19402305.701930001</v>
      </c>
      <c r="G68" s="166">
        <f t="shared" si="24"/>
        <v>8.5</v>
      </c>
      <c r="H68" s="237">
        <f t="shared" si="25"/>
        <v>17901832.713610001</v>
      </c>
      <c r="I68" s="237">
        <f t="shared" si="26"/>
        <v>19425149.117680002</v>
      </c>
      <c r="J68" s="23">
        <f t="shared" si="27"/>
        <v>8.5</v>
      </c>
    </row>
    <row r="69" spans="1:10" ht="15.75" customHeight="1" x14ac:dyDescent="0.2">
      <c r="A69" s="298" t="s">
        <v>366</v>
      </c>
      <c r="B69" s="235"/>
      <c r="C69" s="235"/>
      <c r="D69" s="27"/>
      <c r="E69" s="235"/>
      <c r="F69" s="235"/>
      <c r="G69" s="166"/>
      <c r="H69" s="235"/>
      <c r="I69" s="235"/>
      <c r="J69" s="23"/>
    </row>
    <row r="70" spans="1:10" ht="15.75" customHeight="1" x14ac:dyDescent="0.2">
      <c r="A70" s="298" t="s">
        <v>12</v>
      </c>
      <c r="B70" s="235"/>
      <c r="C70" s="235"/>
      <c r="D70" s="27"/>
      <c r="E70" s="235"/>
      <c r="F70" s="235"/>
      <c r="G70" s="166"/>
      <c r="H70" s="235"/>
      <c r="I70" s="235"/>
      <c r="J70" s="23"/>
    </row>
    <row r="71" spans="1:10" ht="15.75" customHeight="1" x14ac:dyDescent="0.2">
      <c r="A71" s="298" t="s">
        <v>13</v>
      </c>
      <c r="B71" s="235"/>
      <c r="C71" s="235"/>
      <c r="D71" s="27"/>
      <c r="E71" s="235"/>
      <c r="F71" s="235"/>
      <c r="G71" s="166"/>
      <c r="H71" s="235"/>
      <c r="I71" s="235"/>
      <c r="J71" s="23"/>
    </row>
    <row r="72" spans="1:10" ht="15.75" customHeight="1" x14ac:dyDescent="0.2">
      <c r="A72" s="298" t="s">
        <v>367</v>
      </c>
      <c r="B72" s="235"/>
      <c r="C72" s="235"/>
      <c r="D72" s="27"/>
      <c r="E72" s="235"/>
      <c r="F72" s="235"/>
      <c r="G72" s="166"/>
      <c r="H72" s="235"/>
      <c r="I72" s="235"/>
      <c r="J72" s="24"/>
    </row>
    <row r="73" spans="1:10" ht="15.75" customHeight="1" x14ac:dyDescent="0.2">
      <c r="A73" s="298" t="s">
        <v>12</v>
      </c>
      <c r="B73" s="235"/>
      <c r="C73" s="235"/>
      <c r="D73" s="27"/>
      <c r="E73" s="235"/>
      <c r="F73" s="235"/>
      <c r="G73" s="166"/>
      <c r="H73" s="235"/>
      <c r="I73" s="235"/>
      <c r="J73" s="23"/>
    </row>
    <row r="74" spans="1:10" s="3" customFormat="1" ht="15.75" customHeight="1" x14ac:dyDescent="0.2">
      <c r="A74" s="298" t="s">
        <v>13</v>
      </c>
      <c r="B74" s="235"/>
      <c r="C74" s="235"/>
      <c r="D74" s="27"/>
      <c r="E74" s="235"/>
      <c r="F74" s="235"/>
      <c r="G74" s="166"/>
      <c r="H74" s="235"/>
      <c r="I74" s="235"/>
      <c r="J74" s="23"/>
    </row>
    <row r="75" spans="1:10" s="3" customFormat="1" ht="15.75" customHeight="1" x14ac:dyDescent="0.2">
      <c r="A75" s="21" t="s">
        <v>338</v>
      </c>
      <c r="B75" s="44">
        <f>'Fremtind Livsforsikring'!B75+'Danica Pensjonsforsikring'!B75+'DNB Livsforsikring'!B75+'Eika Forsikring AS'!B75+'Frende Livsforsikring'!B75+'Frende Skadeforsikring'!B75+'Gjensidige Forsikring'!B75+'Gjensidige Pensjon'!B75+'Handelsbanken Liv'!B75+'If Skadeforsikring NUF'!B75+KLP!B75+'KLP Skadeforsikring AS'!B75+'Landkreditt Forsikring'!B75+'Nordea Liv '!B75+'Oslo Pensjonsforsikring'!B75+'Protector Forsikring'!B75+'SHB Liv'!B75+'Sparebank 1'!B75+'Storebrand Livsforsikring'!B75+'Telenor Forsikring'!B75+'Tryg Forsikring'!B75+'WaterCircles F'!B75+'Codan Forsikring'!B75+'Euro Accident'!B75+'Ly Forsikring'!B75+'Youplus Livsforsikring'!B75</f>
        <v>275353.79006000003</v>
      </c>
      <c r="C75" s="44">
        <f>'Fremtind Livsforsikring'!C75+'Danica Pensjonsforsikring'!C75+'DNB Livsforsikring'!C75+'Eika Forsikring AS'!C75+'Frende Livsforsikring'!C75+'Frende Skadeforsikring'!C75+'Gjensidige Forsikring'!C75+'Gjensidige Pensjon'!C75+'Handelsbanken Liv'!C75+'If Skadeforsikring NUF'!C75+KLP!C75+'KLP Skadeforsikring AS'!C75+'Landkreditt Forsikring'!C75+'Nordea Liv '!C75+'Oslo Pensjonsforsikring'!C75+'Protector Forsikring'!C75+'SHB Liv'!C75+'Sparebank 1'!C75+'Storebrand Livsforsikring'!C75+'Telenor Forsikring'!C75+'Tryg Forsikring'!C75+'WaterCircles F'!C75+'Codan Forsikring'!C75+'Euro Accident'!C75+'Ly Forsikring'!C75+'Youplus Livsforsikring'!C75</f>
        <v>334728.41682000004</v>
      </c>
      <c r="D75" s="23">
        <f t="shared" si="23"/>
        <v>21.6</v>
      </c>
      <c r="E75" s="44">
        <f>'Fremtind Livsforsikring'!F75+'Danica Pensjonsforsikring'!F75+'DNB Livsforsikring'!F75+'Eika Forsikring AS'!F75+'Frende Livsforsikring'!F75+'Frende Skadeforsikring'!F75+'Gjensidige Forsikring'!F75+'Gjensidige Pensjon'!F75+'Handelsbanken Liv'!F75+'If Skadeforsikring NUF'!F75+KLP!F75+'KLP Skadeforsikring AS'!F75+'Landkreditt Forsikring'!F75+'Nordea Liv '!F75+'Oslo Pensjonsforsikring'!F75+'Protector Forsikring'!F75+'SHB Liv'!F75+'Sparebank 1'!F75+'Storebrand Livsforsikring'!F75+'Telenor Forsikring'!F75+'Tryg Forsikring'!F75+'WaterCircles F'!F75+'Codan Forsikring'!F75+'Euro Accident'!F75+'Ly Forsikring'!F75+'Youplus Livsforsikring'!F75</f>
        <v>739070.53264999995</v>
      </c>
      <c r="F75" s="44">
        <f>'Fremtind Livsforsikring'!G75+'Danica Pensjonsforsikring'!G75+'DNB Livsforsikring'!G75+'Eika Forsikring AS'!G75+'Frende Livsforsikring'!G75+'Frende Skadeforsikring'!G75+'Gjensidige Forsikring'!G75+'Gjensidige Pensjon'!G75+'Handelsbanken Liv'!G75+'If Skadeforsikring NUF'!G75+KLP!G75+'KLP Skadeforsikring AS'!G75+'Landkreditt Forsikring'!G75+'Nordea Liv '!G75+'Oslo Pensjonsforsikring'!G75+'Protector Forsikring'!G75+'SHB Liv'!G75+'Sparebank 1'!G75+'Storebrand Livsforsikring'!G75+'Telenor Forsikring'!G75+'Tryg Forsikring'!G75+'WaterCircles F'!G75+'Codan Forsikring'!G75+'Euro Accident'!G75+'Ly Forsikring'!G75+'Youplus Livsforsikring'!G75</f>
        <v>796349.47939999995</v>
      </c>
      <c r="G75" s="166">
        <f t="shared" ref="G75:G79" si="28">IF(E75=0, "    ---- ", IF(ABS(ROUND(100/E75*F75-100,1))&lt;999,ROUND(100/E75*F75-100,1),IF(ROUND(100/E75*F75-100,1)&gt;999,999,-999)))</f>
        <v>7.8</v>
      </c>
      <c r="H75" s="237">
        <f t="shared" si="25"/>
        <v>1014424.32271</v>
      </c>
      <c r="I75" s="237">
        <f t="shared" si="26"/>
        <v>1131077.89622</v>
      </c>
      <c r="J75" s="23">
        <f t="shared" si="27"/>
        <v>11.5</v>
      </c>
    </row>
    <row r="76" spans="1:10" s="3" customFormat="1" ht="15.75" customHeight="1" x14ac:dyDescent="0.2">
      <c r="A76" s="21" t="s">
        <v>337</v>
      </c>
      <c r="B76" s="44">
        <f>'Fremtind Livsforsikring'!B76+'Danica Pensjonsforsikring'!B76+'DNB Livsforsikring'!B76+'Eika Forsikring AS'!B76+'Frende Livsforsikring'!B76+'Frende Skadeforsikring'!B76+'Gjensidige Forsikring'!B76+'Gjensidige Pensjon'!B76+'Handelsbanken Liv'!B76+'If Skadeforsikring NUF'!B76+KLP!B76+'KLP Skadeforsikring AS'!B76+'Landkreditt Forsikring'!B76+'Nordea Liv '!B76+'Oslo Pensjonsforsikring'!B76+'Protector Forsikring'!B76+'SHB Liv'!B76+'Sparebank 1'!B76+'Storebrand Livsforsikring'!B76+'Telenor Forsikring'!B76+'Tryg Forsikring'!B76+'WaterCircles F'!B76+'Codan Forsikring'!B76+'Euro Accident'!B76+'Ly Forsikring'!B76+'Youplus Livsforsikring'!B76</f>
        <v>962561.63780798507</v>
      </c>
      <c r="C76" s="44">
        <f>'Fremtind Livsforsikring'!C76+'Danica Pensjonsforsikring'!C76+'DNB Livsforsikring'!C76+'Eika Forsikring AS'!C76+'Frende Livsforsikring'!C76+'Frende Skadeforsikring'!C76+'Gjensidige Forsikring'!C76+'Gjensidige Pensjon'!C76+'Handelsbanken Liv'!C76+'If Skadeforsikring NUF'!C76+KLP!C76+'KLP Skadeforsikring AS'!C76+'Landkreditt Forsikring'!C76+'Nordea Liv '!C76+'Oslo Pensjonsforsikring'!C76+'Protector Forsikring'!C76+'SHB Liv'!C76+'Sparebank 1'!C76+'Storebrand Livsforsikring'!C76+'Telenor Forsikring'!C76+'Tryg Forsikring'!C76+'WaterCircles F'!C76+'Codan Forsikring'!C76+'Euro Accident'!C76+'Ly Forsikring'!C76+'Youplus Livsforsikring'!C76</f>
        <v>1085730.957744461</v>
      </c>
      <c r="D76" s="23">
        <f t="shared" ref="D76" si="29">IF(B76=0, "    ---- ", IF(ABS(ROUND(100/B76*C76-100,1))&lt;999,ROUND(100/B76*C76-100,1),IF(ROUND(100/B76*C76-100,1)&gt;999,999,-999)))</f>
        <v>12.8</v>
      </c>
      <c r="E76" s="44"/>
      <c r="F76" s="44"/>
      <c r="G76" s="166"/>
      <c r="H76" s="237">
        <f t="shared" ref="H76" si="30">SUM(B76,E76)</f>
        <v>962561.63780798507</v>
      </c>
      <c r="I76" s="237">
        <f t="shared" ref="I76" si="31">SUM(C76,F76)</f>
        <v>1085730.957744461</v>
      </c>
      <c r="J76" s="23">
        <f t="shared" ref="J76" si="32">IF(H76=0, "    ---- ", IF(ABS(ROUND(100/H76*I76-100,1))&lt;999,ROUND(100/H76*I76-100,1),IF(ROUND(100/H76*I76-100,1)&gt;999,999,-999)))</f>
        <v>12.8</v>
      </c>
    </row>
    <row r="77" spans="1:10" ht="15.75" customHeight="1" x14ac:dyDescent="0.2">
      <c r="A77" s="21" t="s">
        <v>368</v>
      </c>
      <c r="B77" s="44">
        <f>'Fremtind Livsforsikring'!B77+'Danica Pensjonsforsikring'!B77+'DNB Livsforsikring'!B77+'Eika Forsikring AS'!B77+'Frende Livsforsikring'!B77+'Frende Skadeforsikring'!B77+'Gjensidige Forsikring'!B77+'Gjensidige Pensjon'!B77+'Handelsbanken Liv'!B77+'If Skadeforsikring NUF'!B77+KLP!B77+'KLP Skadeforsikring AS'!B77+'Landkreditt Forsikring'!B77+'Nordea Liv '!B77+'Oslo Pensjonsforsikring'!B77+'Protector Forsikring'!B77+'SHB Liv'!B77+'Sparebank 1'!B77+'Storebrand Livsforsikring'!B77+'Telenor Forsikring'!B77+'Tryg Forsikring'!B77+'WaterCircles F'!B77+'Codan Forsikring'!B77+'Euro Accident'!B77+'Ly Forsikring'!B77+'Youplus Livsforsikring'!B77</f>
        <v>3356915.9514820147</v>
      </c>
      <c r="C77" s="44">
        <f>'Fremtind Livsforsikring'!C77+'Danica Pensjonsforsikring'!C77+'DNB Livsforsikring'!C77+'Eika Forsikring AS'!C77+'Frende Livsforsikring'!C77+'Frende Skadeforsikring'!C77+'Gjensidige Forsikring'!C77+'Gjensidige Pensjon'!C77+'Handelsbanken Liv'!C77+'If Skadeforsikring NUF'!C77+KLP!C77+'KLP Skadeforsikring AS'!C77+'Landkreditt Forsikring'!C77+'Nordea Liv '!C77+'Oslo Pensjonsforsikring'!C77+'Protector Forsikring'!C77+'SHB Liv'!C77+'Sparebank 1'!C77+'Storebrand Livsforsikring'!C77+'Telenor Forsikring'!C77+'Tryg Forsikring'!C77+'WaterCircles F'!C77+'Codan Forsikring'!C77+'Euro Accident'!C77+'Ly Forsikring'!C77+'Youplus Livsforsikring'!C77</f>
        <v>2880660.9760555392</v>
      </c>
      <c r="D77" s="23">
        <f t="shared" si="23"/>
        <v>-14.2</v>
      </c>
      <c r="E77" s="44">
        <f>'Fremtind Livsforsikring'!F77+'Danica Pensjonsforsikring'!F77+'DNB Livsforsikring'!F77+'Eika Forsikring AS'!F77+'Frende Livsforsikring'!F77+'Frende Skadeforsikring'!F77+'Gjensidige Forsikring'!F77+'Gjensidige Pensjon'!F77+'Handelsbanken Liv'!F77+'If Skadeforsikring NUF'!F77+KLP!F77+'KLP Skadeforsikring AS'!F77+'Landkreditt Forsikring'!F77+'Nordea Liv '!F77+'Oslo Pensjonsforsikring'!F77+'Protector Forsikring'!F77+'SHB Liv'!F77+'Sparebank 1'!F77+'Storebrand Livsforsikring'!F77+'Telenor Forsikring'!F77+'Tryg Forsikring'!F77+'WaterCircles F'!F77+'Codan Forsikring'!F77+'Euro Accident'!F77+'Ly Forsikring'!F77+'Youplus Livsforsikring'!F77</f>
        <v>17871016.28664</v>
      </c>
      <c r="F77" s="44">
        <f>'Fremtind Livsforsikring'!G77+'Danica Pensjonsforsikring'!G77+'DNB Livsforsikring'!G77+'Eika Forsikring AS'!G77+'Frende Livsforsikring'!G77+'Frende Skadeforsikring'!G77+'Gjensidige Forsikring'!G77+'Gjensidige Pensjon'!G77+'Handelsbanken Liv'!G77+'If Skadeforsikring NUF'!G77+KLP!G77+'KLP Skadeforsikring AS'!G77+'Landkreditt Forsikring'!G77+'Nordea Liv '!G77+'Oslo Pensjonsforsikring'!G77+'Protector Forsikring'!G77+'SHB Liv'!G77+'Sparebank 1'!G77+'Storebrand Livsforsikring'!G77+'Telenor Forsikring'!G77+'Tryg Forsikring'!G77+'WaterCircles F'!G77+'Codan Forsikring'!G77+'Euro Accident'!G77+'Ly Forsikring'!G77+'Youplus Livsforsikring'!G77</f>
        <v>19395511.562070001</v>
      </c>
      <c r="G77" s="166">
        <f t="shared" si="28"/>
        <v>8.5</v>
      </c>
      <c r="H77" s="237">
        <f t="shared" si="25"/>
        <v>21227932.238122016</v>
      </c>
      <c r="I77" s="237">
        <f t="shared" si="26"/>
        <v>22276172.538125541</v>
      </c>
      <c r="J77" s="23">
        <f t="shared" si="27"/>
        <v>4.9000000000000004</v>
      </c>
    </row>
    <row r="78" spans="1:10" ht="15.75" customHeight="1" x14ac:dyDescent="0.2">
      <c r="A78" s="21" t="s">
        <v>9</v>
      </c>
      <c r="B78" s="44">
        <f>'Fremtind Livsforsikring'!B78+'Danica Pensjonsforsikring'!B78+'DNB Livsforsikring'!B78+'Eika Forsikring AS'!B78+'Frende Livsforsikring'!B78+'Frende Skadeforsikring'!B78+'Gjensidige Forsikring'!B78+'Gjensidige Pensjon'!B78+'Handelsbanken Liv'!B78+'If Skadeforsikring NUF'!B78+KLP!B78+'KLP Skadeforsikring AS'!B78+'Landkreditt Forsikring'!B78+'Nordea Liv '!B78+'Oslo Pensjonsforsikring'!B78+'Protector Forsikring'!B78+'SHB Liv'!B78+'Sparebank 1'!B78+'Storebrand Livsforsikring'!B78+'Telenor Forsikring'!B78+'Tryg Forsikring'!B78+'WaterCircles F'!B78+'Codan Forsikring'!B78+'Euro Accident'!B78+'Ly Forsikring'!B78+'Youplus Livsforsikring'!B78</f>
        <v>3333641.4073520144</v>
      </c>
      <c r="C78" s="44">
        <f>'Fremtind Livsforsikring'!C78+'Danica Pensjonsforsikring'!C78+'DNB Livsforsikring'!C78+'Eika Forsikring AS'!C78+'Frende Livsforsikring'!C78+'Frende Skadeforsikring'!C78+'Gjensidige Forsikring'!C78+'Gjensidige Pensjon'!C78+'Handelsbanken Liv'!C78+'If Skadeforsikring NUF'!C78+KLP!C78+'KLP Skadeforsikring AS'!C78+'Landkreditt Forsikring'!C78+'Nordea Liv '!C78+'Oslo Pensjonsforsikring'!C78+'Protector Forsikring'!C78+'SHB Liv'!C78+'Sparebank 1'!C78+'Storebrand Livsforsikring'!C78+'Telenor Forsikring'!C78+'Tryg Forsikring'!C78+'WaterCircles F'!C78+'Codan Forsikring'!C78+'Euro Accident'!C78+'Ly Forsikring'!C78+'Youplus Livsforsikring'!C78</f>
        <v>2859330.0123055391</v>
      </c>
      <c r="D78" s="23">
        <f t="shared" si="23"/>
        <v>-14.2</v>
      </c>
      <c r="E78" s="44"/>
      <c r="F78" s="44"/>
      <c r="G78" s="166"/>
      <c r="H78" s="237">
        <f t="shared" si="25"/>
        <v>3333641.4073520144</v>
      </c>
      <c r="I78" s="237">
        <f t="shared" si="26"/>
        <v>2859330.0123055391</v>
      </c>
      <c r="J78" s="23">
        <f t="shared" si="27"/>
        <v>-14.2</v>
      </c>
    </row>
    <row r="79" spans="1:10" ht="15.75" customHeight="1" x14ac:dyDescent="0.2">
      <c r="A79" s="38" t="s">
        <v>403</v>
      </c>
      <c r="B79" s="44">
        <f>'Fremtind Livsforsikring'!B79+'Danica Pensjonsforsikring'!B79+'DNB Livsforsikring'!B79+'Eika Forsikring AS'!B79+'Frende Livsforsikring'!B79+'Frende Skadeforsikring'!B79+'Gjensidige Forsikring'!B79+'Gjensidige Pensjon'!B79+'Handelsbanken Liv'!B79+'If Skadeforsikring NUF'!B79+KLP!B79+'KLP Skadeforsikring AS'!B79+'Landkreditt Forsikring'!B79+'Nordea Liv '!B79+'Oslo Pensjonsforsikring'!B79+'Protector Forsikring'!B79+'SHB Liv'!B79+'Sparebank 1'!B79+'Storebrand Livsforsikring'!B79+'Telenor Forsikring'!B79+'Tryg Forsikring'!B79+'WaterCircles F'!B79+'Codan Forsikring'!B79+'Euro Accident'!B79+'Ly Forsikring'!B79+'Youplus Livsforsikring'!B79</f>
        <v>23274.544129999998</v>
      </c>
      <c r="C79" s="44">
        <f>'Fremtind Livsforsikring'!C79+'Danica Pensjonsforsikring'!C79+'DNB Livsforsikring'!C79+'Eika Forsikring AS'!C79+'Frende Livsforsikring'!C79+'Frende Skadeforsikring'!C79+'Gjensidige Forsikring'!C79+'Gjensidige Pensjon'!C79+'Handelsbanken Liv'!C79+'If Skadeforsikring NUF'!C79+KLP!C79+'KLP Skadeforsikring AS'!C79+'Landkreditt Forsikring'!C79+'Nordea Liv '!C79+'Oslo Pensjonsforsikring'!C79+'Protector Forsikring'!C79+'SHB Liv'!C79+'Sparebank 1'!C79+'Storebrand Livsforsikring'!C79+'Telenor Forsikring'!C79+'Tryg Forsikring'!C79+'WaterCircles F'!C79+'Codan Forsikring'!C79+'Euro Accident'!C79+'Ly Forsikring'!C79+'Youplus Livsforsikring'!C79</f>
        <v>21330.963749999999</v>
      </c>
      <c r="D79" s="23">
        <f t="shared" si="23"/>
        <v>-8.4</v>
      </c>
      <c r="E79" s="44">
        <f>'Fremtind Livsforsikring'!F79+'Danica Pensjonsforsikring'!F79+'DNB Livsforsikring'!F79+'Eika Forsikring AS'!F79+'Frende Livsforsikring'!F79+'Frende Skadeforsikring'!F79+'Gjensidige Forsikring'!F79+'Gjensidige Pensjon'!F79+'Handelsbanken Liv'!F79+'If Skadeforsikring NUF'!F79+KLP!F79+'KLP Skadeforsikring AS'!F79+'Landkreditt Forsikring'!F79+'Nordea Liv '!F79+'Oslo Pensjonsforsikring'!F79+'Protector Forsikring'!F79+'SHB Liv'!F79+'Sparebank 1'!F79+'Storebrand Livsforsikring'!F79+'Telenor Forsikring'!F79+'Tryg Forsikring'!F79+'WaterCircles F'!F79+'Codan Forsikring'!F79+'Euro Accident'!F79+'Ly Forsikring'!F79+'Youplus Livsforsikring'!F79</f>
        <v>17871016.28664</v>
      </c>
      <c r="F79" s="44">
        <f>'Fremtind Livsforsikring'!G79+'Danica Pensjonsforsikring'!G79+'DNB Livsforsikring'!G79+'Eika Forsikring AS'!G79+'Frende Livsforsikring'!G79+'Frende Skadeforsikring'!G79+'Gjensidige Forsikring'!G79+'Gjensidige Pensjon'!G79+'Handelsbanken Liv'!G79+'If Skadeforsikring NUF'!G79+KLP!G79+'KLP Skadeforsikring AS'!G79+'Landkreditt Forsikring'!G79+'Nordea Liv '!G79+'Oslo Pensjonsforsikring'!G79+'Protector Forsikring'!G79+'SHB Liv'!G79+'Sparebank 1'!G79+'Storebrand Livsforsikring'!G79+'Telenor Forsikring'!G79+'Tryg Forsikring'!G79+'WaterCircles F'!G79+'Codan Forsikring'!G79+'Euro Accident'!G79+'Ly Forsikring'!G79+'Youplus Livsforsikring'!G79</f>
        <v>19395511.562070001</v>
      </c>
      <c r="G79" s="166">
        <f t="shared" si="28"/>
        <v>8.5</v>
      </c>
      <c r="H79" s="237">
        <f t="shared" si="25"/>
        <v>17894290.830770001</v>
      </c>
      <c r="I79" s="237">
        <f t="shared" si="26"/>
        <v>19416842.525820002</v>
      </c>
      <c r="J79" s="23">
        <f t="shared" si="27"/>
        <v>8.5</v>
      </c>
    </row>
    <row r="80" spans="1:10" ht="15.75" customHeight="1" x14ac:dyDescent="0.2">
      <c r="A80" s="298" t="s">
        <v>366</v>
      </c>
      <c r="B80" s="235"/>
      <c r="C80" s="235"/>
      <c r="D80" s="27"/>
      <c r="E80" s="235"/>
      <c r="F80" s="235"/>
      <c r="G80" s="166"/>
      <c r="H80" s="235"/>
      <c r="I80" s="235"/>
      <c r="J80" s="23"/>
    </row>
    <row r="81" spans="1:15" ht="15.75" customHeight="1" x14ac:dyDescent="0.2">
      <c r="A81" s="298" t="s">
        <v>12</v>
      </c>
      <c r="B81" s="235"/>
      <c r="C81" s="235"/>
      <c r="D81" s="27"/>
      <c r="E81" s="235"/>
      <c r="F81" s="235"/>
      <c r="G81" s="166"/>
      <c r="H81" s="235"/>
      <c r="I81" s="235"/>
      <c r="J81" s="23"/>
    </row>
    <row r="82" spans="1:15" ht="15.75" customHeight="1" x14ac:dyDescent="0.2">
      <c r="A82" s="298" t="s">
        <v>13</v>
      </c>
      <c r="B82" s="235"/>
      <c r="C82" s="235"/>
      <c r="D82" s="27"/>
      <c r="E82" s="235"/>
      <c r="F82" s="235"/>
      <c r="G82" s="166"/>
      <c r="H82" s="235"/>
      <c r="I82" s="235"/>
      <c r="J82" s="23"/>
    </row>
    <row r="83" spans="1:15" ht="15.75" customHeight="1" x14ac:dyDescent="0.2">
      <c r="A83" s="298" t="s">
        <v>367</v>
      </c>
      <c r="B83" s="235"/>
      <c r="C83" s="235"/>
      <c r="D83" s="27"/>
      <c r="E83" s="235"/>
      <c r="F83" s="235"/>
      <c r="G83" s="166"/>
      <c r="H83" s="235"/>
      <c r="I83" s="235"/>
      <c r="J83" s="24"/>
    </row>
    <row r="84" spans="1:15" ht="15.75" customHeight="1" x14ac:dyDescent="0.2">
      <c r="A84" s="298" t="s">
        <v>12</v>
      </c>
      <c r="B84" s="235"/>
      <c r="C84" s="235"/>
      <c r="D84" s="27"/>
      <c r="E84" s="235"/>
      <c r="F84" s="235"/>
      <c r="G84" s="166"/>
      <c r="H84" s="235"/>
      <c r="I84" s="235"/>
      <c r="J84" s="23"/>
    </row>
    <row r="85" spans="1:15" ht="15.75" customHeight="1" x14ac:dyDescent="0.2">
      <c r="A85" s="298" t="s">
        <v>13</v>
      </c>
      <c r="B85" s="235"/>
      <c r="C85" s="235"/>
      <c r="D85" s="27"/>
      <c r="E85" s="235"/>
      <c r="F85" s="235"/>
      <c r="G85" s="166"/>
      <c r="H85" s="235"/>
      <c r="I85" s="235"/>
      <c r="J85" s="23"/>
    </row>
    <row r="86" spans="1:15" ht="15.75" customHeight="1" x14ac:dyDescent="0.2">
      <c r="A86" s="21" t="s">
        <v>369</v>
      </c>
      <c r="B86" s="234">
        <f>'Fremtind Livsforsikring'!B86+'Danica Pensjonsforsikring'!B86+'DNB Livsforsikring'!B86+'Eika Forsikring AS'!B86+'Frende Livsforsikring'!B86+'Frende Skadeforsikring'!B86+'Gjensidige Forsikring'!B86+'Gjensidige Pensjon'!B86+'Handelsbanken Liv'!B86+'If Skadeforsikring NUF'!B86+KLP!B86+'KLP Skadeforsikring AS'!B86+'Landkreditt Forsikring'!B86+'Nordea Liv '!B86+'Oslo Pensjonsforsikring'!B86+'Protector Forsikring'!B86+'SHB Liv'!B86+'Sparebank 1'!B86+'Storebrand Livsforsikring'!B86+'Telenor Forsikring'!B86+'Tryg Forsikring'!B86+'WaterCircles F'!B86+'Codan Forsikring'!B86+'Euro Accident'!B86+'Ly Forsikring'!B86+'Youplus Livsforsikring'!B86</f>
        <v>84452.225999999995</v>
      </c>
      <c r="C86" s="234">
        <f>'Fremtind Livsforsikring'!C86+'Danica Pensjonsforsikring'!C86+'DNB Livsforsikring'!C86+'Eika Forsikring AS'!C86+'Frende Livsforsikring'!C86+'Frende Skadeforsikring'!C86+'Gjensidige Forsikring'!C86+'Gjensidige Pensjon'!C86+'Handelsbanken Liv'!C86+'If Skadeforsikring NUF'!C86+KLP!C86+'KLP Skadeforsikring AS'!C86+'Landkreditt Forsikring'!C86+'Nordea Liv '!C86+'Oslo Pensjonsforsikring'!C86+'Protector Forsikring'!C86+'SHB Liv'!C86+'Sparebank 1'!C86+'Storebrand Livsforsikring'!C86+'Telenor Forsikring'!C86+'Tryg Forsikring'!C86+'WaterCircles F'!C86+'Codan Forsikring'!C86+'Euro Accident'!C86+'Ly Forsikring'!C86+'Youplus Livsforsikring'!C86</f>
        <v>67838.02</v>
      </c>
      <c r="D86" s="23">
        <f t="shared" si="23"/>
        <v>-19.7</v>
      </c>
      <c r="E86" s="44">
        <f>'Fremtind Livsforsikring'!F86+'Danica Pensjonsforsikring'!F86+'DNB Livsforsikring'!F86+'Eika Forsikring AS'!F86+'Frende Livsforsikring'!F86+'Frende Skadeforsikring'!F86+'Gjensidige Forsikring'!F86+'Gjensidige Pensjon'!F86+'Handelsbanken Liv'!F86+'If Skadeforsikring NUF'!F86+KLP!F86+'KLP Skadeforsikring AS'!F86+'Landkreditt Forsikring'!F86+'Nordea Liv '!F86+'Oslo Pensjonsforsikring'!F86+'Protector Forsikring'!F86+'SHB Liv'!F86+'Sparebank 1'!F86+'Storebrand Livsforsikring'!F86+'Telenor Forsikring'!F86+'Tryg Forsikring'!F86+'WaterCircles F'!F86+'Codan Forsikring'!F86+'Euro Accident'!F86+'Ly Forsikring'!F86+'Youplus Livsforsikring'!F86</f>
        <v>6304.0748400000002</v>
      </c>
      <c r="F86" s="44">
        <f>'Fremtind Livsforsikring'!G86+'Danica Pensjonsforsikring'!G86+'DNB Livsforsikring'!G86+'Eika Forsikring AS'!G86+'Frende Livsforsikring'!G86+'Frende Skadeforsikring'!G86+'Gjensidige Forsikring'!G86+'Gjensidige Pensjon'!G86+'Handelsbanken Liv'!G86+'If Skadeforsikring NUF'!G86+KLP!G86+'KLP Skadeforsikring AS'!G86+'Landkreditt Forsikring'!G86+'Nordea Liv '!G86+'Oslo Pensjonsforsikring'!G86+'Protector Forsikring'!G86+'SHB Liv'!G86+'Sparebank 1'!G86+'Storebrand Livsforsikring'!G86+'Telenor Forsikring'!G86+'Tryg Forsikring'!G86+'WaterCircles F'!G86+'Codan Forsikring'!G86+'Euro Accident'!G86+'Ly Forsikring'!G86+'Youplus Livsforsikring'!G86</f>
        <v>6794.1398600000002</v>
      </c>
      <c r="G86" s="166">
        <f t="shared" ref="G86:G89" si="33">IF(E86=0, "    ---- ", IF(ABS(ROUND(100/E86*F86-100,1))&lt;999,ROUND(100/E86*F86-100,1),IF(ROUND(100/E86*F86-100,1)&gt;999,999,-999)))</f>
        <v>7.8</v>
      </c>
      <c r="H86" s="237">
        <f t="shared" si="25"/>
        <v>90756.300839999996</v>
      </c>
      <c r="I86" s="237">
        <f t="shared" si="26"/>
        <v>74632.15986</v>
      </c>
      <c r="J86" s="23">
        <f t="shared" si="27"/>
        <v>-17.8</v>
      </c>
    </row>
    <row r="87" spans="1:15" s="43" customFormat="1" ht="15.75" customHeight="1" x14ac:dyDescent="0.2">
      <c r="A87" s="13" t="s">
        <v>351</v>
      </c>
      <c r="B87" s="310">
        <f>'Fremtind Livsforsikring'!B87+'Danica Pensjonsforsikring'!B87+'DNB Livsforsikring'!B87+'Eika Forsikring AS'!B87+'Frende Livsforsikring'!B87+'Frende Skadeforsikring'!B87+'Gjensidige Forsikring'!B87+'Gjensidige Pensjon'!B87+'Handelsbanken Liv'!B87+'If Skadeforsikring NUF'!B87+KLP!B87+'KLP Skadeforsikring AS'!B87+'Landkreditt Forsikring'!B87+'Nordea Liv '!B87+'Oslo Pensjonsforsikring'!B87+'Protector Forsikring'!B87+'SHB Liv'!B87+'Sparebank 1'!B87+'Storebrand Livsforsikring'!B87+'Telenor Forsikring'!B87+'Tryg Forsikring'!B87+'WaterCircles F'!B87+'Codan Forsikring'!B87+'Euro Accident'!B87+'Ly Forsikring'!B87+'Youplus Livsforsikring'!B87</f>
        <v>402578891.17085534</v>
      </c>
      <c r="C87" s="310">
        <f>'Fremtind Livsforsikring'!C87+'Danica Pensjonsforsikring'!C87+'DNB Livsforsikring'!C87+'Eika Forsikring AS'!C87+'Frende Livsforsikring'!C87+'Frende Skadeforsikring'!C87+'Gjensidige Forsikring'!C87+'Gjensidige Pensjon'!C87+'Handelsbanken Liv'!C87+'If Skadeforsikring NUF'!C87+KLP!C87+'KLP Skadeforsikring AS'!C87+'Landkreditt Forsikring'!C87+'Nordea Liv '!C87+'Oslo Pensjonsforsikring'!C87+'Protector Forsikring'!C87+'SHB Liv'!C87+'Sparebank 1'!C87+'Storebrand Livsforsikring'!C87+'Telenor Forsikring'!C87+'Tryg Forsikring'!C87+'WaterCircles F'!C87+'Codan Forsikring'!C87+'Euro Accident'!C87+'Ly Forsikring'!C87+'Youplus Livsforsikring'!C87</f>
        <v>403282680.45131111</v>
      </c>
      <c r="D87" s="24">
        <f t="shared" si="23"/>
        <v>0.2</v>
      </c>
      <c r="E87" s="236">
        <f>'Fremtind Livsforsikring'!F87+'Danica Pensjonsforsikring'!F87+'DNB Livsforsikring'!F87+'Eika Forsikring AS'!F87+'Frende Livsforsikring'!F87+'Frende Skadeforsikring'!F87+'Gjensidige Forsikring'!F87+'Gjensidige Pensjon'!F87+'Handelsbanken Liv'!F87+'If Skadeforsikring NUF'!F87+KLP!F87+'KLP Skadeforsikring AS'!F87+'Landkreditt Forsikring'!F87+'Nordea Liv '!F87+'Oslo Pensjonsforsikring'!F87+'Protector Forsikring'!F87+'SHB Liv'!F87+'Sparebank 1'!F87+'Storebrand Livsforsikring'!F87+'Telenor Forsikring'!F87+'Tryg Forsikring'!F87+'WaterCircles F'!F87+'Codan Forsikring'!F87+'Euro Accident'!F87+'Ly Forsikring'!F87+'Youplus Livsforsikring'!F87</f>
        <v>418410014.35985005</v>
      </c>
      <c r="F87" s="236">
        <f>'Fremtind Livsforsikring'!G87+'Danica Pensjonsforsikring'!G87+'DNB Livsforsikring'!G87+'Eika Forsikring AS'!G87+'Frende Livsforsikring'!G87+'Frende Skadeforsikring'!G87+'Gjensidige Forsikring'!G87+'Gjensidige Pensjon'!G87+'Handelsbanken Liv'!G87+'If Skadeforsikring NUF'!G87+KLP!G87+'KLP Skadeforsikring AS'!G87+'Landkreditt Forsikring'!G87+'Nordea Liv '!G87+'Oslo Pensjonsforsikring'!G87+'Protector Forsikring'!G87+'SHB Liv'!G87+'Sparebank 1'!G87+'Storebrand Livsforsikring'!G87+'Telenor Forsikring'!G87+'Tryg Forsikring'!G87+'WaterCircles F'!G87+'Codan Forsikring'!G87+'Euro Accident'!G87+'Ly Forsikring'!G87+'Youplus Livsforsikring'!G87</f>
        <v>418030758.43494493</v>
      </c>
      <c r="G87" s="171">
        <f t="shared" si="33"/>
        <v>-0.1</v>
      </c>
      <c r="H87" s="330">
        <f t="shared" ref="H87:H111" si="34">SUM(B87,E87)</f>
        <v>820988905.53070545</v>
      </c>
      <c r="I87" s="330">
        <f t="shared" ref="I87:I111" si="35">SUM(C87,F87)</f>
        <v>821313438.88625598</v>
      </c>
      <c r="J87" s="666">
        <f t="shared" si="27"/>
        <v>0</v>
      </c>
    </row>
    <row r="88" spans="1:15" ht="15.75" customHeight="1" x14ac:dyDescent="0.2">
      <c r="A88" s="21" t="s">
        <v>9</v>
      </c>
      <c r="B88" s="234">
        <f>'Fremtind Livsforsikring'!B88+'Danica Pensjonsforsikring'!B88+'DNB Livsforsikring'!B88+'Eika Forsikring AS'!B88+'Frende Livsforsikring'!B88+'Frende Skadeforsikring'!B88+'Gjensidige Forsikring'!B88+'Gjensidige Pensjon'!B88+'Handelsbanken Liv'!B88+'If Skadeforsikring NUF'!B88+KLP!B88+'KLP Skadeforsikring AS'!B88+'Landkreditt Forsikring'!B88+'Nordea Liv '!B88+'Oslo Pensjonsforsikring'!B88+'Protector Forsikring'!B88+'SHB Liv'!B88+'Sparebank 1'!B88+'Storebrand Livsforsikring'!B88+'Telenor Forsikring'!B88+'Tryg Forsikring'!B88+'WaterCircles F'!B88+'Codan Forsikring'!B88+'Euro Accident'!B88+'Ly Forsikring'!B88+'Youplus Livsforsikring'!B88</f>
        <v>389755064.82474071</v>
      </c>
      <c r="C88" s="234">
        <f>'Fremtind Livsforsikring'!C88+'Danica Pensjonsforsikring'!C88+'DNB Livsforsikring'!C88+'Eika Forsikring AS'!C88+'Frende Livsforsikring'!C88+'Frende Skadeforsikring'!C88+'Gjensidige Forsikring'!C88+'Gjensidige Pensjon'!C88+'Handelsbanken Liv'!C88+'If Skadeforsikring NUF'!C88+KLP!C88+'KLP Skadeforsikring AS'!C88+'Landkreditt Forsikring'!C88+'Nordea Liv '!C88+'Oslo Pensjonsforsikring'!C88+'Protector Forsikring'!C88+'SHB Liv'!C88+'Sparebank 1'!C88+'Storebrand Livsforsikring'!C88+'Telenor Forsikring'!C88+'Tryg Forsikring'!C88+'WaterCircles F'!C88+'Codan Forsikring'!C88+'Euro Accident'!C88+'Ly Forsikring'!C88+'Youplus Livsforsikring'!C88</f>
        <v>388382075.7506395</v>
      </c>
      <c r="D88" s="23">
        <f t="shared" si="23"/>
        <v>-0.4</v>
      </c>
      <c r="E88" s="44"/>
      <c r="F88" s="44"/>
      <c r="G88" s="166"/>
      <c r="H88" s="237">
        <f t="shared" si="34"/>
        <v>389755064.82474071</v>
      </c>
      <c r="I88" s="237">
        <f t="shared" si="35"/>
        <v>388382075.7506395</v>
      </c>
      <c r="J88" s="23">
        <f t="shared" si="27"/>
        <v>-0.4</v>
      </c>
      <c r="O88" s="149"/>
    </row>
    <row r="89" spans="1:15" ht="15.75" customHeight="1" x14ac:dyDescent="0.2">
      <c r="A89" s="21" t="s">
        <v>10</v>
      </c>
      <c r="B89" s="234">
        <f>'Fremtind Livsforsikring'!B89+'Danica Pensjonsforsikring'!B89+'DNB Livsforsikring'!B89+'Eika Forsikring AS'!B89+'Frende Livsforsikring'!B89+'Frende Skadeforsikring'!B89+'Gjensidige Forsikring'!B89+'Gjensidige Pensjon'!B89+'Handelsbanken Liv'!B89+'If Skadeforsikring NUF'!B89+KLP!B89+'KLP Skadeforsikring AS'!B89+'Landkreditt Forsikring'!B89+'Nordea Liv '!B89+'Oslo Pensjonsforsikring'!B89+'Protector Forsikring'!B89+'SHB Liv'!B89+'Sparebank 1'!B89+'Storebrand Livsforsikring'!B89+'Telenor Forsikring'!B89+'Tryg Forsikring'!B89+'WaterCircles F'!B89+'Codan Forsikring'!B89+'Euro Accident'!B89+'Ly Forsikring'!B89+'Youplus Livsforsikring'!B89</f>
        <v>3085371.1043245704</v>
      </c>
      <c r="C89" s="234">
        <f>'Fremtind Livsforsikring'!C89+'Danica Pensjonsforsikring'!C89+'DNB Livsforsikring'!C89+'Eika Forsikring AS'!C89+'Frende Livsforsikring'!C89+'Frende Skadeforsikring'!C89+'Gjensidige Forsikring'!C89+'Gjensidige Pensjon'!C89+'Handelsbanken Liv'!C89+'If Skadeforsikring NUF'!C89+KLP!C89+'KLP Skadeforsikring AS'!C89+'Landkreditt Forsikring'!C89+'Nordea Liv '!C89+'Oslo Pensjonsforsikring'!C89+'Protector Forsikring'!C89+'SHB Liv'!C89+'Sparebank 1'!C89+'Storebrand Livsforsikring'!C89+'Telenor Forsikring'!C89+'Tryg Forsikring'!C89+'WaterCircles F'!C89+'Codan Forsikring'!C89+'Euro Accident'!C89+'Ly Forsikring'!C89+'Youplus Livsforsikring'!C89</f>
        <v>3333016.8558115801</v>
      </c>
      <c r="D89" s="23">
        <f t="shared" si="23"/>
        <v>8</v>
      </c>
      <c r="E89" s="44">
        <f>'Fremtind Livsforsikring'!F89+'Danica Pensjonsforsikring'!F89+'DNB Livsforsikring'!F89+'Eika Forsikring AS'!F89+'Frende Livsforsikring'!F89+'Frende Skadeforsikring'!F89+'Gjensidige Forsikring'!F89+'Gjensidige Pensjon'!F89+'Handelsbanken Liv'!F89+'If Skadeforsikring NUF'!F89+KLP!F89+'KLP Skadeforsikring AS'!F89+'Landkreditt Forsikring'!F89+'Nordea Liv '!F89+'Oslo Pensjonsforsikring'!F89+'Protector Forsikring'!F89+'SHB Liv'!F89+'Sparebank 1'!F89+'Storebrand Livsforsikring'!F89+'Telenor Forsikring'!F89+'Tryg Forsikring'!F89+'WaterCircles F'!F89+'Codan Forsikring'!F89+'Euro Accident'!F89+'Ly Forsikring'!F89+'Youplus Livsforsikring'!F89</f>
        <v>414322429.19332004</v>
      </c>
      <c r="F89" s="44">
        <f>'Fremtind Livsforsikring'!G89+'Danica Pensjonsforsikring'!G89+'DNB Livsforsikring'!G89+'Eika Forsikring AS'!G89+'Frende Livsforsikring'!G89+'Frende Skadeforsikring'!G89+'Gjensidige Forsikring'!G89+'Gjensidige Pensjon'!G89+'Handelsbanken Liv'!G89+'If Skadeforsikring NUF'!G89+KLP!G89+'KLP Skadeforsikring AS'!G89+'Landkreditt Forsikring'!G89+'Nordea Liv '!G89+'Oslo Pensjonsforsikring'!G89+'Protector Forsikring'!G89+'SHB Liv'!G89+'Sparebank 1'!G89+'Storebrand Livsforsikring'!G89+'Telenor Forsikring'!G89+'Tryg Forsikring'!G89+'WaterCircles F'!G89+'Codan Forsikring'!G89+'Euro Accident'!G89+'Ly Forsikring'!G89+'Youplus Livsforsikring'!G89</f>
        <v>413172062.09808493</v>
      </c>
      <c r="G89" s="166">
        <f t="shared" si="33"/>
        <v>-0.3</v>
      </c>
      <c r="H89" s="237">
        <f t="shared" si="34"/>
        <v>417407800.29764462</v>
      </c>
      <c r="I89" s="237">
        <f t="shared" si="35"/>
        <v>416505078.95389652</v>
      </c>
      <c r="J89" s="23">
        <f t="shared" si="27"/>
        <v>-0.2</v>
      </c>
      <c r="O89" s="149"/>
    </row>
    <row r="90" spans="1:15" ht="15.75" customHeight="1" x14ac:dyDescent="0.2">
      <c r="A90" s="298" t="s">
        <v>366</v>
      </c>
      <c r="B90" s="235"/>
      <c r="C90" s="235"/>
      <c r="D90" s="27"/>
      <c r="E90" s="235"/>
      <c r="F90" s="235"/>
      <c r="G90" s="166"/>
      <c r="H90" s="235"/>
      <c r="I90" s="235"/>
      <c r="J90" s="23"/>
    </row>
    <row r="91" spans="1:15" ht="15.75" customHeight="1" x14ac:dyDescent="0.2">
      <c r="A91" s="298" t="s">
        <v>12</v>
      </c>
      <c r="B91" s="235"/>
      <c r="C91" s="235"/>
      <c r="D91" s="27"/>
      <c r="E91" s="235"/>
      <c r="F91" s="235"/>
      <c r="G91" s="166"/>
      <c r="H91" s="235"/>
      <c r="I91" s="235"/>
      <c r="J91" s="23"/>
    </row>
    <row r="92" spans="1:15" ht="15.75" customHeight="1" x14ac:dyDescent="0.2">
      <c r="A92" s="298" t="s">
        <v>13</v>
      </c>
      <c r="B92" s="235"/>
      <c r="C92" s="235"/>
      <c r="D92" s="27"/>
      <c r="E92" s="235"/>
      <c r="F92" s="235"/>
      <c r="G92" s="166"/>
      <c r="H92" s="235"/>
      <c r="I92" s="235"/>
      <c r="J92" s="23"/>
    </row>
    <row r="93" spans="1:15" ht="15.75" customHeight="1" x14ac:dyDescent="0.2">
      <c r="A93" s="298" t="s">
        <v>367</v>
      </c>
      <c r="B93" s="235"/>
      <c r="C93" s="235"/>
      <c r="D93" s="27"/>
      <c r="E93" s="235"/>
      <c r="F93" s="235"/>
      <c r="G93" s="166"/>
      <c r="H93" s="235"/>
      <c r="I93" s="235"/>
      <c r="J93" s="23"/>
    </row>
    <row r="94" spans="1:15" ht="15.75" customHeight="1" x14ac:dyDescent="0.2">
      <c r="A94" s="298" t="s">
        <v>12</v>
      </c>
      <c r="B94" s="235"/>
      <c r="C94" s="235"/>
      <c r="D94" s="27"/>
      <c r="E94" s="235"/>
      <c r="F94" s="235"/>
      <c r="G94" s="166"/>
      <c r="H94" s="235"/>
      <c r="I94" s="235"/>
      <c r="J94" s="23"/>
    </row>
    <row r="95" spans="1:15" ht="15.75" customHeight="1" x14ac:dyDescent="0.2">
      <c r="A95" s="298" t="s">
        <v>13</v>
      </c>
      <c r="B95" s="235"/>
      <c r="C95" s="235"/>
      <c r="D95" s="27"/>
      <c r="E95" s="235"/>
      <c r="F95" s="235"/>
      <c r="G95" s="166"/>
      <c r="H95" s="235"/>
      <c r="I95" s="235"/>
      <c r="J95" s="23"/>
    </row>
    <row r="96" spans="1:15" ht="15.75" customHeight="1" x14ac:dyDescent="0.2">
      <c r="A96" s="21" t="s">
        <v>338</v>
      </c>
      <c r="B96" s="234">
        <f>'Fremtind Livsforsikring'!B96+'Danica Pensjonsforsikring'!B96+'DNB Livsforsikring'!B96+'Eika Forsikring AS'!B96+'Frende Livsforsikring'!B96+'Frende Skadeforsikring'!B96+'Gjensidige Forsikring'!B96+'Gjensidige Pensjon'!B96+'Handelsbanken Liv'!B96+'If Skadeforsikring NUF'!B96+KLP!B96+'KLP Skadeforsikring AS'!B96+'Landkreditt Forsikring'!B96+'Nordea Liv '!B96+'Oslo Pensjonsforsikring'!B96+'Protector Forsikring'!B96+'SHB Liv'!B96+'Sparebank 1'!B96+'Storebrand Livsforsikring'!B96+'Telenor Forsikring'!B96+'Tryg Forsikring'!B96+'WaterCircles F'!B96+'Codan Forsikring'!B96+'Euro Accident'!B96+'Ly Forsikring'!B96+'Youplus Livsforsikring'!B96</f>
        <v>2319961.8083600001</v>
      </c>
      <c r="C96" s="234">
        <f>'Fremtind Livsforsikring'!C96+'Danica Pensjonsforsikring'!C96+'DNB Livsforsikring'!C96+'Eika Forsikring AS'!C96+'Frende Livsforsikring'!C96+'Frende Skadeforsikring'!C96+'Gjensidige Forsikring'!C96+'Gjensidige Pensjon'!C96+'Handelsbanken Liv'!C96+'If Skadeforsikring NUF'!C96+KLP!C96+'KLP Skadeforsikring AS'!C96+'Landkreditt Forsikring'!C96+'Nordea Liv '!C96+'Oslo Pensjonsforsikring'!C96+'Protector Forsikring'!C96+'SHB Liv'!C96+'Sparebank 1'!C96+'Storebrand Livsforsikring'!C96+'Telenor Forsikring'!C96+'Tryg Forsikring'!C96+'WaterCircles F'!C96+'Codan Forsikring'!C96+'Euro Accident'!C96+'Ly Forsikring'!C96+'Youplus Livsforsikring'!C96</f>
        <v>3292382.3929599999</v>
      </c>
      <c r="D96" s="23">
        <f t="shared" si="23"/>
        <v>41.9</v>
      </c>
      <c r="E96" s="44">
        <f>'Fremtind Livsforsikring'!F96+'Danica Pensjonsforsikring'!F96+'DNB Livsforsikring'!F96+'Eika Forsikring AS'!F96+'Frende Livsforsikring'!F96+'Frende Skadeforsikring'!F96+'Gjensidige Forsikring'!F96+'Gjensidige Pensjon'!F96+'Handelsbanken Liv'!F96+'If Skadeforsikring NUF'!F96+KLP!F96+'KLP Skadeforsikring AS'!F96+'Landkreditt Forsikring'!F96+'Nordea Liv '!F96+'Oslo Pensjonsforsikring'!F96+'Protector Forsikring'!F96+'SHB Liv'!F96+'Sparebank 1'!F96+'Storebrand Livsforsikring'!F96+'Telenor Forsikring'!F96+'Tryg Forsikring'!F96+'WaterCircles F'!F96+'Codan Forsikring'!F96+'Euro Accident'!F96+'Ly Forsikring'!F96+'Youplus Livsforsikring'!F96</f>
        <v>4087585.16653</v>
      </c>
      <c r="F96" s="44">
        <f>'Fremtind Livsforsikring'!G96+'Danica Pensjonsforsikring'!G96+'DNB Livsforsikring'!G96+'Eika Forsikring AS'!G96+'Frende Livsforsikring'!G96+'Frende Skadeforsikring'!G96+'Gjensidige Forsikring'!G96+'Gjensidige Pensjon'!G96+'Handelsbanken Liv'!G96+'If Skadeforsikring NUF'!G96+KLP!G96+'KLP Skadeforsikring AS'!G96+'Landkreditt Forsikring'!G96+'Nordea Liv '!G96+'Oslo Pensjonsforsikring'!G96+'Protector Forsikring'!G96+'SHB Liv'!G96+'Sparebank 1'!G96+'Storebrand Livsforsikring'!G96+'Telenor Forsikring'!G96+'Tryg Forsikring'!G96+'WaterCircles F'!G96+'Codan Forsikring'!G96+'Euro Accident'!G96+'Ly Forsikring'!G96+'Youplus Livsforsikring'!G96</f>
        <v>4858696.3368599992</v>
      </c>
      <c r="G96" s="166">
        <f t="shared" ref="G96:G100" si="36">IF(E96=0, "    ---- ", IF(ABS(ROUND(100/E96*F96-100,1))&lt;999,ROUND(100/E96*F96-100,1),IF(ROUND(100/E96*F96-100,1)&gt;999,999,-999)))</f>
        <v>18.899999999999999</v>
      </c>
      <c r="H96" s="237">
        <f t="shared" si="34"/>
        <v>6407546.9748900002</v>
      </c>
      <c r="I96" s="237">
        <f t="shared" si="35"/>
        <v>8151078.7298199991</v>
      </c>
      <c r="J96" s="23">
        <f t="shared" si="27"/>
        <v>27.2</v>
      </c>
    </row>
    <row r="97" spans="1:12" ht="15.75" customHeight="1" x14ac:dyDescent="0.2">
      <c r="A97" s="21" t="s">
        <v>337</v>
      </c>
      <c r="B97" s="234">
        <f>'Fremtind Livsforsikring'!B97+'Danica Pensjonsforsikring'!B97+'DNB Livsforsikring'!B97+'Eika Forsikring AS'!B97+'Frende Livsforsikring'!B97+'Frende Skadeforsikring'!B97+'Gjensidige Forsikring'!B97+'Gjensidige Pensjon'!B97+'Handelsbanken Liv'!B97+'If Skadeforsikring NUF'!B97+KLP!B97+'KLP Skadeforsikring AS'!B97+'Landkreditt Forsikring'!B97+'Nordea Liv '!B97+'Oslo Pensjonsforsikring'!B97+'Protector Forsikring'!B97+'SHB Liv'!B97+'Sparebank 1'!B97+'Storebrand Livsforsikring'!B97+'Telenor Forsikring'!B97+'Tryg Forsikring'!B97+'WaterCircles F'!B97+'Codan Forsikring'!B97+'Euro Accident'!B97+'Ly Forsikring'!B97+'Youplus Livsforsikring'!B97</f>
        <v>7418493.4334300002</v>
      </c>
      <c r="C97" s="234">
        <f>'Fremtind Livsforsikring'!C97+'Danica Pensjonsforsikring'!C97+'DNB Livsforsikring'!C97+'Eika Forsikring AS'!C97+'Frende Livsforsikring'!C97+'Frende Skadeforsikring'!C97+'Gjensidige Forsikring'!C97+'Gjensidige Pensjon'!C97+'Handelsbanken Liv'!C97+'If Skadeforsikring NUF'!C97+KLP!C97+'KLP Skadeforsikring AS'!C97+'Landkreditt Forsikring'!C97+'Nordea Liv '!C97+'Oslo Pensjonsforsikring'!C97+'Protector Forsikring'!C97+'SHB Liv'!C97+'Sparebank 1'!C97+'Storebrand Livsforsikring'!C97+'Telenor Forsikring'!C97+'Tryg Forsikring'!C97+'WaterCircles F'!C97+'Codan Forsikring'!C97+'Euro Accident'!C97+'Ly Forsikring'!C97+'Youplus Livsforsikring'!C97</f>
        <v>8275205.4518999998</v>
      </c>
      <c r="D97" s="23">
        <f t="shared" ref="D97" si="37">IF(B97=0, "    ---- ", IF(ABS(ROUND(100/B97*C97-100,1))&lt;999,ROUND(100/B97*C97-100,1),IF(ROUND(100/B97*C97-100,1)&gt;999,999,-999)))</f>
        <v>11.5</v>
      </c>
      <c r="E97" s="44"/>
      <c r="F97" s="44"/>
      <c r="G97" s="166"/>
      <c r="H97" s="237">
        <f t="shared" ref="H97" si="38">SUM(B97,E97)</f>
        <v>7418493.4334300002</v>
      </c>
      <c r="I97" s="237">
        <f t="shared" ref="I97" si="39">SUM(C97,F97)</f>
        <v>8275205.4518999998</v>
      </c>
      <c r="J97" s="23">
        <f t="shared" ref="J97" si="40">IF(H97=0, "    ---- ", IF(ABS(ROUND(100/H97*I97-100,1))&lt;999,ROUND(100/H97*I97-100,1),IF(ROUND(100/H97*I97-100,1)&gt;999,999,-999)))</f>
        <v>11.5</v>
      </c>
    </row>
    <row r="98" spans="1:12" ht="15.75" customHeight="1" x14ac:dyDescent="0.2">
      <c r="A98" s="21" t="s">
        <v>368</v>
      </c>
      <c r="B98" s="234">
        <f>'Fremtind Livsforsikring'!B98+'Danica Pensjonsforsikring'!B98+'DNB Livsforsikring'!B98+'Eika Forsikring AS'!B98+'Frende Livsforsikring'!B98+'Frende Skadeforsikring'!B98+'Gjensidige Forsikring'!B98+'Gjensidige Pensjon'!B98+'Handelsbanken Liv'!B98+'If Skadeforsikring NUF'!B98+KLP!B98+'KLP Skadeforsikring AS'!B98+'Landkreditt Forsikring'!B98+'Nordea Liv '!B98+'Oslo Pensjonsforsikring'!B98+'Protector Forsikring'!B98+'SHB Liv'!B98+'Sparebank 1'!B98+'Storebrand Livsforsikring'!B98+'Telenor Forsikring'!B98+'Tryg Forsikring'!B98+'WaterCircles F'!B98+'Codan Forsikring'!B98+'Euro Accident'!B98+'Ly Forsikring'!B98+'Youplus Livsforsikring'!B98</f>
        <v>388414461.16306531</v>
      </c>
      <c r="C98" s="234">
        <f>'Fremtind Livsforsikring'!C98+'Danica Pensjonsforsikring'!C98+'DNB Livsforsikring'!C98+'Eika Forsikring AS'!C98+'Frende Livsforsikring'!C98+'Frende Skadeforsikring'!C98+'Gjensidige Forsikring'!C98+'Gjensidige Pensjon'!C98+'Handelsbanken Liv'!C98+'If Skadeforsikring NUF'!C98+KLP!C98+'KLP Skadeforsikring AS'!C98+'Landkreditt Forsikring'!C98+'Nordea Liv '!C98+'Oslo Pensjonsforsikring'!C98+'Protector Forsikring'!C98+'SHB Liv'!C98+'Sparebank 1'!C98+'Storebrand Livsforsikring'!C98+'Telenor Forsikring'!C98+'Tryg Forsikring'!C98+'WaterCircles F'!C98+'Codan Forsikring'!C98+'Euro Accident'!C98+'Ly Forsikring'!C98+'Youplus Livsforsikring'!C98</f>
        <v>387257082.60845107</v>
      </c>
      <c r="D98" s="23">
        <f t="shared" si="23"/>
        <v>-0.3</v>
      </c>
      <c r="E98" s="44">
        <f>'Fremtind Livsforsikring'!F98+'Danica Pensjonsforsikring'!F98+'DNB Livsforsikring'!F98+'Eika Forsikring AS'!F98+'Frende Livsforsikring'!F98+'Frende Skadeforsikring'!F98+'Gjensidige Forsikring'!F98+'Gjensidige Pensjon'!F98+'Handelsbanken Liv'!F98+'If Skadeforsikring NUF'!F98+KLP!F98+'KLP Skadeforsikring AS'!F98+'Landkreditt Forsikring'!F98+'Nordea Liv '!F98+'Oslo Pensjonsforsikring'!F98+'Protector Forsikring'!F98+'SHB Liv'!F98+'Sparebank 1'!F98+'Storebrand Livsforsikring'!F98+'Telenor Forsikring'!F98+'Tryg Forsikring'!F98+'WaterCircles F'!F98+'Codan Forsikring'!F98+'Euro Accident'!F98+'Ly Forsikring'!F98+'Youplus Livsforsikring'!F98</f>
        <v>413206264.82173002</v>
      </c>
      <c r="F98" s="44">
        <f>'Fremtind Livsforsikring'!G98+'Danica Pensjonsforsikring'!G98+'DNB Livsforsikring'!G98+'Eika Forsikring AS'!G98+'Frende Livsforsikring'!G98+'Frende Skadeforsikring'!G98+'Gjensidige Forsikring'!G98+'Gjensidige Pensjon'!G98+'Handelsbanken Liv'!G98+'If Skadeforsikring NUF'!G98+KLP!G98+'KLP Skadeforsikring AS'!G98+'Landkreditt Forsikring'!G98+'Nordea Liv '!G98+'Oslo Pensjonsforsikring'!G98+'Protector Forsikring'!G98+'SHB Liv'!G98+'Sparebank 1'!G98+'Storebrand Livsforsikring'!G98+'Telenor Forsikring'!G98+'Tryg Forsikring'!G98+'WaterCircles F'!G98+'Codan Forsikring'!G98+'Euro Accident'!G98+'Ly Forsikring'!G98+'Youplus Livsforsikring'!G98</f>
        <v>412352335.50152493</v>
      </c>
      <c r="G98" s="166">
        <f t="shared" si="36"/>
        <v>-0.2</v>
      </c>
      <c r="H98" s="237">
        <f t="shared" si="34"/>
        <v>801620725.98479533</v>
      </c>
      <c r="I98" s="237">
        <f t="shared" si="35"/>
        <v>799609418.10997605</v>
      </c>
      <c r="J98" s="23">
        <f t="shared" si="27"/>
        <v>-0.3</v>
      </c>
    </row>
    <row r="99" spans="1:12" ht="15.75" customHeight="1" x14ac:dyDescent="0.2">
      <c r="A99" s="21" t="s">
        <v>9</v>
      </c>
      <c r="B99" s="234">
        <f>'Fremtind Livsforsikring'!B99+'Danica Pensjonsforsikring'!B99+'DNB Livsforsikring'!B99+'Eika Forsikring AS'!B99+'Frende Livsforsikring'!B99+'Frende Skadeforsikring'!B99+'Gjensidige Forsikring'!B99+'Gjensidige Pensjon'!B99+'Handelsbanken Liv'!B99+'If Skadeforsikring NUF'!B99+KLP!B99+'KLP Skadeforsikring AS'!B99+'Landkreditt Forsikring'!B99+'Nordea Liv '!B99+'Oslo Pensjonsforsikring'!B99+'Protector Forsikring'!B99+'SHB Liv'!B99+'Sparebank 1'!B99+'Storebrand Livsforsikring'!B99+'Telenor Forsikring'!B99+'Tryg Forsikring'!B99+'WaterCircles F'!B99+'Codan Forsikring'!B99+'Euro Accident'!B99+'Ly Forsikring'!B99+'Youplus Livsforsikring'!B99</f>
        <v>385329090.05874074</v>
      </c>
      <c r="C99" s="234">
        <f>'Fremtind Livsforsikring'!C99+'Danica Pensjonsforsikring'!C99+'DNB Livsforsikring'!C99+'Eika Forsikring AS'!C99+'Frende Livsforsikring'!C99+'Frende Skadeforsikring'!C99+'Gjensidige Forsikring'!C99+'Gjensidige Pensjon'!C99+'Handelsbanken Liv'!C99+'If Skadeforsikring NUF'!C99+KLP!C99+'KLP Skadeforsikring AS'!C99+'Landkreditt Forsikring'!C99+'Nordea Liv '!C99+'Oslo Pensjonsforsikring'!C99+'Protector Forsikring'!C99+'SHB Liv'!C99+'Sparebank 1'!C99+'Storebrand Livsforsikring'!C99+'Telenor Forsikring'!C99+'Tryg Forsikring'!C99+'WaterCircles F'!C99+'Codan Forsikring'!C99+'Euro Accident'!C99+'Ly Forsikring'!C99+'Youplus Livsforsikring'!C99</f>
        <v>383924065.75263953</v>
      </c>
      <c r="D99" s="23">
        <f t="shared" si="23"/>
        <v>-0.4</v>
      </c>
      <c r="E99" s="44"/>
      <c r="F99" s="44"/>
      <c r="G99" s="166"/>
      <c r="H99" s="237">
        <f t="shared" si="34"/>
        <v>385329090.05874074</v>
      </c>
      <c r="I99" s="237">
        <f t="shared" si="35"/>
        <v>383924065.75263953</v>
      </c>
      <c r="J99" s="23">
        <f t="shared" si="27"/>
        <v>-0.4</v>
      </c>
    </row>
    <row r="100" spans="1:12" ht="15.75" customHeight="1" x14ac:dyDescent="0.2">
      <c r="A100" s="38" t="s">
        <v>403</v>
      </c>
      <c r="B100" s="234">
        <f>'Fremtind Livsforsikring'!B100+'Danica Pensjonsforsikring'!B100+'DNB Livsforsikring'!B100+'Eika Forsikring AS'!B100+'Frende Livsforsikring'!B100+'Frende Skadeforsikring'!B100+'Gjensidige Forsikring'!B100+'Gjensidige Pensjon'!B100+'Handelsbanken Liv'!B100+'If Skadeforsikring NUF'!B100+KLP!B100+'KLP Skadeforsikring AS'!B100+'Landkreditt Forsikring'!B100+'Nordea Liv '!B100+'Oslo Pensjonsforsikring'!B100+'Protector Forsikring'!B100+'SHB Liv'!B100+'Sparebank 1'!B100+'Storebrand Livsforsikring'!B100+'Telenor Forsikring'!B100+'Tryg Forsikring'!B100+'WaterCircles F'!B100+'Codan Forsikring'!B100+'Euro Accident'!B100+'Ly Forsikring'!B100+'Youplus Livsforsikring'!B100</f>
        <v>3085371.1043245704</v>
      </c>
      <c r="C100" s="234">
        <f>'Fremtind Livsforsikring'!C100+'Danica Pensjonsforsikring'!C100+'DNB Livsforsikring'!C100+'Eika Forsikring AS'!C100+'Frende Livsforsikring'!C100+'Frende Skadeforsikring'!C100+'Gjensidige Forsikring'!C100+'Gjensidige Pensjon'!C100+'Handelsbanken Liv'!C100+'If Skadeforsikring NUF'!C100+KLP!C100+'KLP Skadeforsikring AS'!C100+'Landkreditt Forsikring'!C100+'Nordea Liv '!C100+'Oslo Pensjonsforsikring'!C100+'Protector Forsikring'!C100+'SHB Liv'!C100+'Sparebank 1'!C100+'Storebrand Livsforsikring'!C100+'Telenor Forsikring'!C100+'Tryg Forsikring'!C100+'WaterCircles F'!C100+'Codan Forsikring'!C100+'Euro Accident'!C100+'Ly Forsikring'!C100+'Youplus Livsforsikring'!C100</f>
        <v>3333016.8558115801</v>
      </c>
      <c r="D100" s="23">
        <f t="shared" si="23"/>
        <v>8</v>
      </c>
      <c r="E100" s="44">
        <f>'Fremtind Livsforsikring'!F100+'Danica Pensjonsforsikring'!F100+'DNB Livsforsikring'!F100+'Eika Forsikring AS'!F100+'Frende Livsforsikring'!F100+'Frende Skadeforsikring'!F100+'Gjensidige Forsikring'!F100+'Gjensidige Pensjon'!F100+'Handelsbanken Liv'!F100+'If Skadeforsikring NUF'!F100+KLP!F100+'KLP Skadeforsikring AS'!F100+'Landkreditt Forsikring'!F100+'Nordea Liv '!F100+'Oslo Pensjonsforsikring'!F100+'Protector Forsikring'!F100+'SHB Liv'!F100+'Sparebank 1'!F100+'Storebrand Livsforsikring'!F100+'Telenor Forsikring'!F100+'Tryg Forsikring'!F100+'WaterCircles F'!F100+'Codan Forsikring'!F100+'Euro Accident'!F100+'Ly Forsikring'!F100+'Youplus Livsforsikring'!F100</f>
        <v>413206264.82173002</v>
      </c>
      <c r="F100" s="44">
        <f>'Fremtind Livsforsikring'!G100+'Danica Pensjonsforsikring'!G100+'DNB Livsforsikring'!G100+'Eika Forsikring AS'!G100+'Frende Livsforsikring'!G100+'Frende Skadeforsikring'!G100+'Gjensidige Forsikring'!G100+'Gjensidige Pensjon'!G100+'Handelsbanken Liv'!G100+'If Skadeforsikring NUF'!G100+KLP!G100+'KLP Skadeforsikring AS'!G100+'Landkreditt Forsikring'!G100+'Nordea Liv '!G100+'Oslo Pensjonsforsikring'!G100+'Protector Forsikring'!G100+'SHB Liv'!G100+'Sparebank 1'!G100+'Storebrand Livsforsikring'!G100+'Telenor Forsikring'!G100+'Tryg Forsikring'!G100+'WaterCircles F'!G100+'Codan Forsikring'!G100+'Euro Accident'!G100+'Ly Forsikring'!G100+'Youplus Livsforsikring'!G100</f>
        <v>412352335.50152493</v>
      </c>
      <c r="G100" s="166">
        <f t="shared" si="36"/>
        <v>-0.2</v>
      </c>
      <c r="H100" s="237">
        <f t="shared" si="34"/>
        <v>416291635.9260546</v>
      </c>
      <c r="I100" s="237">
        <f t="shared" si="35"/>
        <v>415685352.35733652</v>
      </c>
      <c r="J100" s="23">
        <f t="shared" si="27"/>
        <v>-0.1</v>
      </c>
    </row>
    <row r="101" spans="1:12" ht="15.75" customHeight="1" x14ac:dyDescent="0.2">
      <c r="A101" s="298" t="s">
        <v>366</v>
      </c>
      <c r="B101" s="235"/>
      <c r="C101" s="235"/>
      <c r="D101" s="27"/>
      <c r="E101" s="235"/>
      <c r="F101" s="235"/>
      <c r="G101" s="166"/>
      <c r="H101" s="235"/>
      <c r="I101" s="235"/>
      <c r="J101" s="23"/>
    </row>
    <row r="102" spans="1:12" ht="15.75" customHeight="1" x14ac:dyDescent="0.2">
      <c r="A102" s="298" t="s">
        <v>12</v>
      </c>
      <c r="B102" s="235"/>
      <c r="C102" s="235"/>
      <c r="D102" s="27"/>
      <c r="E102" s="235"/>
      <c r="F102" s="235"/>
      <c r="G102" s="166"/>
      <c r="H102" s="235"/>
      <c r="I102" s="235"/>
      <c r="J102" s="23"/>
    </row>
    <row r="103" spans="1:12" ht="15.75" customHeight="1" x14ac:dyDescent="0.2">
      <c r="A103" s="298" t="s">
        <v>13</v>
      </c>
      <c r="B103" s="235"/>
      <c r="C103" s="235"/>
      <c r="D103" s="27"/>
      <c r="E103" s="235"/>
      <c r="F103" s="235"/>
      <c r="G103" s="166"/>
      <c r="H103" s="235"/>
      <c r="I103" s="235"/>
      <c r="J103" s="23"/>
    </row>
    <row r="104" spans="1:12" ht="15.75" customHeight="1" x14ac:dyDescent="0.2">
      <c r="A104" s="298" t="s">
        <v>367</v>
      </c>
      <c r="B104" s="235"/>
      <c r="C104" s="235"/>
      <c r="D104" s="27"/>
      <c r="E104" s="235"/>
      <c r="F104" s="235"/>
      <c r="G104" s="166"/>
      <c r="H104" s="235"/>
      <c r="I104" s="235"/>
      <c r="J104" s="23"/>
    </row>
    <row r="105" spans="1:12" ht="15.75" customHeight="1" x14ac:dyDescent="0.2">
      <c r="A105" s="298" t="s">
        <v>12</v>
      </c>
      <c r="B105" s="235"/>
      <c r="C105" s="235"/>
      <c r="D105" s="27"/>
      <c r="E105" s="235"/>
      <c r="F105" s="235"/>
      <c r="G105" s="166"/>
      <c r="H105" s="235"/>
      <c r="I105" s="235"/>
      <c r="J105" s="23"/>
    </row>
    <row r="106" spans="1:12" ht="15.75" customHeight="1" x14ac:dyDescent="0.2">
      <c r="A106" s="298" t="s">
        <v>13</v>
      </c>
      <c r="B106" s="235"/>
      <c r="C106" s="235"/>
      <c r="D106" s="27"/>
      <c r="E106" s="235"/>
      <c r="F106" s="235"/>
      <c r="G106" s="166"/>
      <c r="H106" s="235"/>
      <c r="I106" s="235"/>
      <c r="J106" s="23"/>
    </row>
    <row r="107" spans="1:12" ht="15.75" customHeight="1" x14ac:dyDescent="0.2">
      <c r="A107" s="21" t="s">
        <v>369</v>
      </c>
      <c r="B107" s="234">
        <f>'Fremtind Livsforsikring'!B107+'Danica Pensjonsforsikring'!B107+'DNB Livsforsikring'!B107+'Eika Forsikring AS'!B107+'Frende Livsforsikring'!B107+'Frende Skadeforsikring'!B107+'Gjensidige Forsikring'!B107+'Gjensidige Pensjon'!B107+'Handelsbanken Liv'!B107+'If Skadeforsikring NUF'!B107+KLP!B107+'KLP Skadeforsikring AS'!B107+'Landkreditt Forsikring'!B107+'Nordea Liv '!B107+'Oslo Pensjonsforsikring'!B107+'Protector Forsikring'!B107+'SHB Liv'!B107+'Sparebank 1'!B107+'Storebrand Livsforsikring'!B107+'Telenor Forsikring'!B107+'Tryg Forsikring'!B107+'WaterCircles F'!B107+'Codan Forsikring'!B107+'Euro Accident'!B107+'Ly Forsikring'!B107+'Youplus Livsforsikring'!B107</f>
        <v>4425974.7659999998</v>
      </c>
      <c r="C107" s="234">
        <f>'Fremtind Livsforsikring'!C107+'Danica Pensjonsforsikring'!C107+'DNB Livsforsikring'!C107+'Eika Forsikring AS'!C107+'Frende Livsforsikring'!C107+'Frende Skadeforsikring'!C107+'Gjensidige Forsikring'!C107+'Gjensidige Pensjon'!C107+'Handelsbanken Liv'!C107+'If Skadeforsikring NUF'!C107+KLP!C107+'KLP Skadeforsikring AS'!C107+'Landkreditt Forsikring'!C107+'Nordea Liv '!C107+'Oslo Pensjonsforsikring'!C107+'Protector Forsikring'!C107+'SHB Liv'!C107+'Sparebank 1'!C107+'Storebrand Livsforsikring'!C107+'Telenor Forsikring'!C107+'Tryg Forsikring'!C107+'WaterCircles F'!C107+'Codan Forsikring'!C107+'Euro Accident'!C107+'Ly Forsikring'!C107+'Youplus Livsforsikring'!C107</f>
        <v>4458009.9979999997</v>
      </c>
      <c r="D107" s="23">
        <f t="shared" si="23"/>
        <v>0.7</v>
      </c>
      <c r="E107" s="44">
        <f>'Fremtind Livsforsikring'!F107+'Danica Pensjonsforsikring'!F107+'DNB Livsforsikring'!F107+'Eika Forsikring AS'!F107+'Frende Livsforsikring'!F107+'Frende Skadeforsikring'!F107+'Gjensidige Forsikring'!F107+'Gjensidige Pensjon'!F107+'Handelsbanken Liv'!F107+'If Skadeforsikring NUF'!F107+KLP!F107+'KLP Skadeforsikring AS'!F107+'Landkreditt Forsikring'!F107+'Nordea Liv '!F107+'Oslo Pensjonsforsikring'!F107+'Protector Forsikring'!F107+'SHB Liv'!F107+'Sparebank 1'!F107+'Storebrand Livsforsikring'!F107+'Telenor Forsikring'!F107+'Tryg Forsikring'!F107+'WaterCircles F'!F107+'Codan Forsikring'!F107+'Euro Accident'!F107+'Ly Forsikring'!F107+'Youplus Livsforsikring'!F107</f>
        <v>1116163.90359</v>
      </c>
      <c r="F107" s="44">
        <f>'Fremtind Livsforsikring'!G107+'Danica Pensjonsforsikring'!G107+'DNB Livsforsikring'!G107+'Eika Forsikring AS'!G107+'Frende Livsforsikring'!G107+'Frende Skadeforsikring'!G107+'Gjensidige Forsikring'!G107+'Gjensidige Pensjon'!G107+'Handelsbanken Liv'!G107+'If Skadeforsikring NUF'!G107+KLP!G107+'KLP Skadeforsikring AS'!G107+'Landkreditt Forsikring'!G107+'Nordea Liv '!G107+'Oslo Pensjonsforsikring'!G107+'Protector Forsikring'!G107+'SHB Liv'!G107+'Sparebank 1'!G107+'Storebrand Livsforsikring'!G107+'Telenor Forsikring'!G107+'Tryg Forsikring'!G107+'WaterCircles F'!G107+'Codan Forsikring'!G107+'Euro Accident'!G107+'Ly Forsikring'!G107+'Youplus Livsforsikring'!G107</f>
        <v>819726.59655999998</v>
      </c>
      <c r="G107" s="166">
        <f t="shared" ref="G107:G114" si="41">IF(E107=0, "    ---- ", IF(ABS(ROUND(100/E107*F107-100,1))&lt;999,ROUND(100/E107*F107-100,1),IF(ROUND(100/E107*F107-100,1)&gt;999,999,-999)))</f>
        <v>-26.6</v>
      </c>
      <c r="H107" s="237">
        <f t="shared" si="34"/>
        <v>5542138.6695900001</v>
      </c>
      <c r="I107" s="237">
        <f t="shared" si="35"/>
        <v>5277736.5945599992</v>
      </c>
      <c r="J107" s="23">
        <f t="shared" si="27"/>
        <v>-4.8</v>
      </c>
    </row>
    <row r="108" spans="1:12" ht="15.75" customHeight="1" x14ac:dyDescent="0.2">
      <c r="A108" s="21" t="s">
        <v>370</v>
      </c>
      <c r="B108" s="234">
        <f>'Fremtind Livsforsikring'!B108+'Danica Pensjonsforsikring'!B108+'DNB Livsforsikring'!B108+'Eika Forsikring AS'!B108+'Frende Livsforsikring'!B108+'Frende Skadeforsikring'!B108+'Gjensidige Forsikring'!B108+'Gjensidige Pensjon'!B108+'Handelsbanken Liv'!B108+'If Skadeforsikring NUF'!B108+KLP!B108+'KLP Skadeforsikring AS'!B108+'Landkreditt Forsikring'!B108+'Nordea Liv '!B108+'Oslo Pensjonsforsikring'!B108+'Protector Forsikring'!B108+'SHB Liv'!B108+'Sparebank 1'!B108+'Storebrand Livsforsikring'!B108+'Telenor Forsikring'!B108+'Tryg Forsikring'!B108+'WaterCircles F'!B108+'Codan Forsikring'!B108+'Euro Accident'!B108+'Ly Forsikring'!B108+'Youplus Livsforsikring'!B108</f>
        <v>334670828.53918898</v>
      </c>
      <c r="C108" s="234">
        <f>'Fremtind Livsforsikring'!C108+'Danica Pensjonsforsikring'!C108+'DNB Livsforsikring'!C108+'Eika Forsikring AS'!C108+'Frende Livsforsikring'!C108+'Frende Skadeforsikring'!C108+'Gjensidige Forsikring'!C108+'Gjensidige Pensjon'!C108+'Handelsbanken Liv'!C108+'If Skadeforsikring NUF'!C108+KLP!C108+'KLP Skadeforsikring AS'!C108+'Landkreditt Forsikring'!C108+'Nordea Liv '!C108+'Oslo Pensjonsforsikring'!C108+'Protector Forsikring'!C108+'SHB Liv'!C108+'Sparebank 1'!C108+'Storebrand Livsforsikring'!C108+'Telenor Forsikring'!C108+'Tryg Forsikring'!C108+'WaterCircles F'!C108+'Codan Forsikring'!C108+'Euro Accident'!C108+'Ly Forsikring'!C108+'Youplus Livsforsikring'!C108</f>
        <v>334199339.02913141</v>
      </c>
      <c r="D108" s="23">
        <f t="shared" si="23"/>
        <v>-0.1</v>
      </c>
      <c r="E108" s="44">
        <f>'Fremtind Livsforsikring'!F108+'Danica Pensjonsforsikring'!F108+'DNB Livsforsikring'!F108+'Eika Forsikring AS'!F108+'Frende Livsforsikring'!F108+'Frende Skadeforsikring'!F108+'Gjensidige Forsikring'!F108+'Gjensidige Pensjon'!F108+'Handelsbanken Liv'!F108+'If Skadeforsikring NUF'!F108+KLP!F108+'KLP Skadeforsikring AS'!F108+'Landkreditt Forsikring'!F108+'Nordea Liv '!F108+'Oslo Pensjonsforsikring'!F108+'Protector Forsikring'!F108+'SHB Liv'!F108+'Sparebank 1'!F108+'Storebrand Livsforsikring'!F108+'Telenor Forsikring'!F108+'Tryg Forsikring'!F108+'WaterCircles F'!F108+'Codan Forsikring'!F108+'Euro Accident'!F108+'Ly Forsikring'!F108+'Youplus Livsforsikring'!F108</f>
        <v>20264708.644000001</v>
      </c>
      <c r="F108" s="44">
        <f>'Fremtind Livsforsikring'!G108+'Danica Pensjonsforsikring'!G108+'DNB Livsforsikring'!G108+'Eika Forsikring AS'!G108+'Frende Livsforsikring'!G108+'Frende Skadeforsikring'!G108+'Gjensidige Forsikring'!G108+'Gjensidige Pensjon'!G108+'Handelsbanken Liv'!G108+'If Skadeforsikring NUF'!G108+KLP!G108+'KLP Skadeforsikring AS'!G108+'Landkreditt Forsikring'!G108+'Nordea Liv '!G108+'Oslo Pensjonsforsikring'!G108+'Protector Forsikring'!G108+'SHB Liv'!G108+'Sparebank 1'!G108+'Storebrand Livsforsikring'!G108+'Telenor Forsikring'!G108+'Tryg Forsikring'!G108+'WaterCircles F'!G108+'Codan Forsikring'!G108+'Euro Accident'!G108+'Ly Forsikring'!G108+'Youplus Livsforsikring'!G108</f>
        <v>19105910.797369998</v>
      </c>
      <c r="G108" s="166">
        <f t="shared" si="41"/>
        <v>-5.7</v>
      </c>
      <c r="H108" s="237">
        <f t="shared" si="34"/>
        <v>354935537.18318897</v>
      </c>
      <c r="I108" s="237">
        <f t="shared" si="35"/>
        <v>353305249.82650143</v>
      </c>
      <c r="J108" s="23">
        <f t="shared" si="27"/>
        <v>-0.5</v>
      </c>
    </row>
    <row r="109" spans="1:12" ht="15.75" customHeight="1" x14ac:dyDescent="0.2">
      <c r="A109" s="38" t="s">
        <v>417</v>
      </c>
      <c r="B109" s="234">
        <f>'Fremtind Livsforsikring'!B109+'Danica Pensjonsforsikring'!B109+'DNB Livsforsikring'!B109+'Eika Forsikring AS'!B109+'Frende Livsforsikring'!B109+'Frende Skadeforsikring'!B109+'Gjensidige Forsikring'!B109+'Gjensidige Pensjon'!B109+'Handelsbanken Liv'!B109+'If Skadeforsikring NUF'!B109+KLP!B109+'KLP Skadeforsikring AS'!B109+'Landkreditt Forsikring'!B109+'Nordea Liv '!B109+'Oslo Pensjonsforsikring'!B109+'Protector Forsikring'!B109+'SHB Liv'!B109+'Sparebank 1'!B109+'Storebrand Livsforsikring'!B109+'Telenor Forsikring'!B109+'Tryg Forsikring'!B109+'WaterCircles F'!B109+'Codan Forsikring'!B109+'Euro Accident'!B109+'Ly Forsikring'!B109+'Youplus Livsforsikring'!B109</f>
        <v>1585864.0536375849</v>
      </c>
      <c r="C109" s="234">
        <f>'Fremtind Livsforsikring'!C109+'Danica Pensjonsforsikring'!C109+'DNB Livsforsikring'!C109+'Eika Forsikring AS'!C109+'Frende Livsforsikring'!C109+'Frende Skadeforsikring'!C109+'Gjensidige Forsikring'!C109+'Gjensidige Pensjon'!C109+'Handelsbanken Liv'!C109+'If Skadeforsikring NUF'!C109+KLP!C109+'KLP Skadeforsikring AS'!C109+'Landkreditt Forsikring'!C109+'Nordea Liv '!C109+'Oslo Pensjonsforsikring'!C109+'Protector Forsikring'!C109+'SHB Liv'!C109+'Sparebank 1'!C109+'Storebrand Livsforsikring'!C109+'Telenor Forsikring'!C109+'Tryg Forsikring'!C109+'WaterCircles F'!C109+'Codan Forsikring'!C109+'Euro Accident'!C109+'Ly Forsikring'!C109+'Youplus Livsforsikring'!C109</f>
        <v>1841516.7812253179</v>
      </c>
      <c r="D109" s="23">
        <f t="shared" si="23"/>
        <v>16.100000000000001</v>
      </c>
      <c r="E109" s="44">
        <f>'Fremtind Livsforsikring'!F109+'Danica Pensjonsforsikring'!F109+'DNB Livsforsikring'!F109+'Eika Forsikring AS'!F109+'Frende Livsforsikring'!F109+'Frende Skadeforsikring'!F109+'Gjensidige Forsikring'!F109+'Gjensidige Pensjon'!F109+'Handelsbanken Liv'!F109+'If Skadeforsikring NUF'!F109+KLP!F109+'KLP Skadeforsikring AS'!F109+'Landkreditt Forsikring'!F109+'Nordea Liv '!F109+'Oslo Pensjonsforsikring'!F109+'Protector Forsikring'!F109+'SHB Liv'!F109+'Sparebank 1'!F109+'Storebrand Livsforsikring'!F109+'Telenor Forsikring'!F109+'Tryg Forsikring'!F109+'WaterCircles F'!F109+'Codan Forsikring'!F109+'Euro Accident'!F109+'Ly Forsikring'!F109+'Youplus Livsforsikring'!F109</f>
        <v>148197478.92325601</v>
      </c>
      <c r="F109" s="44">
        <f>'Fremtind Livsforsikring'!G109+'Danica Pensjonsforsikring'!G109+'DNB Livsforsikring'!G109+'Eika Forsikring AS'!G109+'Frende Livsforsikring'!G109+'Frende Skadeforsikring'!G109+'Gjensidige Forsikring'!G109+'Gjensidige Pensjon'!G109+'Handelsbanken Liv'!G109+'If Skadeforsikring NUF'!G109+KLP!G109+'KLP Skadeforsikring AS'!G109+'Landkreditt Forsikring'!G109+'Nordea Liv '!G109+'Oslo Pensjonsforsikring'!G109+'Protector Forsikring'!G109+'SHB Liv'!G109+'Sparebank 1'!G109+'Storebrand Livsforsikring'!G109+'Telenor Forsikring'!G109+'Tryg Forsikring'!G109+'WaterCircles F'!G109+'Codan Forsikring'!G109+'Euro Accident'!G109+'Ly Forsikring'!G109+'Youplus Livsforsikring'!G109</f>
        <v>152701399.28885722</v>
      </c>
      <c r="G109" s="166">
        <f t="shared" si="41"/>
        <v>3</v>
      </c>
      <c r="H109" s="237">
        <f t="shared" si="34"/>
        <v>149783342.9768936</v>
      </c>
      <c r="I109" s="237">
        <f t="shared" si="35"/>
        <v>154542916.07008255</v>
      </c>
      <c r="J109" s="23">
        <f t="shared" si="27"/>
        <v>3.2</v>
      </c>
      <c r="L109" s="3"/>
    </row>
    <row r="110" spans="1:12" ht="15.75" customHeight="1" x14ac:dyDescent="0.2">
      <c r="A110" s="21" t="s">
        <v>371</v>
      </c>
      <c r="B110" s="234">
        <f>'Fremtind Livsforsikring'!B110+'Danica Pensjonsforsikring'!B110+'DNB Livsforsikring'!B110+'Eika Forsikring AS'!B110+'Frende Livsforsikring'!B110+'Frende Skadeforsikring'!B110+'Gjensidige Forsikring'!B110+'Gjensidige Pensjon'!B110+'Handelsbanken Liv'!B110+'If Skadeforsikring NUF'!B110+KLP!B110+'KLP Skadeforsikring AS'!B110+'Landkreditt Forsikring'!B110+'Nordea Liv '!B110+'Oslo Pensjonsforsikring'!B110+'Protector Forsikring'!B110+'SHB Liv'!B110+'Sparebank 1'!B110+'Storebrand Livsforsikring'!B110+'Telenor Forsikring'!B110+'Tryg Forsikring'!B110+'WaterCircles F'!B110+'Codan Forsikring'!B110+'Euro Accident'!B110+'Ly Forsikring'!B110+'Youplus Livsforsikring'!B110</f>
        <v>602244.70062000002</v>
      </c>
      <c r="C110" s="234">
        <f>'Fremtind Livsforsikring'!C110+'Danica Pensjonsforsikring'!C110+'DNB Livsforsikring'!C110+'Eika Forsikring AS'!C110+'Frende Livsforsikring'!C110+'Frende Skadeforsikring'!C110+'Gjensidige Forsikring'!C110+'Gjensidige Pensjon'!C110+'Handelsbanken Liv'!C110+'If Skadeforsikring NUF'!C110+KLP!C110+'KLP Skadeforsikring AS'!C110+'Landkreditt Forsikring'!C110+'Nordea Liv '!C110+'Oslo Pensjonsforsikring'!C110+'Protector Forsikring'!C110+'SHB Liv'!C110+'Sparebank 1'!C110+'Storebrand Livsforsikring'!C110+'Telenor Forsikring'!C110+'Tryg Forsikring'!C110+'WaterCircles F'!C110+'Codan Forsikring'!C110+'Euro Accident'!C110+'Ly Forsikring'!C110+'Youplus Livsforsikring'!C110</f>
        <v>1142107.2522400001</v>
      </c>
      <c r="D110" s="23">
        <f t="shared" si="23"/>
        <v>89.6</v>
      </c>
      <c r="E110" s="44"/>
      <c r="F110" s="44"/>
      <c r="G110" s="166"/>
      <c r="H110" s="237">
        <f t="shared" si="34"/>
        <v>602244.70062000002</v>
      </c>
      <c r="I110" s="237">
        <f t="shared" si="35"/>
        <v>1142107.2522400001</v>
      </c>
      <c r="J110" s="23">
        <f t="shared" si="27"/>
        <v>89.6</v>
      </c>
    </row>
    <row r="111" spans="1:12" s="43" customFormat="1" ht="15.75" customHeight="1" x14ac:dyDescent="0.2">
      <c r="A111" s="13" t="s">
        <v>352</v>
      </c>
      <c r="B111" s="310">
        <f>'Fremtind Livsforsikring'!B111+'Danica Pensjonsforsikring'!B111+'DNB Livsforsikring'!B111+'Eika Forsikring AS'!B111+'Frende Livsforsikring'!B111+'Frende Skadeforsikring'!B111+'Gjensidige Forsikring'!B111+'Gjensidige Pensjon'!B111+'Handelsbanken Liv'!B111+'If Skadeforsikring NUF'!B111+KLP!B111+'KLP Skadeforsikring AS'!B111+'Landkreditt Forsikring'!B111+'Nordea Liv '!B111+'Oslo Pensjonsforsikring'!B111+'Protector Forsikring'!B111+'SHB Liv'!B111+'Sparebank 1'!B111+'Storebrand Livsforsikring'!B111+'Telenor Forsikring'!B111+'Tryg Forsikring'!B111+'WaterCircles F'!B111+'Codan Forsikring'!B111+'Euro Accident'!B111+'Ly Forsikring'!B111+'Youplus Livsforsikring'!B111</f>
        <v>259773.9768</v>
      </c>
      <c r="C111" s="310">
        <f>'Fremtind Livsforsikring'!C111+'Danica Pensjonsforsikring'!C111+'DNB Livsforsikring'!C111+'Eika Forsikring AS'!C111+'Frende Livsforsikring'!C111+'Frende Skadeforsikring'!C111+'Gjensidige Forsikring'!C111+'Gjensidige Pensjon'!C111+'Handelsbanken Liv'!C111+'If Skadeforsikring NUF'!C111+KLP!C111+'KLP Skadeforsikring AS'!C111+'Landkreditt Forsikring'!C111+'Nordea Liv '!C111+'Oslo Pensjonsforsikring'!C111+'Protector Forsikring'!C111+'SHB Liv'!C111+'Sparebank 1'!C111+'Storebrand Livsforsikring'!C111+'Telenor Forsikring'!C111+'Tryg Forsikring'!C111+'WaterCircles F'!C111+'Codan Forsikring'!C111+'Euro Accident'!C111+'Ly Forsikring'!C111+'Youplus Livsforsikring'!C111</f>
        <v>524102.42821000004</v>
      </c>
      <c r="D111" s="24">
        <f t="shared" si="23"/>
        <v>101.8</v>
      </c>
      <c r="E111" s="236">
        <f>'Fremtind Livsforsikring'!F111+'Danica Pensjonsforsikring'!F111+'DNB Livsforsikring'!F111+'Eika Forsikring AS'!F111+'Frende Livsforsikring'!F111+'Frende Skadeforsikring'!F111+'Gjensidige Forsikring'!F111+'Gjensidige Pensjon'!F111+'Handelsbanken Liv'!F111+'If Skadeforsikring NUF'!F111+KLP!F111+'KLP Skadeforsikring AS'!F111+'Landkreditt Forsikring'!F111+'Nordea Liv '!F111+'Oslo Pensjonsforsikring'!F111+'Protector Forsikring'!F111+'SHB Liv'!F111+'Sparebank 1'!F111+'Storebrand Livsforsikring'!F111+'Telenor Forsikring'!F111+'Tryg Forsikring'!F111+'WaterCircles F'!F111+'Codan Forsikring'!F111+'Euro Accident'!F111+'Ly Forsikring'!F111+'Youplus Livsforsikring'!F111</f>
        <v>29226126.996290002</v>
      </c>
      <c r="F111" s="236">
        <f>'Fremtind Livsforsikring'!G111+'Danica Pensjonsforsikring'!G111+'DNB Livsforsikring'!G111+'Eika Forsikring AS'!G111+'Frende Livsforsikring'!G111+'Frende Skadeforsikring'!G111+'Gjensidige Forsikring'!G111+'Gjensidige Pensjon'!G111+'Handelsbanken Liv'!G111+'If Skadeforsikring NUF'!G111+KLP!G111+'KLP Skadeforsikring AS'!G111+'Landkreditt Forsikring'!G111+'Nordea Liv '!G111+'Oslo Pensjonsforsikring'!G111+'Protector Forsikring'!G111+'SHB Liv'!G111+'Sparebank 1'!G111+'Storebrand Livsforsikring'!G111+'Telenor Forsikring'!G111+'Tryg Forsikring'!G111+'WaterCircles F'!G111+'Codan Forsikring'!G111+'Euro Accident'!G111+'Ly Forsikring'!G111+'Youplus Livsforsikring'!G111</f>
        <v>21130986.35069</v>
      </c>
      <c r="G111" s="171">
        <f t="shared" si="41"/>
        <v>-27.7</v>
      </c>
      <c r="H111" s="330">
        <f t="shared" si="34"/>
        <v>29485900.97309</v>
      </c>
      <c r="I111" s="330">
        <f t="shared" si="35"/>
        <v>21655088.778900001</v>
      </c>
      <c r="J111" s="24">
        <f t="shared" si="27"/>
        <v>-26.6</v>
      </c>
    </row>
    <row r="112" spans="1:12" ht="15.75" customHeight="1" x14ac:dyDescent="0.2">
      <c r="A112" s="21" t="s">
        <v>9</v>
      </c>
      <c r="B112" s="234">
        <f>'Fremtind Livsforsikring'!B112+'Danica Pensjonsforsikring'!B112+'DNB Livsforsikring'!B112+'Eika Forsikring AS'!B112+'Frende Livsforsikring'!B112+'Frende Skadeforsikring'!B112+'Gjensidige Forsikring'!B112+'Gjensidige Pensjon'!B112+'Handelsbanken Liv'!B112+'If Skadeforsikring NUF'!B112+KLP!B112+'KLP Skadeforsikring AS'!B112+'Landkreditt Forsikring'!B112+'Nordea Liv '!B112+'Oslo Pensjonsforsikring'!B112+'Protector Forsikring'!B112+'SHB Liv'!B112+'Sparebank 1'!B112+'Storebrand Livsforsikring'!B112+'Telenor Forsikring'!B112+'Tryg Forsikring'!B112+'WaterCircles F'!B112+'Codan Forsikring'!B112+'Euro Accident'!B112+'Ly Forsikring'!B112+'Youplus Livsforsikring'!B112</f>
        <v>166303.35594000001</v>
      </c>
      <c r="C112" s="234">
        <f>'Fremtind Livsforsikring'!C112+'Danica Pensjonsforsikring'!C112+'DNB Livsforsikring'!C112+'Eika Forsikring AS'!C112+'Frende Livsforsikring'!C112+'Frende Skadeforsikring'!C112+'Gjensidige Forsikring'!C112+'Gjensidige Pensjon'!C112+'Handelsbanken Liv'!C112+'If Skadeforsikring NUF'!C112+KLP!C112+'KLP Skadeforsikring AS'!C112+'Landkreditt Forsikring'!C112+'Nordea Liv '!C112+'Oslo Pensjonsforsikring'!C112+'Protector Forsikring'!C112+'SHB Liv'!C112+'Sparebank 1'!C112+'Storebrand Livsforsikring'!C112+'Telenor Forsikring'!C112+'Tryg Forsikring'!C112+'WaterCircles F'!C112+'Codan Forsikring'!C112+'Euro Accident'!C112+'Ly Forsikring'!C112+'Youplus Livsforsikring'!C112</f>
        <v>275528.61459999997</v>
      </c>
      <c r="D112" s="23">
        <f t="shared" ref="D112:D125" si="42">IF(B112=0, "    ---- ", IF(ABS(ROUND(100/B112*C112-100,1))&lt;999,ROUND(100/B112*C112-100,1),IF(ROUND(100/B112*C112-100,1)&gt;999,999,-999)))</f>
        <v>65.7</v>
      </c>
      <c r="E112" s="44">
        <f>'Fremtind Livsforsikring'!F112+'Danica Pensjonsforsikring'!F112+'DNB Livsforsikring'!F112+'Eika Forsikring AS'!F112+'Frende Livsforsikring'!F112+'Frende Skadeforsikring'!F112+'Gjensidige Forsikring'!F112+'Gjensidige Pensjon'!F112+'Handelsbanken Liv'!F112+'If Skadeforsikring NUF'!F112+KLP!F112+'KLP Skadeforsikring AS'!F112+'Landkreditt Forsikring'!F112+'Nordea Liv '!F112+'Oslo Pensjonsforsikring'!F112+'Protector Forsikring'!F112+'SHB Liv'!F112+'Sparebank 1'!F112+'Storebrand Livsforsikring'!F112+'Telenor Forsikring'!F112+'Tryg Forsikring'!F112+'WaterCircles F'!F112+'Codan Forsikring'!F112+'Euro Accident'!F112+'Ly Forsikring'!F112+'Youplus Livsforsikring'!F112</f>
        <v>10574.945</v>
      </c>
      <c r="F112" s="44">
        <f>'Fremtind Livsforsikring'!G112+'Danica Pensjonsforsikring'!G112+'DNB Livsforsikring'!G112+'Eika Forsikring AS'!G112+'Frende Livsforsikring'!G112+'Frende Skadeforsikring'!G112+'Gjensidige Forsikring'!G112+'Gjensidige Pensjon'!G112+'Handelsbanken Liv'!G112+'If Skadeforsikring NUF'!G112+KLP!G112+'KLP Skadeforsikring AS'!G112+'Landkreditt Forsikring'!G112+'Nordea Liv '!G112+'Oslo Pensjonsforsikring'!G112+'Protector Forsikring'!G112+'SHB Liv'!G112+'Sparebank 1'!G112+'Storebrand Livsforsikring'!G112+'Telenor Forsikring'!G112+'Tryg Forsikring'!G112+'WaterCircles F'!G112+'Codan Forsikring'!G112+'Euro Accident'!G112+'Ly Forsikring'!G112+'Youplus Livsforsikring'!G112</f>
        <v>769.62300000000005</v>
      </c>
      <c r="G112" s="166">
        <f t="shared" si="41"/>
        <v>-92.7</v>
      </c>
      <c r="H112" s="237">
        <f t="shared" ref="H112:H125" si="43">SUM(B112,E112)</f>
        <v>176878.30094000002</v>
      </c>
      <c r="I112" s="237">
        <f t="shared" ref="I112:I125" si="44">SUM(C112,F112)</f>
        <v>276298.23759999999</v>
      </c>
      <c r="J112" s="23">
        <f t="shared" ref="J112:J125" si="45">IF(H112=0, "    ---- ", IF(ABS(ROUND(100/H112*I112-100,1))&lt;999,ROUND(100/H112*I112-100,1),IF(ROUND(100/H112*I112-100,1)&gt;999,999,-999)))</f>
        <v>56.2</v>
      </c>
    </row>
    <row r="113" spans="1:10" ht="15.75" customHeight="1" x14ac:dyDescent="0.2">
      <c r="A113" s="21" t="s">
        <v>10</v>
      </c>
      <c r="B113" s="234">
        <f>'Fremtind Livsforsikring'!B113+'Danica Pensjonsforsikring'!B113+'DNB Livsforsikring'!B113+'Eika Forsikring AS'!B113+'Frende Livsforsikring'!B113+'Frende Skadeforsikring'!B113+'Gjensidige Forsikring'!B113+'Gjensidige Pensjon'!B113+'Handelsbanken Liv'!B113+'If Skadeforsikring NUF'!B113+KLP!B113+'KLP Skadeforsikring AS'!B113+'Landkreditt Forsikring'!B113+'Nordea Liv '!B113+'Oslo Pensjonsforsikring'!B113+'Protector Forsikring'!B113+'SHB Liv'!B113+'Sparebank 1'!B113+'Storebrand Livsforsikring'!B113+'Telenor Forsikring'!B113+'Tryg Forsikring'!B113+'WaterCircles F'!B113+'Codan Forsikring'!B113+'Euro Accident'!B113+'Ly Forsikring'!B113+'Youplus Livsforsikring'!B113</f>
        <v>202.16847000000001</v>
      </c>
      <c r="C113" s="234">
        <f>'Fremtind Livsforsikring'!C113+'Danica Pensjonsforsikring'!C113+'DNB Livsforsikring'!C113+'Eika Forsikring AS'!C113+'Frende Livsforsikring'!C113+'Frende Skadeforsikring'!C113+'Gjensidige Forsikring'!C113+'Gjensidige Pensjon'!C113+'Handelsbanken Liv'!C113+'If Skadeforsikring NUF'!C113+KLP!C113+'KLP Skadeforsikring AS'!C113+'Landkreditt Forsikring'!C113+'Nordea Liv '!C113+'Oslo Pensjonsforsikring'!C113+'Protector Forsikring'!C113+'SHB Liv'!C113+'Sparebank 1'!C113+'Storebrand Livsforsikring'!C113+'Telenor Forsikring'!C113+'Tryg Forsikring'!C113+'WaterCircles F'!C113+'Codan Forsikring'!C113+'Euro Accident'!C113+'Ly Forsikring'!C113+'Youplus Livsforsikring'!C113</f>
        <v>180.96299999999999</v>
      </c>
      <c r="D113" s="23">
        <f t="shared" si="42"/>
        <v>-10.5</v>
      </c>
      <c r="E113" s="44">
        <f>'Fremtind Livsforsikring'!F113+'Danica Pensjonsforsikring'!F113+'DNB Livsforsikring'!F113+'Eika Forsikring AS'!F113+'Frende Livsforsikring'!F113+'Frende Skadeforsikring'!F113+'Gjensidige Forsikring'!F113+'Gjensidige Pensjon'!F113+'Handelsbanken Liv'!F113+'If Skadeforsikring NUF'!F113+KLP!F113+'KLP Skadeforsikring AS'!F113+'Landkreditt Forsikring'!F113+'Nordea Liv '!F113+'Oslo Pensjonsforsikring'!F113+'Protector Forsikring'!F113+'SHB Liv'!F113+'Sparebank 1'!F113+'Storebrand Livsforsikring'!F113+'Telenor Forsikring'!F113+'Tryg Forsikring'!F113+'WaterCircles F'!F113+'Codan Forsikring'!F113+'Euro Accident'!F113+'Ly Forsikring'!F113+'Youplus Livsforsikring'!F113</f>
        <v>29215552.051290002</v>
      </c>
      <c r="F113" s="44">
        <f>'Fremtind Livsforsikring'!G113+'Danica Pensjonsforsikring'!G113+'DNB Livsforsikring'!G113+'Eika Forsikring AS'!G113+'Frende Livsforsikring'!G113+'Frende Skadeforsikring'!G113+'Gjensidige Forsikring'!G113+'Gjensidige Pensjon'!G113+'Handelsbanken Liv'!G113+'If Skadeforsikring NUF'!G113+KLP!G113+'KLP Skadeforsikring AS'!G113+'Landkreditt Forsikring'!G113+'Nordea Liv '!G113+'Oslo Pensjonsforsikring'!G113+'Protector Forsikring'!G113+'SHB Liv'!G113+'Sparebank 1'!G113+'Storebrand Livsforsikring'!G113+'Telenor Forsikring'!G113+'Tryg Forsikring'!G113+'WaterCircles F'!G113+'Codan Forsikring'!G113+'Euro Accident'!G113+'Ly Forsikring'!G113+'Youplus Livsforsikring'!G113</f>
        <v>21129156.266690001</v>
      </c>
      <c r="G113" s="171">
        <f t="shared" si="41"/>
        <v>-27.7</v>
      </c>
      <c r="H113" s="237">
        <f t="shared" si="43"/>
        <v>29215754.219760001</v>
      </c>
      <c r="I113" s="237">
        <f t="shared" si="44"/>
        <v>21129337.22969</v>
      </c>
      <c r="J113" s="24">
        <f t="shared" si="45"/>
        <v>-27.7</v>
      </c>
    </row>
    <row r="114" spans="1:10" ht="15.75" customHeight="1" x14ac:dyDescent="0.2">
      <c r="A114" s="21" t="s">
        <v>26</v>
      </c>
      <c r="B114" s="234">
        <f>'Fremtind Livsforsikring'!B114+'Danica Pensjonsforsikring'!B114+'DNB Livsforsikring'!B114+'Eika Forsikring AS'!B114+'Frende Livsforsikring'!B114+'Frende Skadeforsikring'!B114+'Gjensidige Forsikring'!B114+'Gjensidige Pensjon'!B114+'Handelsbanken Liv'!B114+'If Skadeforsikring NUF'!B114+KLP!B114+'KLP Skadeforsikring AS'!B114+'Landkreditt Forsikring'!B114+'Nordea Liv '!B114+'Oslo Pensjonsforsikring'!B114+'Protector Forsikring'!B114+'SHB Liv'!B114+'Sparebank 1'!B114+'Storebrand Livsforsikring'!B114+'Telenor Forsikring'!B114+'Tryg Forsikring'!B114+'WaterCircles F'!B114+'Codan Forsikring'!B114+'Euro Accident'!B114+'Ly Forsikring'!B114+'Youplus Livsforsikring'!B114</f>
        <v>93268.452390000006</v>
      </c>
      <c r="C114" s="234">
        <f>'Fremtind Livsforsikring'!C114+'Danica Pensjonsforsikring'!C114+'DNB Livsforsikring'!C114+'Eika Forsikring AS'!C114+'Frende Livsforsikring'!C114+'Frende Skadeforsikring'!C114+'Gjensidige Forsikring'!C114+'Gjensidige Pensjon'!C114+'Handelsbanken Liv'!C114+'If Skadeforsikring NUF'!C114+KLP!C114+'KLP Skadeforsikring AS'!C114+'Landkreditt Forsikring'!C114+'Nordea Liv '!C114+'Oslo Pensjonsforsikring'!C114+'Protector Forsikring'!C114+'SHB Liv'!C114+'Sparebank 1'!C114+'Storebrand Livsforsikring'!C114+'Telenor Forsikring'!C114+'Tryg Forsikring'!C114+'WaterCircles F'!C114+'Codan Forsikring'!C114+'Euro Accident'!C114+'Ly Forsikring'!C114+'Youplus Livsforsikring'!C114</f>
        <v>248392.85061000002</v>
      </c>
      <c r="D114" s="23">
        <f t="shared" si="42"/>
        <v>166.3</v>
      </c>
      <c r="E114" s="44">
        <f>'Fremtind Livsforsikring'!F114+'Danica Pensjonsforsikring'!F114+'DNB Livsforsikring'!F114+'Eika Forsikring AS'!F114+'Frende Livsforsikring'!F114+'Frende Skadeforsikring'!F114+'Gjensidige Forsikring'!F114+'Gjensidige Pensjon'!F114+'Handelsbanken Liv'!F114+'If Skadeforsikring NUF'!F114+KLP!F114+'KLP Skadeforsikring AS'!F114+'Landkreditt Forsikring'!F114+'Nordea Liv '!F114+'Oslo Pensjonsforsikring'!F114+'Protector Forsikring'!F114+'SHB Liv'!F114+'Sparebank 1'!F114+'Storebrand Livsforsikring'!F114+'Telenor Forsikring'!F114+'Tryg Forsikring'!F114+'WaterCircles F'!F114+'Codan Forsikring'!F114+'Euro Accident'!F114+'Ly Forsikring'!F114+'Youplus Livsforsikring'!F114</f>
        <v>0</v>
      </c>
      <c r="F114" s="44">
        <f>'Fremtind Livsforsikring'!G114+'Danica Pensjonsforsikring'!G114+'DNB Livsforsikring'!G114+'Eika Forsikring AS'!G114+'Frende Livsforsikring'!G114+'Frende Skadeforsikring'!G114+'Gjensidige Forsikring'!G114+'Gjensidige Pensjon'!G114+'Handelsbanken Liv'!G114+'If Skadeforsikring NUF'!G114+KLP!G114+'KLP Skadeforsikring AS'!G114+'Landkreditt Forsikring'!G114+'Nordea Liv '!G114+'Oslo Pensjonsforsikring'!G114+'Protector Forsikring'!G114+'SHB Liv'!G114+'Sparebank 1'!G114+'Storebrand Livsforsikring'!G114+'Telenor Forsikring'!G114+'Tryg Forsikring'!G114+'WaterCircles F'!G114+'Codan Forsikring'!G114+'Euro Accident'!G114+'Ly Forsikring'!G114+'Youplus Livsforsikring'!G114</f>
        <v>1060.461</v>
      </c>
      <c r="G114" s="171" t="str">
        <f t="shared" si="41"/>
        <v xml:space="preserve">    ---- </v>
      </c>
      <c r="H114" s="237">
        <f t="shared" si="43"/>
        <v>93268.452390000006</v>
      </c>
      <c r="I114" s="237">
        <f t="shared" si="44"/>
        <v>249453.31161000003</v>
      </c>
      <c r="J114" s="24">
        <f t="shared" si="45"/>
        <v>167.5</v>
      </c>
    </row>
    <row r="115" spans="1:10" ht="15.75" customHeight="1" x14ac:dyDescent="0.2">
      <c r="A115" s="298" t="s">
        <v>15</v>
      </c>
      <c r="B115" s="44"/>
      <c r="C115" s="44"/>
      <c r="D115" s="27"/>
      <c r="E115" s="44"/>
      <c r="F115" s="44"/>
      <c r="G115" s="166"/>
      <c r="H115" s="237"/>
      <c r="I115" s="237"/>
      <c r="J115" s="23"/>
    </row>
    <row r="116" spans="1:10" ht="15.75" customHeight="1" x14ac:dyDescent="0.2">
      <c r="A116" s="21" t="s">
        <v>372</v>
      </c>
      <c r="B116" s="234">
        <f>'Fremtind Livsforsikring'!B116+'Danica Pensjonsforsikring'!B116+'DNB Livsforsikring'!B116+'Eika Forsikring AS'!B116+'Frende Livsforsikring'!B116+'Frende Skadeforsikring'!B116+'Gjensidige Forsikring'!B116+'Gjensidige Pensjon'!B116+'Handelsbanken Liv'!B116+'If Skadeforsikring NUF'!B116+KLP!B116+'KLP Skadeforsikring AS'!B116+'Landkreditt Forsikring'!B116+'Nordea Liv '!B116+'Oslo Pensjonsforsikring'!B116+'Protector Forsikring'!B116+'SHB Liv'!B116+'Sparebank 1'!B116+'Storebrand Livsforsikring'!B116+'Telenor Forsikring'!B116+'Tryg Forsikring'!B116+'WaterCircles F'!B116+'Codan Forsikring'!B116+'Euro Accident'!B116+'Ly Forsikring'!B116+'Youplus Livsforsikring'!B116</f>
        <v>65722.102790000004</v>
      </c>
      <c r="C116" s="234">
        <f>'Fremtind Livsforsikring'!C116+'Danica Pensjonsforsikring'!C116+'DNB Livsforsikring'!C116+'Eika Forsikring AS'!C116+'Frende Livsforsikring'!C116+'Frende Skadeforsikring'!C116+'Gjensidige Forsikring'!C116+'Gjensidige Pensjon'!C116+'Handelsbanken Liv'!C116+'If Skadeforsikring NUF'!C116+KLP!C116+'KLP Skadeforsikring AS'!C116+'Landkreditt Forsikring'!C116+'Nordea Liv '!C116+'Oslo Pensjonsforsikring'!C116+'Protector Forsikring'!C116+'SHB Liv'!C116+'Sparebank 1'!C116+'Storebrand Livsforsikring'!C116+'Telenor Forsikring'!C116+'Tryg Forsikring'!C116+'WaterCircles F'!C116+'Codan Forsikring'!C116+'Euro Accident'!C116+'Ly Forsikring'!C116+'Youplus Livsforsikring'!C116</f>
        <v>81161.123839999986</v>
      </c>
      <c r="D116" s="23">
        <f t="shared" si="42"/>
        <v>23.5</v>
      </c>
      <c r="E116" s="44">
        <f>'Fremtind Livsforsikring'!F116+'Danica Pensjonsforsikring'!F116+'DNB Livsforsikring'!F116+'Eika Forsikring AS'!F116+'Frende Livsforsikring'!F116+'Frende Skadeforsikring'!F116+'Gjensidige Forsikring'!F116+'Gjensidige Pensjon'!F116+'Handelsbanken Liv'!F116+'If Skadeforsikring NUF'!F116+KLP!F116+'KLP Skadeforsikring AS'!F116+'Landkreditt Forsikring'!F116+'Nordea Liv '!F116+'Oslo Pensjonsforsikring'!F116+'Protector Forsikring'!F116+'SHB Liv'!F116+'Sparebank 1'!F116+'Storebrand Livsforsikring'!F116+'Telenor Forsikring'!F116+'Tryg Forsikring'!F116+'WaterCircles F'!F116+'Codan Forsikring'!F116+'Euro Accident'!F116+'Ly Forsikring'!F116+'Youplus Livsforsikring'!F116</f>
        <v>10574.945</v>
      </c>
      <c r="F116" s="44">
        <f>'Fremtind Livsforsikring'!G116+'Danica Pensjonsforsikring'!G116+'DNB Livsforsikring'!G116+'Eika Forsikring AS'!G116+'Frende Livsforsikring'!G116+'Frende Skadeforsikring'!G116+'Gjensidige Forsikring'!G116+'Gjensidige Pensjon'!G116+'Handelsbanken Liv'!G116+'If Skadeforsikring NUF'!G116+KLP!G116+'KLP Skadeforsikring AS'!G116+'Landkreditt Forsikring'!G116+'Nordea Liv '!G116+'Oslo Pensjonsforsikring'!G116+'Protector Forsikring'!G116+'SHB Liv'!G116+'Sparebank 1'!G116+'Storebrand Livsforsikring'!G116+'Telenor Forsikring'!G116+'Tryg Forsikring'!G116+'WaterCircles F'!G116+'Codan Forsikring'!G116+'Euro Accident'!G116+'Ly Forsikring'!G116+'Youplus Livsforsikring'!G116</f>
        <v>769.62300000000005</v>
      </c>
      <c r="G116" s="166">
        <f t="shared" ref="G116:G121" si="46">IF(E116=0, "    ---- ", IF(ABS(ROUND(100/E116*F116-100,1))&lt;999,ROUND(100/E116*F116-100,1),IF(ROUND(100/E116*F116-100,1)&gt;999,999,-999)))</f>
        <v>-92.7</v>
      </c>
      <c r="H116" s="237">
        <f t="shared" si="43"/>
        <v>76297.047790000011</v>
      </c>
      <c r="I116" s="237">
        <f t="shared" si="44"/>
        <v>81930.746839999993</v>
      </c>
      <c r="J116" s="23">
        <f t="shared" si="45"/>
        <v>7.4</v>
      </c>
    </row>
    <row r="117" spans="1:10" ht="15.75" customHeight="1" x14ac:dyDescent="0.2">
      <c r="A117" s="38" t="s">
        <v>417</v>
      </c>
      <c r="B117" s="234">
        <f>'Fremtind Livsforsikring'!B117+'Danica Pensjonsforsikring'!B117+'DNB Livsforsikring'!B117+'Eika Forsikring AS'!B117+'Frende Livsforsikring'!B117+'Frende Skadeforsikring'!B117+'Gjensidige Forsikring'!B117+'Gjensidige Pensjon'!B117+'Handelsbanken Liv'!B117+'If Skadeforsikring NUF'!B117+KLP!B117+'KLP Skadeforsikring AS'!B117+'Landkreditt Forsikring'!B117+'Nordea Liv '!B117+'Oslo Pensjonsforsikring'!B117+'Protector Forsikring'!B117+'SHB Liv'!B117+'Sparebank 1'!B117+'Storebrand Livsforsikring'!B117+'Telenor Forsikring'!B117+'Tryg Forsikring'!B117+'WaterCircles F'!B117+'Codan Forsikring'!B117+'Euro Accident'!B117+'Ly Forsikring'!B117+'Youplus Livsforsikring'!B117</f>
        <v>0</v>
      </c>
      <c r="C117" s="234">
        <f>'Fremtind Livsforsikring'!C117+'Danica Pensjonsforsikring'!C117+'DNB Livsforsikring'!C117+'Eika Forsikring AS'!C117+'Frende Livsforsikring'!C117+'Frende Skadeforsikring'!C117+'Gjensidige Forsikring'!C117+'Gjensidige Pensjon'!C117+'Handelsbanken Liv'!C117+'If Skadeforsikring NUF'!C117+KLP!C117+'KLP Skadeforsikring AS'!C117+'Landkreditt Forsikring'!C117+'Nordea Liv '!C117+'Oslo Pensjonsforsikring'!C117+'Protector Forsikring'!C117+'SHB Liv'!C117+'Sparebank 1'!C117+'Storebrand Livsforsikring'!C117+'Telenor Forsikring'!C117+'Tryg Forsikring'!C117+'WaterCircles F'!C117+'Codan Forsikring'!C117+'Euro Accident'!C117+'Ly Forsikring'!C117+'Youplus Livsforsikring'!C117</f>
        <v>180.96299999999999</v>
      </c>
      <c r="D117" s="23" t="str">
        <f t="shared" si="42"/>
        <v xml:space="preserve">    ---- </v>
      </c>
      <c r="E117" s="44">
        <f>'Fremtind Livsforsikring'!F117+'Danica Pensjonsforsikring'!F117+'DNB Livsforsikring'!F117+'Eika Forsikring AS'!F117+'Frende Livsforsikring'!F117+'Frende Skadeforsikring'!F117+'Gjensidige Forsikring'!F117+'Gjensidige Pensjon'!F117+'Handelsbanken Liv'!F117+'If Skadeforsikring NUF'!F117+KLP!F117+'KLP Skadeforsikring AS'!F117+'Landkreditt Forsikring'!F117+'Nordea Liv '!F117+'Oslo Pensjonsforsikring'!F117+'Protector Forsikring'!F117+'SHB Liv'!F117+'Sparebank 1'!F117+'Storebrand Livsforsikring'!F117+'Telenor Forsikring'!F117+'Tryg Forsikring'!F117+'WaterCircles F'!F117+'Codan Forsikring'!F117+'Euro Accident'!F117+'Ly Forsikring'!F117+'Youplus Livsforsikring'!F117</f>
        <v>1358267.3754200002</v>
      </c>
      <c r="F117" s="44">
        <f>'Fremtind Livsforsikring'!G117+'Danica Pensjonsforsikring'!G117+'DNB Livsforsikring'!G117+'Eika Forsikring AS'!G117+'Frende Livsforsikring'!G117+'Frende Skadeforsikring'!G117+'Gjensidige Forsikring'!G117+'Gjensidige Pensjon'!G117+'Handelsbanken Liv'!G117+'If Skadeforsikring NUF'!G117+KLP!G117+'KLP Skadeforsikring AS'!G117+'Landkreditt Forsikring'!G117+'Nordea Liv '!G117+'Oslo Pensjonsforsikring'!G117+'Protector Forsikring'!G117+'SHB Liv'!G117+'Sparebank 1'!G117+'Storebrand Livsforsikring'!G117+'Telenor Forsikring'!G117+'Tryg Forsikring'!G117+'WaterCircles F'!G117+'Codan Forsikring'!G117+'Euro Accident'!G117+'Ly Forsikring'!G117+'Youplus Livsforsikring'!G117</f>
        <v>11390365.21721</v>
      </c>
      <c r="G117" s="166">
        <f t="shared" si="46"/>
        <v>738.6</v>
      </c>
      <c r="H117" s="237">
        <f t="shared" si="43"/>
        <v>1358267.3754200002</v>
      </c>
      <c r="I117" s="237">
        <f t="shared" si="44"/>
        <v>11390546.18021</v>
      </c>
      <c r="J117" s="23">
        <f t="shared" si="45"/>
        <v>738.6</v>
      </c>
    </row>
    <row r="118" spans="1:10" ht="15.75" customHeight="1" x14ac:dyDescent="0.2">
      <c r="A118" s="21" t="s">
        <v>371</v>
      </c>
      <c r="B118" s="234"/>
      <c r="C118" s="234"/>
      <c r="D118" s="23"/>
      <c r="E118" s="44"/>
      <c r="F118" s="44"/>
      <c r="G118" s="166"/>
      <c r="H118" s="237"/>
      <c r="I118" s="237"/>
      <c r="J118" s="23"/>
    </row>
    <row r="119" spans="1:10" s="43" customFormat="1" ht="15.75" customHeight="1" x14ac:dyDescent="0.2">
      <c r="A119" s="13" t="s">
        <v>353</v>
      </c>
      <c r="B119" s="330">
        <f>'Fremtind Livsforsikring'!B119+'Danica Pensjonsforsikring'!B119+'DNB Livsforsikring'!B119+'Eika Forsikring AS'!B119+'Frende Livsforsikring'!B119+'Frende Skadeforsikring'!B119+'Gjensidige Forsikring'!B119+'Gjensidige Pensjon'!B119+'Handelsbanken Liv'!B119+'If Skadeforsikring NUF'!B119+KLP!B119+'KLP Skadeforsikring AS'!B119+'Landkreditt Forsikring'!B119+'Nordea Liv '!B119+'Oslo Pensjonsforsikring'!B119+'Protector Forsikring'!B119+'SHB Liv'!B119+'Sparebank 1'!B119+'Storebrand Livsforsikring'!B119+'Telenor Forsikring'!B119+'Tryg Forsikring'!B119+'WaterCircles F'!B119+'Codan Forsikring'!B119+'Euro Accident'!B119+'Ly Forsikring'!B119+'Youplus Livsforsikring'!B119</f>
        <v>356144.94210999983</v>
      </c>
      <c r="C119" s="330">
        <f>'Fremtind Livsforsikring'!C119+'Danica Pensjonsforsikring'!C119+'DNB Livsforsikring'!C119+'Eika Forsikring AS'!C119+'Frende Livsforsikring'!C119+'Frende Skadeforsikring'!C119+'Gjensidige Forsikring'!C119+'Gjensidige Pensjon'!C119+'Handelsbanken Liv'!C119+'If Skadeforsikring NUF'!C119+KLP!C119+'KLP Skadeforsikring AS'!C119+'Landkreditt Forsikring'!C119+'Nordea Liv '!C119+'Oslo Pensjonsforsikring'!C119+'Protector Forsikring'!C119+'SHB Liv'!C119+'Sparebank 1'!C119+'Storebrand Livsforsikring'!C119+'Telenor Forsikring'!C119+'Tryg Forsikring'!C119+'WaterCircles F'!C119+'Codan Forsikring'!C119+'Euro Accident'!C119+'Ly Forsikring'!C119+'Youplus Livsforsikring'!C119</f>
        <v>474688.94764999987</v>
      </c>
      <c r="D119" s="24">
        <f t="shared" si="42"/>
        <v>33.299999999999997</v>
      </c>
      <c r="E119" s="236">
        <f>'Fremtind Livsforsikring'!F119+'Danica Pensjonsforsikring'!F119+'DNB Livsforsikring'!F119+'Eika Forsikring AS'!F119+'Frende Livsforsikring'!F119+'Frende Skadeforsikring'!F119+'Gjensidige Forsikring'!F119+'Gjensidige Pensjon'!F119+'Handelsbanken Liv'!F119+'If Skadeforsikring NUF'!F119+KLP!F119+'KLP Skadeforsikring AS'!F119+'Landkreditt Forsikring'!F119+'Nordea Liv '!F119+'Oslo Pensjonsforsikring'!F119+'Protector Forsikring'!F119+'SHB Liv'!F119+'Sparebank 1'!F119+'Storebrand Livsforsikring'!F119+'Telenor Forsikring'!F119+'Tryg Forsikring'!F119+'WaterCircles F'!F119+'Codan Forsikring'!F119+'Euro Accident'!F119+'Ly Forsikring'!F119+'Youplus Livsforsikring'!F119</f>
        <v>33783529.177040003</v>
      </c>
      <c r="F119" s="236">
        <f>'Fremtind Livsforsikring'!G119+'Danica Pensjonsforsikring'!G119+'DNB Livsforsikring'!G119+'Eika Forsikring AS'!G119+'Frende Livsforsikring'!G119+'Frende Skadeforsikring'!G119+'Gjensidige Forsikring'!G119+'Gjensidige Pensjon'!G119+'Handelsbanken Liv'!G119+'If Skadeforsikring NUF'!G119+KLP!G119+'KLP Skadeforsikring AS'!G119+'Landkreditt Forsikring'!G119+'Nordea Liv '!G119+'Oslo Pensjonsforsikring'!G119+'Protector Forsikring'!G119+'SHB Liv'!G119+'Sparebank 1'!G119+'Storebrand Livsforsikring'!G119+'Telenor Forsikring'!G119+'Tryg Forsikring'!G119+'WaterCircles F'!G119+'Codan Forsikring'!G119+'Euro Accident'!G119+'Ly Forsikring'!G119+'Youplus Livsforsikring'!G119</f>
        <v>22485143.505799998</v>
      </c>
      <c r="G119" s="171">
        <f t="shared" si="46"/>
        <v>-33.4</v>
      </c>
      <c r="H119" s="330">
        <f t="shared" si="43"/>
        <v>34139674.119150005</v>
      </c>
      <c r="I119" s="330">
        <f t="shared" si="44"/>
        <v>22959832.453449998</v>
      </c>
      <c r="J119" s="24">
        <f t="shared" si="45"/>
        <v>-32.700000000000003</v>
      </c>
    </row>
    <row r="120" spans="1:10" ht="15.75" customHeight="1" x14ac:dyDescent="0.2">
      <c r="A120" s="21" t="s">
        <v>9</v>
      </c>
      <c r="B120" s="237">
        <f>'Fremtind Livsforsikring'!B120+'Danica Pensjonsforsikring'!B120+'DNB Livsforsikring'!B120+'Eika Forsikring AS'!B120+'Frende Livsforsikring'!B120+'Frende Skadeforsikring'!B120+'Gjensidige Forsikring'!B120+'Gjensidige Pensjon'!B120+'Handelsbanken Liv'!B120+'If Skadeforsikring NUF'!B120+KLP!B120+'KLP Skadeforsikring AS'!B120+'Landkreditt Forsikring'!B120+'Nordea Liv '!B120+'Oslo Pensjonsforsikring'!B120+'Protector Forsikring'!B120+'SHB Liv'!B120+'Sparebank 1'!B120+'Storebrand Livsforsikring'!B120+'Telenor Forsikring'!B120+'Tryg Forsikring'!B120+'WaterCircles F'!B120+'Codan Forsikring'!B120+'Euro Accident'!B120+'Ly Forsikring'!B120+'Youplus Livsforsikring'!B120</f>
        <v>256161.33494999984</v>
      </c>
      <c r="C120" s="237">
        <f>'Fremtind Livsforsikring'!C120+'Danica Pensjonsforsikring'!C120+'DNB Livsforsikring'!C120+'Eika Forsikring AS'!C120+'Frende Livsforsikring'!C120+'Frende Skadeforsikring'!C120+'Gjensidige Forsikring'!C120+'Gjensidige Pensjon'!C120+'Handelsbanken Liv'!C120+'If Skadeforsikring NUF'!C120+KLP!C120+'KLP Skadeforsikring AS'!C120+'Landkreditt Forsikring'!C120+'Nordea Liv '!C120+'Oslo Pensjonsforsikring'!C120+'Protector Forsikring'!C120+'SHB Liv'!C120+'Sparebank 1'!C120+'Storebrand Livsforsikring'!C120+'Telenor Forsikring'!C120+'Tryg Forsikring'!C120+'WaterCircles F'!C120+'Codan Forsikring'!C120+'Euro Accident'!C120+'Ly Forsikring'!C120+'Youplus Livsforsikring'!C120</f>
        <v>161172.60553999987</v>
      </c>
      <c r="D120" s="23">
        <f t="shared" si="42"/>
        <v>-37.1</v>
      </c>
      <c r="E120" s="44"/>
      <c r="F120" s="44"/>
      <c r="G120" s="166"/>
      <c r="H120" s="237">
        <f t="shared" si="43"/>
        <v>256161.33494999984</v>
      </c>
      <c r="I120" s="237">
        <f t="shared" si="44"/>
        <v>161172.60553999987</v>
      </c>
      <c r="J120" s="23">
        <f t="shared" si="45"/>
        <v>-37.1</v>
      </c>
    </row>
    <row r="121" spans="1:10" ht="15.75" customHeight="1" x14ac:dyDescent="0.2">
      <c r="A121" s="21" t="s">
        <v>10</v>
      </c>
      <c r="B121" s="237">
        <f>'Fremtind Livsforsikring'!B121+'Danica Pensjonsforsikring'!B121+'DNB Livsforsikring'!B121+'Eika Forsikring AS'!B121+'Frende Livsforsikring'!B121+'Frende Skadeforsikring'!B121+'Gjensidige Forsikring'!B121+'Gjensidige Pensjon'!B121+'Handelsbanken Liv'!B121+'If Skadeforsikring NUF'!B121+KLP!B121+'KLP Skadeforsikring AS'!B121+'Landkreditt Forsikring'!B121+'Nordea Liv '!B121+'Oslo Pensjonsforsikring'!B121+'Protector Forsikring'!B121+'SHB Liv'!B121+'Sparebank 1'!B121+'Storebrand Livsforsikring'!B121+'Telenor Forsikring'!B121+'Tryg Forsikring'!B121+'WaterCircles F'!B121+'Codan Forsikring'!B121+'Euro Accident'!B121+'Ly Forsikring'!B121+'Youplus Livsforsikring'!B121</f>
        <v>6625.8154999999997</v>
      </c>
      <c r="C121" s="237">
        <f>'Fremtind Livsforsikring'!C121+'Danica Pensjonsforsikring'!C121+'DNB Livsforsikring'!C121+'Eika Forsikring AS'!C121+'Frende Livsforsikring'!C121+'Frende Skadeforsikring'!C121+'Gjensidige Forsikring'!C121+'Gjensidige Pensjon'!C121+'Handelsbanken Liv'!C121+'If Skadeforsikring NUF'!C121+KLP!C121+'KLP Skadeforsikring AS'!C121+'Landkreditt Forsikring'!C121+'Nordea Liv '!C121+'Oslo Pensjonsforsikring'!C121+'Protector Forsikring'!C121+'SHB Liv'!C121+'Sparebank 1'!C121+'Storebrand Livsforsikring'!C121+'Telenor Forsikring'!C121+'Tryg Forsikring'!C121+'WaterCircles F'!C121+'Codan Forsikring'!C121+'Euro Accident'!C121+'Ly Forsikring'!C121+'Youplus Livsforsikring'!C121</f>
        <v>5577.9977500000005</v>
      </c>
      <c r="D121" s="23">
        <f t="shared" si="42"/>
        <v>-15.8</v>
      </c>
      <c r="E121" s="44">
        <f>'Fremtind Livsforsikring'!F121+'Danica Pensjonsforsikring'!F121+'DNB Livsforsikring'!F121+'Eika Forsikring AS'!F121+'Frende Livsforsikring'!F121+'Frende Skadeforsikring'!F121+'Gjensidige Forsikring'!F121+'Gjensidige Pensjon'!F121+'Handelsbanken Liv'!F121+'If Skadeforsikring NUF'!F121+KLP!F121+'KLP Skadeforsikring AS'!F121+'Landkreditt Forsikring'!F121+'Nordea Liv '!F121+'Oslo Pensjonsforsikring'!F121+'Protector Forsikring'!F121+'SHB Liv'!F121+'Sparebank 1'!F121+'Storebrand Livsforsikring'!F121+'Telenor Forsikring'!F121+'Tryg Forsikring'!F121+'WaterCircles F'!F121+'Codan Forsikring'!F121+'Euro Accident'!F121+'Ly Forsikring'!F121+'Youplus Livsforsikring'!F121</f>
        <v>33783529.177040003</v>
      </c>
      <c r="F121" s="44">
        <f>'Fremtind Livsforsikring'!G121+'Danica Pensjonsforsikring'!G121+'DNB Livsforsikring'!G121+'Eika Forsikring AS'!G121+'Frende Livsforsikring'!G121+'Frende Skadeforsikring'!G121+'Gjensidige Forsikring'!G121+'Gjensidige Pensjon'!G121+'Handelsbanken Liv'!G121+'If Skadeforsikring NUF'!G121+KLP!G121+'KLP Skadeforsikring AS'!G121+'Landkreditt Forsikring'!G121+'Nordea Liv '!G121+'Oslo Pensjonsforsikring'!G121+'Protector Forsikring'!G121+'SHB Liv'!G121+'Sparebank 1'!G121+'Storebrand Livsforsikring'!G121+'Telenor Forsikring'!G121+'Tryg Forsikring'!G121+'WaterCircles F'!G121+'Codan Forsikring'!G121+'Euro Accident'!G121+'Ly Forsikring'!G121+'Youplus Livsforsikring'!G121</f>
        <v>22485143.505799998</v>
      </c>
      <c r="G121" s="166">
        <f t="shared" si="46"/>
        <v>-33.4</v>
      </c>
      <c r="H121" s="237">
        <f t="shared" si="43"/>
        <v>33790154.992540002</v>
      </c>
      <c r="I121" s="237">
        <f t="shared" si="44"/>
        <v>22490721.503549997</v>
      </c>
      <c r="J121" s="23">
        <f t="shared" si="45"/>
        <v>-33.4</v>
      </c>
    </row>
    <row r="122" spans="1:10" ht="15.75" customHeight="1" x14ac:dyDescent="0.2">
      <c r="A122" s="21" t="s">
        <v>26</v>
      </c>
      <c r="B122" s="237">
        <f>'Fremtind Livsforsikring'!B122+'Danica Pensjonsforsikring'!B122+'DNB Livsforsikring'!B122+'Eika Forsikring AS'!B122+'Frende Livsforsikring'!B122+'Frende Skadeforsikring'!B122+'Gjensidige Forsikring'!B122+'Gjensidige Pensjon'!B122+'Handelsbanken Liv'!B122+'If Skadeforsikring NUF'!B122+KLP!B122+'KLP Skadeforsikring AS'!B122+'Landkreditt Forsikring'!B122+'Nordea Liv '!B122+'Oslo Pensjonsforsikring'!B122+'Protector Forsikring'!B122+'SHB Liv'!B122+'Sparebank 1'!B122+'Storebrand Livsforsikring'!B122+'Telenor Forsikring'!B122+'Tryg Forsikring'!B122+'WaterCircles F'!B122+'Codan Forsikring'!B122+'Euro Accident'!B122+'Ly Forsikring'!B122+'Youplus Livsforsikring'!B122</f>
        <v>93357.791659999988</v>
      </c>
      <c r="C122" s="237">
        <f>'Fremtind Livsforsikring'!C122+'Danica Pensjonsforsikring'!C122+'DNB Livsforsikring'!C122+'Eika Forsikring AS'!C122+'Frende Livsforsikring'!C122+'Frende Skadeforsikring'!C122+'Gjensidige Forsikring'!C122+'Gjensidige Pensjon'!C122+'Handelsbanken Liv'!C122+'If Skadeforsikring NUF'!C122+KLP!C122+'KLP Skadeforsikring AS'!C122+'Landkreditt Forsikring'!C122+'Nordea Liv '!C122+'Oslo Pensjonsforsikring'!C122+'Protector Forsikring'!C122+'SHB Liv'!C122+'Sparebank 1'!C122+'Storebrand Livsforsikring'!C122+'Telenor Forsikring'!C122+'Tryg Forsikring'!C122+'WaterCircles F'!C122+'Codan Forsikring'!C122+'Euro Accident'!C122+'Ly Forsikring'!C122+'Youplus Livsforsikring'!C122</f>
        <v>307938.34435999999</v>
      </c>
      <c r="D122" s="23">
        <f t="shared" si="42"/>
        <v>229.8</v>
      </c>
      <c r="E122" s="44"/>
      <c r="F122" s="44"/>
      <c r="G122" s="166"/>
      <c r="H122" s="237">
        <f t="shared" si="43"/>
        <v>93357.791659999988</v>
      </c>
      <c r="I122" s="237">
        <f t="shared" si="44"/>
        <v>307938.34435999999</v>
      </c>
      <c r="J122" s="23">
        <f t="shared" si="45"/>
        <v>229.8</v>
      </c>
    </row>
    <row r="123" spans="1:10" ht="15.75" customHeight="1" x14ac:dyDescent="0.2">
      <c r="A123" s="298" t="s">
        <v>14</v>
      </c>
      <c r="B123" s="44"/>
      <c r="C123" s="44"/>
      <c r="D123" s="27"/>
      <c r="E123" s="44"/>
      <c r="F123" s="44"/>
      <c r="G123" s="166"/>
      <c r="H123" s="237"/>
      <c r="I123" s="237"/>
      <c r="J123" s="23"/>
    </row>
    <row r="124" spans="1:10" ht="15.75" customHeight="1" x14ac:dyDescent="0.2">
      <c r="A124" s="21" t="s">
        <v>370</v>
      </c>
      <c r="B124" s="237">
        <f>'Fremtind Livsforsikring'!B124+'Danica Pensjonsforsikring'!B124+'DNB Livsforsikring'!B124+'Eika Forsikring AS'!B124+'Frende Livsforsikring'!B124+'Frende Skadeforsikring'!B124+'Gjensidige Forsikring'!B124+'Gjensidige Pensjon'!B124+'Handelsbanken Liv'!B124+'If Skadeforsikring NUF'!B124+KLP!B124+'KLP Skadeforsikring AS'!B124+'Landkreditt Forsikring'!B124+'Nordea Liv '!B124+'Oslo Pensjonsforsikring'!B124+'Protector Forsikring'!B124+'SHB Liv'!B124+'Sparebank 1'!B124+'Storebrand Livsforsikring'!B124+'Telenor Forsikring'!B124+'Tryg Forsikring'!B124+'WaterCircles F'!B124+'Codan Forsikring'!B124+'Euro Accident'!B124+'Ly Forsikring'!B124+'Youplus Livsforsikring'!B124</f>
        <v>21246.671999999999</v>
      </c>
      <c r="C124" s="237">
        <f>'Fremtind Livsforsikring'!C124+'Danica Pensjonsforsikring'!C124+'DNB Livsforsikring'!C124+'Eika Forsikring AS'!C124+'Frende Livsforsikring'!C124+'Frende Skadeforsikring'!C124+'Gjensidige Forsikring'!C124+'Gjensidige Pensjon'!C124+'Handelsbanken Liv'!C124+'If Skadeforsikring NUF'!C124+KLP!C124+'KLP Skadeforsikring AS'!C124+'Landkreditt Forsikring'!C124+'Nordea Liv '!C124+'Oslo Pensjonsforsikring'!C124+'Protector Forsikring'!C124+'SHB Liv'!C124+'Sparebank 1'!C124+'Storebrand Livsforsikring'!C124+'Telenor Forsikring'!C124+'Tryg Forsikring'!C124+'WaterCircles F'!C124+'Codan Forsikring'!C124+'Euro Accident'!C124+'Ly Forsikring'!C124+'Youplus Livsforsikring'!C124</f>
        <v>54648.514999999999</v>
      </c>
      <c r="D124" s="23">
        <f t="shared" si="42"/>
        <v>157.19999999999999</v>
      </c>
      <c r="E124" s="44">
        <f>'Fremtind Livsforsikring'!F124+'Danica Pensjonsforsikring'!F124+'DNB Livsforsikring'!F124+'Eika Forsikring AS'!F124+'Frende Livsforsikring'!F124+'Frende Skadeforsikring'!F124+'Gjensidige Forsikring'!F124+'Gjensidige Pensjon'!F124+'Handelsbanken Liv'!F124+'If Skadeforsikring NUF'!F124+KLP!F124+'KLP Skadeforsikring AS'!F124+'Landkreditt Forsikring'!F124+'Nordea Liv '!F124+'Oslo Pensjonsforsikring'!F124+'Protector Forsikring'!F124+'SHB Liv'!F124+'Sparebank 1'!F124+'Storebrand Livsforsikring'!F124+'Telenor Forsikring'!F124+'Tryg Forsikring'!F124+'WaterCircles F'!F124+'Codan Forsikring'!F124+'Euro Accident'!F124+'Ly Forsikring'!F124+'Youplus Livsforsikring'!F124</f>
        <v>28627.687000000002</v>
      </c>
      <c r="F124" s="44">
        <f>'Fremtind Livsforsikring'!G124+'Danica Pensjonsforsikring'!G124+'DNB Livsforsikring'!G124+'Eika Forsikring AS'!G124+'Frende Livsforsikring'!G124+'Frende Skadeforsikring'!G124+'Gjensidige Forsikring'!G124+'Gjensidige Pensjon'!G124+'Handelsbanken Liv'!G124+'If Skadeforsikring NUF'!G124+KLP!G124+'KLP Skadeforsikring AS'!G124+'Landkreditt Forsikring'!G124+'Nordea Liv '!G124+'Oslo Pensjonsforsikring'!G124+'Protector Forsikring'!G124+'SHB Liv'!G124+'Sparebank 1'!G124+'Storebrand Livsforsikring'!G124+'Telenor Forsikring'!G124+'Tryg Forsikring'!G124+'WaterCircles F'!G124+'Codan Forsikring'!G124+'Euro Accident'!G124+'Ly Forsikring'!G124+'Youplus Livsforsikring'!G124</f>
        <v>7852.62</v>
      </c>
      <c r="G124" s="166">
        <f t="shared" ref="G124:G125" si="47">IF(E124=0, "    ---- ", IF(ABS(ROUND(100/E124*F124-100,1))&lt;999,ROUND(100/E124*F124-100,1),IF(ROUND(100/E124*F124-100,1)&gt;999,999,-999)))</f>
        <v>-72.599999999999994</v>
      </c>
      <c r="H124" s="237">
        <f t="shared" si="43"/>
        <v>49874.358999999997</v>
      </c>
      <c r="I124" s="237">
        <f t="shared" si="44"/>
        <v>62501.135000000002</v>
      </c>
      <c r="J124" s="23">
        <f t="shared" si="45"/>
        <v>25.3</v>
      </c>
    </row>
    <row r="125" spans="1:10" ht="15.75" customHeight="1" x14ac:dyDescent="0.2">
      <c r="A125" s="38" t="s">
        <v>417</v>
      </c>
      <c r="B125" s="237">
        <f>'Fremtind Livsforsikring'!B125+'Danica Pensjonsforsikring'!B125+'DNB Livsforsikring'!B125+'Eika Forsikring AS'!B125+'Frende Livsforsikring'!B125+'Frende Skadeforsikring'!B125+'Gjensidige Forsikring'!B125+'Gjensidige Pensjon'!B125+'Handelsbanken Liv'!B125+'If Skadeforsikring NUF'!B125+KLP!B125+'KLP Skadeforsikring AS'!B125+'Landkreditt Forsikring'!B125+'Nordea Liv '!B125+'Oslo Pensjonsforsikring'!B125+'Protector Forsikring'!B125+'SHB Liv'!B125+'Sparebank 1'!B125+'Storebrand Livsforsikring'!B125+'Telenor Forsikring'!B125+'Tryg Forsikring'!B125+'WaterCircles F'!B125+'Codan Forsikring'!B125+'Euro Accident'!B125+'Ly Forsikring'!B125+'Youplus Livsforsikring'!B125</f>
        <v>1952.9155899999998</v>
      </c>
      <c r="C125" s="237">
        <f>'Fremtind Livsforsikring'!C125+'Danica Pensjonsforsikring'!C125+'DNB Livsforsikring'!C125+'Eika Forsikring AS'!C125+'Frende Livsforsikring'!C125+'Frende Skadeforsikring'!C125+'Gjensidige Forsikring'!C125+'Gjensidige Pensjon'!C125+'Handelsbanken Liv'!C125+'If Skadeforsikring NUF'!C125+KLP!C125+'KLP Skadeforsikring AS'!C125+'Landkreditt Forsikring'!C125+'Nordea Liv '!C125+'Oslo Pensjonsforsikring'!C125+'Protector Forsikring'!C125+'SHB Liv'!C125+'Sparebank 1'!C125+'Storebrand Livsforsikring'!C125+'Telenor Forsikring'!C125+'Tryg Forsikring'!C125+'WaterCircles F'!C125+'Codan Forsikring'!C125+'Euro Accident'!C125+'Ly Forsikring'!C125+'Youplus Livsforsikring'!C125</f>
        <v>477.85473999999999</v>
      </c>
      <c r="D125" s="23">
        <f t="shared" si="42"/>
        <v>-75.5</v>
      </c>
      <c r="E125" s="44">
        <f>'Fremtind Livsforsikring'!F125+'Danica Pensjonsforsikring'!F125+'DNB Livsforsikring'!F125+'Eika Forsikring AS'!F125+'Frende Livsforsikring'!F125+'Frende Skadeforsikring'!F125+'Gjensidige Forsikring'!F125+'Gjensidige Pensjon'!F125+'Handelsbanken Liv'!F125+'If Skadeforsikring NUF'!F125+KLP!F125+'KLP Skadeforsikring AS'!F125+'Landkreditt Forsikring'!F125+'Nordea Liv '!F125+'Oslo Pensjonsforsikring'!F125+'Protector Forsikring'!F125+'SHB Liv'!F125+'Sparebank 1'!F125+'Storebrand Livsforsikring'!F125+'Telenor Forsikring'!F125+'Tryg Forsikring'!F125+'WaterCircles F'!F125+'Codan Forsikring'!F125+'Euro Accident'!F125+'Ly Forsikring'!F125+'Youplus Livsforsikring'!F125</f>
        <v>10908989.400139999</v>
      </c>
      <c r="F125" s="44">
        <f>'Fremtind Livsforsikring'!G125+'Danica Pensjonsforsikring'!G125+'DNB Livsforsikring'!G125+'Eika Forsikring AS'!G125+'Frende Livsforsikring'!G125+'Frende Skadeforsikring'!G125+'Gjensidige Forsikring'!G125+'Gjensidige Pensjon'!G125+'Handelsbanken Liv'!G125+'If Skadeforsikring NUF'!G125+KLP!G125+'KLP Skadeforsikring AS'!G125+'Landkreditt Forsikring'!G125+'Nordea Liv '!G125+'Oslo Pensjonsforsikring'!G125+'Protector Forsikring'!G125+'SHB Liv'!G125+'Sparebank 1'!G125+'Storebrand Livsforsikring'!G125+'Telenor Forsikring'!G125+'Tryg Forsikring'!G125+'WaterCircles F'!G125+'Codan Forsikring'!G125+'Euro Accident'!G125+'Ly Forsikring'!G125+'Youplus Livsforsikring'!G125</f>
        <v>11175880.5328</v>
      </c>
      <c r="G125" s="166">
        <f t="shared" si="47"/>
        <v>2.4</v>
      </c>
      <c r="H125" s="237">
        <f t="shared" si="43"/>
        <v>10910942.315729998</v>
      </c>
      <c r="I125" s="237">
        <f t="shared" si="44"/>
        <v>11176358.38754</v>
      </c>
      <c r="J125" s="23">
        <f t="shared" si="45"/>
        <v>2.4</v>
      </c>
    </row>
    <row r="126" spans="1:10" ht="15.75" customHeight="1" x14ac:dyDescent="0.2">
      <c r="A126" s="10" t="s">
        <v>371</v>
      </c>
      <c r="B126" s="238"/>
      <c r="C126" s="238"/>
      <c r="D126" s="22"/>
      <c r="E126" s="45"/>
      <c r="F126" s="45"/>
      <c r="G126" s="167"/>
      <c r="H126" s="238"/>
      <c r="I126" s="239"/>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696"/>
      <c r="C130" s="696"/>
      <c r="D130" s="696"/>
      <c r="E130" s="696"/>
      <c r="F130" s="696"/>
      <c r="G130" s="696"/>
      <c r="H130" s="696"/>
      <c r="I130" s="696"/>
      <c r="J130" s="696"/>
    </row>
    <row r="131" spans="1:10" s="3" customFormat="1" ht="20.100000000000001" customHeight="1" x14ac:dyDescent="0.2">
      <c r="A131" s="144"/>
      <c r="B131" s="697" t="s">
        <v>0</v>
      </c>
      <c r="C131" s="698"/>
      <c r="D131" s="699"/>
      <c r="E131" s="698" t="s">
        <v>1</v>
      </c>
      <c r="F131" s="698"/>
      <c r="G131" s="698"/>
      <c r="H131" s="697" t="s">
        <v>2</v>
      </c>
      <c r="I131" s="698"/>
      <c r="J131" s="699"/>
    </row>
    <row r="132" spans="1:10" s="3" customFormat="1" ht="15.75" customHeight="1" x14ac:dyDescent="0.2">
      <c r="A132" s="140"/>
      <c r="B132" s="253" t="s">
        <v>435</v>
      </c>
      <c r="C132" s="253" t="s">
        <v>436</v>
      </c>
      <c r="D132" s="19" t="s">
        <v>3</v>
      </c>
      <c r="E132" s="253" t="s">
        <v>435</v>
      </c>
      <c r="F132" s="253" t="s">
        <v>436</v>
      </c>
      <c r="G132" s="19" t="s">
        <v>3</v>
      </c>
      <c r="H132" s="253" t="s">
        <v>435</v>
      </c>
      <c r="I132" s="253" t="s">
        <v>436</v>
      </c>
      <c r="J132" s="19" t="s">
        <v>3</v>
      </c>
    </row>
    <row r="133" spans="1:10" s="3" customFormat="1" ht="15.75" customHeight="1" x14ac:dyDescent="0.2">
      <c r="A133" s="663"/>
      <c r="B133" s="15"/>
      <c r="C133" s="15"/>
      <c r="D133" s="17" t="s">
        <v>4</v>
      </c>
      <c r="E133" s="16"/>
      <c r="F133" s="16"/>
      <c r="G133" s="15" t="s">
        <v>4</v>
      </c>
      <c r="H133" s="16"/>
      <c r="I133" s="16"/>
      <c r="J133" s="15" t="s">
        <v>4</v>
      </c>
    </row>
    <row r="134" spans="1:10" s="417" customFormat="1" ht="15.75" customHeight="1" x14ac:dyDescent="0.2">
      <c r="A134" s="14" t="s">
        <v>373</v>
      </c>
      <c r="B134" s="236">
        <f>'Fremtind Livsforsikring'!B134+'Danica Pensjonsforsikring'!B134+'DNB Livsforsikring'!B134+'Eika Forsikring AS'!B134+'Frende Livsforsikring'!B134+'Frende Skadeforsikring'!B134+'Gjensidige Forsikring'!B134+'Gjensidige Pensjon'!B134+'Handelsbanken Liv'!B134+'If Skadeforsikring NUF'!B134+KLP!B134+'KLP Skadeforsikring AS'!B134+'Landkreditt Forsikring'!B134+'Nordea Liv '!B134+'Oslo Pensjonsforsikring'!B134+'Protector Forsikring'!B134+'SHB Liv'!B134+'Sparebank 1'!B134+'Storebrand Livsforsikring'!B134+'Telenor Forsikring'!B134+'Tryg Forsikring'!B134+'WaterCircles F'!B134+'Codan Forsikring'!B134+'Euro Accident'!B134+'Ly Forsikring'!B134+'Youplus Livsforsikring'!B134</f>
        <v>35930264.175000004</v>
      </c>
      <c r="C134" s="236">
        <f>'Fremtind Livsforsikring'!C134+'Danica Pensjonsforsikring'!C134+'DNB Livsforsikring'!C134+'Eika Forsikring AS'!C134+'Frende Livsforsikring'!C134+'Frende Skadeforsikring'!C134+'Gjensidige Forsikring'!C134+'Gjensidige Pensjon'!C134+'Handelsbanken Liv'!C134+'If Skadeforsikring NUF'!C134+KLP!C134+'KLP Skadeforsikring AS'!C134+'Landkreditt Forsikring'!C134+'Nordea Liv '!C134+'Oslo Pensjonsforsikring'!C134+'Protector Forsikring'!C134+'SHB Liv'!C134+'Sparebank 1'!C134+'Storebrand Livsforsikring'!C134+'Telenor Forsikring'!C134+'Tryg Forsikring'!C134+'WaterCircles F'!C134+'Codan Forsikring'!C134+'Euro Accident'!C134+'Ly Forsikring'!C134+'Youplus Livsforsikring'!C134</f>
        <v>38514732.82164</v>
      </c>
      <c r="D134" s="11">
        <f t="shared" ref="D134:D137" si="48">IF(B134=0, "    ---- ", IF(ABS(ROUND(100/B134*C134-100,1))&lt;999,ROUND(100/B134*C134-100,1),IF(ROUND(100/B134*C134-100,1)&gt;999,999,-999)))</f>
        <v>7.2</v>
      </c>
      <c r="E134" s="236">
        <f>'Fremtind Livsforsikring'!F134+'Danica Pensjonsforsikring'!F134+'DNB Livsforsikring'!F134+'Eika Forsikring AS'!F134+'Frende Livsforsikring'!F134+'Frende Skadeforsikring'!F134+'Gjensidige Forsikring'!F134+'Gjensidige Pensjon'!F134+'Handelsbanken Liv'!F134+'If Skadeforsikring NUF'!F134+KLP!F134+'KLP Skadeforsikring AS'!F134+'Landkreditt Forsikring'!F134+'Nordea Liv '!F134+'Oslo Pensjonsforsikring'!F134+'Protector Forsikring'!F134+'SHB Liv'!F134+'Sparebank 1'!F134+'Storebrand Livsforsikring'!F134+'Telenor Forsikring'!F134+'Tryg Forsikring'!F134+'WaterCircles F'!F134+'Codan Forsikring'!F134+'Euro Accident'!F134+'Ly Forsikring'!F134+'Youplus Livsforsikring'!F134</f>
        <v>96259.103000000003</v>
      </c>
      <c r="F134" s="236">
        <f>'Fremtind Livsforsikring'!G134+'Danica Pensjonsforsikring'!G134+'DNB Livsforsikring'!G134+'Eika Forsikring AS'!G134+'Frende Livsforsikring'!G134+'Frende Skadeforsikring'!G134+'Gjensidige Forsikring'!G134+'Gjensidige Pensjon'!G134+'Handelsbanken Liv'!G134+'If Skadeforsikring NUF'!G134+KLP!G134+'KLP Skadeforsikring AS'!G134+'Landkreditt Forsikring'!G134+'Nordea Liv '!G134+'Oslo Pensjonsforsikring'!G134+'Protector Forsikring'!G134+'SHB Liv'!G134+'Sparebank 1'!G134+'Storebrand Livsforsikring'!G134+'Telenor Forsikring'!G134+'Tryg Forsikring'!G134+'WaterCircles F'!G134+'Codan Forsikring'!G134+'Euro Accident'!G134+'Ly Forsikring'!G134+'Youplus Livsforsikring'!G134</f>
        <v>103293.625</v>
      </c>
      <c r="G134" s="11">
        <f t="shared" ref="G134:G136" si="49">IF(E134=0, "    ---- ", IF(ABS(ROUND(100/E134*F134-100,1))&lt;999,ROUND(100/E134*F134-100,1),IF(ROUND(100/E134*F134-100,1)&gt;999,999,-999)))</f>
        <v>7.3</v>
      </c>
      <c r="H134" s="236">
        <f t="shared" ref="H134:I137" si="50">SUM(B134,E134)</f>
        <v>36026523.278000005</v>
      </c>
      <c r="I134" s="236">
        <f t="shared" si="50"/>
        <v>38618026.44664</v>
      </c>
      <c r="J134" s="11">
        <f t="shared" ref="J134:J137" si="51">IF(H134=0, "    ---- ", IF(ABS(ROUND(100/H134*I134-100,1))&lt;999,ROUND(100/H134*I134-100,1),IF(ROUND(100/H134*I134-100,1)&gt;999,999,-999)))</f>
        <v>7.2</v>
      </c>
    </row>
    <row r="135" spans="1:10" s="417" customFormat="1" ht="15.75" customHeight="1" x14ac:dyDescent="0.2">
      <c r="A135" s="13" t="s">
        <v>374</v>
      </c>
      <c r="B135" s="236">
        <f>'Fremtind Livsforsikring'!B135+'Danica Pensjonsforsikring'!B135+'DNB Livsforsikring'!B135+'Eika Forsikring AS'!B135+'Frende Livsforsikring'!B135+'Frende Skadeforsikring'!B135+'Gjensidige Forsikring'!B135+'Gjensidige Pensjon'!B135+'Handelsbanken Liv'!B135+'If Skadeforsikring NUF'!B135+KLP!B135+'KLP Skadeforsikring AS'!B135+'Landkreditt Forsikring'!B135+'Nordea Liv '!B135+'Oslo Pensjonsforsikring'!B135+'Protector Forsikring'!B135+'SHB Liv'!B135+'Sparebank 1'!B135+'Storebrand Livsforsikring'!B135+'Telenor Forsikring'!B135+'Tryg Forsikring'!B135+'WaterCircles F'!B135+'Codan Forsikring'!B135+'Euro Accident'!B135+'Ly Forsikring'!B135+'Youplus Livsforsikring'!B135</f>
        <v>662603918.01883996</v>
      </c>
      <c r="C135" s="236">
        <f>'Fremtind Livsforsikring'!C135+'Danica Pensjonsforsikring'!C135+'DNB Livsforsikring'!C135+'Eika Forsikring AS'!C135+'Frende Livsforsikring'!C135+'Frende Skadeforsikring'!C135+'Gjensidige Forsikring'!C135+'Gjensidige Pensjon'!C135+'Handelsbanken Liv'!C135+'If Skadeforsikring NUF'!C135+KLP!C135+'KLP Skadeforsikring AS'!C135+'Landkreditt Forsikring'!C135+'Nordea Liv '!C135+'Oslo Pensjonsforsikring'!C135+'Protector Forsikring'!C135+'SHB Liv'!C135+'Sparebank 1'!C135+'Storebrand Livsforsikring'!C135+'Telenor Forsikring'!C135+'Tryg Forsikring'!C135+'WaterCircles F'!C135+'Codan Forsikring'!C135+'Euro Accident'!C135+'Ly Forsikring'!C135+'Youplus Livsforsikring'!C135</f>
        <v>778254987.33546007</v>
      </c>
      <c r="D135" s="11">
        <f t="shared" si="48"/>
        <v>17.5</v>
      </c>
      <c r="E135" s="236">
        <f>'Fremtind Livsforsikring'!F135+'Danica Pensjonsforsikring'!F135+'DNB Livsforsikring'!F135+'Eika Forsikring AS'!F135+'Frende Livsforsikring'!F135+'Frende Skadeforsikring'!F135+'Gjensidige Forsikring'!F135+'Gjensidige Pensjon'!F135+'Handelsbanken Liv'!F135+'If Skadeforsikring NUF'!F135+KLP!F135+'KLP Skadeforsikring AS'!F135+'Landkreditt Forsikring'!F135+'Nordea Liv '!F135+'Oslo Pensjonsforsikring'!F135+'Protector Forsikring'!F135+'SHB Liv'!F135+'Sparebank 1'!F135+'Storebrand Livsforsikring'!F135+'Telenor Forsikring'!F135+'Tryg Forsikring'!F135+'WaterCircles F'!F135+'Codan Forsikring'!F135+'Euro Accident'!F135+'Ly Forsikring'!F135+'Youplus Livsforsikring'!F135</f>
        <v>2232813.0127599998</v>
      </c>
      <c r="F135" s="236">
        <f>'Fremtind Livsforsikring'!G135+'Danica Pensjonsforsikring'!G135+'DNB Livsforsikring'!G135+'Eika Forsikring AS'!G135+'Frende Livsforsikring'!G135+'Frende Skadeforsikring'!G135+'Gjensidige Forsikring'!G135+'Gjensidige Pensjon'!G135+'Handelsbanken Liv'!G135+'If Skadeforsikring NUF'!G135+KLP!G135+'KLP Skadeforsikring AS'!G135+'Landkreditt Forsikring'!G135+'Nordea Liv '!G135+'Oslo Pensjonsforsikring'!G135+'Protector Forsikring'!G135+'SHB Liv'!G135+'Sparebank 1'!G135+'Storebrand Livsforsikring'!G135+'Telenor Forsikring'!G135+'Tryg Forsikring'!G135+'WaterCircles F'!G135+'Codan Forsikring'!G135+'Euro Accident'!G135+'Ly Forsikring'!G135+'Youplus Livsforsikring'!G135</f>
        <v>2589206.34993</v>
      </c>
      <c r="G135" s="11">
        <f t="shared" si="49"/>
        <v>16</v>
      </c>
      <c r="H135" s="236">
        <f t="shared" si="50"/>
        <v>664836731.0316</v>
      </c>
      <c r="I135" s="236">
        <f t="shared" si="50"/>
        <v>780844193.68539011</v>
      </c>
      <c r="J135" s="11">
        <f t="shared" si="51"/>
        <v>17.399999999999999</v>
      </c>
    </row>
    <row r="136" spans="1:10" s="417" customFormat="1" ht="15.75" customHeight="1" x14ac:dyDescent="0.2">
      <c r="A136" s="13" t="s">
        <v>375</v>
      </c>
      <c r="B136" s="236">
        <f>'Fremtind Livsforsikring'!B136+'Danica Pensjonsforsikring'!B136+'DNB Livsforsikring'!B136+'Eika Forsikring AS'!B136+'Frende Livsforsikring'!B136+'Frende Skadeforsikring'!B136+'Gjensidige Forsikring'!B136+'Gjensidige Pensjon'!B136+'Handelsbanken Liv'!B136+'If Skadeforsikring NUF'!B136+KLP!B136+'KLP Skadeforsikring AS'!B136+'Landkreditt Forsikring'!B136+'Nordea Liv '!B136+'Oslo Pensjonsforsikring'!B136+'Protector Forsikring'!B136+'SHB Liv'!B136+'Sparebank 1'!B136+'Storebrand Livsforsikring'!B136+'Telenor Forsikring'!B136+'Tryg Forsikring'!B136+'WaterCircles F'!B136+'Codan Forsikring'!B136+'Euro Accident'!B136+'Ly Forsikring'!B136+'Youplus Livsforsikring'!B136</f>
        <v>7134946.7209999999</v>
      </c>
      <c r="C136" s="236">
        <f>'Fremtind Livsforsikring'!C136+'Danica Pensjonsforsikring'!C136+'DNB Livsforsikring'!C136+'Eika Forsikring AS'!C136+'Frende Livsforsikring'!C136+'Frende Skadeforsikring'!C136+'Gjensidige Forsikring'!C136+'Gjensidige Pensjon'!C136+'Handelsbanken Liv'!C136+'If Skadeforsikring NUF'!C136+KLP!C136+'KLP Skadeforsikring AS'!C136+'Landkreditt Forsikring'!C136+'Nordea Liv '!C136+'Oslo Pensjonsforsikring'!C136+'Protector Forsikring'!C136+'SHB Liv'!C136+'Sparebank 1'!C136+'Storebrand Livsforsikring'!C136+'Telenor Forsikring'!C136+'Tryg Forsikring'!C136+'WaterCircles F'!C136+'Codan Forsikring'!C136+'Euro Accident'!C136+'Ly Forsikring'!C136+'Youplus Livsforsikring'!C136</f>
        <v>3276579.2050000001</v>
      </c>
      <c r="D136" s="11">
        <f t="shared" si="48"/>
        <v>-54.1</v>
      </c>
      <c r="E136" s="236">
        <f>'Fremtind Livsforsikring'!F136+'Danica Pensjonsforsikring'!F136+'DNB Livsforsikring'!F136+'Eika Forsikring AS'!F136+'Frende Livsforsikring'!F136+'Frende Skadeforsikring'!F136+'Gjensidige Forsikring'!F136+'Gjensidige Pensjon'!F136+'Handelsbanken Liv'!F136+'If Skadeforsikring NUF'!F136+KLP!F136+'KLP Skadeforsikring AS'!F136+'Landkreditt Forsikring'!F136+'Nordea Liv '!F136+'Oslo Pensjonsforsikring'!F136+'Protector Forsikring'!F136+'SHB Liv'!F136+'Sparebank 1'!F136+'Storebrand Livsforsikring'!F136+'Telenor Forsikring'!F136+'Tryg Forsikring'!F136+'WaterCircles F'!F136+'Codan Forsikring'!F136+'Euro Accident'!F136+'Ly Forsikring'!F136+'Youplus Livsforsikring'!F136</f>
        <v>0</v>
      </c>
      <c r="F136" s="236">
        <f>'Fremtind Livsforsikring'!G136+'Danica Pensjonsforsikring'!G136+'DNB Livsforsikring'!G136+'Eika Forsikring AS'!G136+'Frende Livsforsikring'!G136+'Frende Skadeforsikring'!G136+'Gjensidige Forsikring'!G136+'Gjensidige Pensjon'!G136+'Handelsbanken Liv'!G136+'If Skadeforsikring NUF'!G136+KLP!G136+'KLP Skadeforsikring AS'!G136+'Landkreditt Forsikring'!G136+'Nordea Liv '!G136+'Oslo Pensjonsforsikring'!G136+'Protector Forsikring'!G136+'SHB Liv'!G136+'Sparebank 1'!G136+'Storebrand Livsforsikring'!G136+'Telenor Forsikring'!G136+'Tryg Forsikring'!G136+'WaterCircles F'!G136+'Codan Forsikring'!G136+'Euro Accident'!G136+'Ly Forsikring'!G136+'Youplus Livsforsikring'!G136</f>
        <v>376440.52899999998</v>
      </c>
      <c r="G136" s="11" t="str">
        <f t="shared" si="49"/>
        <v xml:space="preserve">    ---- </v>
      </c>
      <c r="H136" s="236">
        <f t="shared" si="50"/>
        <v>7134946.7209999999</v>
      </c>
      <c r="I136" s="236">
        <f t="shared" si="50"/>
        <v>3653019.7340000002</v>
      </c>
      <c r="J136" s="11">
        <f t="shared" si="51"/>
        <v>-48.8</v>
      </c>
    </row>
    <row r="137" spans="1:10" s="417" customFormat="1" ht="15.75" customHeight="1" x14ac:dyDescent="0.2">
      <c r="A137" s="41" t="s">
        <v>376</v>
      </c>
      <c r="B137" s="281">
        <f>'Fremtind Livsforsikring'!B137+'Danica Pensjonsforsikring'!B137+'DNB Livsforsikring'!B137+'Eika Forsikring AS'!B137+'Frende Livsforsikring'!B137+'Frende Skadeforsikring'!B137+'Gjensidige Forsikring'!B137+'Gjensidige Pensjon'!B137+'Handelsbanken Liv'!B137+'If Skadeforsikring NUF'!B137+KLP!B137+'KLP Skadeforsikring AS'!B137+'Landkreditt Forsikring'!B137+'Nordea Liv '!B137+'Oslo Pensjonsforsikring'!B137+'Protector Forsikring'!B137+'SHB Liv'!B137+'Sparebank 1'!B137+'Storebrand Livsforsikring'!B137+'Telenor Forsikring'!B137+'Tryg Forsikring'!B137+'WaterCircles F'!B137+'Codan Forsikring'!B137+'Euro Accident'!B137+'Ly Forsikring'!B137+'Youplus Livsforsikring'!B137</f>
        <v>8346122.3590000002</v>
      </c>
      <c r="C137" s="281">
        <f>'Fremtind Livsforsikring'!C137+'Danica Pensjonsforsikring'!C137+'DNB Livsforsikring'!C137+'Eika Forsikring AS'!C137+'Frende Livsforsikring'!C137+'Frende Skadeforsikring'!C137+'Gjensidige Forsikring'!C137+'Gjensidige Pensjon'!C137+'Handelsbanken Liv'!C137+'If Skadeforsikring NUF'!C137+KLP!C137+'KLP Skadeforsikring AS'!C137+'Landkreditt Forsikring'!C137+'Nordea Liv '!C137+'Oslo Pensjonsforsikring'!C137+'Protector Forsikring'!C137+'SHB Liv'!C137+'Sparebank 1'!C137+'Storebrand Livsforsikring'!C137+'Telenor Forsikring'!C137+'Tryg Forsikring'!C137+'WaterCircles F'!C137+'Codan Forsikring'!C137+'Euro Accident'!C137+'Ly Forsikring'!C137+'Youplus Livsforsikring'!C137</f>
        <v>4374704.62</v>
      </c>
      <c r="D137" s="9">
        <f t="shared" si="48"/>
        <v>-47.6</v>
      </c>
      <c r="E137" s="281"/>
      <c r="F137" s="281"/>
      <c r="G137" s="9"/>
      <c r="H137" s="281">
        <f t="shared" si="50"/>
        <v>8346122.3590000002</v>
      </c>
      <c r="I137" s="281">
        <f t="shared" si="50"/>
        <v>4374704.62</v>
      </c>
      <c r="J137" s="9">
        <f t="shared" si="51"/>
        <v>-47.6</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15:I115">
    <cfRule type="expression" dxfId="683" priority="63">
      <formula>kvartal&lt;4</formula>
    </cfRule>
  </conditionalFormatting>
  <conditionalFormatting sqref="H123:I123">
    <cfRule type="expression" dxfId="682" priority="62">
      <formula>kvartal&lt;4</formula>
    </cfRule>
  </conditionalFormatting>
  <conditionalFormatting sqref="A50:A52">
    <cfRule type="expression" dxfId="681" priority="58">
      <formula>kvartal &lt; 4</formula>
    </cfRule>
  </conditionalFormatting>
  <conditionalFormatting sqref="A69:A74">
    <cfRule type="expression" dxfId="680" priority="56">
      <formula>kvartal &lt; 4</formula>
    </cfRule>
  </conditionalFormatting>
  <conditionalFormatting sqref="A80:A85">
    <cfRule type="expression" dxfId="679" priority="55">
      <formula>kvartal &lt; 4</formula>
    </cfRule>
  </conditionalFormatting>
  <conditionalFormatting sqref="A90:A95">
    <cfRule type="expression" dxfId="678" priority="52">
      <formula>kvartal &lt; 4</formula>
    </cfRule>
  </conditionalFormatting>
  <conditionalFormatting sqref="A101:A106">
    <cfRule type="expression" dxfId="677" priority="51">
      <formula>kvartal &lt; 4</formula>
    </cfRule>
  </conditionalFormatting>
  <conditionalFormatting sqref="A115">
    <cfRule type="expression" dxfId="676" priority="50">
      <formula>kvartal &lt; 4</formula>
    </cfRule>
  </conditionalFormatting>
  <conditionalFormatting sqref="A123">
    <cfRule type="expression" dxfId="675" priority="49">
      <formula>kvartal &lt; 4</formula>
    </cfRule>
  </conditionalFormatting>
  <conditionalFormatting sqref="B80">
    <cfRule type="expression" dxfId="674" priority="38">
      <formula>kvartal&lt;4</formula>
    </cfRule>
  </conditionalFormatting>
  <conditionalFormatting sqref="B83">
    <cfRule type="expression" dxfId="673" priority="37">
      <formula>kvartal&lt;4</formula>
    </cfRule>
  </conditionalFormatting>
  <conditionalFormatting sqref="B90">
    <cfRule type="expression" dxfId="672" priority="32">
      <formula>kvartal&lt;4</formula>
    </cfRule>
  </conditionalFormatting>
  <conditionalFormatting sqref="B93">
    <cfRule type="expression" dxfId="671" priority="31">
      <formula>kvartal&lt;4</formula>
    </cfRule>
  </conditionalFormatting>
  <conditionalFormatting sqref="B101">
    <cfRule type="expression" dxfId="670" priority="30">
      <formula>kvartal&lt;4</formula>
    </cfRule>
  </conditionalFormatting>
  <conditionalFormatting sqref="B104">
    <cfRule type="expression" dxfId="669" priority="29">
      <formula>kvartal&lt;4</formula>
    </cfRule>
  </conditionalFormatting>
  <conditionalFormatting sqref="B115">
    <cfRule type="expression" dxfId="668" priority="28">
      <formula>kvartal&lt;4</formula>
    </cfRule>
  </conditionalFormatting>
  <conditionalFormatting sqref="B123">
    <cfRule type="expression" dxfId="667" priority="27">
      <formula>kvartal&lt;4</formula>
    </cfRule>
  </conditionalFormatting>
  <conditionalFormatting sqref="E115">
    <cfRule type="expression" dxfId="666" priority="20">
      <formula>kvartal&lt;4</formula>
    </cfRule>
  </conditionalFormatting>
  <conditionalFormatting sqref="E123">
    <cfRule type="expression" dxfId="665" priority="19">
      <formula>kvartal&lt;4</formula>
    </cfRule>
  </conditionalFormatting>
  <conditionalFormatting sqref="F123">
    <cfRule type="expression" dxfId="664" priority="1">
      <formula>kvartal&lt;4</formula>
    </cfRule>
  </conditionalFormatting>
  <conditionalFormatting sqref="C80">
    <cfRule type="expression" dxfId="663" priority="14">
      <formula>kvartal&lt;4</formula>
    </cfRule>
  </conditionalFormatting>
  <conditionalFormatting sqref="C83">
    <cfRule type="expression" dxfId="662" priority="13">
      <formula>kvartal&lt;4</formula>
    </cfRule>
  </conditionalFormatting>
  <conditionalFormatting sqref="C90">
    <cfRule type="expression" dxfId="661" priority="12">
      <formula>kvartal&lt;4</formula>
    </cfRule>
  </conditionalFormatting>
  <conditionalFormatting sqref="C93">
    <cfRule type="expression" dxfId="660" priority="11">
      <formula>kvartal&lt;4</formula>
    </cfRule>
  </conditionalFormatting>
  <conditionalFormatting sqref="C101">
    <cfRule type="expression" dxfId="659" priority="10">
      <formula>kvartal&lt;4</formula>
    </cfRule>
  </conditionalFormatting>
  <conditionalFormatting sqref="C104">
    <cfRule type="expression" dxfId="658" priority="9">
      <formula>kvartal&lt;4</formula>
    </cfRule>
  </conditionalFormatting>
  <conditionalFormatting sqref="C115">
    <cfRule type="expression" dxfId="657" priority="8">
      <formula>kvartal&lt;4</formula>
    </cfRule>
  </conditionalFormatting>
  <conditionalFormatting sqref="C123">
    <cfRule type="expression" dxfId="656" priority="7">
      <formula>kvartal&lt;4</formula>
    </cfRule>
  </conditionalFormatting>
  <conditionalFormatting sqref="F115">
    <cfRule type="expression" dxfId="655"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O144"/>
  <sheetViews>
    <sheetView showGridLines="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401</v>
      </c>
      <c r="D1" s="26"/>
      <c r="E1" s="26"/>
      <c r="F1" s="26"/>
      <c r="G1" s="26"/>
      <c r="H1" s="26"/>
      <c r="I1" s="26"/>
      <c r="J1" s="26"/>
      <c r="K1" s="26"/>
      <c r="L1" s="26"/>
      <c r="M1" s="26"/>
    </row>
    <row r="2" spans="1:14" ht="15.75" x14ac:dyDescent="0.25">
      <c r="A2" s="165" t="s">
        <v>28</v>
      </c>
      <c r="B2" s="706"/>
      <c r="C2" s="706"/>
      <c r="D2" s="706"/>
      <c r="E2" s="563"/>
      <c r="F2" s="706"/>
      <c r="G2" s="706"/>
      <c r="H2" s="706"/>
      <c r="I2" s="563"/>
      <c r="J2" s="706"/>
      <c r="K2" s="706"/>
      <c r="L2" s="706"/>
      <c r="M2" s="563"/>
    </row>
    <row r="3" spans="1:14" ht="15.75" x14ac:dyDescent="0.25">
      <c r="A3" s="163"/>
      <c r="B3" s="563"/>
      <c r="C3" s="563"/>
      <c r="D3" s="563"/>
      <c r="E3" s="563"/>
      <c r="F3" s="563"/>
      <c r="G3" s="563"/>
      <c r="H3" s="563"/>
      <c r="I3" s="563"/>
      <c r="J3" s="563"/>
      <c r="K3" s="563"/>
      <c r="L3" s="563"/>
      <c r="M3" s="563"/>
    </row>
    <row r="4" spans="1:14" x14ac:dyDescent="0.2">
      <c r="A4" s="144"/>
      <c r="B4" s="702" t="s">
        <v>0</v>
      </c>
      <c r="C4" s="703"/>
      <c r="D4" s="703"/>
      <c r="E4" s="561"/>
      <c r="F4" s="702" t="s">
        <v>1</v>
      </c>
      <c r="G4" s="703"/>
      <c r="H4" s="703"/>
      <c r="I4" s="562"/>
      <c r="J4" s="702" t="s">
        <v>2</v>
      </c>
      <c r="K4" s="703"/>
      <c r="L4" s="703"/>
      <c r="M4" s="562"/>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563"/>
      <c r="F18" s="701"/>
      <c r="G18" s="701"/>
      <c r="H18" s="701"/>
      <c r="I18" s="563"/>
      <c r="J18" s="701"/>
      <c r="K18" s="701"/>
      <c r="L18" s="701"/>
      <c r="M18" s="563"/>
    </row>
    <row r="19" spans="1:14" x14ac:dyDescent="0.2">
      <c r="A19" s="144"/>
      <c r="B19" s="702" t="s">
        <v>0</v>
      </c>
      <c r="C19" s="703"/>
      <c r="D19" s="703"/>
      <c r="E19" s="561"/>
      <c r="F19" s="702" t="s">
        <v>1</v>
      </c>
      <c r="G19" s="703"/>
      <c r="H19" s="703"/>
      <c r="I19" s="562"/>
      <c r="J19" s="702" t="s">
        <v>2</v>
      </c>
      <c r="K19" s="703"/>
      <c r="L19" s="703"/>
      <c r="M19" s="562"/>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413"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60"/>
      <c r="J22" s="318"/>
      <c r="K22" s="318"/>
      <c r="L22" s="424"/>
      <c r="M22" s="24"/>
    </row>
    <row r="23" spans="1:14" ht="15.75" x14ac:dyDescent="0.2">
      <c r="A23" s="503" t="s">
        <v>354</v>
      </c>
      <c r="B23" s="286"/>
      <c r="C23" s="286"/>
      <c r="D23" s="166"/>
      <c r="E23" s="11"/>
      <c r="F23" s="295"/>
      <c r="G23" s="295"/>
      <c r="H23" s="166"/>
      <c r="I23" s="240"/>
      <c r="J23" s="295"/>
      <c r="K23" s="295"/>
      <c r="L23" s="166"/>
      <c r="M23" s="23"/>
    </row>
    <row r="24" spans="1:14" ht="15.75" x14ac:dyDescent="0.2">
      <c r="A24" s="503" t="s">
        <v>355</v>
      </c>
      <c r="B24" s="286"/>
      <c r="C24" s="286"/>
      <c r="D24" s="166"/>
      <c r="E24" s="11"/>
      <c r="F24" s="295"/>
      <c r="G24" s="295"/>
      <c r="H24" s="166"/>
      <c r="I24" s="240"/>
      <c r="J24" s="295"/>
      <c r="K24" s="295"/>
      <c r="L24" s="166"/>
      <c r="M24" s="23"/>
    </row>
    <row r="25" spans="1:14" ht="15.75" x14ac:dyDescent="0.2">
      <c r="A25" s="503" t="s">
        <v>356</v>
      </c>
      <c r="B25" s="286"/>
      <c r="C25" s="286"/>
      <c r="D25" s="166"/>
      <c r="E25" s="11"/>
      <c r="F25" s="295"/>
      <c r="G25" s="295"/>
      <c r="H25" s="166"/>
      <c r="I25" s="240"/>
      <c r="J25" s="295"/>
      <c r="K25" s="295"/>
      <c r="L25" s="166"/>
      <c r="M25" s="23"/>
    </row>
    <row r="26" spans="1:14" ht="15.75" x14ac:dyDescent="0.2">
      <c r="A26" s="503" t="s">
        <v>357</v>
      </c>
      <c r="B26" s="286"/>
      <c r="C26" s="286"/>
      <c r="D26" s="166"/>
      <c r="E26" s="11"/>
      <c r="F26" s="295"/>
      <c r="G26" s="295"/>
      <c r="H26" s="166"/>
      <c r="I26" s="240"/>
      <c r="J26" s="295"/>
      <c r="K26" s="295"/>
      <c r="L26" s="166"/>
      <c r="M26" s="23"/>
    </row>
    <row r="27" spans="1:14" x14ac:dyDescent="0.2">
      <c r="A27" s="503" t="s">
        <v>11</v>
      </c>
      <c r="B27" s="286"/>
      <c r="C27" s="286"/>
      <c r="D27" s="166"/>
      <c r="E27" s="11"/>
      <c r="F27" s="295"/>
      <c r="G27" s="295"/>
      <c r="H27" s="166"/>
      <c r="I27" s="240"/>
      <c r="J27" s="295"/>
      <c r="K27" s="295"/>
      <c r="L27" s="166"/>
      <c r="M27" s="23"/>
    </row>
    <row r="28" spans="1:14" ht="15.75" x14ac:dyDescent="0.2">
      <c r="A28" s="49" t="s">
        <v>272</v>
      </c>
      <c r="B28" s="44"/>
      <c r="C28" s="292"/>
      <c r="D28" s="166"/>
      <c r="E28" s="11"/>
      <c r="F28" s="234"/>
      <c r="G28" s="292"/>
      <c r="H28" s="166"/>
      <c r="I28" s="176"/>
      <c r="J28" s="44"/>
      <c r="K28" s="44"/>
      <c r="L28" s="259"/>
      <c r="M28" s="23"/>
    </row>
    <row r="29" spans="1:14" s="3" customFormat="1" ht="15.75" x14ac:dyDescent="0.2">
      <c r="A29" s="13" t="s">
        <v>351</v>
      </c>
      <c r="B29" s="236"/>
      <c r="C29" s="236"/>
      <c r="D29" s="171"/>
      <c r="E29" s="11"/>
      <c r="F29" s="310"/>
      <c r="G29" s="310"/>
      <c r="H29" s="171"/>
      <c r="I29" s="160"/>
      <c r="J29" s="236"/>
      <c r="K29" s="236"/>
      <c r="L29" s="425"/>
      <c r="M29" s="24"/>
      <c r="N29" s="148"/>
    </row>
    <row r="30" spans="1:14" s="3" customFormat="1" ht="15.75" x14ac:dyDescent="0.2">
      <c r="A30" s="503" t="s">
        <v>354</v>
      </c>
      <c r="B30" s="286"/>
      <c r="C30" s="286"/>
      <c r="D30" s="166"/>
      <c r="E30" s="11"/>
      <c r="F30" s="295"/>
      <c r="G30" s="295"/>
      <c r="H30" s="166"/>
      <c r="I30" s="240"/>
      <c r="J30" s="295"/>
      <c r="K30" s="295"/>
      <c r="L30" s="166"/>
      <c r="M30" s="23"/>
      <c r="N30" s="148"/>
    </row>
    <row r="31" spans="1:14" s="3" customFormat="1" ht="15.75" x14ac:dyDescent="0.2">
      <c r="A31" s="503" t="s">
        <v>355</v>
      </c>
      <c r="B31" s="286"/>
      <c r="C31" s="286"/>
      <c r="D31" s="166"/>
      <c r="E31" s="11"/>
      <c r="F31" s="295"/>
      <c r="G31" s="295"/>
      <c r="H31" s="166"/>
      <c r="I31" s="240"/>
      <c r="J31" s="295"/>
      <c r="K31" s="295"/>
      <c r="L31" s="166"/>
      <c r="M31" s="23"/>
      <c r="N31" s="148"/>
    </row>
    <row r="32" spans="1:14" ht="15.75" x14ac:dyDescent="0.2">
      <c r="A32" s="503" t="s">
        <v>356</v>
      </c>
      <c r="B32" s="286"/>
      <c r="C32" s="286"/>
      <c r="D32" s="166"/>
      <c r="E32" s="11"/>
      <c r="F32" s="295"/>
      <c r="G32" s="295"/>
      <c r="H32" s="166"/>
      <c r="I32" s="240"/>
      <c r="J32" s="295"/>
      <c r="K32" s="295"/>
      <c r="L32" s="166"/>
      <c r="M32" s="23"/>
    </row>
    <row r="33" spans="1:14" ht="15.75" x14ac:dyDescent="0.2">
      <c r="A33" s="503" t="s">
        <v>357</v>
      </c>
      <c r="B33" s="286"/>
      <c r="C33" s="286"/>
      <c r="D33" s="166"/>
      <c r="E33" s="11"/>
      <c r="F33" s="295"/>
      <c r="G33" s="295"/>
      <c r="H33" s="166"/>
      <c r="I33" s="240"/>
      <c r="J33" s="295"/>
      <c r="K33" s="295"/>
      <c r="L33" s="166"/>
      <c r="M33" s="23"/>
    </row>
    <row r="34" spans="1:14" ht="15.75" x14ac:dyDescent="0.2">
      <c r="A34" s="13" t="s">
        <v>352</v>
      </c>
      <c r="B34" s="236"/>
      <c r="C34" s="311"/>
      <c r="D34" s="171"/>
      <c r="E34" s="11"/>
      <c r="F34" s="310"/>
      <c r="G34" s="311"/>
      <c r="H34" s="171"/>
      <c r="I34" s="160"/>
      <c r="J34" s="236"/>
      <c r="K34" s="236"/>
      <c r="L34" s="425"/>
      <c r="M34" s="24"/>
    </row>
    <row r="35" spans="1:14" ht="15.75" x14ac:dyDescent="0.2">
      <c r="A35" s="13" t="s">
        <v>353</v>
      </c>
      <c r="B35" s="236"/>
      <c r="C35" s="311"/>
      <c r="D35" s="171"/>
      <c r="E35" s="11"/>
      <c r="F35" s="310"/>
      <c r="G35" s="311"/>
      <c r="H35" s="171"/>
      <c r="I35" s="160"/>
      <c r="J35" s="236"/>
      <c r="K35" s="236"/>
      <c r="L35" s="425"/>
      <c r="M35" s="24"/>
    </row>
    <row r="36" spans="1:14" ht="15.75" x14ac:dyDescent="0.2">
      <c r="A36" s="12" t="s">
        <v>280</v>
      </c>
      <c r="B36" s="236"/>
      <c r="C36" s="311"/>
      <c r="D36" s="171"/>
      <c r="E36" s="11"/>
      <c r="F36" s="321"/>
      <c r="G36" s="322"/>
      <c r="H36" s="171"/>
      <c r="I36" s="427"/>
      <c r="J36" s="236"/>
      <c r="K36" s="236"/>
      <c r="L36" s="425"/>
      <c r="M36" s="24"/>
    </row>
    <row r="37" spans="1:14" ht="15.75" x14ac:dyDescent="0.2">
      <c r="A37" s="12" t="s">
        <v>359</v>
      </c>
      <c r="B37" s="236"/>
      <c r="C37" s="311"/>
      <c r="D37" s="171"/>
      <c r="E37" s="11"/>
      <c r="F37" s="321"/>
      <c r="G37" s="323"/>
      <c r="H37" s="171"/>
      <c r="I37" s="427"/>
      <c r="J37" s="236"/>
      <c r="K37" s="236"/>
      <c r="L37" s="425"/>
      <c r="M37" s="24"/>
    </row>
    <row r="38" spans="1:14" ht="15.75" x14ac:dyDescent="0.2">
      <c r="A38" s="12" t="s">
        <v>360</v>
      </c>
      <c r="B38" s="236"/>
      <c r="C38" s="311"/>
      <c r="D38" s="171"/>
      <c r="E38" s="24"/>
      <c r="F38" s="321"/>
      <c r="G38" s="322"/>
      <c r="H38" s="171"/>
      <c r="I38" s="427"/>
      <c r="J38" s="236"/>
      <c r="K38" s="236"/>
      <c r="L38" s="425"/>
      <c r="M38" s="24"/>
    </row>
    <row r="39" spans="1:14" ht="15.75" x14ac:dyDescent="0.2">
      <c r="A39" s="18" t="s">
        <v>361</v>
      </c>
      <c r="B39" s="281"/>
      <c r="C39" s="317"/>
      <c r="D39" s="169"/>
      <c r="E39" s="36"/>
      <c r="F39" s="324"/>
      <c r="G39" s="325"/>
      <c r="H39" s="169"/>
      <c r="I39" s="169"/>
      <c r="J39" s="236"/>
      <c r="K39" s="236"/>
      <c r="L39" s="426"/>
      <c r="M39" s="36"/>
    </row>
    <row r="40" spans="1:14" ht="15.75" x14ac:dyDescent="0.25">
      <c r="A40" s="47"/>
      <c r="B40" s="258"/>
      <c r="C40" s="258"/>
      <c r="D40" s="705"/>
      <c r="E40" s="705"/>
      <c r="F40" s="705"/>
      <c r="G40" s="705"/>
      <c r="H40" s="705"/>
      <c r="I40" s="705"/>
      <c r="J40" s="705"/>
      <c r="K40" s="705"/>
      <c r="L40" s="705"/>
      <c r="M40" s="564"/>
    </row>
    <row r="41" spans="1:14" x14ac:dyDescent="0.2">
      <c r="A41" s="155"/>
    </row>
    <row r="42" spans="1:14" ht="15.75" x14ac:dyDescent="0.25">
      <c r="A42" s="147" t="s">
        <v>269</v>
      </c>
      <c r="B42" s="706"/>
      <c r="C42" s="706"/>
      <c r="D42" s="706"/>
      <c r="E42" s="563"/>
      <c r="F42" s="707"/>
      <c r="G42" s="707"/>
      <c r="H42" s="707"/>
      <c r="I42" s="564"/>
      <c r="J42" s="707"/>
      <c r="K42" s="707"/>
      <c r="L42" s="707"/>
      <c r="M42" s="564"/>
    </row>
    <row r="43" spans="1:14" ht="15.75" x14ac:dyDescent="0.25">
      <c r="A43" s="163"/>
      <c r="B43" s="559"/>
      <c r="C43" s="559"/>
      <c r="D43" s="559"/>
      <c r="E43" s="559"/>
      <c r="F43" s="564"/>
      <c r="G43" s="564"/>
      <c r="H43" s="564"/>
      <c r="I43" s="564"/>
      <c r="J43" s="564"/>
      <c r="K43" s="564"/>
      <c r="L43" s="564"/>
      <c r="M43" s="564"/>
    </row>
    <row r="44" spans="1:14" ht="15.75" x14ac:dyDescent="0.25">
      <c r="A44" s="249"/>
      <c r="B44" s="702" t="s">
        <v>0</v>
      </c>
      <c r="C44" s="703"/>
      <c r="D44" s="703"/>
      <c r="E44" s="244"/>
      <c r="F44" s="564"/>
      <c r="G44" s="564"/>
      <c r="H44" s="564"/>
      <c r="I44" s="564"/>
      <c r="J44" s="564"/>
      <c r="K44" s="564"/>
      <c r="L44" s="564"/>
      <c r="M44" s="56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59890</v>
      </c>
      <c r="C47" s="313"/>
      <c r="D47" s="424">
        <f t="shared" ref="D47:D57" si="0">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362</v>
      </c>
      <c r="B48" s="286">
        <v>59890</v>
      </c>
      <c r="C48" s="287"/>
      <c r="D48" s="259">
        <f t="shared" si="0"/>
        <v>-100</v>
      </c>
      <c r="E48" s="27">
        <f>IFERROR(100/'Skjema total MA'!C48*C48,0)</f>
        <v>0</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3888</v>
      </c>
      <c r="C53" s="313"/>
      <c r="D53" s="425">
        <f t="shared" si="0"/>
        <v>-100</v>
      </c>
      <c r="E53" s="11">
        <f>IFERROR(100/'Skjema total MA'!C53*C53,0)</f>
        <v>0</v>
      </c>
      <c r="F53" s="145"/>
      <c r="G53" s="33"/>
      <c r="H53" s="145"/>
      <c r="I53" s="145"/>
      <c r="J53" s="33"/>
      <c r="K53" s="33"/>
      <c r="L53" s="159"/>
      <c r="M53" s="159"/>
      <c r="N53" s="148"/>
    </row>
    <row r="54" spans="1:14" s="3" customFormat="1" ht="15.75" x14ac:dyDescent="0.2">
      <c r="A54" s="38" t="s">
        <v>362</v>
      </c>
      <c r="B54" s="286">
        <v>3888</v>
      </c>
      <c r="C54" s="287"/>
      <c r="D54" s="259">
        <f t="shared" si="0"/>
        <v>-100</v>
      </c>
      <c r="E54" s="27">
        <f>IFERROR(100/'Skjema total MA'!C54*C54,0)</f>
        <v>0</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3492</v>
      </c>
      <c r="C56" s="313"/>
      <c r="D56" s="425">
        <f t="shared" si="0"/>
        <v>-100</v>
      </c>
      <c r="E56" s="11">
        <f>IFERROR(100/'Skjema total MA'!C56*C56,0)</f>
        <v>0</v>
      </c>
      <c r="F56" s="145"/>
      <c r="G56" s="33"/>
      <c r="H56" s="145"/>
      <c r="I56" s="145"/>
      <c r="J56" s="33"/>
      <c r="K56" s="33"/>
      <c r="L56" s="159"/>
      <c r="M56" s="159"/>
      <c r="N56" s="148"/>
    </row>
    <row r="57" spans="1:14" s="3" customFormat="1" ht="15.75" x14ac:dyDescent="0.2">
      <c r="A57" s="38" t="s">
        <v>362</v>
      </c>
      <c r="B57" s="286">
        <v>3492</v>
      </c>
      <c r="C57" s="287"/>
      <c r="D57" s="259">
        <f t="shared" si="0"/>
        <v>-100</v>
      </c>
      <c r="E57" s="27">
        <f>IFERROR(100/'Skjema total MA'!C57*C57,0)</f>
        <v>0</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563"/>
      <c r="F62" s="701"/>
      <c r="G62" s="701"/>
      <c r="H62" s="701"/>
      <c r="I62" s="563"/>
      <c r="J62" s="701"/>
      <c r="K62" s="701"/>
      <c r="L62" s="701"/>
      <c r="M62" s="563"/>
    </row>
    <row r="63" spans="1:14" x14ac:dyDescent="0.2">
      <c r="A63" s="144"/>
      <c r="B63" s="702" t="s">
        <v>0</v>
      </c>
      <c r="C63" s="703"/>
      <c r="D63" s="704"/>
      <c r="E63" s="560"/>
      <c r="F63" s="703" t="s">
        <v>1</v>
      </c>
      <c r="G63" s="703"/>
      <c r="H63" s="703"/>
      <c r="I63" s="562"/>
      <c r="J63" s="702" t="s">
        <v>2</v>
      </c>
      <c r="K63" s="703"/>
      <c r="L63" s="703"/>
      <c r="M63" s="562"/>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21"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38" t="s">
        <v>371</v>
      </c>
      <c r="B110" s="234"/>
      <c r="C110" s="234"/>
      <c r="D110" s="166"/>
      <c r="E110" s="27"/>
      <c r="F110" s="234"/>
      <c r="G110" s="234"/>
      <c r="H110" s="166"/>
      <c r="I110" s="27"/>
      <c r="J110" s="292"/>
      <c r="K110" s="44"/>
      <c r="L110" s="259"/>
      <c r="M110" s="27"/>
    </row>
    <row r="111" spans="1:15" ht="15.75" x14ac:dyDescent="0.2">
      <c r="A111" s="39" t="s">
        <v>352</v>
      </c>
      <c r="B111" s="310"/>
      <c r="C111" s="159"/>
      <c r="D111" s="171"/>
      <c r="E111" s="11"/>
      <c r="F111" s="310"/>
      <c r="G111" s="159"/>
      <c r="H111" s="171"/>
      <c r="I111" s="11"/>
      <c r="J111" s="311"/>
      <c r="K111" s="236"/>
      <c r="L111" s="425"/>
      <c r="M111" s="11"/>
    </row>
    <row r="112" spans="1:15" x14ac:dyDescent="0.2">
      <c r="A112" s="38" t="s">
        <v>9</v>
      </c>
      <c r="B112" s="234"/>
      <c r="C112" s="145"/>
      <c r="D112" s="166"/>
      <c r="E112" s="27"/>
      <c r="F112" s="234"/>
      <c r="G112" s="145"/>
      <c r="H112" s="166"/>
      <c r="I112" s="27"/>
      <c r="J112" s="292"/>
      <c r="K112" s="44"/>
      <c r="L112" s="259"/>
      <c r="M112" s="27"/>
    </row>
    <row r="113" spans="1:14" x14ac:dyDescent="0.2">
      <c r="A113" s="38" t="s">
        <v>10</v>
      </c>
      <c r="B113" s="234"/>
      <c r="C113" s="145"/>
      <c r="D113" s="166"/>
      <c r="E113" s="27"/>
      <c r="F113" s="234"/>
      <c r="G113" s="145"/>
      <c r="H113" s="166"/>
      <c r="I113" s="27"/>
      <c r="J113" s="292"/>
      <c r="K113" s="44"/>
      <c r="L113" s="259"/>
      <c r="M113" s="27"/>
    </row>
    <row r="114" spans="1:14" x14ac:dyDescent="0.2">
      <c r="A114" s="38" t="s">
        <v>26</v>
      </c>
      <c r="B114" s="234"/>
      <c r="C114" s="145"/>
      <c r="D114" s="166"/>
      <c r="E114" s="27"/>
      <c r="F114" s="234"/>
      <c r="G114" s="145"/>
      <c r="H114" s="166"/>
      <c r="I114" s="27"/>
      <c r="J114" s="292"/>
      <c r="K114" s="44"/>
      <c r="L114" s="259"/>
      <c r="M114" s="27"/>
    </row>
    <row r="115" spans="1:14" x14ac:dyDescent="0.2">
      <c r="A115" s="665" t="s">
        <v>15</v>
      </c>
      <c r="B115" s="286"/>
      <c r="C115" s="286"/>
      <c r="D115" s="166"/>
      <c r="E115" s="414"/>
      <c r="F115" s="286"/>
      <c r="G115" s="286"/>
      <c r="H115" s="166"/>
      <c r="I115" s="414"/>
      <c r="J115" s="295"/>
      <c r="K115" s="295"/>
      <c r="L115" s="166"/>
      <c r="M115" s="23"/>
    </row>
    <row r="116" spans="1:14" ht="15.75" x14ac:dyDescent="0.2">
      <c r="A116" s="38"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38" t="s">
        <v>371</v>
      </c>
      <c r="B118" s="234"/>
      <c r="C118" s="234"/>
      <c r="D118" s="166"/>
      <c r="E118" s="27"/>
      <c r="F118" s="234"/>
      <c r="G118" s="234"/>
      <c r="H118" s="166"/>
      <c r="I118" s="27"/>
      <c r="J118" s="292"/>
      <c r="K118" s="44"/>
      <c r="L118" s="259"/>
      <c r="M118" s="27"/>
    </row>
    <row r="119" spans="1:14" ht="15.75" x14ac:dyDescent="0.2">
      <c r="A119" s="39" t="s">
        <v>353</v>
      </c>
      <c r="B119" s="310"/>
      <c r="C119" s="159"/>
      <c r="D119" s="171"/>
      <c r="E119" s="11"/>
      <c r="F119" s="310"/>
      <c r="G119" s="159"/>
      <c r="H119" s="171"/>
      <c r="I119" s="11"/>
      <c r="J119" s="311"/>
      <c r="K119" s="236"/>
      <c r="L119" s="425"/>
      <c r="M119" s="11"/>
    </row>
    <row r="120" spans="1:14" x14ac:dyDescent="0.2">
      <c r="A120" s="38" t="s">
        <v>9</v>
      </c>
      <c r="B120" s="234"/>
      <c r="C120" s="145"/>
      <c r="D120" s="166"/>
      <c r="E120" s="27"/>
      <c r="F120" s="234"/>
      <c r="G120" s="145"/>
      <c r="H120" s="166"/>
      <c r="I120" s="27"/>
      <c r="J120" s="292"/>
      <c r="K120" s="44"/>
      <c r="L120" s="259"/>
      <c r="M120" s="27"/>
    </row>
    <row r="121" spans="1:14" x14ac:dyDescent="0.2">
      <c r="A121" s="38" t="s">
        <v>10</v>
      </c>
      <c r="B121" s="234"/>
      <c r="C121" s="145"/>
      <c r="D121" s="166"/>
      <c r="E121" s="27"/>
      <c r="F121" s="234"/>
      <c r="G121" s="145"/>
      <c r="H121" s="166"/>
      <c r="I121" s="27"/>
      <c r="J121" s="292"/>
      <c r="K121" s="44"/>
      <c r="L121" s="259"/>
      <c r="M121" s="27"/>
    </row>
    <row r="122" spans="1:14" x14ac:dyDescent="0.2">
      <c r="A122" s="38" t="s">
        <v>26</v>
      </c>
      <c r="B122" s="234"/>
      <c r="C122" s="145"/>
      <c r="D122" s="166"/>
      <c r="E122" s="27"/>
      <c r="F122" s="234"/>
      <c r="G122" s="145"/>
      <c r="H122" s="166"/>
      <c r="I122" s="27"/>
      <c r="J122" s="292"/>
      <c r="K122" s="44"/>
      <c r="L122" s="259"/>
      <c r="M122" s="27"/>
    </row>
    <row r="123" spans="1:14" x14ac:dyDescent="0.2">
      <c r="A123" s="665" t="s">
        <v>14</v>
      </c>
      <c r="B123" s="286"/>
      <c r="C123" s="286"/>
      <c r="D123" s="166"/>
      <c r="E123" s="414"/>
      <c r="F123" s="286"/>
      <c r="G123" s="286"/>
      <c r="H123" s="166"/>
      <c r="I123" s="414"/>
      <c r="J123" s="295"/>
      <c r="K123" s="295"/>
      <c r="L123" s="166"/>
      <c r="M123" s="23"/>
    </row>
    <row r="124" spans="1:14" ht="15.75" x14ac:dyDescent="0.2">
      <c r="A124" s="38"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563"/>
      <c r="F130" s="701"/>
      <c r="G130" s="701"/>
      <c r="H130" s="701"/>
      <c r="I130" s="563"/>
      <c r="J130" s="701"/>
      <c r="K130" s="701"/>
      <c r="L130" s="701"/>
      <c r="M130" s="563"/>
    </row>
    <row r="131" spans="1:14" s="3" customFormat="1" x14ac:dyDescent="0.2">
      <c r="A131" s="144"/>
      <c r="B131" s="702" t="s">
        <v>0</v>
      </c>
      <c r="C131" s="703"/>
      <c r="D131" s="703"/>
      <c r="E131" s="561"/>
      <c r="F131" s="702" t="s">
        <v>1</v>
      </c>
      <c r="G131" s="703"/>
      <c r="H131" s="703"/>
      <c r="I131" s="562"/>
      <c r="J131" s="702" t="s">
        <v>2</v>
      </c>
      <c r="K131" s="703"/>
      <c r="L131" s="703"/>
      <c r="M131" s="562"/>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654" priority="42">
      <formula>kvartal &lt; 4</formula>
    </cfRule>
  </conditionalFormatting>
  <conditionalFormatting sqref="C115">
    <cfRule type="expression" dxfId="653" priority="41">
      <formula>kvartal &lt; 4</formula>
    </cfRule>
  </conditionalFormatting>
  <conditionalFormatting sqref="B123">
    <cfRule type="expression" dxfId="652" priority="40">
      <formula>kvartal &lt; 4</formula>
    </cfRule>
  </conditionalFormatting>
  <conditionalFormatting sqref="C123">
    <cfRule type="expression" dxfId="651" priority="39">
      <formula>kvartal &lt; 4</formula>
    </cfRule>
  </conditionalFormatting>
  <conditionalFormatting sqref="F115">
    <cfRule type="expression" dxfId="650" priority="28">
      <formula>kvartal &lt; 4</formula>
    </cfRule>
  </conditionalFormatting>
  <conditionalFormatting sqref="G115">
    <cfRule type="expression" dxfId="649" priority="27">
      <formula>kvartal &lt; 4</formula>
    </cfRule>
  </conditionalFormatting>
  <conditionalFormatting sqref="F123:G123">
    <cfRule type="expression" dxfId="648" priority="26">
      <formula>kvartal &lt; 4</formula>
    </cfRule>
  </conditionalFormatting>
  <conditionalFormatting sqref="J115:K115">
    <cfRule type="expression" dxfId="647" priority="9">
      <formula>kvartal &lt; 4</formula>
    </cfRule>
  </conditionalFormatting>
  <conditionalFormatting sqref="J123:K123">
    <cfRule type="expression" dxfId="646" priority="8">
      <formula>kvartal &lt; 4</formula>
    </cfRule>
  </conditionalFormatting>
  <conditionalFormatting sqref="A50:A52">
    <cfRule type="expression" dxfId="645" priority="7">
      <formula>kvartal &lt; 4</formula>
    </cfRule>
  </conditionalFormatting>
  <conditionalFormatting sqref="A69:A74">
    <cfRule type="expression" dxfId="644" priority="6">
      <formula>kvartal &lt; 4</formula>
    </cfRule>
  </conditionalFormatting>
  <conditionalFormatting sqref="A80:A85">
    <cfRule type="expression" dxfId="643" priority="5">
      <formula>kvartal &lt; 4</formula>
    </cfRule>
  </conditionalFormatting>
  <conditionalFormatting sqref="A90:A95">
    <cfRule type="expression" dxfId="642" priority="4">
      <formula>kvartal &lt; 4</formula>
    </cfRule>
  </conditionalFormatting>
  <conditionalFormatting sqref="A101:A106">
    <cfRule type="expression" dxfId="641" priority="3">
      <formula>kvartal &lt; 4</formula>
    </cfRule>
  </conditionalFormatting>
  <conditionalFormatting sqref="A115">
    <cfRule type="expression" dxfId="640" priority="2">
      <formula>kvartal &lt; 4</formula>
    </cfRule>
  </conditionalFormatting>
  <conditionalFormatting sqref="A123">
    <cfRule type="expression" dxfId="639"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83</v>
      </c>
      <c r="D1" s="26"/>
      <c r="E1" s="26"/>
      <c r="F1" s="26"/>
      <c r="G1" s="26"/>
      <c r="H1" s="26"/>
      <c r="I1" s="26"/>
      <c r="J1" s="26"/>
      <c r="K1" s="26"/>
      <c r="L1" s="26"/>
      <c r="M1" s="26"/>
    </row>
    <row r="2" spans="1:14" ht="15.75" x14ac:dyDescent="0.25">
      <c r="A2" s="165" t="s">
        <v>28</v>
      </c>
      <c r="B2" s="706"/>
      <c r="C2" s="706"/>
      <c r="D2" s="706"/>
      <c r="E2" s="403"/>
      <c r="F2" s="706"/>
      <c r="G2" s="706"/>
      <c r="H2" s="706"/>
      <c r="I2" s="403"/>
      <c r="J2" s="706"/>
      <c r="K2" s="706"/>
      <c r="L2" s="706"/>
      <c r="M2" s="403"/>
    </row>
    <row r="3" spans="1:14" ht="15.75" x14ac:dyDescent="0.25">
      <c r="A3" s="163"/>
      <c r="B3" s="403"/>
      <c r="C3" s="403"/>
      <c r="D3" s="403"/>
      <c r="E3" s="403"/>
      <c r="F3" s="403"/>
      <c r="G3" s="403"/>
      <c r="H3" s="403"/>
      <c r="I3" s="403"/>
      <c r="J3" s="403"/>
      <c r="K3" s="403"/>
      <c r="L3" s="403"/>
      <c r="M3" s="403"/>
    </row>
    <row r="4" spans="1:14" x14ac:dyDescent="0.2">
      <c r="A4" s="144"/>
      <c r="B4" s="702" t="s">
        <v>0</v>
      </c>
      <c r="C4" s="703"/>
      <c r="D4" s="703"/>
      <c r="E4" s="402"/>
      <c r="F4" s="702" t="s">
        <v>1</v>
      </c>
      <c r="G4" s="703"/>
      <c r="H4" s="703"/>
      <c r="I4" s="405"/>
      <c r="J4" s="702" t="s">
        <v>2</v>
      </c>
      <c r="K4" s="703"/>
      <c r="L4" s="703"/>
      <c r="M4" s="405"/>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136449.16099999999</v>
      </c>
      <c r="C7" s="309">
        <v>140121.28297</v>
      </c>
      <c r="D7" s="351">
        <f>IF(B7=0, "    ---- ", IF(ABS(ROUND(100/B7*C7-100,1))&lt;999,ROUND(100/B7*C7-100,1),IF(ROUND(100/B7*C7-100,1)&gt;999,999,-999)))</f>
        <v>2.7</v>
      </c>
      <c r="E7" s="11">
        <f>IFERROR(100/'Skjema total MA'!C7*C7,0)</f>
        <v>4.8599528451075793</v>
      </c>
      <c r="F7" s="308">
        <v>150589.96900000001</v>
      </c>
      <c r="G7" s="309">
        <v>119039.145</v>
      </c>
      <c r="H7" s="351">
        <f>IF(F7=0, "    ---- ", IF(ABS(ROUND(100/F7*G7-100,1))&lt;999,ROUND(100/F7*G7-100,1),IF(ROUND(100/F7*G7-100,1)&gt;999,999,-999)))</f>
        <v>-21</v>
      </c>
      <c r="I7" s="160">
        <f>IFERROR(100/'Skjema total MA'!F7*G7,0)</f>
        <v>2.0560113871555807</v>
      </c>
      <c r="J7" s="310">
        <f t="shared" ref="J7:K12" si="0">SUM(B7,F7)</f>
        <v>287039.13</v>
      </c>
      <c r="K7" s="311">
        <f t="shared" si="0"/>
        <v>259160.42797000002</v>
      </c>
      <c r="L7" s="424">
        <f>IF(J7=0, "    ---- ", IF(ABS(ROUND(100/J7*K7-100,1))&lt;999,ROUND(100/J7*K7-100,1),IF(ROUND(100/J7*K7-100,1)&gt;999,999,-999)))</f>
        <v>-9.6999999999999993</v>
      </c>
      <c r="M7" s="11">
        <f>IFERROR(100/'Skjema total MA'!I7*K7,0)</f>
        <v>2.9881319051675623</v>
      </c>
    </row>
    <row r="8" spans="1:14" ht="15.75" x14ac:dyDescent="0.2">
      <c r="A8" s="21" t="s">
        <v>25</v>
      </c>
      <c r="B8" s="286">
        <v>68906.649000000005</v>
      </c>
      <c r="C8" s="287">
        <v>69484.97</v>
      </c>
      <c r="D8" s="166">
        <f t="shared" ref="D8:D10" si="1">IF(B8=0, "    ---- ", IF(ABS(ROUND(100/B8*C8-100,1))&lt;999,ROUND(100/B8*C8-100,1),IF(ROUND(100/B8*C8-100,1)&gt;999,999,-999)))</f>
        <v>0.8</v>
      </c>
      <c r="E8" s="27">
        <f>IFERROR(100/'Skjema total MA'!C8*C8,0)</f>
        <v>3.6688727604835707</v>
      </c>
      <c r="F8" s="290"/>
      <c r="G8" s="291"/>
      <c r="H8" s="166"/>
      <c r="I8" s="176"/>
      <c r="J8" s="234">
        <f t="shared" si="0"/>
        <v>68906.649000000005</v>
      </c>
      <c r="K8" s="292">
        <f t="shared" si="0"/>
        <v>69484.97</v>
      </c>
      <c r="L8" s="166">
        <f t="shared" ref="L8:L9" si="2">IF(J8=0, "    ---- ", IF(ABS(ROUND(100/J8*K8-100,1))&lt;999,ROUND(100/J8*K8-100,1),IF(ROUND(100/J8*K8-100,1)&gt;999,999,-999)))</f>
        <v>0.8</v>
      </c>
      <c r="M8" s="27">
        <f>IFERROR(100/'Skjema total MA'!I8*K8,0)</f>
        <v>3.6688727604835707</v>
      </c>
    </row>
    <row r="9" spans="1:14" ht="15.75" x14ac:dyDescent="0.2">
      <c r="A9" s="21" t="s">
        <v>24</v>
      </c>
      <c r="B9" s="286">
        <v>32509.317999999999</v>
      </c>
      <c r="C9" s="287">
        <v>31387.967000000001</v>
      </c>
      <c r="D9" s="166">
        <f t="shared" si="1"/>
        <v>-3.4</v>
      </c>
      <c r="E9" s="27">
        <f>IFERROR(100/'Skjema total MA'!C9*C9,0)</f>
        <v>5.4078911259664144</v>
      </c>
      <c r="F9" s="290"/>
      <c r="G9" s="291"/>
      <c r="H9" s="166"/>
      <c r="I9" s="176"/>
      <c r="J9" s="234">
        <f t="shared" si="0"/>
        <v>32509.317999999999</v>
      </c>
      <c r="K9" s="292">
        <f t="shared" si="0"/>
        <v>31387.967000000001</v>
      </c>
      <c r="L9" s="166">
        <f t="shared" si="2"/>
        <v>-3.4</v>
      </c>
      <c r="M9" s="27">
        <f>IFERROR(100/'Skjema total MA'!I9*K9,0)</f>
        <v>5.4078911259664144</v>
      </c>
    </row>
    <row r="10" spans="1:14" ht="15.75" x14ac:dyDescent="0.2">
      <c r="A10" s="13" t="s">
        <v>351</v>
      </c>
      <c r="B10" s="312">
        <v>318279.81599999999</v>
      </c>
      <c r="C10" s="313">
        <v>293923.18323000002</v>
      </c>
      <c r="D10" s="171">
        <f t="shared" si="1"/>
        <v>-7.7</v>
      </c>
      <c r="E10" s="11">
        <f>IFERROR(100/'Skjema total MA'!C10*C10,0)</f>
        <v>1.8295067117071384</v>
      </c>
      <c r="F10" s="312">
        <v>3104014.0649999999</v>
      </c>
      <c r="G10" s="313">
        <v>2852649.6230199998</v>
      </c>
      <c r="H10" s="171">
        <f t="shared" ref="H10:H12" si="3">IF(F10=0, "    ---- ", IF(ABS(ROUND(100/F10*G10-100,1))&lt;999,ROUND(100/F10*G10-100,1),IF(ROUND(100/F10*G10-100,1)&gt;999,999,-999)))</f>
        <v>-8.1</v>
      </c>
      <c r="I10" s="160">
        <f>IFERROR(100/'Skjema total MA'!F10*G10,0)</f>
        <v>4.0358070811268814</v>
      </c>
      <c r="J10" s="310">
        <f t="shared" si="0"/>
        <v>3422293.8810000001</v>
      </c>
      <c r="K10" s="311">
        <f t="shared" si="0"/>
        <v>3146572.8062499999</v>
      </c>
      <c r="L10" s="425">
        <f t="shared" ref="L10:L12" si="4">IF(J10=0, "    ---- ", IF(ABS(ROUND(100/J10*K10-100,1))&lt;999,ROUND(100/J10*K10-100,1),IF(ROUND(100/J10*K10-100,1)&gt;999,999,-999)))</f>
        <v>-8.1</v>
      </c>
      <c r="M10" s="11">
        <f>IFERROR(100/'Skjema total MA'!I10*K10,0)</f>
        <v>3.6272065091777819</v>
      </c>
    </row>
    <row r="11" spans="1:14" s="43" customFormat="1" ht="15.75" x14ac:dyDescent="0.2">
      <c r="A11" s="13" t="s">
        <v>352</v>
      </c>
      <c r="B11" s="312"/>
      <c r="C11" s="313"/>
      <c r="D11" s="171"/>
      <c r="E11" s="11"/>
      <c r="F11" s="312">
        <v>2970.3429999999998</v>
      </c>
      <c r="G11" s="313">
        <v>3147.5520000000001</v>
      </c>
      <c r="H11" s="171">
        <f t="shared" si="3"/>
        <v>6</v>
      </c>
      <c r="I11" s="160">
        <f>IFERROR(100/'Skjema total MA'!F11*G11,0)</f>
        <v>2.3358017545628198</v>
      </c>
      <c r="J11" s="310">
        <f t="shared" si="0"/>
        <v>2970.3429999999998</v>
      </c>
      <c r="K11" s="311">
        <f t="shared" si="0"/>
        <v>3147.5520000000001</v>
      </c>
      <c r="L11" s="425">
        <f t="shared" si="4"/>
        <v>6</v>
      </c>
      <c r="M11" s="11">
        <f>IFERROR(100/'Skjema total MA'!I11*K11,0)</f>
        <v>2.0283816432363233</v>
      </c>
      <c r="N11" s="143"/>
    </row>
    <row r="12" spans="1:14" s="43" customFormat="1" ht="15.75" x14ac:dyDescent="0.2">
      <c r="A12" s="41" t="s">
        <v>353</v>
      </c>
      <c r="B12" s="314"/>
      <c r="C12" s="315"/>
      <c r="D12" s="169"/>
      <c r="E12" s="36"/>
      <c r="F12" s="314">
        <v>24451.236000000001</v>
      </c>
      <c r="G12" s="315">
        <v>15454.995999999999</v>
      </c>
      <c r="H12" s="169">
        <f t="shared" si="3"/>
        <v>-36.799999999999997</v>
      </c>
      <c r="I12" s="169">
        <f>IFERROR(100/'Skjema total MA'!F12*G12,0)</f>
        <v>15.476288770236073</v>
      </c>
      <c r="J12" s="316">
        <f t="shared" si="0"/>
        <v>24451.236000000001</v>
      </c>
      <c r="K12" s="317">
        <f t="shared" si="0"/>
        <v>15454.995999999999</v>
      </c>
      <c r="L12" s="426">
        <f t="shared" si="4"/>
        <v>-36.799999999999997</v>
      </c>
      <c r="M12" s="36">
        <f>IFERROR(100/'Skjema total MA'!I12*K12,0)</f>
        <v>15.047887909443178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403"/>
      <c r="F18" s="701"/>
      <c r="G18" s="701"/>
      <c r="H18" s="701"/>
      <c r="I18" s="403"/>
      <c r="J18" s="701"/>
      <c r="K18" s="701"/>
      <c r="L18" s="701"/>
      <c r="M18" s="403"/>
    </row>
    <row r="19" spans="1:14" x14ac:dyDescent="0.2">
      <c r="A19" s="144"/>
      <c r="B19" s="702" t="s">
        <v>0</v>
      </c>
      <c r="C19" s="703"/>
      <c r="D19" s="703"/>
      <c r="E19" s="402"/>
      <c r="F19" s="702" t="s">
        <v>1</v>
      </c>
      <c r="G19" s="703"/>
      <c r="H19" s="703"/>
      <c r="I19" s="405"/>
      <c r="J19" s="702" t="s">
        <v>2</v>
      </c>
      <c r="K19" s="703"/>
      <c r="L19" s="703"/>
      <c r="M19" s="405"/>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413" t="s">
        <v>30</v>
      </c>
      <c r="F21" s="161"/>
      <c r="G21" s="161"/>
      <c r="H21" s="246" t="s">
        <v>4</v>
      </c>
      <c r="I21" s="156" t="s">
        <v>30</v>
      </c>
      <c r="J21" s="161"/>
      <c r="K21" s="161"/>
      <c r="L21" s="156" t="s">
        <v>4</v>
      </c>
      <c r="M21" s="156" t="s">
        <v>30</v>
      </c>
    </row>
    <row r="22" spans="1:14" ht="15.75" x14ac:dyDescent="0.2">
      <c r="A22" s="14" t="s">
        <v>23</v>
      </c>
      <c r="B22" s="312">
        <v>6999.89</v>
      </c>
      <c r="C22" s="312">
        <v>6809.335</v>
      </c>
      <c r="D22" s="351">
        <f t="shared" ref="D22:D29" si="5">IF(B22=0, "    ---- ", IF(ABS(ROUND(100/B22*C22-100,1))&lt;999,ROUND(100/B22*C22-100,1),IF(ROUND(100/B22*C22-100,1)&gt;999,999,-999)))</f>
        <v>-2.7</v>
      </c>
      <c r="E22" s="11">
        <f>IFERROR(100/'Skjema total MA'!C22*C22,0)</f>
        <v>0.54633228678468038</v>
      </c>
      <c r="F22" s="320">
        <v>33129.264999999999</v>
      </c>
      <c r="G22" s="320">
        <v>18992.685000000001</v>
      </c>
      <c r="H22" s="351">
        <f t="shared" ref="H22:H35" si="6">IF(F22=0, "    ---- ", IF(ABS(ROUND(100/F22*G22-100,1))&lt;999,ROUND(100/F22*G22-100,1),IF(ROUND(100/F22*G22-100,1)&gt;999,999,-999)))</f>
        <v>-42.7</v>
      </c>
      <c r="I22" s="160">
        <f>IFERROR(100/'Skjema total MA'!F22*G22,0)</f>
        <v>3.9590001415047209</v>
      </c>
      <c r="J22" s="318">
        <f t="shared" ref="J22:K35" si="7">SUM(B22,F22)</f>
        <v>40129.154999999999</v>
      </c>
      <c r="K22" s="318">
        <f t="shared" si="7"/>
        <v>25802.02</v>
      </c>
      <c r="L22" s="424">
        <f t="shared" ref="L22:L35" si="8">IF(J22=0, "    ---- ", IF(ABS(ROUND(100/J22*K22-100,1))&lt;999,ROUND(100/J22*K22-100,1),IF(ROUND(100/J22*K22-100,1)&gt;999,999,-999)))</f>
        <v>-35.700000000000003</v>
      </c>
      <c r="M22" s="24">
        <f>IFERROR(100/'Skjema total MA'!I22*K22,0)</f>
        <v>1.4948101568785914</v>
      </c>
    </row>
    <row r="23" spans="1:14" ht="15.75" x14ac:dyDescent="0.2">
      <c r="A23" s="503" t="s">
        <v>354</v>
      </c>
      <c r="B23" s="286"/>
      <c r="C23" s="286"/>
      <c r="D23" s="166"/>
      <c r="E23" s="11"/>
      <c r="F23" s="295">
        <v>2334.2930000000001</v>
      </c>
      <c r="G23" s="295">
        <v>2171.6210000000001</v>
      </c>
      <c r="H23" s="166">
        <f t="shared" si="6"/>
        <v>-7</v>
      </c>
      <c r="I23" s="240">
        <f>IFERROR(100/'Skjema total MA'!F23*G23,0)</f>
        <v>6.746889042451313</v>
      </c>
      <c r="J23" s="295">
        <f t="shared" ref="J23:J26" si="9">SUM(B23,F23)</f>
        <v>2334.2930000000001</v>
      </c>
      <c r="K23" s="295">
        <f t="shared" ref="K23:K26" si="10">SUM(C23,G23)</f>
        <v>2171.6210000000001</v>
      </c>
      <c r="L23" s="166">
        <f t="shared" si="8"/>
        <v>-7</v>
      </c>
      <c r="M23" s="23">
        <f>IFERROR(100/'Skjema total MA'!I23*K23,0)</f>
        <v>0.39257034750424391</v>
      </c>
    </row>
    <row r="24" spans="1:14" ht="15.75" x14ac:dyDescent="0.2">
      <c r="A24" s="503" t="s">
        <v>355</v>
      </c>
      <c r="B24" s="286"/>
      <c r="C24" s="286"/>
      <c r="D24" s="166"/>
      <c r="E24" s="11"/>
      <c r="F24" s="295"/>
      <c r="G24" s="295"/>
      <c r="H24" s="166"/>
      <c r="I24" s="240"/>
      <c r="J24" s="295"/>
      <c r="K24" s="295"/>
      <c r="L24" s="166"/>
      <c r="M24" s="23"/>
    </row>
    <row r="25" spans="1:14" ht="15.75" x14ac:dyDescent="0.2">
      <c r="A25" s="503" t="s">
        <v>356</v>
      </c>
      <c r="B25" s="286"/>
      <c r="C25" s="286"/>
      <c r="D25" s="166"/>
      <c r="E25" s="11"/>
      <c r="F25" s="295">
        <v>681.30799999999999</v>
      </c>
      <c r="G25" s="295">
        <v>524.85799999999995</v>
      </c>
      <c r="H25" s="166">
        <f t="shared" si="6"/>
        <v>-23</v>
      </c>
      <c r="I25" s="240">
        <f>IFERROR(100/'Skjema total MA'!F25*G25,0)</f>
        <v>5.8443558634162347</v>
      </c>
      <c r="J25" s="295">
        <f t="shared" si="9"/>
        <v>681.30799999999999</v>
      </c>
      <c r="K25" s="295">
        <f t="shared" si="10"/>
        <v>524.85799999999995</v>
      </c>
      <c r="L25" s="166">
        <f t="shared" si="8"/>
        <v>-23</v>
      </c>
      <c r="M25" s="23">
        <f>IFERROR(100/'Skjema total MA'!I25*K25,0)</f>
        <v>3.1550296965942399</v>
      </c>
    </row>
    <row r="26" spans="1:14" ht="15.75" x14ac:dyDescent="0.2">
      <c r="A26" s="503" t="s">
        <v>357</v>
      </c>
      <c r="B26" s="286"/>
      <c r="C26" s="286"/>
      <c r="D26" s="166"/>
      <c r="E26" s="11"/>
      <c r="F26" s="295">
        <v>30113.664000000001</v>
      </c>
      <c r="G26" s="295">
        <v>16296.206</v>
      </c>
      <c r="H26" s="166">
        <f t="shared" si="6"/>
        <v>-45.9</v>
      </c>
      <c r="I26" s="240">
        <f>IFERROR(100/'Skjema total MA'!F26*G26,0)</f>
        <v>3.7184529439281278</v>
      </c>
      <c r="J26" s="295">
        <f t="shared" si="9"/>
        <v>30113.664000000001</v>
      </c>
      <c r="K26" s="295">
        <f t="shared" si="10"/>
        <v>16296.206</v>
      </c>
      <c r="L26" s="166">
        <f t="shared" si="8"/>
        <v>-45.9</v>
      </c>
      <c r="M26" s="23">
        <f>IFERROR(100/'Skjema total MA'!I26*K26,0)</f>
        <v>3.7184529439281278</v>
      </c>
    </row>
    <row r="27" spans="1:14" x14ac:dyDescent="0.2">
      <c r="A27" s="503" t="s">
        <v>11</v>
      </c>
      <c r="B27" s="286"/>
      <c r="C27" s="286"/>
      <c r="D27" s="166"/>
      <c r="E27" s="11"/>
      <c r="F27" s="295"/>
      <c r="G27" s="295"/>
      <c r="H27" s="166"/>
      <c r="I27" s="240"/>
      <c r="J27" s="295"/>
      <c r="K27" s="295"/>
      <c r="L27" s="166"/>
      <c r="M27" s="23"/>
    </row>
    <row r="28" spans="1:14" ht="15.75" x14ac:dyDescent="0.2">
      <c r="A28" s="49" t="s">
        <v>272</v>
      </c>
      <c r="B28" s="44">
        <v>6999.89</v>
      </c>
      <c r="C28" s="292">
        <v>6809.335</v>
      </c>
      <c r="D28" s="166">
        <f t="shared" si="5"/>
        <v>-2.7</v>
      </c>
      <c r="E28" s="11">
        <f>IFERROR(100/'Skjema total MA'!C28*C28,0)</f>
        <v>0.50419608927850113</v>
      </c>
      <c r="F28" s="234"/>
      <c r="G28" s="292"/>
      <c r="H28" s="166"/>
      <c r="I28" s="176"/>
      <c r="J28" s="44">
        <f t="shared" si="7"/>
        <v>6999.89</v>
      </c>
      <c r="K28" s="44">
        <f t="shared" si="7"/>
        <v>6809.335</v>
      </c>
      <c r="L28" s="259">
        <f t="shared" si="8"/>
        <v>-2.7</v>
      </c>
      <c r="M28" s="23">
        <f>IFERROR(100/'Skjema total MA'!I28*K28,0)</f>
        <v>0.50419608927850113</v>
      </c>
    </row>
    <row r="29" spans="1:14" s="3" customFormat="1" ht="15.75" x14ac:dyDescent="0.2">
      <c r="A29" s="13" t="s">
        <v>351</v>
      </c>
      <c r="B29" s="236">
        <v>138944.80100000001</v>
      </c>
      <c r="C29" s="236">
        <v>147843.90299999999</v>
      </c>
      <c r="D29" s="171">
        <f t="shared" si="5"/>
        <v>6.4</v>
      </c>
      <c r="E29" s="11">
        <f>IFERROR(100/'Skjema total MA'!C29*C29,0)</f>
        <v>0.32852528782917861</v>
      </c>
      <c r="F29" s="310">
        <v>2296527.827</v>
      </c>
      <c r="G29" s="310">
        <v>1963621.96465</v>
      </c>
      <c r="H29" s="171">
        <f t="shared" si="6"/>
        <v>-14.5</v>
      </c>
      <c r="I29" s="160">
        <f>IFERROR(100/'Skjema total MA'!F29*G29,0)</f>
        <v>8.2941191545117583</v>
      </c>
      <c r="J29" s="236">
        <f t="shared" si="7"/>
        <v>2435472.628</v>
      </c>
      <c r="K29" s="236">
        <f t="shared" si="7"/>
        <v>2111465.8676499999</v>
      </c>
      <c r="L29" s="425">
        <f t="shared" si="8"/>
        <v>-13.3</v>
      </c>
      <c r="M29" s="24">
        <f>IFERROR(100/'Skjema total MA'!I29*K29,0)</f>
        <v>3.0744804408792716</v>
      </c>
      <c r="N29" s="148"/>
    </row>
    <row r="30" spans="1:14" s="3" customFormat="1" ht="15.75" x14ac:dyDescent="0.2">
      <c r="A30" s="503" t="s">
        <v>354</v>
      </c>
      <c r="B30" s="286"/>
      <c r="C30" s="286"/>
      <c r="D30" s="166"/>
      <c r="E30" s="11"/>
      <c r="F30" s="295">
        <v>644496.66700000002</v>
      </c>
      <c r="G30" s="295">
        <v>541894.22352</v>
      </c>
      <c r="H30" s="166">
        <f t="shared" si="6"/>
        <v>-15.9</v>
      </c>
      <c r="I30" s="240">
        <f>IFERROR(100/'Skjema total MA'!F30*G30,0)</f>
        <v>15.165182231116143</v>
      </c>
      <c r="J30" s="295">
        <f t="shared" ref="J30:J33" si="11">SUM(B30,F30)</f>
        <v>644496.66700000002</v>
      </c>
      <c r="K30" s="295">
        <f t="shared" ref="K30:K33" si="12">SUM(C30,G30)</f>
        <v>541894.22352</v>
      </c>
      <c r="L30" s="166">
        <f t="shared" si="8"/>
        <v>-15.9</v>
      </c>
      <c r="M30" s="23">
        <f>IFERROR(100/'Skjema total MA'!I30*K30,0)</f>
        <v>4.0853186238511361</v>
      </c>
      <c r="N30" s="148"/>
    </row>
    <row r="31" spans="1:14" s="3" customFormat="1" ht="15.75" x14ac:dyDescent="0.2">
      <c r="A31" s="503" t="s">
        <v>355</v>
      </c>
      <c r="B31" s="286"/>
      <c r="C31" s="286"/>
      <c r="D31" s="166"/>
      <c r="E31" s="11"/>
      <c r="F31" s="295">
        <v>1207354.7879999999</v>
      </c>
      <c r="G31" s="295">
        <v>970674.57746000099</v>
      </c>
      <c r="H31" s="166">
        <f t="shared" si="6"/>
        <v>-19.600000000000001</v>
      </c>
      <c r="I31" s="240">
        <f>IFERROR(100/'Skjema total MA'!F31*G31,0)</f>
        <v>12.277055302237915</v>
      </c>
      <c r="J31" s="295">
        <f t="shared" si="11"/>
        <v>1207354.7879999999</v>
      </c>
      <c r="K31" s="295">
        <f t="shared" si="12"/>
        <v>970674.57746000099</v>
      </c>
      <c r="L31" s="166">
        <f t="shared" si="8"/>
        <v>-19.600000000000001</v>
      </c>
      <c r="M31" s="23">
        <f>IFERROR(100/'Skjema total MA'!I31*K31,0)</f>
        <v>2.8445891938059824</v>
      </c>
      <c r="N31" s="148"/>
    </row>
    <row r="32" spans="1:14" ht="15.75" x14ac:dyDescent="0.2">
      <c r="A32" s="503" t="s">
        <v>356</v>
      </c>
      <c r="B32" s="286"/>
      <c r="C32" s="286"/>
      <c r="D32" s="166"/>
      <c r="E32" s="11"/>
      <c r="F32" s="295">
        <v>96554.168000000005</v>
      </c>
      <c r="G32" s="295">
        <v>85696.168000000005</v>
      </c>
      <c r="H32" s="166">
        <f t="shared" si="6"/>
        <v>-11.2</v>
      </c>
      <c r="I32" s="240">
        <f>IFERROR(100/'Skjema total MA'!F32*G32,0)</f>
        <v>1.6212063414461522</v>
      </c>
      <c r="J32" s="295">
        <f t="shared" si="11"/>
        <v>96554.168000000005</v>
      </c>
      <c r="K32" s="295">
        <f t="shared" si="12"/>
        <v>85696.168000000005</v>
      </c>
      <c r="L32" s="166">
        <f t="shared" si="8"/>
        <v>-11.2</v>
      </c>
      <c r="M32" s="23">
        <f>IFERROR(100/'Skjema total MA'!I32*K32,0)</f>
        <v>1.1657004476107047</v>
      </c>
    </row>
    <row r="33" spans="1:14" ht="15.75" x14ac:dyDescent="0.2">
      <c r="A33" s="503" t="s">
        <v>357</v>
      </c>
      <c r="B33" s="286"/>
      <c r="C33" s="286"/>
      <c r="D33" s="166"/>
      <c r="E33" s="11"/>
      <c r="F33" s="295">
        <v>348122.20400000003</v>
      </c>
      <c r="G33" s="295">
        <v>365356.99567000102</v>
      </c>
      <c r="H33" s="166">
        <f t="shared" si="6"/>
        <v>5</v>
      </c>
      <c r="I33" s="240">
        <f>IFERROR(100/'Skjema total MA'!F33*G33,0)</f>
        <v>5.2879560638972407</v>
      </c>
      <c r="J33" s="295">
        <f t="shared" si="11"/>
        <v>348122.20400000003</v>
      </c>
      <c r="K33" s="295">
        <f t="shared" si="12"/>
        <v>365356.99567000102</v>
      </c>
      <c r="L33" s="166">
        <f t="shared" si="8"/>
        <v>5</v>
      </c>
      <c r="M33" s="23">
        <f>IFERROR(100/'Skjema total MA'!I33*K33,0)</f>
        <v>5.2879560638972407</v>
      </c>
    </row>
    <row r="34" spans="1:14" ht="15.75" x14ac:dyDescent="0.2">
      <c r="A34" s="13" t="s">
        <v>352</v>
      </c>
      <c r="B34" s="236"/>
      <c r="C34" s="311"/>
      <c r="D34" s="171"/>
      <c r="E34" s="11"/>
      <c r="F34" s="310">
        <v>7123.93</v>
      </c>
      <c r="G34" s="311">
        <v>2071.6689999999999</v>
      </c>
      <c r="H34" s="171">
        <f t="shared" si="6"/>
        <v>-70.900000000000006</v>
      </c>
      <c r="I34" s="160">
        <f>IFERROR(100/'Skjema total MA'!F34*G34,0)</f>
        <v>3.4680316892321548</v>
      </c>
      <c r="J34" s="236">
        <f t="shared" si="7"/>
        <v>7123.93</v>
      </c>
      <c r="K34" s="236">
        <f t="shared" si="7"/>
        <v>2071.6689999999999</v>
      </c>
      <c r="L34" s="425">
        <f t="shared" si="8"/>
        <v>-70.900000000000006</v>
      </c>
      <c r="M34" s="24">
        <f>IFERROR(100/'Skjema total MA'!I34*K34,0)</f>
        <v>2.8136701000354316</v>
      </c>
    </row>
    <row r="35" spans="1:14" ht="15.75" x14ac:dyDescent="0.2">
      <c r="A35" s="13" t="s">
        <v>353</v>
      </c>
      <c r="B35" s="236"/>
      <c r="C35" s="311"/>
      <c r="D35" s="171"/>
      <c r="E35" s="11"/>
      <c r="F35" s="310">
        <v>13238.11</v>
      </c>
      <c r="G35" s="311">
        <v>8629.9599999999991</v>
      </c>
      <c r="H35" s="171">
        <f t="shared" si="6"/>
        <v>-34.799999999999997</v>
      </c>
      <c r="I35" s="160">
        <f>IFERROR(100/'Skjema total MA'!F35*G35,0)</f>
        <v>14.752999910745304</v>
      </c>
      <c r="J35" s="236">
        <f t="shared" si="7"/>
        <v>13238.11</v>
      </c>
      <c r="K35" s="236">
        <f t="shared" si="7"/>
        <v>8629.9599999999991</v>
      </c>
      <c r="L35" s="425">
        <f t="shared" si="8"/>
        <v>-34.799999999999997</v>
      </c>
      <c r="M35" s="24">
        <f>IFERROR(100/'Skjema total MA'!I35*K35,0)</f>
        <v>18.363907078633584</v>
      </c>
    </row>
    <row r="36" spans="1:14" ht="15.75" x14ac:dyDescent="0.2">
      <c r="A36" s="12" t="s">
        <v>280</v>
      </c>
      <c r="B36" s="236"/>
      <c r="C36" s="311"/>
      <c r="D36" s="171"/>
      <c r="E36" s="11"/>
      <c r="F36" s="321"/>
      <c r="G36" s="322"/>
      <c r="H36" s="171"/>
      <c r="I36" s="427"/>
      <c r="J36" s="236"/>
      <c r="K36" s="236"/>
      <c r="L36" s="425"/>
      <c r="M36" s="24"/>
    </row>
    <row r="37" spans="1:14" ht="15.75" x14ac:dyDescent="0.2">
      <c r="A37" s="12" t="s">
        <v>359</v>
      </c>
      <c r="B37" s="236"/>
      <c r="C37" s="311"/>
      <c r="D37" s="171"/>
      <c r="E37" s="11"/>
      <c r="F37" s="321"/>
      <c r="G37" s="323"/>
      <c r="H37" s="171"/>
      <c r="I37" s="427"/>
      <c r="J37" s="236"/>
      <c r="K37" s="236"/>
      <c r="L37" s="425"/>
      <c r="M37" s="24"/>
    </row>
    <row r="38" spans="1:14" ht="15.75" x14ac:dyDescent="0.2">
      <c r="A38" s="12" t="s">
        <v>360</v>
      </c>
      <c r="B38" s="236"/>
      <c r="C38" s="311"/>
      <c r="D38" s="171"/>
      <c r="E38" s="24"/>
      <c r="F38" s="321"/>
      <c r="G38" s="322"/>
      <c r="H38" s="171"/>
      <c r="I38" s="427"/>
      <c r="J38" s="236"/>
      <c r="K38" s="236"/>
      <c r="L38" s="425"/>
      <c r="M38" s="24"/>
    </row>
    <row r="39" spans="1:14" ht="15.75" x14ac:dyDescent="0.2">
      <c r="A39" s="18" t="s">
        <v>361</v>
      </c>
      <c r="B39" s="281"/>
      <c r="C39" s="317"/>
      <c r="D39" s="169"/>
      <c r="E39" s="36"/>
      <c r="F39" s="324"/>
      <c r="G39" s="325"/>
      <c r="H39" s="169"/>
      <c r="I39" s="169"/>
      <c r="J39" s="236"/>
      <c r="K39" s="236"/>
      <c r="L39" s="426"/>
      <c r="M39" s="36"/>
    </row>
    <row r="40" spans="1:14" ht="15.75" x14ac:dyDescent="0.25">
      <c r="A40" s="47"/>
      <c r="B40" s="258"/>
      <c r="C40" s="258"/>
      <c r="D40" s="705"/>
      <c r="E40" s="705"/>
      <c r="F40" s="705"/>
      <c r="G40" s="705"/>
      <c r="H40" s="705"/>
      <c r="I40" s="705"/>
      <c r="J40" s="705"/>
      <c r="K40" s="705"/>
      <c r="L40" s="705"/>
      <c r="M40" s="404"/>
    </row>
    <row r="41" spans="1:14" x14ac:dyDescent="0.2">
      <c r="A41" s="155"/>
    </row>
    <row r="42" spans="1:14" ht="15.75" x14ac:dyDescent="0.25">
      <c r="A42" s="147" t="s">
        <v>269</v>
      </c>
      <c r="B42" s="706"/>
      <c r="C42" s="706"/>
      <c r="D42" s="706"/>
      <c r="E42" s="403"/>
      <c r="F42" s="707"/>
      <c r="G42" s="707"/>
      <c r="H42" s="707"/>
      <c r="I42" s="404"/>
      <c r="J42" s="707"/>
      <c r="K42" s="707"/>
      <c r="L42" s="707"/>
      <c r="M42" s="404"/>
    </row>
    <row r="43" spans="1:14" ht="15.75" x14ac:dyDescent="0.25">
      <c r="A43" s="163"/>
      <c r="B43" s="400"/>
      <c r="C43" s="400"/>
      <c r="D43" s="400"/>
      <c r="E43" s="400"/>
      <c r="F43" s="404"/>
      <c r="G43" s="404"/>
      <c r="H43" s="404"/>
      <c r="I43" s="404"/>
      <c r="J43" s="404"/>
      <c r="K43" s="404"/>
      <c r="L43" s="404"/>
      <c r="M43" s="404"/>
    </row>
    <row r="44" spans="1:14" ht="15.75" x14ac:dyDescent="0.25">
      <c r="A44" s="249"/>
      <c r="B44" s="702" t="s">
        <v>0</v>
      </c>
      <c r="C44" s="703"/>
      <c r="D44" s="703"/>
      <c r="E44" s="244"/>
      <c r="F44" s="404"/>
      <c r="G44" s="404"/>
      <c r="H44" s="404"/>
      <c r="I44" s="404"/>
      <c r="J44" s="404"/>
      <c r="K44" s="404"/>
      <c r="L44" s="404"/>
      <c r="M44" s="4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4240.9489999999996</v>
      </c>
      <c r="C47" s="313">
        <v>4275.2685499999998</v>
      </c>
      <c r="D47" s="424">
        <f t="shared" ref="D47:D48" si="13">IF(B47=0, "    ---- ", IF(ABS(ROUND(100/B47*C47-100,1))&lt;999,ROUND(100/B47*C47-100,1),IF(ROUND(100/B47*C47-100,1)&gt;999,999,-999)))</f>
        <v>0.8</v>
      </c>
      <c r="E47" s="11">
        <f>IFERROR(100/'Skjema total MA'!C47*C47,0)</f>
        <v>9.8232949329647587E-2</v>
      </c>
      <c r="F47" s="145"/>
      <c r="G47" s="33"/>
      <c r="H47" s="159"/>
      <c r="I47" s="159"/>
      <c r="J47" s="37"/>
      <c r="K47" s="37"/>
      <c r="L47" s="159"/>
      <c r="M47" s="159"/>
      <c r="N47" s="148"/>
    </row>
    <row r="48" spans="1:14" s="3" customFormat="1" ht="15.75" x14ac:dyDescent="0.2">
      <c r="A48" s="38" t="s">
        <v>362</v>
      </c>
      <c r="B48" s="286">
        <v>4240.9489999999996</v>
      </c>
      <c r="C48" s="287">
        <v>4275.2685499999998</v>
      </c>
      <c r="D48" s="259">
        <f t="shared" si="13"/>
        <v>0.8</v>
      </c>
      <c r="E48" s="27">
        <f>IFERROR(100/'Skjema total MA'!C48*C48,0)</f>
        <v>0.17343829536278044</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403"/>
      <c r="F62" s="701"/>
      <c r="G62" s="701"/>
      <c r="H62" s="701"/>
      <c r="I62" s="403"/>
      <c r="J62" s="701"/>
      <c r="K62" s="701"/>
      <c r="L62" s="701"/>
      <c r="M62" s="403"/>
    </row>
    <row r="63" spans="1:14" x14ac:dyDescent="0.2">
      <c r="A63" s="144"/>
      <c r="B63" s="702" t="s">
        <v>0</v>
      </c>
      <c r="C63" s="703"/>
      <c r="D63" s="704"/>
      <c r="E63" s="401"/>
      <c r="F63" s="703" t="s">
        <v>1</v>
      </c>
      <c r="G63" s="703"/>
      <c r="H63" s="703"/>
      <c r="I63" s="405"/>
      <c r="J63" s="702" t="s">
        <v>2</v>
      </c>
      <c r="K63" s="703"/>
      <c r="L63" s="703"/>
      <c r="M63" s="405"/>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68411.857000000004</v>
      </c>
      <c r="C66" s="354">
        <v>72062.150049999997</v>
      </c>
      <c r="D66" s="351">
        <f t="shared" ref="D66:D120" si="14">IF(B66=0, "    ---- ", IF(ABS(ROUND(100/B66*C66-100,1))&lt;999,ROUND(100/B66*C66-100,1),IF(ROUND(100/B66*C66-100,1)&gt;999,999,-999)))</f>
        <v>5.3</v>
      </c>
      <c r="E66" s="11">
        <f>IFERROR(100/'Skjema total MA'!C66*C66,0)</f>
        <v>1.6494126044916659</v>
      </c>
      <c r="F66" s="353">
        <v>980368.67</v>
      </c>
      <c r="G66" s="353">
        <v>1029241.67508</v>
      </c>
      <c r="H66" s="351">
        <f t="shared" ref="H66:H125" si="15">IF(F66=0, "    ---- ", IF(ABS(ROUND(100/F66*G66-100,1))&lt;999,ROUND(100/F66*G66-100,1),IF(ROUND(100/F66*G66-100,1)&gt;999,999,-999)))</f>
        <v>5</v>
      </c>
      <c r="I66" s="11">
        <f>IFERROR(100/'Skjema total MA'!F66*G66,0)</f>
        <v>5.0955950573944522</v>
      </c>
      <c r="J66" s="311">
        <f t="shared" ref="J66:K79" si="16">SUM(B66,F66)</f>
        <v>1048780.527</v>
      </c>
      <c r="K66" s="318">
        <f t="shared" si="16"/>
        <v>1101303.82513</v>
      </c>
      <c r="L66" s="425">
        <f t="shared" ref="L66:L125" si="17">IF(J66=0, "    ---- ", IF(ABS(ROUND(100/J66*K66-100,1))&lt;999,ROUND(100/J66*K66-100,1),IF(ROUND(100/J66*K66-100,1)&gt;999,999,-999)))</f>
        <v>5</v>
      </c>
      <c r="M66" s="11">
        <f>IFERROR(100/'Skjema total MA'!I66*K66,0)</f>
        <v>4.4827464531758991</v>
      </c>
    </row>
    <row r="67" spans="1:14" x14ac:dyDescent="0.2">
      <c r="A67" s="21" t="s">
        <v>9</v>
      </c>
      <c r="B67" s="44">
        <v>68411.857000000004</v>
      </c>
      <c r="C67" s="145">
        <v>72062.150049999997</v>
      </c>
      <c r="D67" s="166">
        <f t="shared" si="14"/>
        <v>5.3</v>
      </c>
      <c r="E67" s="27">
        <f>IFERROR(100/'Skjema total MA'!C67*C67,0)</f>
        <v>2.463111192414325</v>
      </c>
      <c r="F67" s="234"/>
      <c r="G67" s="145"/>
      <c r="H67" s="166"/>
      <c r="I67" s="27"/>
      <c r="J67" s="292">
        <f t="shared" si="16"/>
        <v>68411.857000000004</v>
      </c>
      <c r="K67" s="44">
        <f t="shared" si="16"/>
        <v>72062.150049999997</v>
      </c>
      <c r="L67" s="259">
        <f t="shared" si="17"/>
        <v>5.3</v>
      </c>
      <c r="M67" s="27">
        <f>IFERROR(100/'Skjema total MA'!I67*K67,0)</f>
        <v>2.463111192414325</v>
      </c>
    </row>
    <row r="68" spans="1:14" x14ac:dyDescent="0.2">
      <c r="A68" s="21" t="s">
        <v>10</v>
      </c>
      <c r="B68" s="296"/>
      <c r="C68" s="297"/>
      <c r="D68" s="166"/>
      <c r="E68" s="27"/>
      <c r="F68" s="296">
        <v>980368.67</v>
      </c>
      <c r="G68" s="297">
        <v>1029241.67508</v>
      </c>
      <c r="H68" s="166">
        <f t="shared" si="15"/>
        <v>5</v>
      </c>
      <c r="I68" s="27">
        <f>IFERROR(100/'Skjema total MA'!F68*G68,0)</f>
        <v>5.3047389876844298</v>
      </c>
      <c r="J68" s="292">
        <f t="shared" si="16"/>
        <v>980368.67</v>
      </c>
      <c r="K68" s="44">
        <f t="shared" si="16"/>
        <v>1029241.67508</v>
      </c>
      <c r="L68" s="259">
        <f t="shared" si="17"/>
        <v>5</v>
      </c>
      <c r="M68" s="27">
        <f>IFERROR(100/'Skjema total MA'!I68*K68,0)</f>
        <v>5.2985007674573001</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v>68411.857000000004</v>
      </c>
      <c r="C77" s="234">
        <v>72062.150049999997</v>
      </c>
      <c r="D77" s="166">
        <f t="shared" si="14"/>
        <v>5.3</v>
      </c>
      <c r="E77" s="27">
        <f>IFERROR(100/'Skjema total MA'!C77*C77,0)</f>
        <v>2.5015838604053293</v>
      </c>
      <c r="F77" s="234">
        <v>980368.67</v>
      </c>
      <c r="G77" s="145">
        <v>1029241.67508</v>
      </c>
      <c r="H77" s="166">
        <f t="shared" si="15"/>
        <v>5</v>
      </c>
      <c r="I77" s="27">
        <f>IFERROR(100/'Skjema total MA'!F77*G77,0)</f>
        <v>5.3065972082571529</v>
      </c>
      <c r="J77" s="292">
        <f t="shared" si="16"/>
        <v>1048780.527</v>
      </c>
      <c r="K77" s="44">
        <f t="shared" si="16"/>
        <v>1101303.82513</v>
      </c>
      <c r="L77" s="259">
        <f t="shared" si="17"/>
        <v>5</v>
      </c>
      <c r="M77" s="27">
        <f>IFERROR(100/'Skjema total MA'!I77*K77,0)</f>
        <v>4.9438646753391984</v>
      </c>
    </row>
    <row r="78" spans="1:14" x14ac:dyDescent="0.2">
      <c r="A78" s="21" t="s">
        <v>9</v>
      </c>
      <c r="B78" s="234">
        <v>68411.857000000004</v>
      </c>
      <c r="C78" s="145">
        <v>72062.150049999997</v>
      </c>
      <c r="D78" s="166">
        <f t="shared" si="14"/>
        <v>5.3</v>
      </c>
      <c r="E78" s="27">
        <f>IFERROR(100/'Skjema total MA'!C78*C78,0)</f>
        <v>2.5202459925881286</v>
      </c>
      <c r="F78" s="234"/>
      <c r="G78" s="145"/>
      <c r="H78" s="166"/>
      <c r="I78" s="27"/>
      <c r="J78" s="292">
        <f t="shared" si="16"/>
        <v>68411.857000000004</v>
      </c>
      <c r="K78" s="44">
        <f t="shared" si="16"/>
        <v>72062.150049999997</v>
      </c>
      <c r="L78" s="259">
        <f t="shared" si="17"/>
        <v>5.3</v>
      </c>
      <c r="M78" s="27">
        <f>IFERROR(100/'Skjema total MA'!I78*K78,0)</f>
        <v>2.5202459925881286</v>
      </c>
    </row>
    <row r="79" spans="1:14" x14ac:dyDescent="0.2">
      <c r="A79" s="38" t="s">
        <v>403</v>
      </c>
      <c r="B79" s="296"/>
      <c r="C79" s="297"/>
      <c r="D79" s="166"/>
      <c r="E79" s="27"/>
      <c r="F79" s="296">
        <v>980368.67</v>
      </c>
      <c r="G79" s="297">
        <v>1029241.67508</v>
      </c>
      <c r="H79" s="166">
        <f t="shared" si="15"/>
        <v>5</v>
      </c>
      <c r="I79" s="27">
        <f>IFERROR(100/'Skjema total MA'!F79*G79,0)</f>
        <v>5.3065972082571529</v>
      </c>
      <c r="J79" s="292">
        <f t="shared" si="16"/>
        <v>980368.67</v>
      </c>
      <c r="K79" s="44">
        <f t="shared" si="16"/>
        <v>1029241.67508</v>
      </c>
      <c r="L79" s="259">
        <f t="shared" si="17"/>
        <v>5</v>
      </c>
      <c r="M79" s="27">
        <f>IFERROR(100/'Skjema total MA'!I79*K79,0)</f>
        <v>5.3007674842670314</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v>901135.152</v>
      </c>
      <c r="C87" s="354">
        <v>967300.88</v>
      </c>
      <c r="D87" s="171">
        <f t="shared" si="14"/>
        <v>7.3</v>
      </c>
      <c r="E87" s="11">
        <f>IFERROR(100/'Skjema total MA'!C87*C87,0)</f>
        <v>0.23985678703521304</v>
      </c>
      <c r="F87" s="353">
        <v>21363397.881000001</v>
      </c>
      <c r="G87" s="353">
        <v>21505436.97899</v>
      </c>
      <c r="H87" s="171">
        <f t="shared" si="15"/>
        <v>0.7</v>
      </c>
      <c r="I87" s="11">
        <f>IFERROR(100/'Skjema total MA'!F87*G87,0)</f>
        <v>5.1444628284061391</v>
      </c>
      <c r="J87" s="311">
        <f t="shared" ref="J87:K111" si="18">SUM(B87,F87)</f>
        <v>22264533.033</v>
      </c>
      <c r="K87" s="236">
        <f t="shared" si="18"/>
        <v>22472737.858989999</v>
      </c>
      <c r="L87" s="425">
        <f t="shared" si="17"/>
        <v>0.9</v>
      </c>
      <c r="M87" s="11">
        <f>IFERROR(100/'Skjema total MA'!I87*K87,0)</f>
        <v>2.736195074253772</v>
      </c>
    </row>
    <row r="88" spans="1:13" x14ac:dyDescent="0.2">
      <c r="A88" s="21" t="s">
        <v>9</v>
      </c>
      <c r="B88" s="234">
        <v>901135.152</v>
      </c>
      <c r="C88" s="145">
        <v>967300.88</v>
      </c>
      <c r="D88" s="166">
        <f t="shared" si="14"/>
        <v>7.3</v>
      </c>
      <c r="E88" s="27">
        <f>IFERROR(100/'Skjema total MA'!C88*C88,0)</f>
        <v>0.24905909422582492</v>
      </c>
      <c r="F88" s="234"/>
      <c r="G88" s="145"/>
      <c r="H88" s="166"/>
      <c r="I88" s="27"/>
      <c r="J88" s="292">
        <f t="shared" si="18"/>
        <v>901135.152</v>
      </c>
      <c r="K88" s="44">
        <f t="shared" si="18"/>
        <v>967300.88</v>
      </c>
      <c r="L88" s="259">
        <f t="shared" si="17"/>
        <v>7.3</v>
      </c>
      <c r="M88" s="27">
        <f>IFERROR(100/'Skjema total MA'!I88*K88,0)</f>
        <v>0.24905909422582492</v>
      </c>
    </row>
    <row r="89" spans="1:13" x14ac:dyDescent="0.2">
      <c r="A89" s="21" t="s">
        <v>10</v>
      </c>
      <c r="B89" s="234"/>
      <c r="C89" s="145"/>
      <c r="D89" s="166"/>
      <c r="E89" s="27"/>
      <c r="F89" s="234">
        <v>21363397.881000001</v>
      </c>
      <c r="G89" s="145">
        <v>21505436.97899</v>
      </c>
      <c r="H89" s="166">
        <f t="shared" si="15"/>
        <v>0.7</v>
      </c>
      <c r="I89" s="27">
        <f>IFERROR(100/'Skjema total MA'!F89*G89,0)</f>
        <v>5.2049591324702682</v>
      </c>
      <c r="J89" s="292">
        <f t="shared" si="18"/>
        <v>21363397.881000001</v>
      </c>
      <c r="K89" s="44">
        <f t="shared" si="18"/>
        <v>21505436.97899</v>
      </c>
      <c r="L89" s="259">
        <f t="shared" si="17"/>
        <v>0.7</v>
      </c>
      <c r="M89" s="27">
        <f>IFERROR(100/'Skjema total MA'!I89*K89,0)</f>
        <v>5.1633072597826501</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v>901135.152</v>
      </c>
      <c r="C98" s="234">
        <v>967300.88</v>
      </c>
      <c r="D98" s="166">
        <f t="shared" si="14"/>
        <v>7.3</v>
      </c>
      <c r="E98" s="27">
        <f>IFERROR(100/'Skjema total MA'!C98*C98,0)</f>
        <v>0.2497826181730603</v>
      </c>
      <c r="F98" s="296">
        <v>21363397.881000001</v>
      </c>
      <c r="G98" s="296">
        <v>21505436.97899</v>
      </c>
      <c r="H98" s="166">
        <f t="shared" si="15"/>
        <v>0.7</v>
      </c>
      <c r="I98" s="27">
        <f>IFERROR(100/'Skjema total MA'!F98*G98,0)</f>
        <v>5.2153062144861968</v>
      </c>
      <c r="J98" s="292">
        <f t="shared" si="18"/>
        <v>22264533.033</v>
      </c>
      <c r="K98" s="44">
        <f t="shared" si="18"/>
        <v>22472737.858989999</v>
      </c>
      <c r="L98" s="259">
        <f t="shared" si="17"/>
        <v>0.9</v>
      </c>
      <c r="M98" s="27">
        <f>IFERROR(100/'Skjema total MA'!I98*K98,0)</f>
        <v>2.8104643779844976</v>
      </c>
    </row>
    <row r="99" spans="1:15" x14ac:dyDescent="0.2">
      <c r="A99" s="21" t="s">
        <v>9</v>
      </c>
      <c r="B99" s="296">
        <v>901135.152</v>
      </c>
      <c r="C99" s="297">
        <v>967300.88</v>
      </c>
      <c r="D99" s="166">
        <f t="shared" si="14"/>
        <v>7.3</v>
      </c>
      <c r="E99" s="27">
        <f>IFERROR(100/'Skjema total MA'!C99*C99,0)</f>
        <v>0.25195109301203</v>
      </c>
      <c r="F99" s="234"/>
      <c r="G99" s="145"/>
      <c r="H99" s="166"/>
      <c r="I99" s="27"/>
      <c r="J99" s="292">
        <f t="shared" si="18"/>
        <v>901135.152</v>
      </c>
      <c r="K99" s="44">
        <f t="shared" si="18"/>
        <v>967300.88</v>
      </c>
      <c r="L99" s="259">
        <f t="shared" si="17"/>
        <v>7.3</v>
      </c>
      <c r="M99" s="27">
        <f>IFERROR(100/'Skjema total MA'!I99*K99,0)</f>
        <v>0.25195109301203</v>
      </c>
    </row>
    <row r="100" spans="1:15" x14ac:dyDescent="0.2">
      <c r="A100" s="38" t="s">
        <v>403</v>
      </c>
      <c r="B100" s="296"/>
      <c r="C100" s="297"/>
      <c r="D100" s="166"/>
      <c r="E100" s="27"/>
      <c r="F100" s="234">
        <v>21363397.881000001</v>
      </c>
      <c r="G100" s="234">
        <v>21505436.97899</v>
      </c>
      <c r="H100" s="166">
        <f t="shared" si="15"/>
        <v>0.7</v>
      </c>
      <c r="I100" s="27">
        <f>IFERROR(100/'Skjema total MA'!F100*G100,0)</f>
        <v>5.2153062144861968</v>
      </c>
      <c r="J100" s="292">
        <f t="shared" si="18"/>
        <v>21363397.881000001</v>
      </c>
      <c r="K100" s="44">
        <f t="shared" si="18"/>
        <v>21505436.97899</v>
      </c>
      <c r="L100" s="259">
        <f t="shared" si="17"/>
        <v>0.7</v>
      </c>
      <c r="M100" s="27">
        <f>IFERROR(100/'Skjema total MA'!I100*K100,0)</f>
        <v>5.173489240607938</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v>222541.55</v>
      </c>
      <c r="C108" s="234">
        <v>154549.86499999999</v>
      </c>
      <c r="D108" s="166">
        <f t="shared" si="14"/>
        <v>-30.6</v>
      </c>
      <c r="E108" s="27">
        <f>IFERROR(100/'Skjema total MA'!C108*C108,0)</f>
        <v>4.6244814681254721E-2</v>
      </c>
      <c r="F108" s="234">
        <v>222541.55</v>
      </c>
      <c r="G108" s="234">
        <v>201420.31237</v>
      </c>
      <c r="H108" s="166">
        <f t="shared" si="15"/>
        <v>-9.5</v>
      </c>
      <c r="I108" s="27">
        <f>IFERROR(100/'Skjema total MA'!F108*G108,0)</f>
        <v>1.0542303609924017</v>
      </c>
      <c r="J108" s="292">
        <f t="shared" si="18"/>
        <v>445083.1</v>
      </c>
      <c r="K108" s="44">
        <f t="shared" si="18"/>
        <v>355970.17736999999</v>
      </c>
      <c r="L108" s="259">
        <f t="shared" si="17"/>
        <v>-20</v>
      </c>
      <c r="M108" s="27">
        <f>IFERROR(100/'Skjema total MA'!I108*K108,0)</f>
        <v>0.10075428472823635</v>
      </c>
    </row>
    <row r="109" spans="1:15" ht="15.75" x14ac:dyDescent="0.2">
      <c r="A109" s="38" t="s">
        <v>417</v>
      </c>
      <c r="B109" s="234"/>
      <c r="C109" s="234"/>
      <c r="D109" s="166"/>
      <c r="E109" s="27"/>
      <c r="F109" s="234">
        <v>7801640</v>
      </c>
      <c r="G109" s="234">
        <v>8928566.7770000007</v>
      </c>
      <c r="H109" s="166">
        <f t="shared" si="15"/>
        <v>14.4</v>
      </c>
      <c r="I109" s="27">
        <f>IFERROR(100/'Skjema total MA'!F109*G109,0)</f>
        <v>5.8470759394354337</v>
      </c>
      <c r="J109" s="292">
        <f t="shared" si="18"/>
        <v>7801640</v>
      </c>
      <c r="K109" s="44">
        <f t="shared" si="18"/>
        <v>8928566.7770000007</v>
      </c>
      <c r="L109" s="259">
        <f t="shared" si="17"/>
        <v>14.4</v>
      </c>
      <c r="M109" s="27">
        <f>IFERROR(100/'Skjema total MA'!I109*K109,0)</f>
        <v>5.7774028108483799</v>
      </c>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v>16079.767</v>
      </c>
      <c r="C111" s="159">
        <v>18793.28</v>
      </c>
      <c r="D111" s="171">
        <f t="shared" si="14"/>
        <v>16.899999999999999</v>
      </c>
      <c r="E111" s="11">
        <f>IFERROR(100/'Skjema total MA'!C111*C111,0)</f>
        <v>3.5858028866963791</v>
      </c>
      <c r="F111" s="310">
        <v>2002419.3319999999</v>
      </c>
      <c r="G111" s="159">
        <v>1397999.26361</v>
      </c>
      <c r="H111" s="171">
        <f t="shared" si="15"/>
        <v>-30.2</v>
      </c>
      <c r="I111" s="11">
        <f>IFERROR(100/'Skjema total MA'!F111*G111,0)</f>
        <v>6.6158732034974346</v>
      </c>
      <c r="J111" s="311">
        <f t="shared" si="18"/>
        <v>2018499.0989999999</v>
      </c>
      <c r="K111" s="236">
        <f t="shared" si="18"/>
        <v>1416792.5436100001</v>
      </c>
      <c r="L111" s="425">
        <f t="shared" si="17"/>
        <v>-29.8</v>
      </c>
      <c r="M111" s="11">
        <f>IFERROR(100/'Skjema total MA'!I111*K111,0)</f>
        <v>6.5425386064012612</v>
      </c>
    </row>
    <row r="112" spans="1:15" x14ac:dyDescent="0.2">
      <c r="A112" s="21" t="s">
        <v>9</v>
      </c>
      <c r="B112" s="234">
        <v>16079.767</v>
      </c>
      <c r="C112" s="145">
        <v>18793.28</v>
      </c>
      <c r="D112" s="166">
        <f t="shared" si="14"/>
        <v>16.899999999999999</v>
      </c>
      <c r="E112" s="27">
        <f>IFERROR(100/'Skjema total MA'!C112*C112,0)</f>
        <v>6.8208088032102347</v>
      </c>
      <c r="F112" s="234"/>
      <c r="G112" s="145"/>
      <c r="H112" s="166"/>
      <c r="I112" s="27"/>
      <c r="J112" s="292">
        <f t="shared" ref="J112:K125" si="19">SUM(B112,F112)</f>
        <v>16079.767</v>
      </c>
      <c r="K112" s="44">
        <f t="shared" si="19"/>
        <v>18793.28</v>
      </c>
      <c r="L112" s="259">
        <f t="shared" si="17"/>
        <v>16.899999999999999</v>
      </c>
      <c r="M112" s="27">
        <f>IFERROR(100/'Skjema total MA'!I112*K112,0)</f>
        <v>6.8018095820094358</v>
      </c>
    </row>
    <row r="113" spans="1:14" x14ac:dyDescent="0.2">
      <c r="A113" s="21" t="s">
        <v>10</v>
      </c>
      <c r="B113" s="234"/>
      <c r="C113" s="145"/>
      <c r="D113" s="166"/>
      <c r="E113" s="27"/>
      <c r="F113" s="234">
        <v>2002419.3319999999</v>
      </c>
      <c r="G113" s="145">
        <v>1397999.26361</v>
      </c>
      <c r="H113" s="166">
        <f t="shared" si="15"/>
        <v>-30.2</v>
      </c>
      <c r="I113" s="27">
        <f>IFERROR(100/'Skjema total MA'!F113*G113,0)</f>
        <v>6.6164462317595634</v>
      </c>
      <c r="J113" s="292">
        <f t="shared" si="19"/>
        <v>2002419.3319999999</v>
      </c>
      <c r="K113" s="44">
        <f t="shared" si="19"/>
        <v>1397999.26361</v>
      </c>
      <c r="L113" s="259">
        <f t="shared" si="17"/>
        <v>-30.2</v>
      </c>
      <c r="M113" s="27">
        <f>IFERROR(100/'Skjema total MA'!I113*K113,0)</f>
        <v>6.6163895649580242</v>
      </c>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v>93900.225999999995</v>
      </c>
      <c r="G117" s="234">
        <v>981852.22696999996</v>
      </c>
      <c r="H117" s="166">
        <f t="shared" si="15"/>
        <v>945.6</v>
      </c>
      <c r="I117" s="27">
        <f>IFERROR(100/'Skjema total MA'!F117*G117,0)</f>
        <v>8.6200241014791494</v>
      </c>
      <c r="J117" s="292">
        <f t="shared" si="19"/>
        <v>93900.225999999995</v>
      </c>
      <c r="K117" s="44">
        <f t="shared" si="19"/>
        <v>981852.22696999996</v>
      </c>
      <c r="L117" s="259">
        <f t="shared" si="17"/>
        <v>945.6</v>
      </c>
      <c r="M117" s="27">
        <f>IFERROR(100/'Skjema total MA'!I117*K117,0)</f>
        <v>8.6198871541021944</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12454.027</v>
      </c>
      <c r="C119" s="159">
        <v>13453.932000000001</v>
      </c>
      <c r="D119" s="171">
        <f t="shared" si="14"/>
        <v>8</v>
      </c>
      <c r="E119" s="11">
        <f>IFERROR(100/'Skjema total MA'!C119*C119,0)</f>
        <v>2.8342627454473459</v>
      </c>
      <c r="F119" s="310">
        <v>1949861.791</v>
      </c>
      <c r="G119" s="159">
        <v>1598212.2919999999</v>
      </c>
      <c r="H119" s="171">
        <f t="shared" si="15"/>
        <v>-18</v>
      </c>
      <c r="I119" s="11">
        <f>IFERROR(100/'Skjema total MA'!F119*G119,0)</f>
        <v>7.1078589806987189</v>
      </c>
      <c r="J119" s="311">
        <f t="shared" si="19"/>
        <v>1962315.818</v>
      </c>
      <c r="K119" s="236">
        <f t="shared" si="19"/>
        <v>1611666.2239999999</v>
      </c>
      <c r="L119" s="425">
        <f t="shared" si="17"/>
        <v>-17.899999999999999</v>
      </c>
      <c r="M119" s="11">
        <f>IFERROR(100/'Skjema total MA'!I119*K119,0)</f>
        <v>7.0195034187099532</v>
      </c>
    </row>
    <row r="120" spans="1:14" x14ac:dyDescent="0.2">
      <c r="A120" s="21" t="s">
        <v>9</v>
      </c>
      <c r="B120" s="234">
        <v>12454.027</v>
      </c>
      <c r="C120" s="145">
        <v>13453.932000000001</v>
      </c>
      <c r="D120" s="166">
        <f t="shared" si="14"/>
        <v>8</v>
      </c>
      <c r="E120" s="27">
        <f>IFERROR(100/'Skjema total MA'!C120*C120,0)</f>
        <v>8.3475302486569287</v>
      </c>
      <c r="F120" s="234"/>
      <c r="G120" s="145"/>
      <c r="H120" s="166"/>
      <c r="I120" s="27"/>
      <c r="J120" s="292">
        <f t="shared" si="19"/>
        <v>12454.027</v>
      </c>
      <c r="K120" s="44">
        <f t="shared" si="19"/>
        <v>13453.932000000001</v>
      </c>
      <c r="L120" s="259">
        <f t="shared" si="17"/>
        <v>8</v>
      </c>
      <c r="M120" s="27">
        <f>IFERROR(100/'Skjema total MA'!I120*K120,0)</f>
        <v>8.3475302486569287</v>
      </c>
    </row>
    <row r="121" spans="1:14" x14ac:dyDescent="0.2">
      <c r="A121" s="21" t="s">
        <v>10</v>
      </c>
      <c r="B121" s="234"/>
      <c r="C121" s="145"/>
      <c r="D121" s="166"/>
      <c r="E121" s="27"/>
      <c r="F121" s="234">
        <v>1949861.791</v>
      </c>
      <c r="G121" s="145">
        <v>1598212.2919999999</v>
      </c>
      <c r="H121" s="166">
        <f t="shared" si="15"/>
        <v>-18</v>
      </c>
      <c r="I121" s="27">
        <f>IFERROR(100/'Skjema total MA'!F121*G121,0)</f>
        <v>7.1078589806987189</v>
      </c>
      <c r="J121" s="292">
        <f t="shared" si="19"/>
        <v>1949861.791</v>
      </c>
      <c r="K121" s="44">
        <f t="shared" si="19"/>
        <v>1598212.2919999999</v>
      </c>
      <c r="L121" s="259">
        <f t="shared" si="17"/>
        <v>-18</v>
      </c>
      <c r="M121" s="27">
        <f>IFERROR(100/'Skjema total MA'!I121*K121,0)</f>
        <v>7.1060961372347862</v>
      </c>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v>94606.994999999995</v>
      </c>
      <c r="G125" s="234">
        <v>1371007.99</v>
      </c>
      <c r="H125" s="166">
        <f t="shared" si="15"/>
        <v>999</v>
      </c>
      <c r="I125" s="27">
        <f>IFERROR(100/'Skjema total MA'!F125*G125,0)</f>
        <v>12.267561253685917</v>
      </c>
      <c r="J125" s="292">
        <f t="shared" si="19"/>
        <v>94606.994999999995</v>
      </c>
      <c r="K125" s="44">
        <f t="shared" si="19"/>
        <v>1371007.99</v>
      </c>
      <c r="L125" s="259">
        <f t="shared" si="17"/>
        <v>999</v>
      </c>
      <c r="M125" s="27">
        <f>IFERROR(100/'Skjema total MA'!I125*K125,0)</f>
        <v>12.267036743636217</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403"/>
      <c r="F130" s="701"/>
      <c r="G130" s="701"/>
      <c r="H130" s="701"/>
      <c r="I130" s="403"/>
      <c r="J130" s="701"/>
      <c r="K130" s="701"/>
      <c r="L130" s="701"/>
      <c r="M130" s="403"/>
    </row>
    <row r="131" spans="1:14" s="3" customFormat="1" x14ac:dyDescent="0.2">
      <c r="A131" s="144"/>
      <c r="B131" s="702" t="s">
        <v>0</v>
      </c>
      <c r="C131" s="703"/>
      <c r="D131" s="703"/>
      <c r="E131" s="402"/>
      <c r="F131" s="702" t="s">
        <v>1</v>
      </c>
      <c r="G131" s="703"/>
      <c r="H131" s="703"/>
      <c r="I131" s="405"/>
      <c r="J131" s="702" t="s">
        <v>2</v>
      </c>
      <c r="K131" s="703"/>
      <c r="L131" s="703"/>
      <c r="M131" s="405"/>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638" priority="45">
      <formula>kvartal &lt; 4</formula>
    </cfRule>
  </conditionalFormatting>
  <conditionalFormatting sqref="C115">
    <cfRule type="expression" dxfId="637" priority="44">
      <formula>kvartal &lt; 4</formula>
    </cfRule>
  </conditionalFormatting>
  <conditionalFormatting sqref="B123">
    <cfRule type="expression" dxfId="636" priority="43">
      <formula>kvartal &lt; 4</formula>
    </cfRule>
  </conditionalFormatting>
  <conditionalFormatting sqref="C123">
    <cfRule type="expression" dxfId="635" priority="42">
      <formula>kvartal &lt; 4</formula>
    </cfRule>
  </conditionalFormatting>
  <conditionalFormatting sqref="F115">
    <cfRule type="expression" dxfId="634" priority="31">
      <formula>kvartal &lt; 4</formula>
    </cfRule>
  </conditionalFormatting>
  <conditionalFormatting sqref="G115">
    <cfRule type="expression" dxfId="633" priority="30">
      <formula>kvartal &lt; 4</formula>
    </cfRule>
  </conditionalFormatting>
  <conditionalFormatting sqref="F123:G123">
    <cfRule type="expression" dxfId="632" priority="29">
      <formula>kvartal &lt; 4</formula>
    </cfRule>
  </conditionalFormatting>
  <conditionalFormatting sqref="J115:K115">
    <cfRule type="expression" dxfId="631" priority="12">
      <formula>kvartal &lt; 4</formula>
    </cfRule>
  </conditionalFormatting>
  <conditionalFormatting sqref="J123:K123">
    <cfRule type="expression" dxfId="630" priority="11">
      <formula>kvartal &lt; 4</formula>
    </cfRule>
  </conditionalFormatting>
  <conditionalFormatting sqref="A50:A52">
    <cfRule type="expression" dxfId="629" priority="8">
      <formula>kvartal &lt; 4</formula>
    </cfRule>
  </conditionalFormatting>
  <conditionalFormatting sqref="A69:A74">
    <cfRule type="expression" dxfId="628" priority="7">
      <formula>kvartal &lt; 4</formula>
    </cfRule>
  </conditionalFormatting>
  <conditionalFormatting sqref="A80:A85">
    <cfRule type="expression" dxfId="627" priority="6">
      <formula>kvartal &lt; 4</formula>
    </cfRule>
  </conditionalFormatting>
  <conditionalFormatting sqref="A90:A95">
    <cfRule type="expression" dxfId="626" priority="5">
      <formula>kvartal &lt; 4</formula>
    </cfRule>
  </conditionalFormatting>
  <conditionalFormatting sqref="A101:A106">
    <cfRule type="expression" dxfId="625" priority="4">
      <formula>kvartal &lt; 4</formula>
    </cfRule>
  </conditionalFormatting>
  <conditionalFormatting sqref="A115">
    <cfRule type="expression" dxfId="624" priority="3">
      <formula>kvartal &lt; 4</formula>
    </cfRule>
  </conditionalFormatting>
  <conditionalFormatting sqref="A123">
    <cfRule type="expression" dxfId="623"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134</v>
      </c>
      <c r="B1" s="661"/>
      <c r="C1" s="250" t="s">
        <v>123</v>
      </c>
      <c r="D1" s="26"/>
      <c r="E1" s="26"/>
      <c r="F1" s="26"/>
      <c r="G1" s="26"/>
      <c r="H1" s="26"/>
      <c r="I1" s="26"/>
      <c r="J1" s="26"/>
      <c r="K1" s="26"/>
      <c r="L1" s="26"/>
      <c r="M1" s="26"/>
    </row>
    <row r="2" spans="1:17" ht="15.75" x14ac:dyDescent="0.25">
      <c r="A2" s="165" t="s">
        <v>28</v>
      </c>
      <c r="B2" s="706"/>
      <c r="C2" s="706"/>
      <c r="D2" s="706"/>
      <c r="E2" s="301"/>
      <c r="F2" s="706"/>
      <c r="G2" s="706"/>
      <c r="H2" s="706"/>
      <c r="I2" s="301"/>
      <c r="J2" s="706"/>
      <c r="K2" s="706"/>
      <c r="L2" s="706"/>
      <c r="M2" s="301"/>
    </row>
    <row r="3" spans="1:17" ht="15.75" x14ac:dyDescent="0.25">
      <c r="A3" s="163"/>
      <c r="B3" s="301"/>
      <c r="C3" s="301"/>
      <c r="D3" s="301"/>
      <c r="E3" s="301"/>
      <c r="F3" s="301"/>
      <c r="G3" s="301"/>
      <c r="H3" s="301"/>
      <c r="I3" s="301"/>
      <c r="J3" s="301"/>
      <c r="K3" s="301"/>
      <c r="L3" s="301"/>
      <c r="M3" s="301"/>
    </row>
    <row r="4" spans="1:17" x14ac:dyDescent="0.2">
      <c r="A4" s="144"/>
      <c r="B4" s="702" t="s">
        <v>0</v>
      </c>
      <c r="C4" s="703"/>
      <c r="D4" s="703"/>
      <c r="E4" s="303"/>
      <c r="F4" s="702" t="s">
        <v>1</v>
      </c>
      <c r="G4" s="703"/>
      <c r="H4" s="703"/>
      <c r="I4" s="306"/>
      <c r="J4" s="702" t="s">
        <v>2</v>
      </c>
      <c r="K4" s="703"/>
      <c r="L4" s="703"/>
      <c r="M4" s="306"/>
    </row>
    <row r="5" spans="1:17"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7" x14ac:dyDescent="0.2">
      <c r="A6" s="662"/>
      <c r="B6" s="156"/>
      <c r="C6" s="156"/>
      <c r="D6" s="248" t="s">
        <v>4</v>
      </c>
      <c r="E6" s="156" t="s">
        <v>30</v>
      </c>
      <c r="F6" s="161"/>
      <c r="G6" s="161"/>
      <c r="H6" s="246" t="s">
        <v>4</v>
      </c>
      <c r="I6" s="156" t="s">
        <v>30</v>
      </c>
      <c r="J6" s="161"/>
      <c r="K6" s="161"/>
      <c r="L6" s="246" t="s">
        <v>4</v>
      </c>
      <c r="M6" s="156" t="s">
        <v>30</v>
      </c>
    </row>
    <row r="7" spans="1:17" ht="15.75" x14ac:dyDescent="0.2">
      <c r="A7" s="14" t="s">
        <v>23</v>
      </c>
      <c r="B7" s="308">
        <v>145453</v>
      </c>
      <c r="C7" s="309">
        <v>119840</v>
      </c>
      <c r="D7" s="351">
        <f>IF(B7=0, "    ---- ", IF(ABS(ROUND(100/B7*C7-100,1))&lt;999,ROUND(100/B7*C7-100,1),IF(ROUND(100/B7*C7-100,1)&gt;999,999,-999)))</f>
        <v>-17.600000000000001</v>
      </c>
      <c r="E7" s="11">
        <f>IFERROR(100/'Skjema total MA'!C7*C7,0)</f>
        <v>4.1565188143644667</v>
      </c>
      <c r="F7" s="308">
        <v>287509</v>
      </c>
      <c r="G7" s="309">
        <v>246656</v>
      </c>
      <c r="H7" s="351">
        <f>IF(F7=0, "    ---- ", IF(ABS(ROUND(100/F7*G7-100,1))&lt;999,ROUND(100/F7*G7-100,1),IF(ROUND(100/F7*G7-100,1)&gt;999,999,-999)))</f>
        <v>-14.2</v>
      </c>
      <c r="I7" s="160">
        <f>IFERROR(100/'Skjema total MA'!F7*G7,0)</f>
        <v>4.2601746233161109</v>
      </c>
      <c r="J7" s="310">
        <f t="shared" ref="J7:K12" si="0">SUM(B7,F7)</f>
        <v>432962</v>
      </c>
      <c r="K7" s="311">
        <f t="shared" si="0"/>
        <v>366496</v>
      </c>
      <c r="L7" s="424">
        <f>IF(J7=0, "    ---- ", IF(ABS(ROUND(100/J7*K7-100,1))&lt;999,ROUND(100/J7*K7-100,1),IF(ROUND(100/J7*K7-100,1)&gt;999,999,-999)))</f>
        <v>-15.4</v>
      </c>
      <c r="M7" s="11">
        <f>IFERROR(100/'Skjema total MA'!I7*K7,0)</f>
        <v>4.22571609135891</v>
      </c>
    </row>
    <row r="8" spans="1:17" ht="15.75" x14ac:dyDescent="0.2">
      <c r="A8" s="21" t="s">
        <v>25</v>
      </c>
      <c r="B8" s="286">
        <v>15971.619000000001</v>
      </c>
      <c r="C8" s="287">
        <v>15296.501</v>
      </c>
      <c r="D8" s="166">
        <f t="shared" ref="D8:D12" si="1">IF(B8=0, "    ---- ", IF(ABS(ROUND(100/B8*C8-100,1))&lt;999,ROUND(100/B8*C8-100,1),IF(ROUND(100/B8*C8-100,1)&gt;999,999,-999)))</f>
        <v>-4.2</v>
      </c>
      <c r="E8" s="27">
        <f>IFERROR(100/'Skjema total MA'!C8*C8,0)</f>
        <v>0.80766985795071511</v>
      </c>
      <c r="F8" s="290"/>
      <c r="G8" s="291"/>
      <c r="H8" s="166"/>
      <c r="I8" s="176"/>
      <c r="J8" s="234">
        <f t="shared" si="0"/>
        <v>15971.619000000001</v>
      </c>
      <c r="K8" s="292">
        <f t="shared" si="0"/>
        <v>15296.501</v>
      </c>
      <c r="L8" s="166">
        <f t="shared" ref="L8:L9" si="2">IF(J8=0, "    ---- ", IF(ABS(ROUND(100/J8*K8-100,1))&lt;999,ROUND(100/J8*K8-100,1),IF(ROUND(100/J8*K8-100,1)&gt;999,999,-999)))</f>
        <v>-4.2</v>
      </c>
      <c r="M8" s="27">
        <f>IFERROR(100/'Skjema total MA'!I8*K8,0)</f>
        <v>0.80766985795071511</v>
      </c>
    </row>
    <row r="9" spans="1:17" ht="15.75" x14ac:dyDescent="0.2">
      <c r="A9" s="21" t="s">
        <v>24</v>
      </c>
      <c r="B9" s="286">
        <v>10787.289000000001</v>
      </c>
      <c r="C9" s="287">
        <v>10256.156999999999</v>
      </c>
      <c r="D9" s="166">
        <f t="shared" si="1"/>
        <v>-4.9000000000000004</v>
      </c>
      <c r="E9" s="27">
        <f>IFERROR(100/'Skjema total MA'!C9*C9,0)</f>
        <v>1.7670523365472608</v>
      </c>
      <c r="F9" s="290"/>
      <c r="G9" s="291"/>
      <c r="H9" s="166"/>
      <c r="I9" s="176"/>
      <c r="J9" s="234">
        <f t="shared" si="0"/>
        <v>10787.289000000001</v>
      </c>
      <c r="K9" s="292">
        <f t="shared" si="0"/>
        <v>10256.156999999999</v>
      </c>
      <c r="L9" s="166">
        <f t="shared" si="2"/>
        <v>-4.9000000000000004</v>
      </c>
      <c r="M9" s="27">
        <f>IFERROR(100/'Skjema total MA'!I9*K9,0)</f>
        <v>1.7670523365472608</v>
      </c>
    </row>
    <row r="10" spans="1:17" ht="15.75" x14ac:dyDescent="0.2">
      <c r="A10" s="13" t="s">
        <v>351</v>
      </c>
      <c r="B10" s="312">
        <v>11045970</v>
      </c>
      <c r="C10" s="313">
        <v>9622972</v>
      </c>
      <c r="D10" s="171">
        <f t="shared" si="1"/>
        <v>-12.9</v>
      </c>
      <c r="E10" s="11">
        <f>IFERROR(100/'Skjema total MA'!C10*C10,0)</f>
        <v>59.897595239343254</v>
      </c>
      <c r="F10" s="312">
        <v>7505222.9419999998</v>
      </c>
      <c r="G10" s="313">
        <v>7013964</v>
      </c>
      <c r="H10" s="171">
        <f t="shared" ref="H10:H12" si="3">IF(F10=0, "    ---- ", IF(ABS(ROUND(100/F10*G10-100,1))&lt;999,ROUND(100/F10*G10-100,1),IF(ROUND(100/F10*G10-100,1)&gt;999,999,-999)))</f>
        <v>-6.5</v>
      </c>
      <c r="I10" s="160">
        <f>IFERROR(100/'Skjema total MA'!F10*G10,0)</f>
        <v>9.9230572691228005</v>
      </c>
      <c r="J10" s="310">
        <f t="shared" si="0"/>
        <v>18551192.942000002</v>
      </c>
      <c r="K10" s="311">
        <f t="shared" si="0"/>
        <v>16636936</v>
      </c>
      <c r="L10" s="425">
        <f t="shared" ref="L10:L12" si="4">IF(J10=0, "    ---- ", IF(ABS(ROUND(100/J10*K10-100,1))&lt;999,ROUND(100/J10*K10-100,1),IF(ROUND(100/J10*K10-100,1)&gt;999,999,-999)))</f>
        <v>-10.3</v>
      </c>
      <c r="M10" s="11">
        <f>IFERROR(100/'Skjema total MA'!I10*K10,0)</f>
        <v>19.178199987017756</v>
      </c>
      <c r="Q10" s="149"/>
    </row>
    <row r="11" spans="1:17" s="43" customFormat="1" ht="15.75" x14ac:dyDescent="0.2">
      <c r="A11" s="13" t="s">
        <v>352</v>
      </c>
      <c r="B11" s="312">
        <v>24524</v>
      </c>
      <c r="C11" s="313">
        <v>20423</v>
      </c>
      <c r="D11" s="171">
        <f t="shared" si="1"/>
        <v>-16.7</v>
      </c>
      <c r="E11" s="11">
        <f>IFERROR(100/'Skjema total MA'!C11*C11,0)</f>
        <v>99.999999999999986</v>
      </c>
      <c r="F11" s="312">
        <v>27651</v>
      </c>
      <c r="G11" s="313">
        <v>12744</v>
      </c>
      <c r="H11" s="171">
        <f t="shared" si="3"/>
        <v>-53.9</v>
      </c>
      <c r="I11" s="160">
        <f>IFERROR(100/'Skjema total MA'!F11*G11,0)</f>
        <v>9.457336228328737</v>
      </c>
      <c r="J11" s="310">
        <f t="shared" si="0"/>
        <v>52175</v>
      </c>
      <c r="K11" s="311">
        <f t="shared" si="0"/>
        <v>33167</v>
      </c>
      <c r="L11" s="425">
        <f t="shared" si="4"/>
        <v>-36.4</v>
      </c>
      <c r="M11" s="11">
        <f>IFERROR(100/'Skjema total MA'!I11*K11,0)</f>
        <v>21.373859418754364</v>
      </c>
      <c r="N11" s="143"/>
    </row>
    <row r="12" spans="1:17" s="43" customFormat="1" ht="15.75" x14ac:dyDescent="0.2">
      <c r="A12" s="41" t="s">
        <v>353</v>
      </c>
      <c r="B12" s="314">
        <v>3700</v>
      </c>
      <c r="C12" s="315">
        <v>2843</v>
      </c>
      <c r="D12" s="169">
        <f t="shared" si="1"/>
        <v>-23.2</v>
      </c>
      <c r="E12" s="36">
        <f>IFERROR(100/'Skjema total MA'!C12*C12,0)</f>
        <v>100</v>
      </c>
      <c r="F12" s="314">
        <v>19862</v>
      </c>
      <c r="G12" s="315">
        <v>13953</v>
      </c>
      <c r="H12" s="169">
        <f t="shared" si="3"/>
        <v>-29.8</v>
      </c>
      <c r="I12" s="169">
        <f>IFERROR(100/'Skjema total MA'!F12*G12,0)</f>
        <v>13.97222342931075</v>
      </c>
      <c r="J12" s="316">
        <f t="shared" si="0"/>
        <v>23562</v>
      </c>
      <c r="K12" s="317">
        <f t="shared" si="0"/>
        <v>16796</v>
      </c>
      <c r="L12" s="426">
        <f t="shared" si="4"/>
        <v>-28.7</v>
      </c>
      <c r="M12" s="36">
        <f>IFERROR(100/'Skjema total MA'!I12*K12,0)</f>
        <v>16.353567825382008</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173590</v>
      </c>
      <c r="C22" s="312">
        <v>189308</v>
      </c>
      <c r="D22" s="351">
        <f t="shared" ref="D22:D39" si="5">IF(B22=0, "    ---- ", IF(ABS(ROUND(100/B22*C22-100,1))&lt;999,ROUND(100/B22*C22-100,1),IF(ROUND(100/B22*C22-100,1)&gt;999,999,-999)))</f>
        <v>9.1</v>
      </c>
      <c r="E22" s="11">
        <f>IFERROR(100/'Skjema total MA'!C22*C22,0)</f>
        <v>15.188718508728718</v>
      </c>
      <c r="F22" s="320">
        <v>96217</v>
      </c>
      <c r="G22" s="320">
        <v>12188.909</v>
      </c>
      <c r="H22" s="351">
        <f t="shared" ref="H22:H35" si="6">IF(F22=0, "    ---- ", IF(ABS(ROUND(100/F22*G22-100,1))&lt;999,ROUND(100/F22*G22-100,1),IF(ROUND(100/F22*G22-100,1)&gt;999,999,-999)))</f>
        <v>-87.3</v>
      </c>
      <c r="I22" s="11">
        <f>IFERROR(100/'Skjema total MA'!F22*G22,0)</f>
        <v>2.5407620068351662</v>
      </c>
      <c r="J22" s="318">
        <f t="shared" ref="J22:K35" si="7">SUM(B22,F22)</f>
        <v>269807</v>
      </c>
      <c r="K22" s="318">
        <f t="shared" si="7"/>
        <v>201496.90899999999</v>
      </c>
      <c r="L22" s="424">
        <f t="shared" ref="L22:L35" si="8">IF(J22=0, "    ---- ", IF(ABS(ROUND(100/J22*K22-100,1))&lt;999,ROUND(100/J22*K22-100,1),IF(ROUND(100/J22*K22-100,1)&gt;999,999,-999)))</f>
        <v>-25.3</v>
      </c>
      <c r="M22" s="24">
        <f>IFERROR(100/'Skjema total MA'!I22*K22,0)</f>
        <v>11.673490143517492</v>
      </c>
    </row>
    <row r="23" spans="1:14" ht="15.75" x14ac:dyDescent="0.2">
      <c r="A23" s="503" t="s">
        <v>354</v>
      </c>
      <c r="B23" s="286">
        <v>145274.99947501</v>
      </c>
      <c r="C23" s="286">
        <v>177976</v>
      </c>
      <c r="D23" s="166">
        <f t="shared" si="5"/>
        <v>22.5</v>
      </c>
      <c r="E23" s="11">
        <f>IFERROR(100/'Skjema total MA'!C23*C23,0)</f>
        <v>34.160913583493922</v>
      </c>
      <c r="F23" s="295">
        <v>91539</v>
      </c>
      <c r="G23" s="295">
        <v>7910.13</v>
      </c>
      <c r="H23" s="166">
        <f t="shared" si="6"/>
        <v>-91.4</v>
      </c>
      <c r="I23" s="414">
        <f>IFERROR(100/'Skjema total MA'!F23*G23,0)</f>
        <v>24.575544913852557</v>
      </c>
      <c r="J23" s="295">
        <f t="shared" ref="J23:J25" si="9">SUM(B23,F23)</f>
        <v>236813.99947501</v>
      </c>
      <c r="K23" s="295">
        <f t="shared" ref="K23:K25" si="10">SUM(C23,G23)</f>
        <v>185886.13</v>
      </c>
      <c r="L23" s="166">
        <f t="shared" si="8"/>
        <v>-21.5</v>
      </c>
      <c r="M23" s="23">
        <f>IFERROR(100/'Skjema total MA'!I23*K23,0)</f>
        <v>33.603185201432041</v>
      </c>
    </row>
    <row r="24" spans="1:14" ht="15.75" x14ac:dyDescent="0.2">
      <c r="A24" s="503" t="s">
        <v>355</v>
      </c>
      <c r="B24" s="286">
        <v>10294.375472490599</v>
      </c>
      <c r="C24" s="286">
        <v>3677</v>
      </c>
      <c r="D24" s="166">
        <f t="shared" si="5"/>
        <v>-64.3</v>
      </c>
      <c r="E24" s="11">
        <f>IFERROR(100/'Skjema total MA'!C24*C24,0)</f>
        <v>54.883160550014054</v>
      </c>
      <c r="F24" s="295">
        <v>14</v>
      </c>
      <c r="G24" s="295">
        <v>152.779</v>
      </c>
      <c r="H24" s="166">
        <f t="shared" si="6"/>
        <v>991.3</v>
      </c>
      <c r="I24" s="414">
        <f>IFERROR(100/'Skjema total MA'!F24*G24,0)</f>
        <v>48.5814940818303</v>
      </c>
      <c r="J24" s="295">
        <f t="shared" si="9"/>
        <v>10308.375472490599</v>
      </c>
      <c r="K24" s="295">
        <f t="shared" si="10"/>
        <v>3829.779</v>
      </c>
      <c r="L24" s="166">
        <f t="shared" si="8"/>
        <v>-62.8</v>
      </c>
      <c r="M24" s="23">
        <f>IFERROR(100/'Skjema total MA'!I24*K24,0)</f>
        <v>54.600625641230828</v>
      </c>
    </row>
    <row r="25" spans="1:14" ht="15.75" x14ac:dyDescent="0.2">
      <c r="A25" s="503" t="s">
        <v>356</v>
      </c>
      <c r="B25" s="286">
        <v>18020.625052498901</v>
      </c>
      <c r="C25" s="286">
        <v>7655</v>
      </c>
      <c r="D25" s="166">
        <f t="shared" si="5"/>
        <v>-57.5</v>
      </c>
      <c r="E25" s="11">
        <f>IFERROR(100/'Skjema total MA'!C25*C25,0)</f>
        <v>100</v>
      </c>
      <c r="F25" s="295">
        <v>4664</v>
      </c>
      <c r="G25" s="295">
        <v>4126</v>
      </c>
      <c r="H25" s="166">
        <f t="shared" si="6"/>
        <v>-11.5</v>
      </c>
      <c r="I25" s="414">
        <f>IFERROR(100/'Skjema total MA'!F25*G25,0)</f>
        <v>45.943497655471354</v>
      </c>
      <c r="J25" s="295">
        <f t="shared" si="9"/>
        <v>22684.625052498901</v>
      </c>
      <c r="K25" s="295">
        <f t="shared" si="10"/>
        <v>11781</v>
      </c>
      <c r="L25" s="166">
        <f t="shared" si="8"/>
        <v>-48.1</v>
      </c>
      <c r="M25" s="23">
        <f>IFERROR(100/'Skjema total MA'!I25*K25,0)</f>
        <v>70.81802098010651</v>
      </c>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53789.828000000001</v>
      </c>
      <c r="C28" s="292">
        <v>53488.544000000002</v>
      </c>
      <c r="D28" s="166">
        <f t="shared" si="5"/>
        <v>-0.6</v>
      </c>
      <c r="E28" s="11">
        <f>IFERROR(100/'Skjema total MA'!C28*C28,0)</f>
        <v>3.9605504364230919</v>
      </c>
      <c r="F28" s="234"/>
      <c r="G28" s="292"/>
      <c r="H28" s="166"/>
      <c r="I28" s="27"/>
      <c r="J28" s="44">
        <f t="shared" si="7"/>
        <v>53789.828000000001</v>
      </c>
      <c r="K28" s="44">
        <f t="shared" si="7"/>
        <v>53488.544000000002</v>
      </c>
      <c r="L28" s="259">
        <f t="shared" si="8"/>
        <v>-0.6</v>
      </c>
      <c r="M28" s="23">
        <f>IFERROR(100/'Skjema total MA'!I28*K28,0)</f>
        <v>3.9605504364230919</v>
      </c>
    </row>
    <row r="29" spans="1:14" s="3" customFormat="1" ht="15.75" x14ac:dyDescent="0.2">
      <c r="A29" s="13" t="s">
        <v>351</v>
      </c>
      <c r="B29" s="236">
        <v>23097635</v>
      </c>
      <c r="C29" s="236">
        <v>22126578</v>
      </c>
      <c r="D29" s="171">
        <f t="shared" si="5"/>
        <v>-4.2</v>
      </c>
      <c r="E29" s="11">
        <f>IFERROR(100/'Skjema total MA'!C29*C29,0)</f>
        <v>49.167671162772081</v>
      </c>
      <c r="F29" s="310">
        <v>5235600.1869999999</v>
      </c>
      <c r="G29" s="310">
        <v>4441254</v>
      </c>
      <c r="H29" s="171">
        <f t="shared" si="6"/>
        <v>-15.2</v>
      </c>
      <c r="I29" s="11">
        <f>IFERROR(100/'Skjema total MA'!F29*G29,0)</f>
        <v>18.759359252745853</v>
      </c>
      <c r="J29" s="236">
        <f t="shared" si="7"/>
        <v>28333235.186999999</v>
      </c>
      <c r="K29" s="236">
        <f t="shared" si="7"/>
        <v>26567832</v>
      </c>
      <c r="L29" s="425">
        <f t="shared" si="8"/>
        <v>-6.2</v>
      </c>
      <c r="M29" s="24">
        <f>IFERROR(100/'Skjema total MA'!I29*K29,0)</f>
        <v>38.685105495679373</v>
      </c>
      <c r="N29" s="148"/>
    </row>
    <row r="30" spans="1:14" s="3" customFormat="1" ht="15.75" x14ac:dyDescent="0.2">
      <c r="A30" s="503" t="s">
        <v>354</v>
      </c>
      <c r="B30" s="286">
        <v>9179988.6758311596</v>
      </c>
      <c r="C30" s="286">
        <v>5331227</v>
      </c>
      <c r="D30" s="166">
        <f t="shared" si="5"/>
        <v>-41.9</v>
      </c>
      <c r="E30" s="11">
        <f>IFERROR(100/'Skjema total MA'!C30*C30,0)</f>
        <v>55.011287099665715</v>
      </c>
      <c r="F30" s="295">
        <v>1623761.19</v>
      </c>
      <c r="G30" s="295">
        <v>1416588</v>
      </c>
      <c r="H30" s="166">
        <f t="shared" si="6"/>
        <v>-12.8</v>
      </c>
      <c r="I30" s="414">
        <f>IFERROR(100/'Skjema total MA'!F30*G30,0)</f>
        <v>39.643927235218953</v>
      </c>
      <c r="J30" s="295">
        <f t="shared" ref="J30:J32" si="11">SUM(B30,F30)</f>
        <v>10803749.865831159</v>
      </c>
      <c r="K30" s="295">
        <f t="shared" ref="K30:K32" si="12">SUM(C30,G30)</f>
        <v>6747815</v>
      </c>
      <c r="L30" s="166">
        <f t="shared" si="8"/>
        <v>-37.5</v>
      </c>
      <c r="M30" s="23">
        <f>IFERROR(100/'Skjema total MA'!I30*K30,0)</f>
        <v>50.871504240688076</v>
      </c>
      <c r="N30" s="148"/>
    </row>
    <row r="31" spans="1:14" s="3" customFormat="1" ht="15.75" x14ac:dyDescent="0.2">
      <c r="A31" s="503" t="s">
        <v>355</v>
      </c>
      <c r="B31" s="286">
        <v>11546989.416287599</v>
      </c>
      <c r="C31" s="286">
        <v>15419072</v>
      </c>
      <c r="D31" s="166">
        <f t="shared" si="5"/>
        <v>33.5</v>
      </c>
      <c r="E31" s="11">
        <f>IFERROR(100/'Skjema total MA'!C31*C31,0)</f>
        <v>58.812967864187463</v>
      </c>
      <c r="F31" s="295">
        <v>3091251.99</v>
      </c>
      <c r="G31" s="295">
        <v>2542547</v>
      </c>
      <c r="H31" s="166">
        <f t="shared" si="6"/>
        <v>-17.8</v>
      </c>
      <c r="I31" s="414">
        <f>IFERROR(100/'Skjema total MA'!F31*G31,0)</f>
        <v>32.158038185382878</v>
      </c>
      <c r="J31" s="295">
        <f t="shared" si="11"/>
        <v>14638241.406287599</v>
      </c>
      <c r="K31" s="295">
        <f t="shared" si="12"/>
        <v>17961619</v>
      </c>
      <c r="L31" s="166">
        <f t="shared" si="8"/>
        <v>22.7</v>
      </c>
      <c r="M31" s="23">
        <f>IFERROR(100/'Skjema total MA'!I31*K31,0)</f>
        <v>52.637030470457177</v>
      </c>
      <c r="N31" s="148"/>
    </row>
    <row r="32" spans="1:14" ht="15.75" x14ac:dyDescent="0.2">
      <c r="A32" s="503" t="s">
        <v>356</v>
      </c>
      <c r="B32" s="286">
        <v>2370656.9078812399</v>
      </c>
      <c r="C32" s="286">
        <v>1376279</v>
      </c>
      <c r="D32" s="166">
        <f t="shared" si="5"/>
        <v>-41.9</v>
      </c>
      <c r="E32" s="11">
        <f>IFERROR(100/'Skjema total MA'!C32*C32,0)</f>
        <v>66.631000915154232</v>
      </c>
      <c r="F32" s="295">
        <v>520587.00699999998</v>
      </c>
      <c r="G32" s="295">
        <v>482119</v>
      </c>
      <c r="H32" s="166">
        <f t="shared" si="6"/>
        <v>-7.4</v>
      </c>
      <c r="I32" s="414">
        <f>IFERROR(100/'Skjema total MA'!F32*G32,0)</f>
        <v>9.1207623208038591</v>
      </c>
      <c r="J32" s="295">
        <f t="shared" si="11"/>
        <v>2891243.9148812396</v>
      </c>
      <c r="K32" s="295">
        <f t="shared" si="12"/>
        <v>1858398</v>
      </c>
      <c r="L32" s="166">
        <f t="shared" si="8"/>
        <v>-35.700000000000003</v>
      </c>
      <c r="M32" s="23">
        <f>IFERROR(100/'Skjema total MA'!I32*K32,0)</f>
        <v>25.279256132419341</v>
      </c>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v>-1697</v>
      </c>
      <c r="C34" s="311">
        <v>8989</v>
      </c>
      <c r="D34" s="171">
        <f t="shared" si="5"/>
        <v>-629.70000000000005</v>
      </c>
      <c r="E34" s="11">
        <f>IFERROR(100/'Skjema total MA'!C34*C34,0)</f>
        <v>64.703749355966821</v>
      </c>
      <c r="F34" s="310">
        <v>-54251</v>
      </c>
      <c r="G34" s="311">
        <v>-6016</v>
      </c>
      <c r="H34" s="171">
        <f t="shared" si="6"/>
        <v>-88.9</v>
      </c>
      <c r="I34" s="11">
        <f>IFERROR(100/'Skjema total MA'!F34*G34,0)</f>
        <v>-10.070951798970128</v>
      </c>
      <c r="J34" s="236">
        <f t="shared" si="7"/>
        <v>-55948</v>
      </c>
      <c r="K34" s="236">
        <f t="shared" si="7"/>
        <v>2973</v>
      </c>
      <c r="L34" s="425">
        <f t="shared" si="8"/>
        <v>-105.3</v>
      </c>
      <c r="M34" s="24">
        <f>IFERROR(100/'Skjema total MA'!I34*K34,0)</f>
        <v>4.037827088885984</v>
      </c>
    </row>
    <row r="35" spans="1:14" ht="15.75" x14ac:dyDescent="0.2">
      <c r="A35" s="13" t="s">
        <v>353</v>
      </c>
      <c r="B35" s="236">
        <v>-66274</v>
      </c>
      <c r="C35" s="311">
        <v>-11526</v>
      </c>
      <c r="D35" s="171">
        <f t="shared" si="5"/>
        <v>-82.6</v>
      </c>
      <c r="E35" s="11">
        <f>IFERROR(100/'Skjema total MA'!C35*C35,0)</f>
        <v>100.20720190725029</v>
      </c>
      <c r="F35" s="310">
        <v>14665</v>
      </c>
      <c r="G35" s="311">
        <v>8924</v>
      </c>
      <c r="H35" s="171">
        <f t="shared" si="6"/>
        <v>-39.1</v>
      </c>
      <c r="I35" s="11">
        <f>IFERROR(100/'Skjema total MA'!F35*G35,0)</f>
        <v>15.255664128627608</v>
      </c>
      <c r="J35" s="236">
        <f t="shared" si="7"/>
        <v>-51609</v>
      </c>
      <c r="K35" s="236">
        <f t="shared" si="7"/>
        <v>-2602</v>
      </c>
      <c r="L35" s="425">
        <f t="shared" si="8"/>
        <v>-95</v>
      </c>
      <c r="M35" s="24">
        <f>IFERROR(100/'Skjema total MA'!I35*K35,0)</f>
        <v>-5.5368606828542184</v>
      </c>
    </row>
    <row r="36" spans="1:14" ht="15.75" x14ac:dyDescent="0.2">
      <c r="A36" s="12" t="s">
        <v>280</v>
      </c>
      <c r="B36" s="236">
        <v>1542</v>
      </c>
      <c r="C36" s="311">
        <v>1575</v>
      </c>
      <c r="D36" s="171">
        <f t="shared" si="5"/>
        <v>2.1</v>
      </c>
      <c r="E36" s="11">
        <f>100/'Skjema total MA'!C36*C36</f>
        <v>97.824507181871596</v>
      </c>
      <c r="F36" s="321"/>
      <c r="G36" s="322"/>
      <c r="H36" s="171"/>
      <c r="I36" s="431"/>
      <c r="J36" s="236">
        <f t="shared" ref="J36:J39" si="13">SUM(B36,F36)</f>
        <v>1542</v>
      </c>
      <c r="K36" s="236">
        <f t="shared" ref="K36:K39" si="14">SUM(C36,G36)</f>
        <v>1575</v>
      </c>
      <c r="L36" s="425"/>
      <c r="M36" s="24">
        <f>IFERROR(100/'Skjema total MA'!I36*K36,0)</f>
        <v>97.824507181871596</v>
      </c>
    </row>
    <row r="37" spans="1:14" ht="15.75" x14ac:dyDescent="0.2">
      <c r="A37" s="12" t="s">
        <v>359</v>
      </c>
      <c r="B37" s="236">
        <v>2903228</v>
      </c>
      <c r="C37" s="311">
        <v>2609793</v>
      </c>
      <c r="D37" s="171">
        <f t="shared" si="5"/>
        <v>-10.1</v>
      </c>
      <c r="E37" s="11">
        <f>100/'Skjema total MA'!C37*C37</f>
        <v>85.75378067337428</v>
      </c>
      <c r="F37" s="321"/>
      <c r="G37" s="323"/>
      <c r="H37" s="171"/>
      <c r="I37" s="431"/>
      <c r="J37" s="236">
        <f t="shared" si="13"/>
        <v>2903228</v>
      </c>
      <c r="K37" s="236">
        <f t="shared" si="14"/>
        <v>2609793</v>
      </c>
      <c r="L37" s="425"/>
      <c r="M37" s="24">
        <f>IFERROR(100/'Skjema total MA'!I37*K37,0)</f>
        <v>85.75378067337428</v>
      </c>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v>3</v>
      </c>
      <c r="C39" s="317">
        <v>6</v>
      </c>
      <c r="D39" s="169">
        <f t="shared" si="5"/>
        <v>100</v>
      </c>
      <c r="E39" s="36">
        <f>IFERROR(100/'Skjema total MA'!C38*C39,0)</f>
        <v>0</v>
      </c>
      <c r="F39" s="324"/>
      <c r="G39" s="325"/>
      <c r="H39" s="169"/>
      <c r="I39" s="36"/>
      <c r="J39" s="236">
        <f t="shared" si="13"/>
        <v>3</v>
      </c>
      <c r="K39" s="236">
        <f t="shared" si="14"/>
        <v>6</v>
      </c>
      <c r="L39" s="426"/>
      <c r="M39" s="36">
        <f>IFERROR(100/'Skjema total MA'!I39*K39,0)</f>
        <v>100</v>
      </c>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510360</v>
      </c>
      <c r="C47" s="313">
        <v>479065</v>
      </c>
      <c r="D47" s="424">
        <f t="shared" ref="D47:D57" si="15">IF(B47=0, "    ---- ", IF(ABS(ROUND(100/B47*C47-100,1))&lt;999,ROUND(100/B47*C47-100,1),IF(ROUND(100/B47*C47-100,1)&gt;999,999,-999)))</f>
        <v>-6.1</v>
      </c>
      <c r="E47" s="11">
        <f>IFERROR(100/'Skjema total MA'!C47*C47,0)</f>
        <v>11.007488142612146</v>
      </c>
      <c r="F47" s="145"/>
      <c r="G47" s="33"/>
      <c r="H47" s="159"/>
      <c r="I47" s="159"/>
      <c r="J47" s="37"/>
      <c r="K47" s="37"/>
      <c r="L47" s="159"/>
      <c r="M47" s="159"/>
      <c r="N47" s="148"/>
    </row>
    <row r="48" spans="1:14" s="3" customFormat="1" ht="15.75" x14ac:dyDescent="0.2">
      <c r="A48" s="38" t="s">
        <v>362</v>
      </c>
      <c r="B48" s="286">
        <v>510360</v>
      </c>
      <c r="C48" s="287">
        <v>479065</v>
      </c>
      <c r="D48" s="259">
        <f t="shared" si="15"/>
        <v>-6.1</v>
      </c>
      <c r="E48" s="27">
        <f>IFERROR(100/'Skjema total MA'!C48*C48,0)</f>
        <v>19.434619368640693</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31900</v>
      </c>
      <c r="C53" s="313">
        <v>15000</v>
      </c>
      <c r="D53" s="425">
        <f t="shared" si="15"/>
        <v>-53</v>
      </c>
      <c r="E53" s="11">
        <f>IFERROR(100/'Skjema total MA'!C53*C53,0)</f>
        <v>13.79303787585672</v>
      </c>
      <c r="F53" s="145"/>
      <c r="G53" s="33"/>
      <c r="H53" s="145"/>
      <c r="I53" s="145"/>
      <c r="J53" s="33"/>
      <c r="K53" s="33"/>
      <c r="L53" s="159"/>
      <c r="M53" s="159"/>
      <c r="N53" s="148"/>
    </row>
    <row r="54" spans="1:14" s="3" customFormat="1" ht="15.75" x14ac:dyDescent="0.2">
      <c r="A54" s="38" t="s">
        <v>362</v>
      </c>
      <c r="B54" s="286">
        <v>31900</v>
      </c>
      <c r="C54" s="287">
        <v>15000</v>
      </c>
      <c r="D54" s="259">
        <f t="shared" si="15"/>
        <v>-53</v>
      </c>
      <c r="E54" s="27">
        <f>IFERROR(100/'Skjema total MA'!C54*C54,0)</f>
        <v>13.914460962548421</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26200</v>
      </c>
      <c r="C56" s="313">
        <v>24800</v>
      </c>
      <c r="D56" s="425">
        <f t="shared" si="15"/>
        <v>-5.3</v>
      </c>
      <c r="E56" s="11">
        <f>IFERROR(100/'Skjema total MA'!C56*C56,0)</f>
        <v>30.072164707186236</v>
      </c>
      <c r="F56" s="145"/>
      <c r="G56" s="33"/>
      <c r="H56" s="145"/>
      <c r="I56" s="145"/>
      <c r="J56" s="33"/>
      <c r="K56" s="33"/>
      <c r="L56" s="159"/>
      <c r="M56" s="159"/>
      <c r="N56" s="148"/>
    </row>
    <row r="57" spans="1:14" s="3" customFormat="1" ht="15.75" x14ac:dyDescent="0.2">
      <c r="A57" s="38" t="s">
        <v>362</v>
      </c>
      <c r="B57" s="286">
        <v>26200</v>
      </c>
      <c r="C57" s="287">
        <v>24800</v>
      </c>
      <c r="D57" s="259">
        <f t="shared" si="15"/>
        <v>-5.3</v>
      </c>
      <c r="E57" s="27">
        <f>IFERROR(100/'Skjema total MA'!C57*C57,0)</f>
        <v>30.072164707186236</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1125302.7650000001</v>
      </c>
      <c r="C66" s="354">
        <v>1151899</v>
      </c>
      <c r="D66" s="351">
        <f t="shared" ref="D66:D111" si="16">IF(B66=0, "    ---- ", IF(ABS(ROUND(100/B66*C66-100,1))&lt;999,ROUND(100/B66*C66-100,1),IF(ROUND(100/B66*C66-100,1)&gt;999,999,-999)))</f>
        <v>2.4</v>
      </c>
      <c r="E66" s="11">
        <f>IFERROR(100/'Skjema total MA'!C66*C66,0)</f>
        <v>26.365529315779074</v>
      </c>
      <c r="F66" s="353">
        <v>5303611</v>
      </c>
      <c r="G66" s="353">
        <v>5801462</v>
      </c>
      <c r="H66" s="351">
        <f t="shared" ref="H66:H111" si="17">IF(F66=0, "    ---- ", IF(ABS(ROUND(100/F66*G66-100,1))&lt;999,ROUND(100/F66*G66-100,1),IF(ROUND(100/F66*G66-100,1)&gt;999,999,-999)))</f>
        <v>9.4</v>
      </c>
      <c r="I66" s="11">
        <f>IFERROR(100/'Skjema total MA'!F66*G66,0)</f>
        <v>28.722021084663108</v>
      </c>
      <c r="J66" s="311">
        <f t="shared" ref="J66:K86" si="18">SUM(B66,F66)</f>
        <v>6428913.7650000006</v>
      </c>
      <c r="K66" s="318">
        <f t="shared" si="18"/>
        <v>6953361</v>
      </c>
      <c r="L66" s="425">
        <f t="shared" ref="L66:L111" si="19">IF(J66=0, "    ---- ", IF(ABS(ROUND(100/J66*K66-100,1))&lt;999,ROUND(100/J66*K66-100,1),IF(ROUND(100/J66*K66-100,1)&gt;999,999,-999)))</f>
        <v>8.1999999999999993</v>
      </c>
      <c r="M66" s="11">
        <f>IFERROR(100/'Skjema total MA'!I66*K66,0)</f>
        <v>28.3029565948545</v>
      </c>
    </row>
    <row r="67" spans="1:14" x14ac:dyDescent="0.2">
      <c r="A67" s="21" t="s">
        <v>9</v>
      </c>
      <c r="B67" s="44">
        <v>976686</v>
      </c>
      <c r="C67" s="145">
        <v>985394</v>
      </c>
      <c r="D67" s="166">
        <f t="shared" si="16"/>
        <v>0.9</v>
      </c>
      <c r="E67" s="27">
        <f>IFERROR(100/'Skjema total MA'!C67*C67,0)</f>
        <v>33.68113480729987</v>
      </c>
      <c r="F67" s="234"/>
      <c r="G67" s="145"/>
      <c r="H67" s="166"/>
      <c r="I67" s="27"/>
      <c r="J67" s="292">
        <f t="shared" si="18"/>
        <v>976686</v>
      </c>
      <c r="K67" s="44">
        <f t="shared" si="18"/>
        <v>985394</v>
      </c>
      <c r="L67" s="259">
        <f t="shared" si="19"/>
        <v>0.9</v>
      </c>
      <c r="M67" s="27">
        <f>IFERROR(100/'Skjema total MA'!I67*K67,0)</f>
        <v>33.68113480729987</v>
      </c>
    </row>
    <row r="68" spans="1:14" x14ac:dyDescent="0.2">
      <c r="A68" s="21" t="s">
        <v>10</v>
      </c>
      <c r="B68" s="296"/>
      <c r="C68" s="297"/>
      <c r="D68" s="166"/>
      <c r="E68" s="27"/>
      <c r="F68" s="296">
        <v>5303611</v>
      </c>
      <c r="G68" s="297">
        <v>5801462</v>
      </c>
      <c r="H68" s="166">
        <f t="shared" si="17"/>
        <v>9.4</v>
      </c>
      <c r="I68" s="27">
        <f>IFERROR(100/'Skjema total MA'!F68*G68,0)</f>
        <v>29.900889559857376</v>
      </c>
      <c r="J68" s="292">
        <f t="shared" si="18"/>
        <v>5303611</v>
      </c>
      <c r="K68" s="44">
        <f t="shared" si="18"/>
        <v>5801462</v>
      </c>
      <c r="L68" s="259">
        <f t="shared" si="19"/>
        <v>9.4</v>
      </c>
      <c r="M68" s="27">
        <f>IFERROR(100/'Skjema total MA'!I68*K68,0)</f>
        <v>29.865726975139349</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v>148616.76500000001</v>
      </c>
      <c r="C76" s="145">
        <v>166505</v>
      </c>
      <c r="D76" s="166">
        <f t="shared" ref="D76" si="20">IF(B76=0, "    ---- ", IF(ABS(ROUND(100/B76*C76-100,1))&lt;999,ROUND(100/B76*C76-100,1),IF(ROUND(100/B76*C76-100,1)&gt;999,999,-999)))</f>
        <v>12</v>
      </c>
      <c r="E76" s="27">
        <f>IFERROR(100/'Skjema total MA'!C77*C76,0)</f>
        <v>5.780097046615797</v>
      </c>
      <c r="F76" s="234"/>
      <c r="G76" s="145"/>
      <c r="H76" s="166"/>
      <c r="I76" s="27"/>
      <c r="J76" s="292">
        <f t="shared" ref="J76" si="21">SUM(B76,F76)</f>
        <v>148616.76500000001</v>
      </c>
      <c r="K76" s="44">
        <f t="shared" ref="K76" si="22">SUM(C76,G76)</f>
        <v>166505</v>
      </c>
      <c r="L76" s="259">
        <f t="shared" ref="L76" si="23">IF(J76=0, "    ---- ", IF(ABS(ROUND(100/J76*K76-100,1))&lt;999,ROUND(100/J76*K76-100,1),IF(ROUND(100/J76*K76-100,1)&gt;999,999,-999)))</f>
        <v>12</v>
      </c>
      <c r="M76" s="27">
        <f>IFERROR(100/'Skjema total MA'!I77*K76,0)</f>
        <v>0.74745784858250519</v>
      </c>
      <c r="N76" s="148"/>
    </row>
    <row r="77" spans="1:14" ht="15.75" x14ac:dyDescent="0.2">
      <c r="A77" s="21" t="s">
        <v>368</v>
      </c>
      <c r="B77" s="234">
        <v>959288</v>
      </c>
      <c r="C77" s="234">
        <v>970913</v>
      </c>
      <c r="D77" s="166">
        <f t="shared" si="16"/>
        <v>1.2</v>
      </c>
      <c r="E77" s="27">
        <f>IFERROR(100/'Skjema total MA'!C77*C77,0)</f>
        <v>33.704521568847085</v>
      </c>
      <c r="F77" s="234">
        <v>5303611</v>
      </c>
      <c r="G77" s="145">
        <v>5801462</v>
      </c>
      <c r="H77" s="166">
        <f t="shared" si="17"/>
        <v>9.4</v>
      </c>
      <c r="I77" s="27">
        <f>IFERROR(100/'Skjema total MA'!F77*G77,0)</f>
        <v>29.911363675219476</v>
      </c>
      <c r="J77" s="292">
        <f t="shared" si="18"/>
        <v>6262899</v>
      </c>
      <c r="K77" s="44">
        <f t="shared" si="18"/>
        <v>6772375</v>
      </c>
      <c r="L77" s="259">
        <f t="shared" si="19"/>
        <v>8.1</v>
      </c>
      <c r="M77" s="27">
        <f>IFERROR(100/'Skjema total MA'!I77*K77,0)</f>
        <v>30.401878906302773</v>
      </c>
    </row>
    <row r="78" spans="1:14" x14ac:dyDescent="0.2">
      <c r="A78" s="21" t="s">
        <v>9</v>
      </c>
      <c r="B78" s="234">
        <v>959288</v>
      </c>
      <c r="C78" s="145">
        <v>970913</v>
      </c>
      <c r="D78" s="166">
        <f t="shared" si="16"/>
        <v>1.2</v>
      </c>
      <c r="E78" s="27">
        <f>IFERROR(100/'Skjema total MA'!C78*C78,0)</f>
        <v>33.955961565175613</v>
      </c>
      <c r="F78" s="234"/>
      <c r="G78" s="145"/>
      <c r="H78" s="166"/>
      <c r="I78" s="27"/>
      <c r="J78" s="292">
        <f t="shared" si="18"/>
        <v>959288</v>
      </c>
      <c r="K78" s="44">
        <f t="shared" si="18"/>
        <v>970913</v>
      </c>
      <c r="L78" s="259">
        <f t="shared" si="19"/>
        <v>1.2</v>
      </c>
      <c r="M78" s="27">
        <f>IFERROR(100/'Skjema total MA'!I78*K78,0)</f>
        <v>33.955961565175613</v>
      </c>
    </row>
    <row r="79" spans="1:14" x14ac:dyDescent="0.2">
      <c r="A79" s="38" t="s">
        <v>403</v>
      </c>
      <c r="B79" s="296"/>
      <c r="C79" s="297"/>
      <c r="D79" s="166"/>
      <c r="E79" s="27"/>
      <c r="F79" s="296">
        <v>5303611</v>
      </c>
      <c r="G79" s="297">
        <v>5801462</v>
      </c>
      <c r="H79" s="166">
        <f t="shared" si="17"/>
        <v>9.4</v>
      </c>
      <c r="I79" s="27">
        <f>IFERROR(100/'Skjema total MA'!F79*G79,0)</f>
        <v>29.911363675219476</v>
      </c>
      <c r="J79" s="292">
        <f t="shared" si="18"/>
        <v>5303611</v>
      </c>
      <c r="K79" s="44">
        <f t="shared" si="18"/>
        <v>5801462</v>
      </c>
      <c r="L79" s="259">
        <f t="shared" si="19"/>
        <v>9.4</v>
      </c>
      <c r="M79" s="27">
        <f>IFERROR(100/'Skjema total MA'!I79*K79,0)</f>
        <v>29.878503635621342</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v>17397.883999999998</v>
      </c>
      <c r="C86" s="145">
        <v>14481</v>
      </c>
      <c r="D86" s="166">
        <f t="shared" si="16"/>
        <v>-16.8</v>
      </c>
      <c r="E86" s="27">
        <f>IFERROR(100/'Skjema total MA'!C86*C86,0)</f>
        <v>21.34643670319387</v>
      </c>
      <c r="F86" s="234"/>
      <c r="G86" s="145"/>
      <c r="H86" s="166"/>
      <c r="I86" s="27"/>
      <c r="J86" s="292">
        <f t="shared" si="18"/>
        <v>17397.883999999998</v>
      </c>
      <c r="K86" s="44">
        <f t="shared" si="18"/>
        <v>14481</v>
      </c>
      <c r="L86" s="259">
        <f t="shared" si="19"/>
        <v>-16.8</v>
      </c>
      <c r="M86" s="27">
        <f>IFERROR(100/'Skjema total MA'!I86*K86,0)</f>
        <v>19.403163498369107</v>
      </c>
    </row>
    <row r="87" spans="1:13" ht="15.75" x14ac:dyDescent="0.2">
      <c r="A87" s="13" t="s">
        <v>351</v>
      </c>
      <c r="B87" s="354">
        <v>158621788.74615002</v>
      </c>
      <c r="C87" s="354">
        <v>156795849</v>
      </c>
      <c r="D87" s="171">
        <f t="shared" si="16"/>
        <v>-1.2</v>
      </c>
      <c r="E87" s="11">
        <f>IFERROR(100/'Skjema total MA'!C87*C87,0)</f>
        <v>38.879886640440589</v>
      </c>
      <c r="F87" s="353">
        <v>117225364</v>
      </c>
      <c r="G87" s="353">
        <v>118804994</v>
      </c>
      <c r="H87" s="171">
        <f t="shared" si="17"/>
        <v>1.3</v>
      </c>
      <c r="I87" s="11">
        <f>IFERROR(100/'Skjema total MA'!F87*G87,0)</f>
        <v>28.420156077698948</v>
      </c>
      <c r="J87" s="311">
        <f t="shared" ref="J87:K111" si="24">SUM(B87,F87)</f>
        <v>275847152.74615002</v>
      </c>
      <c r="K87" s="236">
        <f t="shared" si="24"/>
        <v>275600843</v>
      </c>
      <c r="L87" s="425">
        <f t="shared" si="19"/>
        <v>-0.1</v>
      </c>
      <c r="M87" s="11">
        <f>IFERROR(100/'Skjema total MA'!I87*K87,0)</f>
        <v>33.556110243822282</v>
      </c>
    </row>
    <row r="88" spans="1:13" x14ac:dyDescent="0.2">
      <c r="A88" s="21" t="s">
        <v>9</v>
      </c>
      <c r="B88" s="234">
        <v>158479075.16115001</v>
      </c>
      <c r="C88" s="145">
        <v>156654076</v>
      </c>
      <c r="D88" s="166">
        <f t="shared" si="16"/>
        <v>-1.2</v>
      </c>
      <c r="E88" s="27">
        <f>IFERROR(100/'Skjema total MA'!C88*C88,0)</f>
        <v>40.335042676011561</v>
      </c>
      <c r="F88" s="234"/>
      <c r="G88" s="145"/>
      <c r="H88" s="166"/>
      <c r="I88" s="27"/>
      <c r="J88" s="292">
        <f t="shared" si="24"/>
        <v>158479075.16115001</v>
      </c>
      <c r="K88" s="44">
        <f t="shared" si="24"/>
        <v>156654076</v>
      </c>
      <c r="L88" s="259">
        <f t="shared" si="19"/>
        <v>-1.2</v>
      </c>
      <c r="M88" s="27">
        <f>IFERROR(100/'Skjema total MA'!I88*K88,0)</f>
        <v>40.335042676011561</v>
      </c>
    </row>
    <row r="89" spans="1:13" x14ac:dyDescent="0.2">
      <c r="A89" s="21" t="s">
        <v>10</v>
      </c>
      <c r="B89" s="234">
        <v>94758</v>
      </c>
      <c r="C89" s="145">
        <v>90195</v>
      </c>
      <c r="D89" s="166">
        <f t="shared" si="16"/>
        <v>-4.8</v>
      </c>
      <c r="E89" s="27">
        <f>IFERROR(100/'Skjema total MA'!C89*C89,0)</f>
        <v>2.7061069266041193</v>
      </c>
      <c r="F89" s="234">
        <v>117225364</v>
      </c>
      <c r="G89" s="145">
        <v>118804994</v>
      </c>
      <c r="H89" s="166">
        <f t="shared" si="17"/>
        <v>1.3</v>
      </c>
      <c r="I89" s="27">
        <f>IFERROR(100/'Skjema total MA'!F89*G89,0)</f>
        <v>28.754362866818497</v>
      </c>
      <c r="J89" s="292">
        <f t="shared" si="24"/>
        <v>117320122</v>
      </c>
      <c r="K89" s="44">
        <f t="shared" si="24"/>
        <v>118895189</v>
      </c>
      <c r="L89" s="259">
        <f t="shared" si="19"/>
        <v>1.3</v>
      </c>
      <c r="M89" s="27">
        <f>IFERROR(100/'Skjema total MA'!I89*K89,0)</f>
        <v>28.5459157661702</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v>47955.584999999999</v>
      </c>
      <c r="C97" s="145">
        <v>51578</v>
      </c>
      <c r="D97" s="166">
        <f t="shared" ref="D97" si="25">IF(B97=0, "    ---- ", IF(ABS(ROUND(100/B97*C97-100,1))&lt;999,ROUND(100/B97*C97-100,1),IF(ROUND(100/B97*C97-100,1)&gt;999,999,-999)))</f>
        <v>7.6</v>
      </c>
      <c r="E97" s="27">
        <f>IFERROR(100/'Skjema total MA'!C98*C97,0)</f>
        <v>1.3318800950672251E-2</v>
      </c>
      <c r="F97" s="234"/>
      <c r="G97" s="145"/>
      <c r="H97" s="166"/>
      <c r="I97" s="27"/>
      <c r="J97" s="292">
        <f t="shared" ref="J97" si="26">SUM(B97,F97)</f>
        <v>47955.584999999999</v>
      </c>
      <c r="K97" s="44">
        <f t="shared" ref="K97" si="27">SUM(C97,G97)</f>
        <v>51578</v>
      </c>
      <c r="L97" s="259">
        <f t="shared" ref="L97" si="28">IF(J97=0, "    ---- ", IF(ABS(ROUND(100/J97*K97-100,1))&lt;999,ROUND(100/J97*K97-100,1),IF(ROUND(100/J97*K97-100,1)&gt;999,999,-999)))</f>
        <v>7.6</v>
      </c>
      <c r="M97" s="27">
        <f>IFERROR(100/'Skjema total MA'!I98*K97,0)</f>
        <v>6.450399261418667E-3</v>
      </c>
    </row>
    <row r="98" spans="1:15" ht="15.75" x14ac:dyDescent="0.2">
      <c r="A98" s="21" t="s">
        <v>368</v>
      </c>
      <c r="B98" s="234">
        <v>157428563.16115001</v>
      </c>
      <c r="C98" s="234">
        <v>155626203</v>
      </c>
      <c r="D98" s="166">
        <f t="shared" si="16"/>
        <v>-1.1000000000000001</v>
      </c>
      <c r="E98" s="27">
        <f>IFERROR(100/'Skjema total MA'!C98*C98,0)</f>
        <v>40.186793215438996</v>
      </c>
      <c r="F98" s="296">
        <v>117123234</v>
      </c>
      <c r="G98" s="296">
        <v>118713886</v>
      </c>
      <c r="H98" s="166">
        <f t="shared" si="17"/>
        <v>1.4</v>
      </c>
      <c r="I98" s="27">
        <f>IFERROR(100/'Skjema total MA'!F98*G98,0)</f>
        <v>28.789429761714295</v>
      </c>
      <c r="J98" s="292">
        <f t="shared" si="24"/>
        <v>274551797.16114998</v>
      </c>
      <c r="K98" s="44">
        <f t="shared" si="24"/>
        <v>274340089</v>
      </c>
      <c r="L98" s="259">
        <f t="shared" si="19"/>
        <v>-0.1</v>
      </c>
      <c r="M98" s="27">
        <f>IFERROR(100/'Skjema total MA'!I98*K98,0)</f>
        <v>34.30926184542114</v>
      </c>
    </row>
    <row r="99" spans="1:15" x14ac:dyDescent="0.2">
      <c r="A99" s="21" t="s">
        <v>9</v>
      </c>
      <c r="B99" s="296">
        <v>157333805.16115001</v>
      </c>
      <c r="C99" s="297">
        <v>155536008</v>
      </c>
      <c r="D99" s="166">
        <f t="shared" si="16"/>
        <v>-1.1000000000000001</v>
      </c>
      <c r="E99" s="27">
        <f>IFERROR(100/'Skjema total MA'!C99*C99,0)</f>
        <v>40.512179848660779</v>
      </c>
      <c r="F99" s="234"/>
      <c r="G99" s="145"/>
      <c r="H99" s="166"/>
      <c r="I99" s="27"/>
      <c r="J99" s="292">
        <f t="shared" si="24"/>
        <v>157333805.16115001</v>
      </c>
      <c r="K99" s="44">
        <f t="shared" si="24"/>
        <v>155536008</v>
      </c>
      <c r="L99" s="259">
        <f t="shared" si="19"/>
        <v>-1.1000000000000001</v>
      </c>
      <c r="M99" s="27">
        <f>IFERROR(100/'Skjema total MA'!I99*K99,0)</f>
        <v>40.512179848660779</v>
      </c>
    </row>
    <row r="100" spans="1:15" x14ac:dyDescent="0.2">
      <c r="A100" s="38" t="s">
        <v>403</v>
      </c>
      <c r="B100" s="296">
        <v>94758</v>
      </c>
      <c r="C100" s="297">
        <v>90195</v>
      </c>
      <c r="D100" s="166">
        <f t="shared" si="16"/>
        <v>-4.8</v>
      </c>
      <c r="E100" s="27">
        <f>IFERROR(100/'Skjema total MA'!C100*C100,0)</f>
        <v>2.7061069266041193</v>
      </c>
      <c r="F100" s="234">
        <v>117123234</v>
      </c>
      <c r="G100" s="234">
        <v>118713886</v>
      </c>
      <c r="H100" s="166">
        <f t="shared" si="17"/>
        <v>1.4</v>
      </c>
      <c r="I100" s="27">
        <f>IFERROR(100/'Skjema total MA'!F100*G100,0)</f>
        <v>28.789429761714295</v>
      </c>
      <c r="J100" s="292">
        <f t="shared" si="24"/>
        <v>117217992</v>
      </c>
      <c r="K100" s="44">
        <f t="shared" si="24"/>
        <v>118804081</v>
      </c>
      <c r="L100" s="259">
        <f t="shared" si="19"/>
        <v>1.4</v>
      </c>
      <c r="M100" s="27">
        <f>IFERROR(100/'Skjema total MA'!I100*K100,0)</f>
        <v>28.580290435125118</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v>1145270</v>
      </c>
      <c r="C107" s="145">
        <v>1118068</v>
      </c>
      <c r="D107" s="166">
        <f t="shared" si="16"/>
        <v>-2.4</v>
      </c>
      <c r="E107" s="27">
        <f>IFERROR(100/'Skjema total MA'!C107*C107,0)</f>
        <v>25.079979643419367</v>
      </c>
      <c r="F107" s="234">
        <v>102129.53200000001</v>
      </c>
      <c r="G107" s="145">
        <v>91108</v>
      </c>
      <c r="H107" s="166">
        <f t="shared" si="17"/>
        <v>-10.8</v>
      </c>
      <c r="I107" s="27">
        <f>IFERROR(100/'Skjema total MA'!F107*G107,0)</f>
        <v>11.114437470046312</v>
      </c>
      <c r="J107" s="292">
        <f t="shared" si="24"/>
        <v>1247399.5320000001</v>
      </c>
      <c r="K107" s="44">
        <f t="shared" si="24"/>
        <v>1209176</v>
      </c>
      <c r="L107" s="259">
        <f t="shared" si="19"/>
        <v>-3.1</v>
      </c>
      <c r="M107" s="27">
        <f>IFERROR(100/'Skjema total MA'!I107*K107,0)</f>
        <v>22.910881934622356</v>
      </c>
    </row>
    <row r="108" spans="1:15" ht="15.75" x14ac:dyDescent="0.2">
      <c r="A108" s="21" t="s">
        <v>370</v>
      </c>
      <c r="B108" s="234">
        <v>139586815</v>
      </c>
      <c r="C108" s="234">
        <v>137436534</v>
      </c>
      <c r="D108" s="166">
        <f t="shared" si="16"/>
        <v>-1.5</v>
      </c>
      <c r="E108" s="27">
        <f>IFERROR(100/'Skjema total MA'!C108*C108,0)</f>
        <v>41.124119036040334</v>
      </c>
      <c r="F108" s="234">
        <v>866538</v>
      </c>
      <c r="G108" s="234">
        <v>881464</v>
      </c>
      <c r="H108" s="166">
        <f t="shared" si="17"/>
        <v>1.7</v>
      </c>
      <c r="I108" s="27">
        <f>IFERROR(100/'Skjema total MA'!F108*G108,0)</f>
        <v>4.6135670230457517</v>
      </c>
      <c r="J108" s="292">
        <f t="shared" si="24"/>
        <v>140453353</v>
      </c>
      <c r="K108" s="44">
        <f t="shared" si="24"/>
        <v>138317998</v>
      </c>
      <c r="L108" s="259">
        <f t="shared" si="19"/>
        <v>-1.5</v>
      </c>
      <c r="M108" s="27">
        <f>IFERROR(100/'Skjema total MA'!I108*K108,0)</f>
        <v>39.149714890430921</v>
      </c>
    </row>
    <row r="109" spans="1:15" ht="15.75" x14ac:dyDescent="0.2">
      <c r="A109" s="38" t="s">
        <v>417</v>
      </c>
      <c r="B109" s="234">
        <v>94758</v>
      </c>
      <c r="C109" s="234">
        <v>90195</v>
      </c>
      <c r="D109" s="166">
        <f t="shared" si="16"/>
        <v>-4.8</v>
      </c>
      <c r="E109" s="27">
        <f>IFERROR(100/'Skjema total MA'!C109*C109,0)</f>
        <v>4.8978646797877996</v>
      </c>
      <c r="F109" s="234">
        <v>44196868</v>
      </c>
      <c r="G109" s="234">
        <v>46378972</v>
      </c>
      <c r="H109" s="166">
        <f t="shared" si="17"/>
        <v>4.9000000000000004</v>
      </c>
      <c r="I109" s="27">
        <f>IFERROR(100/'Skjema total MA'!F109*G109,0)</f>
        <v>30.372329406273042</v>
      </c>
      <c r="J109" s="292">
        <f t="shared" si="24"/>
        <v>44291626</v>
      </c>
      <c r="K109" s="44">
        <f t="shared" si="24"/>
        <v>46469167</v>
      </c>
      <c r="L109" s="259">
        <f t="shared" si="19"/>
        <v>4.9000000000000004</v>
      </c>
      <c r="M109" s="27">
        <f>IFERROR(100/'Skjema total MA'!I109*K109,0)</f>
        <v>30.068778421993176</v>
      </c>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v>98705</v>
      </c>
      <c r="C111" s="159">
        <v>149997</v>
      </c>
      <c r="D111" s="171">
        <f t="shared" si="16"/>
        <v>52</v>
      </c>
      <c r="E111" s="11">
        <f>IFERROR(100/'Skjema total MA'!C111*C111,0)</f>
        <v>28.619787264160212</v>
      </c>
      <c r="F111" s="310">
        <v>10544484</v>
      </c>
      <c r="G111" s="159">
        <v>6989259</v>
      </c>
      <c r="H111" s="171">
        <f t="shared" si="17"/>
        <v>-33.700000000000003</v>
      </c>
      <c r="I111" s="11">
        <f>IFERROR(100/'Skjema total MA'!F111*G111,0)</f>
        <v>33.075876743310552</v>
      </c>
      <c r="J111" s="311">
        <f t="shared" si="24"/>
        <v>10643189</v>
      </c>
      <c r="K111" s="236">
        <f t="shared" si="24"/>
        <v>7139256</v>
      </c>
      <c r="L111" s="425">
        <f t="shared" si="19"/>
        <v>-32.9</v>
      </c>
      <c r="M111" s="11">
        <f>IFERROR(100/'Skjema total MA'!I111*K111,0)</f>
        <v>32.968029237341447</v>
      </c>
    </row>
    <row r="112" spans="1:15" x14ac:dyDescent="0.2">
      <c r="A112" s="21" t="s">
        <v>9</v>
      </c>
      <c r="B112" s="234">
        <v>98705</v>
      </c>
      <c r="C112" s="145">
        <v>149997</v>
      </c>
      <c r="D112" s="166">
        <f t="shared" ref="D112:D124" si="29">IF(B112=0, "    ---- ", IF(ABS(ROUND(100/B112*C112-100,1))&lt;999,ROUND(100/B112*C112-100,1),IF(ROUND(100/B112*C112-100,1)&gt;999,999,-999)))</f>
        <v>52</v>
      </c>
      <c r="E112" s="27">
        <f>IFERROR(100/'Skjema total MA'!C112*C112,0)</f>
        <v>54.439717710539391</v>
      </c>
      <c r="F112" s="234"/>
      <c r="G112" s="145"/>
      <c r="H112" s="166"/>
      <c r="I112" s="27"/>
      <c r="J112" s="292">
        <f t="shared" ref="J112:K125" si="30">SUM(B112,F112)</f>
        <v>98705</v>
      </c>
      <c r="K112" s="44">
        <f t="shared" si="30"/>
        <v>149997</v>
      </c>
      <c r="L112" s="259">
        <f t="shared" ref="L112:L125" si="31">IF(J112=0, "    ---- ", IF(ABS(ROUND(100/J112*K112-100,1))&lt;999,ROUND(100/J112*K112-100,1),IF(ROUND(100/J112*K112-100,1)&gt;999,999,-999)))</f>
        <v>52</v>
      </c>
      <c r="M112" s="27">
        <f>IFERROR(100/'Skjema total MA'!I112*K112,0)</f>
        <v>54.288077007987397</v>
      </c>
    </row>
    <row r="113" spans="1:14" x14ac:dyDescent="0.2">
      <c r="A113" s="21" t="s">
        <v>10</v>
      </c>
      <c r="B113" s="234"/>
      <c r="C113" s="145"/>
      <c r="D113" s="166"/>
      <c r="E113" s="27"/>
      <c r="F113" s="234">
        <v>10544484</v>
      </c>
      <c r="G113" s="145">
        <v>6989259</v>
      </c>
      <c r="H113" s="166">
        <f t="shared" ref="H113:H125" si="32">IF(F113=0, "    ---- ", IF(ABS(ROUND(100/F113*G113-100,1))&lt;999,ROUND(100/F113*G113-100,1),IF(ROUND(100/F113*G113-100,1)&gt;999,999,-999)))</f>
        <v>-33.700000000000003</v>
      </c>
      <c r="I113" s="27">
        <f>IFERROR(100/'Skjema total MA'!F113*G113,0)</f>
        <v>33.07874158240066</v>
      </c>
      <c r="J113" s="292">
        <f t="shared" si="30"/>
        <v>10544484</v>
      </c>
      <c r="K113" s="44">
        <f t="shared" si="30"/>
        <v>6989259</v>
      </c>
      <c r="L113" s="259">
        <f t="shared" si="31"/>
        <v>-33.700000000000003</v>
      </c>
      <c r="M113" s="27">
        <f>IFERROR(100/'Skjema total MA'!I113*K113,0)</f>
        <v>33.078458278279577</v>
      </c>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v>38646</v>
      </c>
      <c r="C116" s="234">
        <v>44467</v>
      </c>
      <c r="D116" s="166">
        <f t="shared" si="29"/>
        <v>15.1</v>
      </c>
      <c r="E116" s="27">
        <f>IFERROR(100/'Skjema total MA'!C116*C116,0)</f>
        <v>54.788546407590019</v>
      </c>
      <c r="F116" s="234"/>
      <c r="G116" s="234"/>
      <c r="H116" s="166"/>
      <c r="I116" s="27"/>
      <c r="J116" s="292">
        <f t="shared" si="30"/>
        <v>38646</v>
      </c>
      <c r="K116" s="44">
        <f t="shared" si="30"/>
        <v>44467</v>
      </c>
      <c r="L116" s="259">
        <f t="shared" si="31"/>
        <v>15.1</v>
      </c>
      <c r="M116" s="27">
        <f>IFERROR(100/'Skjema total MA'!I116*K116,0)</f>
        <v>54.273885830478541</v>
      </c>
    </row>
    <row r="117" spans="1:14" ht="15.75" x14ac:dyDescent="0.2">
      <c r="A117" s="38" t="s">
        <v>417</v>
      </c>
      <c r="B117" s="234"/>
      <c r="C117" s="234"/>
      <c r="D117" s="166"/>
      <c r="E117" s="27"/>
      <c r="F117" s="234">
        <v>351705</v>
      </c>
      <c r="G117" s="234">
        <v>4577968</v>
      </c>
      <c r="H117" s="166">
        <f t="shared" si="32"/>
        <v>999</v>
      </c>
      <c r="I117" s="27">
        <f>IFERROR(100/'Skjema total MA'!F117*G117,0)</f>
        <v>40.191582207417092</v>
      </c>
      <c r="J117" s="292">
        <f t="shared" si="30"/>
        <v>351705</v>
      </c>
      <c r="K117" s="44">
        <f t="shared" si="30"/>
        <v>4577968</v>
      </c>
      <c r="L117" s="259">
        <f t="shared" si="31"/>
        <v>999</v>
      </c>
      <c r="M117" s="27">
        <f>IFERROR(100/'Skjema total MA'!I117*K117,0)</f>
        <v>40.190943678835943</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55983</v>
      </c>
      <c r="C119" s="159">
        <v>111172</v>
      </c>
      <c r="D119" s="171">
        <f t="shared" si="29"/>
        <v>98.6</v>
      </c>
      <c r="E119" s="11">
        <f>IFERROR(100/'Skjema total MA'!C119*C119,0)</f>
        <v>23.41996807601468</v>
      </c>
      <c r="F119" s="310">
        <v>11710505</v>
      </c>
      <c r="G119" s="159">
        <v>7145515</v>
      </c>
      <c r="H119" s="171">
        <f t="shared" si="32"/>
        <v>-39</v>
      </c>
      <c r="I119" s="11">
        <f>IFERROR(100/'Skjema total MA'!F119*G119,0)</f>
        <v>31.778827643047194</v>
      </c>
      <c r="J119" s="311">
        <f t="shared" si="30"/>
        <v>11766488</v>
      </c>
      <c r="K119" s="236">
        <f t="shared" si="30"/>
        <v>7256687</v>
      </c>
      <c r="L119" s="425">
        <f t="shared" si="31"/>
        <v>-38.299999999999997</v>
      </c>
      <c r="M119" s="11">
        <f>IFERROR(100/'Skjema total MA'!I119*K119,0)</f>
        <v>31.606010256009483</v>
      </c>
    </row>
    <row r="120" spans="1:14" x14ac:dyDescent="0.2">
      <c r="A120" s="21" t="s">
        <v>9</v>
      </c>
      <c r="B120" s="234">
        <v>55983</v>
      </c>
      <c r="C120" s="145">
        <v>111172</v>
      </c>
      <c r="D120" s="166">
        <f t="shared" si="29"/>
        <v>98.6</v>
      </c>
      <c r="E120" s="27">
        <f>IFERROR(100/'Skjema total MA'!C120*C120,0)</f>
        <v>68.976982550802845</v>
      </c>
      <c r="F120" s="234"/>
      <c r="G120" s="145"/>
      <c r="H120" s="166"/>
      <c r="I120" s="27"/>
      <c r="J120" s="292">
        <f t="shared" si="30"/>
        <v>55983</v>
      </c>
      <c r="K120" s="44">
        <f t="shared" si="30"/>
        <v>111172</v>
      </c>
      <c r="L120" s="259">
        <f t="shared" si="31"/>
        <v>98.6</v>
      </c>
      <c r="M120" s="27">
        <f>IFERROR(100/'Skjema total MA'!I120*K120,0)</f>
        <v>68.976982550802845</v>
      </c>
    </row>
    <row r="121" spans="1:14" x14ac:dyDescent="0.2">
      <c r="A121" s="21" t="s">
        <v>10</v>
      </c>
      <c r="B121" s="234"/>
      <c r="C121" s="145"/>
      <c r="D121" s="166"/>
      <c r="E121" s="27"/>
      <c r="F121" s="234">
        <v>11710505</v>
      </c>
      <c r="G121" s="145">
        <v>7145515</v>
      </c>
      <c r="H121" s="166">
        <f t="shared" si="32"/>
        <v>-39</v>
      </c>
      <c r="I121" s="27">
        <f>IFERROR(100/'Skjema total MA'!F121*G121,0)</f>
        <v>31.778827643047194</v>
      </c>
      <c r="J121" s="292">
        <f t="shared" si="30"/>
        <v>11710505</v>
      </c>
      <c r="K121" s="44">
        <f t="shared" si="30"/>
        <v>7145515</v>
      </c>
      <c r="L121" s="259">
        <f t="shared" si="31"/>
        <v>-39</v>
      </c>
      <c r="M121" s="27">
        <f>IFERROR(100/'Skjema total MA'!I121*K121,0)</f>
        <v>31.770946071570588</v>
      </c>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v>16690</v>
      </c>
      <c r="C124" s="234">
        <v>53547</v>
      </c>
      <c r="D124" s="166">
        <f t="shared" si="29"/>
        <v>220.8</v>
      </c>
      <c r="E124" s="27">
        <f>IFERROR(100/'Skjema total MA'!C124*C124,0)</f>
        <v>97.984364259486284</v>
      </c>
      <c r="F124" s="234"/>
      <c r="G124" s="234"/>
      <c r="H124" s="166"/>
      <c r="I124" s="27"/>
      <c r="J124" s="292">
        <f t="shared" si="30"/>
        <v>16690</v>
      </c>
      <c r="K124" s="44">
        <f t="shared" si="30"/>
        <v>53547</v>
      </c>
      <c r="L124" s="259">
        <f t="shared" si="31"/>
        <v>220.8</v>
      </c>
      <c r="M124" s="27">
        <f>IFERROR(100/'Skjema total MA'!I124*K124,0)</f>
        <v>85.673644166621926</v>
      </c>
    </row>
    <row r="125" spans="1:14" ht="15.75" x14ac:dyDescent="0.2">
      <c r="A125" s="38" t="s">
        <v>417</v>
      </c>
      <c r="B125" s="234"/>
      <c r="C125" s="234"/>
      <c r="D125" s="166"/>
      <c r="E125" s="27"/>
      <c r="F125" s="234">
        <v>535271.52399999998</v>
      </c>
      <c r="G125" s="234">
        <v>4662776</v>
      </c>
      <c r="H125" s="166">
        <f t="shared" si="32"/>
        <v>771.1</v>
      </c>
      <c r="I125" s="27">
        <f>IFERROR(100/'Skjema total MA'!F125*G125,0)</f>
        <v>41.721777414453001</v>
      </c>
      <c r="J125" s="292">
        <f t="shared" si="30"/>
        <v>535271.52399999998</v>
      </c>
      <c r="K125" s="44">
        <f t="shared" si="30"/>
        <v>4662776</v>
      </c>
      <c r="L125" s="259">
        <f t="shared" si="31"/>
        <v>771.1</v>
      </c>
      <c r="M125" s="27">
        <f>IFERROR(100/'Skjema total MA'!I125*K125,0)</f>
        <v>41.71999356425713</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622" priority="76">
      <formula>kvartal &lt; 4</formula>
    </cfRule>
  </conditionalFormatting>
  <conditionalFormatting sqref="C115">
    <cfRule type="expression" dxfId="621" priority="75">
      <formula>kvartal &lt; 4</formula>
    </cfRule>
  </conditionalFormatting>
  <conditionalFormatting sqref="B123">
    <cfRule type="expression" dxfId="620" priority="74">
      <formula>kvartal &lt; 4</formula>
    </cfRule>
  </conditionalFormatting>
  <conditionalFormatting sqref="C123">
    <cfRule type="expression" dxfId="619" priority="73">
      <formula>kvartal &lt; 4</formula>
    </cfRule>
  </conditionalFormatting>
  <conditionalFormatting sqref="F115">
    <cfRule type="expression" dxfId="618" priority="58">
      <formula>kvartal &lt; 4</formula>
    </cfRule>
  </conditionalFormatting>
  <conditionalFormatting sqref="G115">
    <cfRule type="expression" dxfId="617" priority="57">
      <formula>kvartal &lt; 4</formula>
    </cfRule>
  </conditionalFormatting>
  <conditionalFormatting sqref="F123:G123">
    <cfRule type="expression" dxfId="616" priority="56">
      <formula>kvartal &lt; 4</formula>
    </cfRule>
  </conditionalFormatting>
  <conditionalFormatting sqref="J115:K115">
    <cfRule type="expression" dxfId="615" priority="32">
      <formula>kvartal &lt; 4</formula>
    </cfRule>
  </conditionalFormatting>
  <conditionalFormatting sqref="J123:K123">
    <cfRule type="expression" dxfId="614" priority="31">
      <formula>kvartal &lt; 4</formula>
    </cfRule>
  </conditionalFormatting>
  <conditionalFormatting sqref="A50:A52">
    <cfRule type="expression" dxfId="613" priority="12">
      <formula>kvartal &lt; 4</formula>
    </cfRule>
  </conditionalFormatting>
  <conditionalFormatting sqref="A69:A74">
    <cfRule type="expression" dxfId="612" priority="10">
      <formula>kvartal &lt; 4</formula>
    </cfRule>
  </conditionalFormatting>
  <conditionalFormatting sqref="A80:A85">
    <cfRule type="expression" dxfId="611" priority="9">
      <formula>kvartal &lt; 4</formula>
    </cfRule>
  </conditionalFormatting>
  <conditionalFormatting sqref="A90:A95">
    <cfRule type="expression" dxfId="610" priority="6">
      <formula>kvartal &lt; 4</formula>
    </cfRule>
  </conditionalFormatting>
  <conditionalFormatting sqref="A101:A106">
    <cfRule type="expression" dxfId="609" priority="5">
      <formula>kvartal &lt; 4</formula>
    </cfRule>
  </conditionalFormatting>
  <conditionalFormatting sqref="A115">
    <cfRule type="expression" dxfId="608" priority="4">
      <formula>kvartal &lt; 4</formula>
    </cfRule>
  </conditionalFormatting>
  <conditionalFormatting sqref="A123">
    <cfRule type="expression" dxfId="607"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124</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213759</v>
      </c>
      <c r="C7" s="309">
        <v>221770</v>
      </c>
      <c r="D7" s="351">
        <f>IF(B7=0, "    ---- ", IF(ABS(ROUND(100/B7*C7-100,1))&lt;999,ROUND(100/B7*C7-100,1),IF(ROUND(100/B7*C7-100,1)&gt;999,999,-999)))</f>
        <v>3.7</v>
      </c>
      <c r="E7" s="11">
        <f>IFERROR(100/'Skjema total MA'!C7*C7,0)</f>
        <v>7.691848944105538</v>
      </c>
      <c r="F7" s="308"/>
      <c r="G7" s="309"/>
      <c r="H7" s="351"/>
      <c r="I7" s="160"/>
      <c r="J7" s="310">
        <f t="shared" ref="J7:K9" si="0">SUM(B7,F7)</f>
        <v>213759</v>
      </c>
      <c r="K7" s="311">
        <f t="shared" si="0"/>
        <v>221770</v>
      </c>
      <c r="L7" s="424">
        <f>IF(J7=0, "    ---- ", IF(ABS(ROUND(100/J7*K7-100,1))&lt;999,ROUND(100/J7*K7-100,1),IF(ROUND(100/J7*K7-100,1)&gt;999,999,-999)))</f>
        <v>3.7</v>
      </c>
      <c r="M7" s="11">
        <f>IFERROR(100/'Skjema total MA'!I7*K7,0)</f>
        <v>2.5570185147468609</v>
      </c>
    </row>
    <row r="8" spans="1:14" ht="15.75" x14ac:dyDescent="0.2">
      <c r="A8" s="21" t="s">
        <v>25</v>
      </c>
      <c r="B8" s="286">
        <v>107475</v>
      </c>
      <c r="C8" s="287">
        <v>112476</v>
      </c>
      <c r="D8" s="166">
        <f t="shared" ref="D8:D9" si="1">IF(B8=0, "    ---- ", IF(ABS(ROUND(100/B8*C8-100,1))&lt;999,ROUND(100/B8*C8-100,1),IF(ROUND(100/B8*C8-100,1)&gt;999,999,-999)))</f>
        <v>4.7</v>
      </c>
      <c r="E8" s="27">
        <f>IFERROR(100/'Skjema total MA'!C8*C8,0)</f>
        <v>5.9388401924639256</v>
      </c>
      <c r="F8" s="290"/>
      <c r="G8" s="291"/>
      <c r="H8" s="166"/>
      <c r="I8" s="176"/>
      <c r="J8" s="234">
        <f t="shared" si="0"/>
        <v>107475</v>
      </c>
      <c r="K8" s="292">
        <f t="shared" si="0"/>
        <v>112476</v>
      </c>
      <c r="L8" s="166">
        <f t="shared" ref="L8:L9" si="2">IF(J8=0, "    ---- ", IF(ABS(ROUND(100/J8*K8-100,1))&lt;999,ROUND(100/J8*K8-100,1),IF(ROUND(100/J8*K8-100,1)&gt;999,999,-999)))</f>
        <v>4.7</v>
      </c>
      <c r="M8" s="27">
        <f>IFERROR(100/'Skjema total MA'!I8*K8,0)</f>
        <v>5.9388401924639256</v>
      </c>
    </row>
    <row r="9" spans="1:14" ht="15.75" x14ac:dyDescent="0.2">
      <c r="A9" s="21" t="s">
        <v>24</v>
      </c>
      <c r="B9" s="286">
        <v>106284</v>
      </c>
      <c r="C9" s="287">
        <v>109294</v>
      </c>
      <c r="D9" s="166">
        <f t="shared" si="1"/>
        <v>2.8</v>
      </c>
      <c r="E9" s="27">
        <f>IFERROR(100/'Skjema total MA'!C9*C9,0)</f>
        <v>18.830466233170604</v>
      </c>
      <c r="F9" s="290"/>
      <c r="G9" s="291"/>
      <c r="H9" s="166"/>
      <c r="I9" s="176"/>
      <c r="J9" s="234">
        <f t="shared" si="0"/>
        <v>106284</v>
      </c>
      <c r="K9" s="292">
        <f t="shared" si="0"/>
        <v>109294</v>
      </c>
      <c r="L9" s="166">
        <f t="shared" si="2"/>
        <v>2.8</v>
      </c>
      <c r="M9" s="27">
        <f>IFERROR(100/'Skjema total MA'!I9*K9,0)</f>
        <v>18.830466233170604</v>
      </c>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v>28377</v>
      </c>
      <c r="D47" s="424" t="str">
        <f t="shared" ref="D47:D48" si="3">IF(B47=0, "    ---- ", IF(ABS(ROUND(100/B47*C47-100,1))&lt;999,ROUND(100/B47*C47-100,1),IF(ROUND(100/B47*C47-100,1)&gt;999,999,-999)))</f>
        <v xml:space="preserve">    ---- </v>
      </c>
      <c r="E47" s="11">
        <f>IFERROR(100/'Skjema total MA'!C47*C47,0)</f>
        <v>0.65201901834386744</v>
      </c>
      <c r="F47" s="145"/>
      <c r="G47" s="33"/>
      <c r="H47" s="159"/>
      <c r="I47" s="159"/>
      <c r="J47" s="37"/>
      <c r="K47" s="37"/>
      <c r="L47" s="159"/>
      <c r="M47" s="159"/>
      <c r="N47" s="148"/>
    </row>
    <row r="48" spans="1:14" s="3" customFormat="1" ht="15.75" x14ac:dyDescent="0.2">
      <c r="A48" s="38" t="s">
        <v>362</v>
      </c>
      <c r="B48" s="286"/>
      <c r="C48" s="287">
        <v>28377</v>
      </c>
      <c r="D48" s="259" t="str">
        <f t="shared" si="3"/>
        <v xml:space="preserve">    ---- </v>
      </c>
      <c r="E48" s="27">
        <f>IFERROR(100/'Skjema total MA'!C48*C48,0)</f>
        <v>1.1511928315028586</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606" priority="76">
      <formula>kvartal &lt; 4</formula>
    </cfRule>
  </conditionalFormatting>
  <conditionalFormatting sqref="C115">
    <cfRule type="expression" dxfId="605" priority="75">
      <formula>kvartal &lt; 4</formula>
    </cfRule>
  </conditionalFormatting>
  <conditionalFormatting sqref="B123">
    <cfRule type="expression" dxfId="604" priority="74">
      <formula>kvartal &lt; 4</formula>
    </cfRule>
  </conditionalFormatting>
  <conditionalFormatting sqref="C123">
    <cfRule type="expression" dxfId="603" priority="73">
      <formula>kvartal &lt; 4</formula>
    </cfRule>
  </conditionalFormatting>
  <conditionalFormatting sqref="F115">
    <cfRule type="expression" dxfId="602" priority="58">
      <formula>kvartal &lt; 4</formula>
    </cfRule>
  </conditionalFormatting>
  <conditionalFormatting sqref="G115">
    <cfRule type="expression" dxfId="601" priority="57">
      <formula>kvartal &lt; 4</formula>
    </cfRule>
  </conditionalFormatting>
  <conditionalFormatting sqref="F123:G123">
    <cfRule type="expression" dxfId="600" priority="56">
      <formula>kvartal &lt; 4</formula>
    </cfRule>
  </conditionalFormatting>
  <conditionalFormatting sqref="J115:K115">
    <cfRule type="expression" dxfId="599" priority="32">
      <formula>kvartal &lt; 4</formula>
    </cfRule>
  </conditionalFormatting>
  <conditionalFormatting sqref="J123:K123">
    <cfRule type="expression" dxfId="598" priority="31">
      <formula>kvartal &lt; 4</formula>
    </cfRule>
  </conditionalFormatting>
  <conditionalFormatting sqref="A50:A52">
    <cfRule type="expression" dxfId="597" priority="12">
      <formula>kvartal &lt; 4</formula>
    </cfRule>
  </conditionalFormatting>
  <conditionalFormatting sqref="A69:A74">
    <cfRule type="expression" dxfId="596" priority="10">
      <formula>kvartal &lt; 4</formula>
    </cfRule>
  </conditionalFormatting>
  <conditionalFormatting sqref="A80:A85">
    <cfRule type="expression" dxfId="595" priority="9">
      <formula>kvartal &lt; 4</formula>
    </cfRule>
  </conditionalFormatting>
  <conditionalFormatting sqref="A90:A95">
    <cfRule type="expression" dxfId="594" priority="6">
      <formula>kvartal &lt; 4</formula>
    </cfRule>
  </conditionalFormatting>
  <conditionalFormatting sqref="A101:A106">
    <cfRule type="expression" dxfId="593" priority="5">
      <formula>kvartal &lt; 4</formula>
    </cfRule>
  </conditionalFormatting>
  <conditionalFormatting sqref="A115">
    <cfRule type="expression" dxfId="592" priority="4">
      <formula>kvartal &lt; 4</formula>
    </cfRule>
  </conditionalFormatting>
  <conditionalFormatting sqref="A123">
    <cfRule type="expression" dxfId="591"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O144"/>
  <sheetViews>
    <sheetView showGridLines="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402</v>
      </c>
      <c r="D1" s="26"/>
      <c r="E1" s="26"/>
      <c r="F1" s="26"/>
      <c r="G1" s="26"/>
      <c r="H1" s="26"/>
      <c r="I1" s="26"/>
      <c r="J1" s="26"/>
      <c r="K1" s="26"/>
      <c r="L1" s="26"/>
      <c r="M1" s="26"/>
    </row>
    <row r="2" spans="1:14" ht="15.75" x14ac:dyDescent="0.25">
      <c r="A2" s="165" t="s">
        <v>28</v>
      </c>
      <c r="B2" s="706"/>
      <c r="C2" s="706"/>
      <c r="D2" s="706"/>
      <c r="E2" s="563"/>
      <c r="F2" s="706"/>
      <c r="G2" s="706"/>
      <c r="H2" s="706"/>
      <c r="I2" s="563"/>
      <c r="J2" s="706"/>
      <c r="K2" s="706"/>
      <c r="L2" s="706"/>
      <c r="M2" s="563"/>
    </row>
    <row r="3" spans="1:14" ht="15.75" x14ac:dyDescent="0.25">
      <c r="A3" s="163"/>
      <c r="B3" s="563"/>
      <c r="C3" s="563"/>
      <c r="D3" s="563"/>
      <c r="E3" s="563"/>
      <c r="F3" s="563"/>
      <c r="G3" s="563"/>
      <c r="H3" s="563"/>
      <c r="I3" s="563"/>
      <c r="J3" s="563"/>
      <c r="K3" s="563"/>
      <c r="L3" s="563"/>
      <c r="M3" s="563"/>
    </row>
    <row r="4" spans="1:14" x14ac:dyDescent="0.2">
      <c r="A4" s="144"/>
      <c r="B4" s="702" t="s">
        <v>0</v>
      </c>
      <c r="C4" s="703"/>
      <c r="D4" s="703"/>
      <c r="E4" s="561"/>
      <c r="F4" s="702" t="s">
        <v>1</v>
      </c>
      <c r="G4" s="703"/>
      <c r="H4" s="703"/>
      <c r="I4" s="562"/>
      <c r="J4" s="702" t="s">
        <v>2</v>
      </c>
      <c r="K4" s="703"/>
      <c r="L4" s="703"/>
      <c r="M4" s="562"/>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563"/>
      <c r="F18" s="701"/>
      <c r="G18" s="701"/>
      <c r="H18" s="701"/>
      <c r="I18" s="563"/>
      <c r="J18" s="701"/>
      <c r="K18" s="701"/>
      <c r="L18" s="701"/>
      <c r="M18" s="563"/>
    </row>
    <row r="19" spans="1:14" x14ac:dyDescent="0.2">
      <c r="A19" s="144"/>
      <c r="B19" s="702" t="s">
        <v>0</v>
      </c>
      <c r="C19" s="703"/>
      <c r="D19" s="703"/>
      <c r="E19" s="561"/>
      <c r="F19" s="702" t="s">
        <v>1</v>
      </c>
      <c r="G19" s="703"/>
      <c r="H19" s="703"/>
      <c r="I19" s="562"/>
      <c r="J19" s="702" t="s">
        <v>2</v>
      </c>
      <c r="K19" s="703"/>
      <c r="L19" s="703"/>
      <c r="M19" s="562"/>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413"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60"/>
      <c r="J22" s="318"/>
      <c r="K22" s="318"/>
      <c r="L22" s="424"/>
      <c r="M22" s="24"/>
    </row>
    <row r="23" spans="1:14" ht="15.75" x14ac:dyDescent="0.2">
      <c r="A23" s="503" t="s">
        <v>354</v>
      </c>
      <c r="B23" s="286"/>
      <c r="C23" s="286"/>
      <c r="D23" s="166"/>
      <c r="E23" s="11"/>
      <c r="F23" s="295"/>
      <c r="G23" s="295"/>
      <c r="H23" s="166"/>
      <c r="I23" s="240"/>
      <c r="J23" s="295"/>
      <c r="K23" s="295"/>
      <c r="L23" s="166"/>
      <c r="M23" s="23"/>
    </row>
    <row r="24" spans="1:14" ht="15.75" x14ac:dyDescent="0.2">
      <c r="A24" s="503" t="s">
        <v>355</v>
      </c>
      <c r="B24" s="286"/>
      <c r="C24" s="286"/>
      <c r="D24" s="166"/>
      <c r="E24" s="11"/>
      <c r="F24" s="295"/>
      <c r="G24" s="295"/>
      <c r="H24" s="166"/>
      <c r="I24" s="240"/>
      <c r="J24" s="295"/>
      <c r="K24" s="295"/>
      <c r="L24" s="166"/>
      <c r="M24" s="23"/>
    </row>
    <row r="25" spans="1:14" ht="15.75" x14ac:dyDescent="0.2">
      <c r="A25" s="503" t="s">
        <v>356</v>
      </c>
      <c r="B25" s="286"/>
      <c r="C25" s="286"/>
      <c r="D25" s="166"/>
      <c r="E25" s="11"/>
      <c r="F25" s="295"/>
      <c r="G25" s="295"/>
      <c r="H25" s="166"/>
      <c r="I25" s="240"/>
      <c r="J25" s="295"/>
      <c r="K25" s="295"/>
      <c r="L25" s="166"/>
      <c r="M25" s="23"/>
    </row>
    <row r="26" spans="1:14" ht="15.75" x14ac:dyDescent="0.2">
      <c r="A26" s="503" t="s">
        <v>357</v>
      </c>
      <c r="B26" s="286"/>
      <c r="C26" s="286"/>
      <c r="D26" s="166"/>
      <c r="E26" s="11"/>
      <c r="F26" s="295"/>
      <c r="G26" s="295"/>
      <c r="H26" s="166"/>
      <c r="I26" s="240"/>
      <c r="J26" s="295"/>
      <c r="K26" s="295"/>
      <c r="L26" s="166"/>
      <c r="M26" s="23"/>
    </row>
    <row r="27" spans="1:14" x14ac:dyDescent="0.2">
      <c r="A27" s="503" t="s">
        <v>11</v>
      </c>
      <c r="B27" s="286"/>
      <c r="C27" s="286"/>
      <c r="D27" s="166"/>
      <c r="E27" s="11"/>
      <c r="F27" s="295"/>
      <c r="G27" s="295"/>
      <c r="H27" s="166"/>
      <c r="I27" s="240"/>
      <c r="J27" s="295"/>
      <c r="K27" s="295"/>
      <c r="L27" s="166"/>
      <c r="M27" s="23"/>
    </row>
    <row r="28" spans="1:14" ht="15.75" x14ac:dyDescent="0.2">
      <c r="A28" s="49" t="s">
        <v>272</v>
      </c>
      <c r="B28" s="44"/>
      <c r="C28" s="292"/>
      <c r="D28" s="166"/>
      <c r="E28" s="11"/>
      <c r="F28" s="234"/>
      <c r="G28" s="292"/>
      <c r="H28" s="166"/>
      <c r="I28" s="176"/>
      <c r="J28" s="44"/>
      <c r="K28" s="44"/>
      <c r="L28" s="259"/>
      <c r="M28" s="23"/>
    </row>
    <row r="29" spans="1:14" s="3" customFormat="1" ht="15.75" x14ac:dyDescent="0.2">
      <c r="A29" s="13" t="s">
        <v>351</v>
      </c>
      <c r="B29" s="236"/>
      <c r="C29" s="236"/>
      <c r="D29" s="171"/>
      <c r="E29" s="11"/>
      <c r="F29" s="310"/>
      <c r="G29" s="310"/>
      <c r="H29" s="171"/>
      <c r="I29" s="160"/>
      <c r="J29" s="236"/>
      <c r="K29" s="236"/>
      <c r="L29" s="425"/>
      <c r="M29" s="24"/>
      <c r="N29" s="148"/>
    </row>
    <row r="30" spans="1:14" s="3" customFormat="1" ht="15.75" x14ac:dyDescent="0.2">
      <c r="A30" s="503" t="s">
        <v>354</v>
      </c>
      <c r="B30" s="286"/>
      <c r="C30" s="286"/>
      <c r="D30" s="166"/>
      <c r="E30" s="11"/>
      <c r="F30" s="295"/>
      <c r="G30" s="295"/>
      <c r="H30" s="166"/>
      <c r="I30" s="240"/>
      <c r="J30" s="295"/>
      <c r="K30" s="295"/>
      <c r="L30" s="166"/>
      <c r="M30" s="23"/>
      <c r="N30" s="148"/>
    </row>
    <row r="31" spans="1:14" s="3" customFormat="1" ht="15.75" x14ac:dyDescent="0.2">
      <c r="A31" s="503" t="s">
        <v>355</v>
      </c>
      <c r="B31" s="286"/>
      <c r="C31" s="286"/>
      <c r="D31" s="166"/>
      <c r="E31" s="11"/>
      <c r="F31" s="295"/>
      <c r="G31" s="295"/>
      <c r="H31" s="166"/>
      <c r="I31" s="240"/>
      <c r="J31" s="295"/>
      <c r="K31" s="295"/>
      <c r="L31" s="166"/>
      <c r="M31" s="23"/>
      <c r="N31" s="148"/>
    </row>
    <row r="32" spans="1:14" ht="15.75" x14ac:dyDescent="0.2">
      <c r="A32" s="503" t="s">
        <v>356</v>
      </c>
      <c r="B32" s="286"/>
      <c r="C32" s="286"/>
      <c r="D32" s="166"/>
      <c r="E32" s="11"/>
      <c r="F32" s="295"/>
      <c r="G32" s="295"/>
      <c r="H32" s="166"/>
      <c r="I32" s="240"/>
      <c r="J32" s="295"/>
      <c r="K32" s="295"/>
      <c r="L32" s="166"/>
      <c r="M32" s="23"/>
    </row>
    <row r="33" spans="1:14" ht="15.75" x14ac:dyDescent="0.2">
      <c r="A33" s="503" t="s">
        <v>357</v>
      </c>
      <c r="B33" s="286"/>
      <c r="C33" s="286"/>
      <c r="D33" s="166"/>
      <c r="E33" s="11"/>
      <c r="F33" s="295"/>
      <c r="G33" s="295"/>
      <c r="H33" s="166"/>
      <c r="I33" s="240"/>
      <c r="J33" s="295"/>
      <c r="K33" s="295"/>
      <c r="L33" s="166"/>
      <c r="M33" s="23"/>
    </row>
    <row r="34" spans="1:14" ht="15.75" x14ac:dyDescent="0.2">
      <c r="A34" s="13" t="s">
        <v>352</v>
      </c>
      <c r="B34" s="236"/>
      <c r="C34" s="311"/>
      <c r="D34" s="171"/>
      <c r="E34" s="11"/>
      <c r="F34" s="310"/>
      <c r="G34" s="311"/>
      <c r="H34" s="171"/>
      <c r="I34" s="160"/>
      <c r="J34" s="236"/>
      <c r="K34" s="236"/>
      <c r="L34" s="425"/>
      <c r="M34" s="24"/>
    </row>
    <row r="35" spans="1:14" ht="15.75" x14ac:dyDescent="0.2">
      <c r="A35" s="13" t="s">
        <v>353</v>
      </c>
      <c r="B35" s="236"/>
      <c r="C35" s="311"/>
      <c r="D35" s="171"/>
      <c r="E35" s="11"/>
      <c r="F35" s="310"/>
      <c r="G35" s="311"/>
      <c r="H35" s="171"/>
      <c r="I35" s="160"/>
      <c r="J35" s="236"/>
      <c r="K35" s="236"/>
      <c r="L35" s="425"/>
      <c r="M35" s="24"/>
    </row>
    <row r="36" spans="1:14" ht="15.75" x14ac:dyDescent="0.2">
      <c r="A36" s="12" t="s">
        <v>280</v>
      </c>
      <c r="B36" s="236"/>
      <c r="C36" s="311"/>
      <c r="D36" s="171"/>
      <c r="E36" s="11"/>
      <c r="F36" s="321"/>
      <c r="G36" s="322"/>
      <c r="H36" s="171"/>
      <c r="I36" s="427"/>
      <c r="J36" s="236"/>
      <c r="K36" s="236"/>
      <c r="L36" s="425"/>
      <c r="M36" s="24"/>
    </row>
    <row r="37" spans="1:14" ht="15.75" x14ac:dyDescent="0.2">
      <c r="A37" s="12" t="s">
        <v>359</v>
      </c>
      <c r="B37" s="236"/>
      <c r="C37" s="311"/>
      <c r="D37" s="171"/>
      <c r="E37" s="11"/>
      <c r="F37" s="321"/>
      <c r="G37" s="323"/>
      <c r="H37" s="171"/>
      <c r="I37" s="427"/>
      <c r="J37" s="236"/>
      <c r="K37" s="236"/>
      <c r="L37" s="425"/>
      <c r="M37" s="24"/>
    </row>
    <row r="38" spans="1:14" ht="15.75" x14ac:dyDescent="0.2">
      <c r="A38" s="12" t="s">
        <v>360</v>
      </c>
      <c r="B38" s="236"/>
      <c r="C38" s="311"/>
      <c r="D38" s="171"/>
      <c r="E38" s="24"/>
      <c r="F38" s="321"/>
      <c r="G38" s="322"/>
      <c r="H38" s="171"/>
      <c r="I38" s="427"/>
      <c r="J38" s="236"/>
      <c r="K38" s="236"/>
      <c r="L38" s="425"/>
      <c r="M38" s="24"/>
    </row>
    <row r="39" spans="1:14" ht="15.75" x14ac:dyDescent="0.2">
      <c r="A39" s="18" t="s">
        <v>361</v>
      </c>
      <c r="B39" s="281"/>
      <c r="C39" s="317"/>
      <c r="D39" s="169"/>
      <c r="E39" s="36"/>
      <c r="F39" s="324"/>
      <c r="G39" s="325"/>
      <c r="H39" s="169"/>
      <c r="I39" s="169"/>
      <c r="J39" s="236"/>
      <c r="K39" s="236"/>
      <c r="L39" s="426"/>
      <c r="M39" s="36"/>
    </row>
    <row r="40" spans="1:14" ht="15.75" x14ac:dyDescent="0.25">
      <c r="A40" s="47"/>
      <c r="B40" s="258"/>
      <c r="C40" s="258"/>
      <c r="D40" s="705"/>
      <c r="E40" s="705"/>
      <c r="F40" s="705"/>
      <c r="G40" s="705"/>
      <c r="H40" s="705"/>
      <c r="I40" s="705"/>
      <c r="J40" s="705"/>
      <c r="K40" s="705"/>
      <c r="L40" s="705"/>
      <c r="M40" s="564"/>
    </row>
    <row r="41" spans="1:14" x14ac:dyDescent="0.2">
      <c r="A41" s="155"/>
    </row>
    <row r="42" spans="1:14" ht="15.75" x14ac:dyDescent="0.25">
      <c r="A42" s="147" t="s">
        <v>269</v>
      </c>
      <c r="B42" s="706"/>
      <c r="C42" s="706"/>
      <c r="D42" s="706"/>
      <c r="E42" s="563"/>
      <c r="F42" s="707"/>
      <c r="G42" s="707"/>
      <c r="H42" s="707"/>
      <c r="I42" s="564"/>
      <c r="J42" s="707"/>
      <c r="K42" s="707"/>
      <c r="L42" s="707"/>
      <c r="M42" s="564"/>
    </row>
    <row r="43" spans="1:14" ht="15.75" x14ac:dyDescent="0.25">
      <c r="A43" s="163"/>
      <c r="B43" s="559"/>
      <c r="C43" s="559"/>
      <c r="D43" s="559"/>
      <c r="E43" s="559"/>
      <c r="F43" s="564"/>
      <c r="G43" s="564"/>
      <c r="H43" s="564"/>
      <c r="I43" s="564"/>
      <c r="J43" s="564"/>
      <c r="K43" s="564"/>
      <c r="L43" s="564"/>
      <c r="M43" s="564"/>
    </row>
    <row r="44" spans="1:14" ht="15.75" x14ac:dyDescent="0.25">
      <c r="A44" s="249"/>
      <c r="B44" s="702" t="s">
        <v>0</v>
      </c>
      <c r="C44" s="703"/>
      <c r="D44" s="703"/>
      <c r="E44" s="244"/>
      <c r="F44" s="564"/>
      <c r="G44" s="564"/>
      <c r="H44" s="564"/>
      <c r="I44" s="564"/>
      <c r="J44" s="564"/>
      <c r="K44" s="564"/>
      <c r="L44" s="564"/>
      <c r="M44" s="56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8868.24</v>
      </c>
      <c r="C47" s="313">
        <v>26443</v>
      </c>
      <c r="D47" s="424">
        <f t="shared" ref="D47:D55" si="0">IF(B47=0, "    ---- ", IF(ABS(ROUND(100/B47*C47-100,1))&lt;999,ROUND(100/B47*C47-100,1),IF(ROUND(100/B47*C47-100,1)&gt;999,999,-999)))</f>
        <v>198.2</v>
      </c>
      <c r="E47" s="11">
        <f>IFERROR(100/'Skjema total MA'!C47*C47,0)</f>
        <v>0.60758145336247271</v>
      </c>
      <c r="F47" s="145"/>
      <c r="G47" s="33"/>
      <c r="H47" s="159"/>
      <c r="I47" s="159"/>
      <c r="J47" s="37"/>
      <c r="K47" s="37"/>
      <c r="L47" s="159"/>
      <c r="M47" s="159"/>
      <c r="N47" s="148"/>
    </row>
    <row r="48" spans="1:14" s="3" customFormat="1" ht="15.75" x14ac:dyDescent="0.2">
      <c r="A48" s="38" t="s">
        <v>362</v>
      </c>
      <c r="B48" s="286">
        <v>7926.6719999999996</v>
      </c>
      <c r="C48" s="287">
        <v>25494</v>
      </c>
      <c r="D48" s="259">
        <f t="shared" si="0"/>
        <v>221.6</v>
      </c>
      <c r="E48" s="27">
        <f>IFERROR(100/'Skjema total MA'!C48*C48,0)</f>
        <v>1.034235826420477</v>
      </c>
      <c r="F48" s="145"/>
      <c r="G48" s="33"/>
      <c r="H48" s="145"/>
      <c r="I48" s="145"/>
      <c r="J48" s="33"/>
      <c r="K48" s="33"/>
      <c r="L48" s="159"/>
      <c r="M48" s="159"/>
      <c r="N48" s="148"/>
    </row>
    <row r="49" spans="1:14" s="3" customFormat="1" ht="15.75" x14ac:dyDescent="0.2">
      <c r="A49" s="38" t="s">
        <v>363</v>
      </c>
      <c r="B49" s="44">
        <v>941.56799999999998</v>
      </c>
      <c r="C49" s="292">
        <v>949</v>
      </c>
      <c r="D49" s="259">
        <f>IF(B49=0, "    ---- ", IF(ABS(ROUND(100/B49*C49-100,1))&lt;999,ROUND(100/B49*C49-100,1),IF(ROUND(100/B49*C49-100,1)&gt;999,999,-999)))</f>
        <v>0.8</v>
      </c>
      <c r="E49" s="27">
        <f>IFERROR(100/'Skjema total MA'!C49*C49,0)</f>
        <v>5.0287063793215875E-2</v>
      </c>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8868.24</v>
      </c>
      <c r="C53" s="313">
        <v>26443</v>
      </c>
      <c r="D53" s="425">
        <f t="shared" si="0"/>
        <v>198.2</v>
      </c>
      <c r="E53" s="11">
        <f>IFERROR(100/'Skjema total MA'!C53*C53,0)</f>
        <v>24.315286703418618</v>
      </c>
      <c r="F53" s="145"/>
      <c r="G53" s="33"/>
      <c r="H53" s="145"/>
      <c r="I53" s="145"/>
      <c r="J53" s="33"/>
      <c r="K53" s="33"/>
      <c r="L53" s="159"/>
      <c r="M53" s="159"/>
      <c r="N53" s="148"/>
    </row>
    <row r="54" spans="1:14" s="3" customFormat="1" ht="15.75" x14ac:dyDescent="0.2">
      <c r="A54" s="38" t="s">
        <v>362</v>
      </c>
      <c r="B54" s="286">
        <v>7926.6719999999996</v>
      </c>
      <c r="C54" s="287">
        <v>25494</v>
      </c>
      <c r="D54" s="259">
        <f t="shared" si="0"/>
        <v>221.6</v>
      </c>
      <c r="E54" s="27">
        <f>IFERROR(100/'Skjema total MA'!C54*C54,0)</f>
        <v>23.649017851947299</v>
      </c>
      <c r="F54" s="145"/>
      <c r="G54" s="33"/>
      <c r="H54" s="145"/>
      <c r="I54" s="145"/>
      <c r="J54" s="33"/>
      <c r="K54" s="33"/>
      <c r="L54" s="159"/>
      <c r="M54" s="159"/>
      <c r="N54" s="148"/>
    </row>
    <row r="55" spans="1:14" s="3" customFormat="1" ht="15.75" x14ac:dyDescent="0.2">
      <c r="A55" s="38" t="s">
        <v>363</v>
      </c>
      <c r="B55" s="286">
        <v>941.56799999999998</v>
      </c>
      <c r="C55" s="287">
        <v>949</v>
      </c>
      <c r="D55" s="259">
        <f t="shared" si="0"/>
        <v>0.8</v>
      </c>
      <c r="E55" s="27">
        <f>IFERROR(100/'Skjema total MA'!C55*C55,0)</f>
        <v>100</v>
      </c>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563"/>
      <c r="F62" s="701"/>
      <c r="G62" s="701"/>
      <c r="H62" s="701"/>
      <c r="I62" s="563"/>
      <c r="J62" s="701"/>
      <c r="K62" s="701"/>
      <c r="L62" s="701"/>
      <c r="M62" s="563"/>
    </row>
    <row r="63" spans="1:14" x14ac:dyDescent="0.2">
      <c r="A63" s="144"/>
      <c r="B63" s="702" t="s">
        <v>0</v>
      </c>
      <c r="C63" s="703"/>
      <c r="D63" s="704"/>
      <c r="E63" s="560"/>
      <c r="F63" s="703" t="s">
        <v>1</v>
      </c>
      <c r="G63" s="703"/>
      <c r="H63" s="703"/>
      <c r="I63" s="562"/>
      <c r="J63" s="702" t="s">
        <v>2</v>
      </c>
      <c r="K63" s="703"/>
      <c r="L63" s="703"/>
      <c r="M63" s="562"/>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21"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563"/>
      <c r="F130" s="701"/>
      <c r="G130" s="701"/>
      <c r="H130" s="701"/>
      <c r="I130" s="563"/>
      <c r="J130" s="701"/>
      <c r="K130" s="701"/>
      <c r="L130" s="701"/>
      <c r="M130" s="563"/>
    </row>
    <row r="131" spans="1:14" s="3" customFormat="1" x14ac:dyDescent="0.2">
      <c r="A131" s="144"/>
      <c r="B131" s="702" t="s">
        <v>0</v>
      </c>
      <c r="C131" s="703"/>
      <c r="D131" s="703"/>
      <c r="E131" s="561"/>
      <c r="F131" s="702" t="s">
        <v>1</v>
      </c>
      <c r="G131" s="703"/>
      <c r="H131" s="703"/>
      <c r="I131" s="562"/>
      <c r="J131" s="702" t="s">
        <v>2</v>
      </c>
      <c r="K131" s="703"/>
      <c r="L131" s="703"/>
      <c r="M131" s="562"/>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590" priority="42">
      <formula>kvartal &lt; 4</formula>
    </cfRule>
  </conditionalFormatting>
  <conditionalFormatting sqref="C115">
    <cfRule type="expression" dxfId="589" priority="41">
      <formula>kvartal &lt; 4</formula>
    </cfRule>
  </conditionalFormatting>
  <conditionalFormatting sqref="B123">
    <cfRule type="expression" dxfId="588" priority="40">
      <formula>kvartal &lt; 4</formula>
    </cfRule>
  </conditionalFormatting>
  <conditionalFormatting sqref="C123">
    <cfRule type="expression" dxfId="587" priority="39">
      <formula>kvartal &lt; 4</formula>
    </cfRule>
  </conditionalFormatting>
  <conditionalFormatting sqref="F115">
    <cfRule type="expression" dxfId="586" priority="28">
      <formula>kvartal &lt; 4</formula>
    </cfRule>
  </conditionalFormatting>
  <conditionalFormatting sqref="G115">
    <cfRule type="expression" dxfId="585" priority="27">
      <formula>kvartal &lt; 4</formula>
    </cfRule>
  </conditionalFormatting>
  <conditionalFormatting sqref="F123:G123">
    <cfRule type="expression" dxfId="584" priority="26">
      <formula>kvartal &lt; 4</formula>
    </cfRule>
  </conditionalFormatting>
  <conditionalFormatting sqref="J115:K115">
    <cfRule type="expression" dxfId="583" priority="9">
      <formula>kvartal &lt; 4</formula>
    </cfRule>
  </conditionalFormatting>
  <conditionalFormatting sqref="J123:K123">
    <cfRule type="expression" dxfId="582" priority="8">
      <formula>kvartal &lt; 4</formula>
    </cfRule>
  </conditionalFormatting>
  <conditionalFormatting sqref="A50:A52">
    <cfRule type="expression" dxfId="581" priority="7">
      <formula>kvartal &lt; 4</formula>
    </cfRule>
  </conditionalFormatting>
  <conditionalFormatting sqref="A69:A74">
    <cfRule type="expression" dxfId="580" priority="6">
      <formula>kvartal &lt; 4</formula>
    </cfRule>
  </conditionalFormatting>
  <conditionalFormatting sqref="A80:A85">
    <cfRule type="expression" dxfId="579" priority="5">
      <formula>kvartal &lt; 4</formula>
    </cfRule>
  </conditionalFormatting>
  <conditionalFormatting sqref="A90:A95">
    <cfRule type="expression" dxfId="578" priority="4">
      <formula>kvartal &lt; 4</formula>
    </cfRule>
  </conditionalFormatting>
  <conditionalFormatting sqref="A101:A106">
    <cfRule type="expression" dxfId="577" priority="3">
      <formula>kvartal &lt; 4</formula>
    </cfRule>
  </conditionalFormatting>
  <conditionalFormatting sqref="A115">
    <cfRule type="expression" dxfId="576" priority="2">
      <formula>kvartal &lt; 4</formula>
    </cfRule>
  </conditionalFormatting>
  <conditionalFormatting sqref="A123">
    <cfRule type="expression" dxfId="575" priority="1">
      <formula>kvartal &lt; 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O144"/>
  <sheetViews>
    <sheetView showGridLines="0" zoomScaleNormal="100" workbookViewId="0">
      <pane xSplit="1" topLeftCell="B1" activePane="topRight" state="frozen"/>
      <selection activeCell="O118" sqref="O118"/>
      <selection pane="topRight"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384</v>
      </c>
      <c r="D1" s="26"/>
      <c r="E1" s="26"/>
      <c r="F1" s="26"/>
      <c r="G1" s="26"/>
      <c r="H1" s="26"/>
      <c r="I1" s="26"/>
      <c r="J1" s="26"/>
      <c r="K1" s="26"/>
      <c r="L1" s="26"/>
      <c r="M1" s="26"/>
    </row>
    <row r="2" spans="1:14" ht="15.75" x14ac:dyDescent="0.25">
      <c r="A2" s="165" t="s">
        <v>28</v>
      </c>
      <c r="B2" s="359"/>
      <c r="C2" s="359"/>
      <c r="D2" s="359"/>
      <c r="E2" s="359"/>
      <c r="F2" s="359"/>
      <c r="G2" s="359"/>
      <c r="H2" s="359"/>
      <c r="I2" s="359"/>
      <c r="J2" s="359"/>
      <c r="K2" s="359"/>
      <c r="L2" s="359"/>
      <c r="M2" s="359"/>
    </row>
    <row r="3" spans="1:14" ht="15.75" x14ac:dyDescent="0.25">
      <c r="A3" s="163"/>
      <c r="B3" s="359"/>
      <c r="C3" s="359"/>
      <c r="D3" s="359"/>
      <c r="E3" s="359"/>
      <c r="F3" s="359"/>
      <c r="G3" s="359"/>
      <c r="H3" s="359"/>
      <c r="I3" s="359"/>
      <c r="J3" s="359"/>
      <c r="K3" s="359"/>
      <c r="L3" s="359"/>
      <c r="M3" s="359"/>
    </row>
    <row r="4" spans="1:14" x14ac:dyDescent="0.2">
      <c r="A4" s="144"/>
      <c r="B4" s="702" t="s">
        <v>0</v>
      </c>
      <c r="C4" s="703"/>
      <c r="D4" s="703"/>
      <c r="E4" s="356"/>
      <c r="F4" s="702" t="s">
        <v>1</v>
      </c>
      <c r="G4" s="703"/>
      <c r="H4" s="703"/>
      <c r="I4" s="357"/>
      <c r="J4" s="702" t="s">
        <v>2</v>
      </c>
      <c r="K4" s="703"/>
      <c r="L4" s="703"/>
      <c r="M4" s="357"/>
    </row>
    <row r="5" spans="1:14" x14ac:dyDescent="0.2">
      <c r="A5" s="158"/>
      <c r="B5" s="152" t="s">
        <v>435</v>
      </c>
      <c r="C5" s="152" t="s">
        <v>436</v>
      </c>
      <c r="D5" s="246" t="s">
        <v>3</v>
      </c>
      <c r="E5" s="307" t="s">
        <v>29</v>
      </c>
      <c r="F5" s="152" t="s">
        <v>435</v>
      </c>
      <c r="G5" s="152" t="s">
        <v>436</v>
      </c>
      <c r="H5" s="246" t="s">
        <v>3</v>
      </c>
      <c r="I5" s="307"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62">
        <v>587584.86979999999</v>
      </c>
      <c r="C7" s="363">
        <v>630459.59664999996</v>
      </c>
      <c r="D7" s="371">
        <f t="shared" ref="D7:D10" si="0">IF(AND(_xlfn.NUMBERVALUE(B7)=0,_xlfn.NUMBERVALUE(C7)=0),,IF(B7=0, "    ---- ", IF(ABS(ROUND(100/B7*C7-100,1))&lt;999,IF(ROUND(100/B7*C7-100,1)=0,"    ---- ",ROUND(100/B7*C7-100,1)),IF(ROUND(100/B7*C7-100,1)&gt;999,999,-999))))</f>
        <v>7.3</v>
      </c>
      <c r="E7" s="372">
        <f>IFERROR(100/'Skjema total MA'!C7*C7,0)</f>
        <v>21.866798858247307</v>
      </c>
      <c r="F7" s="362"/>
      <c r="G7" s="363"/>
      <c r="H7" s="371"/>
      <c r="I7" s="372"/>
      <c r="J7" s="373">
        <f t="shared" ref="J7:K10" si="1">SUM(B7,F7)</f>
        <v>587584.86979999999</v>
      </c>
      <c r="K7" s="368">
        <f t="shared" si="1"/>
        <v>630459.59664999996</v>
      </c>
      <c r="L7" s="371">
        <f t="shared" ref="L7:L10" si="2">IF(AND(_xlfn.NUMBERVALUE(J7)=0,_xlfn.NUMBERVALUE(K7)=0),,IF(J7=0, "    ---- ", IF(ABS(ROUND(100/J7*K7-100,1))&lt;999,IF(ROUND(100/J7*K7-100,1)=0,"    ---- ",ROUND(100/J7*K7-100,1)),IF(ROUND(100/J7*K7-100,1)&gt;999,999,-999))))</f>
        <v>7.3</v>
      </c>
      <c r="M7" s="372">
        <f>IFERROR(100/'Skjema total MA'!I7*K7,0)</f>
        <v>7.269228756972935</v>
      </c>
    </row>
    <row r="8" spans="1:14" ht="15.75" x14ac:dyDescent="0.2">
      <c r="A8" s="21" t="s">
        <v>25</v>
      </c>
      <c r="B8" s="365">
        <v>521630.68781999999</v>
      </c>
      <c r="C8" s="366">
        <v>560653.24026999995</v>
      </c>
      <c r="D8" s="374">
        <f t="shared" si="0"/>
        <v>7.5</v>
      </c>
      <c r="E8" s="372">
        <f>IFERROR(100/'Skjema total MA'!C8*C8,0)</f>
        <v>29.603026399859612</v>
      </c>
      <c r="F8" s="375"/>
      <c r="G8" s="376"/>
      <c r="H8" s="374"/>
      <c r="I8" s="372"/>
      <c r="J8" s="377">
        <f t="shared" si="1"/>
        <v>521630.68781999999</v>
      </c>
      <c r="K8" s="366">
        <f t="shared" si="1"/>
        <v>560653.24026999995</v>
      </c>
      <c r="L8" s="374">
        <f t="shared" si="2"/>
        <v>7.5</v>
      </c>
      <c r="M8" s="372">
        <f>IFERROR(100/'Skjema total MA'!I8*K8,0)</f>
        <v>29.603026399859612</v>
      </c>
    </row>
    <row r="9" spans="1:14" ht="15.75" x14ac:dyDescent="0.2">
      <c r="A9" s="21" t="s">
        <v>24</v>
      </c>
      <c r="B9" s="365">
        <v>65954.181979999994</v>
      </c>
      <c r="C9" s="366">
        <v>69806.356379999997</v>
      </c>
      <c r="D9" s="374">
        <f t="shared" si="0"/>
        <v>5.8</v>
      </c>
      <c r="E9" s="372">
        <f>IFERROR(100/'Skjema total MA'!C9*C9,0)</f>
        <v>12.027066780191625</v>
      </c>
      <c r="F9" s="375"/>
      <c r="G9" s="376"/>
      <c r="H9" s="374"/>
      <c r="I9" s="372"/>
      <c r="J9" s="377">
        <f t="shared" si="1"/>
        <v>65954.181979999994</v>
      </c>
      <c r="K9" s="366">
        <f t="shared" si="1"/>
        <v>69806.356379999997</v>
      </c>
      <c r="L9" s="374">
        <f t="shared" si="2"/>
        <v>5.8</v>
      </c>
      <c r="M9" s="372">
        <f>IFERROR(100/'Skjema total MA'!I9*K9,0)</f>
        <v>12.027066780191625</v>
      </c>
    </row>
    <row r="10" spans="1:14" ht="15.75" x14ac:dyDescent="0.2">
      <c r="A10" s="13" t="s">
        <v>351</v>
      </c>
      <c r="B10" s="367">
        <v>587159.23323000001</v>
      </c>
      <c r="C10" s="368">
        <v>608431.48632999999</v>
      </c>
      <c r="D10" s="374">
        <f t="shared" si="0"/>
        <v>3.6</v>
      </c>
      <c r="E10" s="372">
        <f>IFERROR(100/'Skjema total MA'!C10*C10,0)</f>
        <v>3.787144231435605</v>
      </c>
      <c r="F10" s="367"/>
      <c r="G10" s="368"/>
      <c r="H10" s="374"/>
      <c r="I10" s="372"/>
      <c r="J10" s="373">
        <f t="shared" si="1"/>
        <v>587159.23323000001</v>
      </c>
      <c r="K10" s="368">
        <f t="shared" si="1"/>
        <v>608431.48632999999</v>
      </c>
      <c r="L10" s="374">
        <f t="shared" si="2"/>
        <v>3.6</v>
      </c>
      <c r="M10" s="372">
        <f>IFERROR(100/'Skjema total MA'!I10*K10,0)</f>
        <v>0.70136837235144733</v>
      </c>
    </row>
    <row r="11" spans="1:14" s="43" customFormat="1" ht="15.75" x14ac:dyDescent="0.2">
      <c r="A11" s="13" t="s">
        <v>352</v>
      </c>
      <c r="B11" s="367"/>
      <c r="C11" s="368"/>
      <c r="D11" s="374"/>
      <c r="E11" s="372"/>
      <c r="F11" s="367"/>
      <c r="G11" s="368"/>
      <c r="H11" s="374"/>
      <c r="I11" s="372"/>
      <c r="J11" s="373"/>
      <c r="K11" s="368"/>
      <c r="L11" s="374"/>
      <c r="M11" s="372"/>
      <c r="N11" s="143"/>
    </row>
    <row r="12" spans="1:14" s="43" customFormat="1" ht="15.75" x14ac:dyDescent="0.2">
      <c r="A12" s="41" t="s">
        <v>353</v>
      </c>
      <c r="B12" s="369"/>
      <c r="C12" s="370"/>
      <c r="D12" s="378"/>
      <c r="E12" s="378"/>
      <c r="F12" s="369"/>
      <c r="G12" s="370"/>
      <c r="H12" s="378"/>
      <c r="I12" s="378"/>
      <c r="J12" s="379"/>
      <c r="K12" s="370"/>
      <c r="L12" s="378"/>
      <c r="M12" s="378"/>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358"/>
      <c r="C18" s="358"/>
      <c r="D18" s="358"/>
      <c r="E18" s="359"/>
      <c r="F18" s="358"/>
      <c r="G18" s="358"/>
      <c r="H18" s="358"/>
      <c r="I18" s="359"/>
      <c r="J18" s="358"/>
      <c r="K18" s="358"/>
      <c r="L18" s="358"/>
      <c r="M18" s="359"/>
    </row>
    <row r="19" spans="1:14" x14ac:dyDescent="0.2">
      <c r="A19" s="144"/>
      <c r="B19" s="702" t="s">
        <v>0</v>
      </c>
      <c r="C19" s="703"/>
      <c r="D19" s="703"/>
      <c r="E19" s="356"/>
      <c r="F19" s="702" t="s">
        <v>1</v>
      </c>
      <c r="G19" s="703"/>
      <c r="H19" s="703"/>
      <c r="I19" s="357"/>
      <c r="J19" s="702" t="s">
        <v>2</v>
      </c>
      <c r="K19" s="703"/>
      <c r="L19" s="703"/>
      <c r="M19" s="357"/>
    </row>
    <row r="20" spans="1:14" x14ac:dyDescent="0.2">
      <c r="A20" s="140" t="s">
        <v>5</v>
      </c>
      <c r="B20" s="243" t="s">
        <v>435</v>
      </c>
      <c r="C20" s="243" t="s">
        <v>436</v>
      </c>
      <c r="D20" s="162" t="s">
        <v>3</v>
      </c>
      <c r="E20" s="307" t="s">
        <v>29</v>
      </c>
      <c r="F20" s="243" t="s">
        <v>435</v>
      </c>
      <c r="G20" s="243" t="s">
        <v>436</v>
      </c>
      <c r="H20" s="162" t="s">
        <v>3</v>
      </c>
      <c r="I20" s="307"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518">
        <v>358368.42093999998</v>
      </c>
      <c r="C22" s="518">
        <v>392118.27</v>
      </c>
      <c r="D22" s="371">
        <f t="shared" ref="D22:D29" si="3">IF(AND(_xlfn.NUMBERVALUE(B22)=0,_xlfn.NUMBERVALUE(C22)=0),,IF(B22=0, "    ---- ", IF(ABS(ROUND(100/B22*C22-100,1))&lt;999,IF(ROUND(100/B22*C22-100,1)=0,"    ---- ",ROUND(100/B22*C22-100,1)),IF(ROUND(100/B22*C22-100,1)&gt;999,999,-999))))</f>
        <v>9.4</v>
      </c>
      <c r="E22" s="372">
        <f>IFERROR(100/'Skjema total MA'!C22*C22,0)</f>
        <v>31.460762488429886</v>
      </c>
      <c r="F22" s="380"/>
      <c r="G22" s="380"/>
      <c r="H22" s="371"/>
      <c r="I22" s="372"/>
      <c r="J22" s="362">
        <f t="shared" ref="J22:K29" si="4">SUM(B22,F22)</f>
        <v>358368.42093999998</v>
      </c>
      <c r="K22" s="362">
        <f t="shared" si="4"/>
        <v>392118.27</v>
      </c>
      <c r="L22" s="371">
        <f t="shared" ref="L22:L29" si="5">IF(AND(_xlfn.NUMBERVALUE(J22)=0,_xlfn.NUMBERVALUE(K22)=0),,IF(J22=0, "    ---- ", IF(ABS(ROUND(100/J22*K22-100,1))&lt;999,IF(ROUND(100/J22*K22-100,1)=0,"    ---- ",ROUND(100/J22*K22-100,1)),IF(ROUND(100/J22*K22-100,1)&gt;999,999,-999))))</f>
        <v>9.4</v>
      </c>
      <c r="M22" s="372">
        <f>IFERROR(100/'Skjema total MA'!I22*K22,0)</f>
        <v>22.716918004623743</v>
      </c>
    </row>
    <row r="23" spans="1:14" ht="15.75" x14ac:dyDescent="0.2">
      <c r="A23" s="503" t="s">
        <v>354</v>
      </c>
      <c r="B23" s="364"/>
      <c r="C23" s="364"/>
      <c r="D23" s="374"/>
      <c r="E23" s="372"/>
      <c r="F23" s="364"/>
      <c r="G23" s="364"/>
      <c r="H23" s="374"/>
      <c r="I23" s="372"/>
      <c r="J23" s="364"/>
      <c r="K23" s="364"/>
      <c r="L23" s="374"/>
      <c r="M23" s="372"/>
    </row>
    <row r="24" spans="1:14" ht="15.75" x14ac:dyDescent="0.2">
      <c r="A24" s="503" t="s">
        <v>355</v>
      </c>
      <c r="B24" s="364"/>
      <c r="C24" s="364"/>
      <c r="D24" s="374"/>
      <c r="E24" s="372"/>
      <c r="F24" s="364"/>
      <c r="G24" s="364"/>
      <c r="H24" s="374"/>
      <c r="I24" s="372"/>
      <c r="J24" s="364"/>
      <c r="K24" s="364"/>
      <c r="L24" s="374"/>
      <c r="M24" s="372"/>
    </row>
    <row r="25" spans="1:14" ht="15.75" x14ac:dyDescent="0.2">
      <c r="A25" s="503" t="s">
        <v>356</v>
      </c>
      <c r="B25" s="364"/>
      <c r="C25" s="364"/>
      <c r="D25" s="374"/>
      <c r="E25" s="372"/>
      <c r="F25" s="364"/>
      <c r="G25" s="364"/>
      <c r="H25" s="374"/>
      <c r="I25" s="372"/>
      <c r="J25" s="364"/>
      <c r="K25" s="364"/>
      <c r="L25" s="374"/>
      <c r="M25" s="372"/>
    </row>
    <row r="26" spans="1:14" ht="15.75" x14ac:dyDescent="0.2">
      <c r="A26" s="503" t="s">
        <v>357</v>
      </c>
      <c r="B26" s="364"/>
      <c r="C26" s="364"/>
      <c r="D26" s="374"/>
      <c r="E26" s="372"/>
      <c r="F26" s="364"/>
      <c r="G26" s="364"/>
      <c r="H26" s="374"/>
      <c r="I26" s="372"/>
      <c r="J26" s="364"/>
      <c r="K26" s="364"/>
      <c r="L26" s="374"/>
      <c r="M26" s="372"/>
    </row>
    <row r="27" spans="1:14" x14ac:dyDescent="0.2">
      <c r="A27" s="503" t="s">
        <v>11</v>
      </c>
      <c r="B27" s="364"/>
      <c r="C27" s="364"/>
      <c r="D27" s="374"/>
      <c r="E27" s="372"/>
      <c r="F27" s="364"/>
      <c r="G27" s="364"/>
      <c r="H27" s="374"/>
      <c r="I27" s="372"/>
      <c r="J27" s="364"/>
      <c r="K27" s="364"/>
      <c r="L27" s="374"/>
      <c r="M27" s="372"/>
    </row>
    <row r="28" spans="1:14" ht="15.75" x14ac:dyDescent="0.2">
      <c r="A28" s="49" t="s">
        <v>272</v>
      </c>
      <c r="B28" s="364">
        <v>358368.42093999998</v>
      </c>
      <c r="C28" s="364">
        <v>392118.27</v>
      </c>
      <c r="D28" s="374">
        <f t="shared" si="3"/>
        <v>9.4</v>
      </c>
      <c r="E28" s="372">
        <f>IFERROR(100/'Skjema total MA'!C28*C28,0)</f>
        <v>29.034332760636893</v>
      </c>
      <c r="F28" s="377"/>
      <c r="G28" s="366"/>
      <c r="H28" s="374"/>
      <c r="I28" s="372"/>
      <c r="J28" s="365">
        <f t="shared" si="4"/>
        <v>358368.42093999998</v>
      </c>
      <c r="K28" s="365">
        <f t="shared" si="4"/>
        <v>392118.27</v>
      </c>
      <c r="L28" s="374">
        <f t="shared" si="5"/>
        <v>9.4</v>
      </c>
      <c r="M28" s="372">
        <f>IFERROR(100/'Skjema total MA'!I28*K28,0)</f>
        <v>29.034332760636893</v>
      </c>
    </row>
    <row r="29" spans="1:14" s="3" customFormat="1" ht="15.75" x14ac:dyDescent="0.2">
      <c r="A29" s="13" t="s">
        <v>351</v>
      </c>
      <c r="B29" s="367">
        <v>3492373.2191499998</v>
      </c>
      <c r="C29" s="367">
        <v>3922824.6708300002</v>
      </c>
      <c r="D29" s="374">
        <f t="shared" si="3"/>
        <v>12.3</v>
      </c>
      <c r="E29" s="372">
        <f>IFERROR(100/'Skjema total MA'!C29*C29,0)</f>
        <v>8.7169445471676212</v>
      </c>
      <c r="F29" s="373"/>
      <c r="G29" s="373"/>
      <c r="H29" s="374"/>
      <c r="I29" s="372"/>
      <c r="J29" s="367">
        <f t="shared" si="4"/>
        <v>3492373.2191499998</v>
      </c>
      <c r="K29" s="367">
        <f t="shared" si="4"/>
        <v>3922824.6708300002</v>
      </c>
      <c r="L29" s="374">
        <f t="shared" si="5"/>
        <v>12.3</v>
      </c>
      <c r="M29" s="372">
        <f>IFERROR(100/'Skjema total MA'!I29*K29,0)</f>
        <v>5.7119785397661449</v>
      </c>
      <c r="N29" s="148"/>
    </row>
    <row r="30" spans="1:14" s="3" customFormat="1" ht="15.75" x14ac:dyDescent="0.2">
      <c r="A30" s="503" t="s">
        <v>354</v>
      </c>
      <c r="B30" s="364"/>
      <c r="C30" s="364"/>
      <c r="D30" s="374"/>
      <c r="E30" s="372"/>
      <c r="F30" s="364"/>
      <c r="G30" s="364"/>
      <c r="H30" s="374"/>
      <c r="I30" s="372"/>
      <c r="J30" s="364"/>
      <c r="K30" s="364"/>
      <c r="L30" s="374"/>
      <c r="M30" s="372"/>
      <c r="N30" s="148"/>
    </row>
    <row r="31" spans="1:14" s="3" customFormat="1" ht="15.75" x14ac:dyDescent="0.2">
      <c r="A31" s="503" t="s">
        <v>355</v>
      </c>
      <c r="B31" s="364"/>
      <c r="C31" s="364"/>
      <c r="D31" s="374"/>
      <c r="E31" s="372"/>
      <c r="F31" s="364"/>
      <c r="G31" s="364"/>
      <c r="H31" s="374"/>
      <c r="I31" s="372"/>
      <c r="J31" s="364"/>
      <c r="K31" s="364"/>
      <c r="L31" s="374"/>
      <c r="M31" s="372"/>
      <c r="N31" s="148"/>
    </row>
    <row r="32" spans="1:14" ht="15.75" x14ac:dyDescent="0.2">
      <c r="A32" s="503" t="s">
        <v>356</v>
      </c>
      <c r="B32" s="364"/>
      <c r="C32" s="364"/>
      <c r="D32" s="374"/>
      <c r="E32" s="372"/>
      <c r="F32" s="364"/>
      <c r="G32" s="364"/>
      <c r="H32" s="374"/>
      <c r="I32" s="372"/>
      <c r="J32" s="364"/>
      <c r="K32" s="364"/>
      <c r="L32" s="374"/>
      <c r="M32" s="372"/>
    </row>
    <row r="33" spans="1:14" ht="15.75" x14ac:dyDescent="0.2">
      <c r="A33" s="503" t="s">
        <v>357</v>
      </c>
      <c r="B33" s="364"/>
      <c r="C33" s="364"/>
      <c r="D33" s="374"/>
      <c r="E33" s="372"/>
      <c r="F33" s="364"/>
      <c r="G33" s="364"/>
      <c r="H33" s="374"/>
      <c r="I33" s="372"/>
      <c r="J33" s="364"/>
      <c r="K33" s="364"/>
      <c r="L33" s="374"/>
      <c r="M33" s="372"/>
    </row>
    <row r="34" spans="1:14" ht="15.75" x14ac:dyDescent="0.2">
      <c r="A34" s="13" t="s">
        <v>352</v>
      </c>
      <c r="B34" s="367"/>
      <c r="C34" s="368"/>
      <c r="D34" s="374"/>
      <c r="E34" s="372"/>
      <c r="F34" s="373"/>
      <c r="G34" s="368"/>
      <c r="H34" s="374"/>
      <c r="I34" s="372"/>
      <c r="J34" s="367"/>
      <c r="K34" s="367"/>
      <c r="L34" s="374"/>
      <c r="M34" s="372"/>
    </row>
    <row r="35" spans="1:14" ht="15.75" x14ac:dyDescent="0.2">
      <c r="A35" s="13" t="s">
        <v>353</v>
      </c>
      <c r="B35" s="367"/>
      <c r="C35" s="368"/>
      <c r="D35" s="374"/>
      <c r="E35" s="372"/>
      <c r="F35" s="373"/>
      <c r="G35" s="368"/>
      <c r="H35" s="374"/>
      <c r="I35" s="372"/>
      <c r="J35" s="367"/>
      <c r="K35" s="367"/>
      <c r="L35" s="374"/>
      <c r="M35" s="372"/>
    </row>
    <row r="36" spans="1:14" ht="15.75" x14ac:dyDescent="0.2">
      <c r="A36" s="12" t="s">
        <v>280</v>
      </c>
      <c r="B36" s="367"/>
      <c r="C36" s="368"/>
      <c r="D36" s="374"/>
      <c r="E36" s="372"/>
      <c r="F36" s="381"/>
      <c r="G36" s="382"/>
      <c r="H36" s="374"/>
      <c r="I36" s="372"/>
      <c r="J36" s="367"/>
      <c r="K36" s="367"/>
      <c r="L36" s="374"/>
      <c r="M36" s="372"/>
    </row>
    <row r="37" spans="1:14" ht="15.75" x14ac:dyDescent="0.2">
      <c r="A37" s="12" t="s">
        <v>359</v>
      </c>
      <c r="B37" s="367"/>
      <c r="C37" s="368"/>
      <c r="D37" s="374"/>
      <c r="E37" s="372"/>
      <c r="F37" s="381"/>
      <c r="G37" s="383"/>
      <c r="H37" s="374"/>
      <c r="I37" s="372"/>
      <c r="J37" s="367"/>
      <c r="K37" s="367"/>
      <c r="L37" s="374"/>
      <c r="M37" s="372"/>
    </row>
    <row r="38" spans="1:14" ht="15.75" x14ac:dyDescent="0.2">
      <c r="A38" s="12" t="s">
        <v>360</v>
      </c>
      <c r="B38" s="367"/>
      <c r="C38" s="368"/>
      <c r="D38" s="374"/>
      <c r="E38" s="166"/>
      <c r="F38" s="381"/>
      <c r="G38" s="382"/>
      <c r="H38" s="374"/>
      <c r="I38" s="372"/>
      <c r="J38" s="367"/>
      <c r="K38" s="367"/>
      <c r="L38" s="374"/>
      <c r="M38" s="372"/>
    </row>
    <row r="39" spans="1:14" ht="15.75" x14ac:dyDescent="0.2">
      <c r="A39" s="18" t="s">
        <v>361</v>
      </c>
      <c r="B39" s="369"/>
      <c r="C39" s="370"/>
      <c r="D39" s="378"/>
      <c r="E39" s="167"/>
      <c r="F39" s="384"/>
      <c r="G39" s="385"/>
      <c r="H39" s="378"/>
      <c r="I39" s="372"/>
      <c r="J39" s="367"/>
      <c r="K39" s="367"/>
      <c r="L39" s="378"/>
      <c r="M39" s="378"/>
    </row>
    <row r="40" spans="1:14" ht="15.75" x14ac:dyDescent="0.25">
      <c r="A40" s="47"/>
      <c r="B40" s="258"/>
      <c r="C40" s="258"/>
      <c r="D40" s="361"/>
      <c r="E40" s="361"/>
      <c r="F40" s="361"/>
      <c r="G40" s="361"/>
      <c r="H40" s="361"/>
      <c r="I40" s="361"/>
      <c r="J40" s="361"/>
      <c r="K40" s="361"/>
      <c r="L40" s="361"/>
      <c r="M40" s="360"/>
    </row>
    <row r="41" spans="1:14" x14ac:dyDescent="0.2">
      <c r="A41" s="155"/>
    </row>
    <row r="42" spans="1:14" ht="15.75" x14ac:dyDescent="0.25">
      <c r="A42" s="147" t="s">
        <v>269</v>
      </c>
      <c r="B42" s="359"/>
      <c r="C42" s="359"/>
      <c r="D42" s="359"/>
      <c r="E42" s="359"/>
      <c r="F42" s="360"/>
      <c r="G42" s="360"/>
      <c r="H42" s="360"/>
      <c r="I42" s="360"/>
      <c r="J42" s="360"/>
      <c r="K42" s="360"/>
      <c r="L42" s="360"/>
      <c r="M42" s="360"/>
    </row>
    <row r="43" spans="1:14" ht="15.75" x14ac:dyDescent="0.25">
      <c r="A43" s="163"/>
      <c r="B43" s="358"/>
      <c r="C43" s="358"/>
      <c r="D43" s="358"/>
      <c r="E43" s="358"/>
      <c r="F43" s="360"/>
      <c r="G43" s="360"/>
      <c r="H43" s="360"/>
      <c r="I43" s="360"/>
      <c r="J43" s="360"/>
      <c r="K43" s="360"/>
      <c r="L43" s="360"/>
      <c r="M43" s="360"/>
    </row>
    <row r="44" spans="1:14" ht="15.75" x14ac:dyDescent="0.25">
      <c r="A44" s="249"/>
      <c r="B44" s="702" t="s">
        <v>0</v>
      </c>
      <c r="C44" s="703"/>
      <c r="D44" s="703"/>
      <c r="E44" s="244"/>
      <c r="F44" s="360"/>
      <c r="G44" s="360"/>
      <c r="H44" s="360"/>
      <c r="I44" s="360"/>
      <c r="J44" s="360"/>
      <c r="K44" s="360"/>
      <c r="L44" s="360"/>
      <c r="M44" s="360"/>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417" customFormat="1" ht="15.75" x14ac:dyDescent="0.2">
      <c r="A47" s="14" t="s">
        <v>23</v>
      </c>
      <c r="B47" s="367">
        <v>608906.71060999995</v>
      </c>
      <c r="C47" s="368">
        <v>650349.80735999998</v>
      </c>
      <c r="D47" s="421">
        <f>IF(AND(_xlfn.NUMBERVALUE(B47)=0,_xlfn.NUMBERVALUE(C47)=0),,IF(B47=0, "    ---- ", IF(ABS(ROUND(100/B47*C47-100,1))&lt;999,IF(ROUND(100/B47*C47-100,1)=0,"    ---- ",ROUND(100/B47*C47-100,1)),IF(ROUND(100/B47*C47-100,1)&gt;999,999,-999))))</f>
        <v>6.8</v>
      </c>
      <c r="E47" s="422">
        <f>IFERROR(100/'Skjema total MA'!C47*C47,0)</f>
        <v>14.94310332223246</v>
      </c>
      <c r="F47" s="159"/>
      <c r="G47" s="174"/>
      <c r="H47" s="159"/>
      <c r="I47" s="159"/>
      <c r="J47" s="420"/>
      <c r="K47" s="420"/>
      <c r="L47" s="159"/>
      <c r="M47" s="159"/>
      <c r="N47" s="423"/>
    </row>
    <row r="48" spans="1:14" s="3" customFormat="1" ht="15.75" x14ac:dyDescent="0.2">
      <c r="A48" s="38" t="s">
        <v>362</v>
      </c>
      <c r="B48" s="365">
        <v>93029.586379999993</v>
      </c>
      <c r="C48" s="366">
        <v>98178.827739999993</v>
      </c>
      <c r="D48" s="374">
        <f t="shared" ref="D48:D57" si="6">IF(AND(_xlfn.NUMBERVALUE(B48)=0,_xlfn.NUMBERVALUE(C48)=0),,IF(B48=0, "    ---- ", IF(ABS(ROUND(100/B48*C48-100,1))&lt;999,IF(ROUND(100/B48*C48-100,1)=0,"    ---- ",ROUND(100/B48*C48-100,1)),IF(ROUND(100/B48*C48-100,1)&gt;999,999,-999))))</f>
        <v>5.5</v>
      </c>
      <c r="E48" s="410">
        <f>IFERROR(100/'Skjema total MA'!C48*C48,0)</f>
        <v>3.9829003312415683</v>
      </c>
      <c r="F48" s="145"/>
      <c r="G48" s="33"/>
      <c r="H48" s="145"/>
      <c r="I48" s="145"/>
      <c r="J48" s="33"/>
      <c r="K48" s="33"/>
      <c r="L48" s="159"/>
      <c r="M48" s="159"/>
      <c r="N48" s="148"/>
    </row>
    <row r="49" spans="1:14" s="3" customFormat="1" ht="15.75" x14ac:dyDescent="0.2">
      <c r="A49" s="38" t="s">
        <v>363</v>
      </c>
      <c r="B49" s="365">
        <v>515877.12423000002</v>
      </c>
      <c r="C49" s="366">
        <v>552170.97962</v>
      </c>
      <c r="D49" s="374">
        <f t="shared" si="6"/>
        <v>7</v>
      </c>
      <c r="E49" s="410">
        <f>IFERROR(100/'Skjema total MA'!C49*C49,0)</f>
        <v>29.259280586842404</v>
      </c>
      <c r="F49" s="145"/>
      <c r="G49" s="33"/>
      <c r="H49" s="145"/>
      <c r="I49" s="145"/>
      <c r="J49" s="37"/>
      <c r="K49" s="37"/>
      <c r="L49" s="159"/>
      <c r="M49" s="159"/>
      <c r="N49" s="148"/>
    </row>
    <row r="50" spans="1:14" s="3" customFormat="1" x14ac:dyDescent="0.2">
      <c r="A50" s="298" t="s">
        <v>6</v>
      </c>
      <c r="B50" s="381"/>
      <c r="C50" s="381"/>
      <c r="D50" s="374"/>
      <c r="E50" s="411"/>
      <c r="F50" s="145"/>
      <c r="G50" s="33"/>
      <c r="H50" s="145"/>
      <c r="I50" s="145"/>
      <c r="J50" s="33"/>
      <c r="K50" s="33"/>
      <c r="L50" s="159"/>
      <c r="M50" s="159"/>
      <c r="N50" s="148"/>
    </row>
    <row r="51" spans="1:14" s="3" customFormat="1" x14ac:dyDescent="0.2">
      <c r="A51" s="298" t="s">
        <v>7</v>
      </c>
      <c r="B51" s="381"/>
      <c r="C51" s="381"/>
      <c r="D51" s="374"/>
      <c r="E51" s="411"/>
      <c r="F51" s="145"/>
      <c r="G51" s="33"/>
      <c r="H51" s="145"/>
      <c r="I51" s="145"/>
      <c r="J51" s="33"/>
      <c r="K51" s="33"/>
      <c r="L51" s="159"/>
      <c r="M51" s="159"/>
      <c r="N51" s="148"/>
    </row>
    <row r="52" spans="1:14" s="3" customFormat="1" x14ac:dyDescent="0.2">
      <c r="A52" s="298" t="s">
        <v>8</v>
      </c>
      <c r="B52" s="381"/>
      <c r="C52" s="381"/>
      <c r="D52" s="374"/>
      <c r="E52" s="411"/>
      <c r="F52" s="145"/>
      <c r="G52" s="33"/>
      <c r="H52" s="145"/>
      <c r="I52" s="145"/>
      <c r="J52" s="33"/>
      <c r="K52" s="33"/>
      <c r="L52" s="159"/>
      <c r="M52" s="159"/>
      <c r="N52" s="148"/>
    </row>
    <row r="53" spans="1:14" s="3" customFormat="1" ht="15.75" x14ac:dyDescent="0.2">
      <c r="A53" s="39" t="s">
        <v>364</v>
      </c>
      <c r="B53" s="367">
        <v>836</v>
      </c>
      <c r="C53" s="368">
        <v>611</v>
      </c>
      <c r="D53" s="374">
        <f t="shared" si="6"/>
        <v>-26.9</v>
      </c>
      <c r="E53" s="410">
        <f>IFERROR(100/'Skjema total MA'!C53*C53,0)</f>
        <v>0.56183640947656377</v>
      </c>
      <c r="F53" s="145"/>
      <c r="G53" s="33"/>
      <c r="H53" s="145"/>
      <c r="I53" s="145"/>
      <c r="J53" s="33"/>
      <c r="K53" s="33"/>
      <c r="L53" s="159"/>
      <c r="M53" s="159"/>
      <c r="N53" s="148"/>
    </row>
    <row r="54" spans="1:14" s="3" customFormat="1" ht="15.75" x14ac:dyDescent="0.2">
      <c r="A54" s="38" t="s">
        <v>362</v>
      </c>
      <c r="B54" s="365">
        <v>836</v>
      </c>
      <c r="C54" s="366">
        <v>611</v>
      </c>
      <c r="D54" s="374">
        <f t="shared" si="6"/>
        <v>-26.9</v>
      </c>
      <c r="E54" s="410">
        <f>IFERROR(100/'Skjema total MA'!C54*C54,0)</f>
        <v>0.56678237654113905</v>
      </c>
      <c r="F54" s="145"/>
      <c r="G54" s="33"/>
      <c r="H54" s="145"/>
      <c r="I54" s="145"/>
      <c r="J54" s="33"/>
      <c r="K54" s="33"/>
      <c r="L54" s="159"/>
      <c r="M54" s="159"/>
      <c r="N54" s="148"/>
    </row>
    <row r="55" spans="1:14" s="3" customFormat="1" ht="15.75" x14ac:dyDescent="0.2">
      <c r="A55" s="38" t="s">
        <v>363</v>
      </c>
      <c r="B55" s="365"/>
      <c r="C55" s="366"/>
      <c r="D55" s="374"/>
      <c r="E55" s="410"/>
      <c r="F55" s="145"/>
      <c r="G55" s="33"/>
      <c r="H55" s="145"/>
      <c r="I55" s="145"/>
      <c r="J55" s="33"/>
      <c r="K55" s="33"/>
      <c r="L55" s="159"/>
      <c r="M55" s="159"/>
      <c r="N55" s="148"/>
    </row>
    <row r="56" spans="1:14" s="3" customFormat="1" ht="15.75" x14ac:dyDescent="0.2">
      <c r="A56" s="39" t="s">
        <v>365</v>
      </c>
      <c r="B56" s="367">
        <v>1764</v>
      </c>
      <c r="C56" s="368">
        <v>4470</v>
      </c>
      <c r="D56" s="374">
        <f t="shared" si="6"/>
        <v>153.4</v>
      </c>
      <c r="E56" s="410">
        <f>IFERROR(100/'Skjema total MA'!C56*C56,0)</f>
        <v>5.4202651710130034</v>
      </c>
      <c r="F56" s="145"/>
      <c r="G56" s="33"/>
      <c r="H56" s="145"/>
      <c r="I56" s="145"/>
      <c r="J56" s="33"/>
      <c r="K56" s="33"/>
      <c r="L56" s="159"/>
      <c r="M56" s="159"/>
      <c r="N56" s="148"/>
    </row>
    <row r="57" spans="1:14" s="3" customFormat="1" ht="15.75" x14ac:dyDescent="0.2">
      <c r="A57" s="38" t="s">
        <v>362</v>
      </c>
      <c r="B57" s="365">
        <v>1764</v>
      </c>
      <c r="C57" s="366">
        <v>4470</v>
      </c>
      <c r="D57" s="374">
        <f t="shared" si="6"/>
        <v>153.4</v>
      </c>
      <c r="E57" s="410">
        <f>IFERROR(100/'Skjema total MA'!C57*C57,0)</f>
        <v>5.4202651710130034</v>
      </c>
      <c r="F57" s="145"/>
      <c r="G57" s="33"/>
      <c r="H57" s="145"/>
      <c r="I57" s="145"/>
      <c r="J57" s="33"/>
      <c r="K57" s="33"/>
      <c r="L57" s="159"/>
      <c r="M57" s="159"/>
      <c r="N57" s="148"/>
    </row>
    <row r="58" spans="1:14" s="3" customFormat="1" ht="15.75" x14ac:dyDescent="0.2">
      <c r="A58" s="46" t="s">
        <v>363</v>
      </c>
      <c r="B58" s="386"/>
      <c r="C58" s="387"/>
      <c r="D58" s="378"/>
      <c r="E58" s="41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358"/>
      <c r="C62" s="358"/>
      <c r="D62" s="358"/>
      <c r="E62" s="359"/>
      <c r="F62" s="358"/>
      <c r="G62" s="358"/>
      <c r="H62" s="358"/>
      <c r="I62" s="359"/>
      <c r="J62" s="358"/>
      <c r="K62" s="358"/>
      <c r="L62" s="358"/>
      <c r="M62" s="359"/>
    </row>
    <row r="63" spans="1:14" x14ac:dyDescent="0.2">
      <c r="A63" s="144"/>
      <c r="B63" s="702" t="s">
        <v>0</v>
      </c>
      <c r="C63" s="703"/>
      <c r="D63" s="704"/>
      <c r="E63" s="355"/>
      <c r="F63" s="703" t="s">
        <v>1</v>
      </c>
      <c r="G63" s="703"/>
      <c r="H63" s="703"/>
      <c r="I63" s="357"/>
      <c r="J63" s="702" t="s">
        <v>2</v>
      </c>
      <c r="K63" s="703"/>
      <c r="L63" s="703"/>
      <c r="M63" s="357"/>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88"/>
      <c r="C66" s="388"/>
      <c r="D66" s="371"/>
      <c r="E66" s="372"/>
      <c r="F66" s="388"/>
      <c r="G66" s="388"/>
      <c r="H66" s="371"/>
      <c r="I66" s="372"/>
      <c r="J66" s="368"/>
      <c r="K66" s="362"/>
      <c r="L66" s="374"/>
      <c r="M66" s="372"/>
    </row>
    <row r="67" spans="1:14" x14ac:dyDescent="0.2">
      <c r="A67" s="21" t="s">
        <v>9</v>
      </c>
      <c r="B67" s="365"/>
      <c r="C67" s="389"/>
      <c r="D67" s="374"/>
      <c r="E67" s="372"/>
      <c r="F67" s="377"/>
      <c r="G67" s="389"/>
      <c r="H67" s="374"/>
      <c r="I67" s="372"/>
      <c r="J67" s="366"/>
      <c r="K67" s="365"/>
      <c r="L67" s="374"/>
      <c r="M67" s="372"/>
    </row>
    <row r="68" spans="1:14" x14ac:dyDescent="0.2">
      <c r="A68" s="21" t="s">
        <v>10</v>
      </c>
      <c r="B68" s="390"/>
      <c r="C68" s="391"/>
      <c r="D68" s="374"/>
      <c r="E68" s="372"/>
      <c r="F68" s="390"/>
      <c r="G68" s="391"/>
      <c r="H68" s="374"/>
      <c r="I68" s="372"/>
      <c r="J68" s="366"/>
      <c r="K68" s="365"/>
      <c r="L68" s="374"/>
      <c r="M68" s="372"/>
    </row>
    <row r="69" spans="1:14" ht="15.75" x14ac:dyDescent="0.2">
      <c r="A69" s="298" t="s">
        <v>366</v>
      </c>
      <c r="B69" s="381"/>
      <c r="C69" s="381"/>
      <c r="D69" s="374"/>
      <c r="E69" s="374"/>
      <c r="F69" s="381"/>
      <c r="G69" s="381"/>
      <c r="H69" s="374"/>
      <c r="I69" s="374"/>
      <c r="J69" s="381"/>
      <c r="K69" s="381"/>
      <c r="L69" s="374"/>
      <c r="M69" s="372"/>
    </row>
    <row r="70" spans="1:14" x14ac:dyDescent="0.2">
      <c r="A70" s="298" t="s">
        <v>12</v>
      </c>
      <c r="B70" s="381"/>
      <c r="C70" s="381"/>
      <c r="D70" s="374"/>
      <c r="E70" s="374"/>
      <c r="F70" s="381"/>
      <c r="G70" s="381"/>
      <c r="H70" s="374"/>
      <c r="I70" s="374"/>
      <c r="J70" s="381"/>
      <c r="K70" s="381"/>
      <c r="L70" s="374"/>
      <c r="M70" s="372"/>
    </row>
    <row r="71" spans="1:14" x14ac:dyDescent="0.2">
      <c r="A71" s="298" t="s">
        <v>13</v>
      </c>
      <c r="B71" s="381"/>
      <c r="C71" s="381"/>
      <c r="D71" s="374"/>
      <c r="E71" s="374"/>
      <c r="F71" s="381"/>
      <c r="G71" s="381"/>
      <c r="H71" s="374"/>
      <c r="I71" s="374"/>
      <c r="J71" s="381"/>
      <c r="K71" s="381"/>
      <c r="L71" s="374"/>
      <c r="M71" s="372"/>
    </row>
    <row r="72" spans="1:14" ht="15.75" x14ac:dyDescent="0.2">
      <c r="A72" s="298" t="s">
        <v>367</v>
      </c>
      <c r="B72" s="381"/>
      <c r="C72" s="381"/>
      <c r="D72" s="374"/>
      <c r="E72" s="374"/>
      <c r="F72" s="381"/>
      <c r="G72" s="381"/>
      <c r="H72" s="374"/>
      <c r="I72" s="374"/>
      <c r="J72" s="381"/>
      <c r="K72" s="381"/>
      <c r="L72" s="374"/>
      <c r="M72" s="372"/>
    </row>
    <row r="73" spans="1:14" x14ac:dyDescent="0.2">
      <c r="A73" s="298" t="s">
        <v>12</v>
      </c>
      <c r="B73" s="392"/>
      <c r="C73" s="393"/>
      <c r="D73" s="374"/>
      <c r="E73" s="374"/>
      <c r="F73" s="381"/>
      <c r="G73" s="381"/>
      <c r="H73" s="374"/>
      <c r="I73" s="374"/>
      <c r="J73" s="381"/>
      <c r="K73" s="381"/>
      <c r="L73" s="374"/>
      <c r="M73" s="372"/>
    </row>
    <row r="74" spans="1:14" s="3" customFormat="1" x14ac:dyDescent="0.2">
      <c r="A74" s="298" t="s">
        <v>13</v>
      </c>
      <c r="B74" s="392"/>
      <c r="C74" s="393"/>
      <c r="D74" s="374"/>
      <c r="E74" s="374"/>
      <c r="F74" s="381"/>
      <c r="G74" s="381"/>
      <c r="H74" s="374"/>
      <c r="I74" s="374"/>
      <c r="J74" s="381"/>
      <c r="K74" s="381"/>
      <c r="L74" s="374"/>
      <c r="M74" s="372"/>
      <c r="N74" s="148"/>
    </row>
    <row r="75" spans="1:14" s="3" customFormat="1" x14ac:dyDescent="0.2">
      <c r="A75" s="21" t="s">
        <v>338</v>
      </c>
      <c r="B75" s="377"/>
      <c r="C75" s="389"/>
      <c r="D75" s="374"/>
      <c r="E75" s="372"/>
      <c r="F75" s="377"/>
      <c r="G75" s="389"/>
      <c r="H75" s="374"/>
      <c r="I75" s="372"/>
      <c r="J75" s="366"/>
      <c r="K75" s="365"/>
      <c r="L75" s="374"/>
      <c r="M75" s="372"/>
      <c r="N75" s="148"/>
    </row>
    <row r="76" spans="1:14" s="3" customFormat="1" x14ac:dyDescent="0.2">
      <c r="A76" s="21" t="s">
        <v>337</v>
      </c>
      <c r="B76" s="377"/>
      <c r="C76" s="389"/>
      <c r="D76" s="374"/>
      <c r="E76" s="372"/>
      <c r="F76" s="377"/>
      <c r="G76" s="389"/>
      <c r="H76" s="374"/>
      <c r="I76" s="372"/>
      <c r="J76" s="366"/>
      <c r="K76" s="365"/>
      <c r="L76" s="374"/>
      <c r="M76" s="372"/>
      <c r="N76" s="148"/>
    </row>
    <row r="77" spans="1:14" ht="15.75" x14ac:dyDescent="0.2">
      <c r="A77" s="21" t="s">
        <v>368</v>
      </c>
      <c r="B77" s="377"/>
      <c r="C77" s="377"/>
      <c r="D77" s="374"/>
      <c r="E77" s="372"/>
      <c r="F77" s="377"/>
      <c r="G77" s="389"/>
      <c r="H77" s="374"/>
      <c r="I77" s="372"/>
      <c r="J77" s="366"/>
      <c r="K77" s="365"/>
      <c r="L77" s="374"/>
      <c r="M77" s="372"/>
    </row>
    <row r="78" spans="1:14" x14ac:dyDescent="0.2">
      <c r="A78" s="21" t="s">
        <v>9</v>
      </c>
      <c r="B78" s="377"/>
      <c r="C78" s="389"/>
      <c r="D78" s="374"/>
      <c r="E78" s="372"/>
      <c r="F78" s="377"/>
      <c r="G78" s="389"/>
      <c r="H78" s="374"/>
      <c r="I78" s="372"/>
      <c r="J78" s="366"/>
      <c r="K78" s="365"/>
      <c r="L78" s="374"/>
      <c r="M78" s="372"/>
    </row>
    <row r="79" spans="1:14" x14ac:dyDescent="0.2">
      <c r="A79" s="38" t="s">
        <v>403</v>
      </c>
      <c r="B79" s="390"/>
      <c r="C79" s="391"/>
      <c r="D79" s="374"/>
      <c r="E79" s="372"/>
      <c r="F79" s="390"/>
      <c r="G79" s="391"/>
      <c r="H79" s="374"/>
      <c r="I79" s="372"/>
      <c r="J79" s="366"/>
      <c r="K79" s="365"/>
      <c r="L79" s="374"/>
      <c r="M79" s="372"/>
    </row>
    <row r="80" spans="1:14" ht="15.75" x14ac:dyDescent="0.2">
      <c r="A80" s="298" t="s">
        <v>366</v>
      </c>
      <c r="B80" s="381"/>
      <c r="C80" s="381"/>
      <c r="D80" s="374"/>
      <c r="E80" s="374"/>
      <c r="F80" s="381"/>
      <c r="G80" s="381"/>
      <c r="H80" s="374"/>
      <c r="I80" s="374"/>
      <c r="J80" s="381"/>
      <c r="K80" s="381"/>
      <c r="L80" s="374"/>
      <c r="M80" s="372"/>
    </row>
    <row r="81" spans="1:13" x14ac:dyDescent="0.2">
      <c r="A81" s="298" t="s">
        <v>12</v>
      </c>
      <c r="B81" s="381"/>
      <c r="C81" s="381"/>
      <c r="D81" s="374"/>
      <c r="E81" s="374"/>
      <c r="F81" s="381"/>
      <c r="G81" s="381"/>
      <c r="H81" s="374"/>
      <c r="I81" s="374"/>
      <c r="J81" s="381"/>
      <c r="K81" s="381"/>
      <c r="L81" s="374"/>
      <c r="M81" s="372"/>
    </row>
    <row r="82" spans="1:13" x14ac:dyDescent="0.2">
      <c r="A82" s="298" t="s">
        <v>13</v>
      </c>
      <c r="B82" s="381"/>
      <c r="C82" s="381"/>
      <c r="D82" s="374"/>
      <c r="E82" s="374"/>
      <c r="F82" s="381"/>
      <c r="G82" s="381"/>
      <c r="H82" s="374"/>
      <c r="I82" s="374"/>
      <c r="J82" s="381"/>
      <c r="K82" s="381"/>
      <c r="L82" s="374"/>
      <c r="M82" s="372"/>
    </row>
    <row r="83" spans="1:13" ht="15.75" x14ac:dyDescent="0.2">
      <c r="A83" s="298" t="s">
        <v>367</v>
      </c>
      <c r="B83" s="381"/>
      <c r="C83" s="381"/>
      <c r="D83" s="374"/>
      <c r="E83" s="374"/>
      <c r="F83" s="381"/>
      <c r="G83" s="381"/>
      <c r="H83" s="374"/>
      <c r="I83" s="374"/>
      <c r="J83" s="381"/>
      <c r="K83" s="381"/>
      <c r="L83" s="374"/>
      <c r="M83" s="372"/>
    </row>
    <row r="84" spans="1:13" x14ac:dyDescent="0.2">
      <c r="A84" s="298" t="s">
        <v>12</v>
      </c>
      <c r="B84" s="392"/>
      <c r="C84" s="393"/>
      <c r="D84" s="374"/>
      <c r="E84" s="374"/>
      <c r="F84" s="381"/>
      <c r="G84" s="381"/>
      <c r="H84" s="374"/>
      <c r="I84" s="374"/>
      <c r="J84" s="381"/>
      <c r="K84" s="381"/>
      <c r="L84" s="374"/>
      <c r="M84" s="372"/>
    </row>
    <row r="85" spans="1:13" x14ac:dyDescent="0.2">
      <c r="A85" s="298" t="s">
        <v>13</v>
      </c>
      <c r="B85" s="392"/>
      <c r="C85" s="393"/>
      <c r="D85" s="374"/>
      <c r="E85" s="374"/>
      <c r="F85" s="381"/>
      <c r="G85" s="381"/>
      <c r="H85" s="374"/>
      <c r="I85" s="374"/>
      <c r="J85" s="381"/>
      <c r="K85" s="381"/>
      <c r="L85" s="374"/>
      <c r="M85" s="372"/>
    </row>
    <row r="86" spans="1:13" ht="15.75" x14ac:dyDescent="0.2">
      <c r="A86" s="21" t="s">
        <v>369</v>
      </c>
      <c r="B86" s="377"/>
      <c r="C86" s="389"/>
      <c r="D86" s="374"/>
      <c r="E86" s="372"/>
      <c r="F86" s="377"/>
      <c r="G86" s="389"/>
      <c r="H86" s="374"/>
      <c r="I86" s="372"/>
      <c r="J86" s="366"/>
      <c r="K86" s="365"/>
      <c r="L86" s="374"/>
      <c r="M86" s="372"/>
    </row>
    <row r="87" spans="1:13" ht="15.75" x14ac:dyDescent="0.2">
      <c r="A87" s="13" t="s">
        <v>351</v>
      </c>
      <c r="B87" s="388"/>
      <c r="C87" s="388"/>
      <c r="D87" s="374"/>
      <c r="E87" s="372"/>
      <c r="F87" s="388"/>
      <c r="G87" s="388"/>
      <c r="H87" s="374"/>
      <c r="I87" s="372"/>
      <c r="J87" s="368"/>
      <c r="K87" s="367"/>
      <c r="L87" s="374"/>
      <c r="M87" s="372"/>
    </row>
    <row r="88" spans="1:13" x14ac:dyDescent="0.2">
      <c r="A88" s="21" t="s">
        <v>9</v>
      </c>
      <c r="B88" s="377"/>
      <c r="C88" s="389"/>
      <c r="D88" s="374"/>
      <c r="E88" s="372"/>
      <c r="F88" s="377"/>
      <c r="G88" s="389"/>
      <c r="H88" s="374"/>
      <c r="I88" s="372"/>
      <c r="J88" s="366"/>
      <c r="K88" s="365"/>
      <c r="L88" s="374"/>
      <c r="M88" s="372"/>
    </row>
    <row r="89" spans="1:13" x14ac:dyDescent="0.2">
      <c r="A89" s="21" t="s">
        <v>10</v>
      </c>
      <c r="B89" s="377"/>
      <c r="C89" s="389"/>
      <c r="D89" s="374"/>
      <c r="E89" s="372"/>
      <c r="F89" s="377"/>
      <c r="G89" s="389"/>
      <c r="H89" s="374"/>
      <c r="I89" s="372"/>
      <c r="J89" s="366"/>
      <c r="K89" s="365"/>
      <c r="L89" s="374"/>
      <c r="M89" s="372"/>
    </row>
    <row r="90" spans="1:13" ht="15.75" x14ac:dyDescent="0.2">
      <c r="A90" s="298" t="s">
        <v>366</v>
      </c>
      <c r="B90" s="381"/>
      <c r="C90" s="381"/>
      <c r="D90" s="374"/>
      <c r="E90" s="374"/>
      <c r="F90" s="381"/>
      <c r="G90" s="381"/>
      <c r="H90" s="374"/>
      <c r="I90" s="374"/>
      <c r="J90" s="381"/>
      <c r="K90" s="381"/>
      <c r="L90" s="374"/>
      <c r="M90" s="372"/>
    </row>
    <row r="91" spans="1:13" x14ac:dyDescent="0.2">
      <c r="A91" s="298" t="s">
        <v>12</v>
      </c>
      <c r="B91" s="381"/>
      <c r="C91" s="381"/>
      <c r="D91" s="374"/>
      <c r="E91" s="374"/>
      <c r="F91" s="381"/>
      <c r="G91" s="381"/>
      <c r="H91" s="374"/>
      <c r="I91" s="374"/>
      <c r="J91" s="381"/>
      <c r="K91" s="381"/>
      <c r="L91" s="374"/>
      <c r="M91" s="372"/>
    </row>
    <row r="92" spans="1:13" x14ac:dyDescent="0.2">
      <c r="A92" s="298" t="s">
        <v>13</v>
      </c>
      <c r="B92" s="381"/>
      <c r="C92" s="381"/>
      <c r="D92" s="374"/>
      <c r="E92" s="374"/>
      <c r="F92" s="381"/>
      <c r="G92" s="381"/>
      <c r="H92" s="374"/>
      <c r="I92" s="374"/>
      <c r="J92" s="381"/>
      <c r="K92" s="381"/>
      <c r="L92" s="374"/>
      <c r="M92" s="372"/>
    </row>
    <row r="93" spans="1:13" ht="15.75" x14ac:dyDescent="0.2">
      <c r="A93" s="298" t="s">
        <v>367</v>
      </c>
      <c r="B93" s="381"/>
      <c r="C93" s="381"/>
      <c r="D93" s="374"/>
      <c r="E93" s="374"/>
      <c r="F93" s="381"/>
      <c r="G93" s="381"/>
      <c r="H93" s="374"/>
      <c r="I93" s="374"/>
      <c r="J93" s="381"/>
      <c r="K93" s="381"/>
      <c r="L93" s="374"/>
      <c r="M93" s="372"/>
    </row>
    <row r="94" spans="1:13" x14ac:dyDescent="0.2">
      <c r="A94" s="298" t="s">
        <v>12</v>
      </c>
      <c r="B94" s="392"/>
      <c r="C94" s="393"/>
      <c r="D94" s="374"/>
      <c r="E94" s="374"/>
      <c r="F94" s="381"/>
      <c r="G94" s="381"/>
      <c r="H94" s="374"/>
      <c r="I94" s="374"/>
      <c r="J94" s="381"/>
      <c r="K94" s="381"/>
      <c r="L94" s="374"/>
      <c r="M94" s="372"/>
    </row>
    <row r="95" spans="1:13" x14ac:dyDescent="0.2">
      <c r="A95" s="298" t="s">
        <v>13</v>
      </c>
      <c r="B95" s="392"/>
      <c r="C95" s="393"/>
      <c r="D95" s="374"/>
      <c r="E95" s="374"/>
      <c r="F95" s="381"/>
      <c r="G95" s="381"/>
      <c r="H95" s="374"/>
      <c r="I95" s="374"/>
      <c r="J95" s="381"/>
      <c r="K95" s="381"/>
      <c r="L95" s="374"/>
      <c r="M95" s="372"/>
    </row>
    <row r="96" spans="1:13" x14ac:dyDescent="0.2">
      <c r="A96" s="21" t="s">
        <v>336</v>
      </c>
      <c r="B96" s="377"/>
      <c r="C96" s="389"/>
      <c r="D96" s="374"/>
      <c r="E96" s="372"/>
      <c r="F96" s="377"/>
      <c r="G96" s="389"/>
      <c r="H96" s="374"/>
      <c r="I96" s="372"/>
      <c r="J96" s="366"/>
      <c r="K96" s="365"/>
      <c r="L96" s="374"/>
      <c r="M96" s="372"/>
    </row>
    <row r="97" spans="1:15" x14ac:dyDescent="0.2">
      <c r="A97" s="21" t="s">
        <v>335</v>
      </c>
      <c r="B97" s="377"/>
      <c r="C97" s="389"/>
      <c r="D97" s="374"/>
      <c r="E97" s="372"/>
      <c r="F97" s="377"/>
      <c r="G97" s="389"/>
      <c r="H97" s="374"/>
      <c r="I97" s="372"/>
      <c r="J97" s="366"/>
      <c r="K97" s="365"/>
      <c r="L97" s="374"/>
      <c r="M97" s="372"/>
    </row>
    <row r="98" spans="1:15" ht="15.75" x14ac:dyDescent="0.2">
      <c r="A98" s="21" t="s">
        <v>368</v>
      </c>
      <c r="B98" s="377"/>
      <c r="C98" s="377"/>
      <c r="D98" s="374"/>
      <c r="E98" s="372"/>
      <c r="F98" s="390"/>
      <c r="G98" s="390"/>
      <c r="H98" s="374"/>
      <c r="I98" s="372"/>
      <c r="J98" s="366"/>
      <c r="K98" s="365"/>
      <c r="L98" s="374"/>
      <c r="M98" s="372"/>
    </row>
    <row r="99" spans="1:15" x14ac:dyDescent="0.2">
      <c r="A99" s="21" t="s">
        <v>9</v>
      </c>
      <c r="B99" s="390"/>
      <c r="C99" s="391"/>
      <c r="D99" s="374"/>
      <c r="E99" s="372"/>
      <c r="F99" s="377"/>
      <c r="G99" s="389"/>
      <c r="H99" s="374"/>
      <c r="I99" s="372"/>
      <c r="J99" s="366"/>
      <c r="K99" s="365"/>
      <c r="L99" s="374"/>
      <c r="M99" s="372"/>
    </row>
    <row r="100" spans="1:15" x14ac:dyDescent="0.2">
      <c r="A100" s="38" t="s">
        <v>403</v>
      </c>
      <c r="B100" s="390"/>
      <c r="C100" s="391"/>
      <c r="D100" s="374"/>
      <c r="E100" s="372"/>
      <c r="F100" s="377"/>
      <c r="G100" s="377"/>
      <c r="H100" s="374"/>
      <c r="I100" s="372"/>
      <c r="J100" s="366"/>
      <c r="K100" s="365"/>
      <c r="L100" s="374"/>
      <c r="M100" s="372"/>
    </row>
    <row r="101" spans="1:15" ht="15.75" x14ac:dyDescent="0.2">
      <c r="A101" s="298" t="s">
        <v>366</v>
      </c>
      <c r="B101" s="381"/>
      <c r="C101" s="381"/>
      <c r="D101" s="374"/>
      <c r="E101" s="374"/>
      <c r="F101" s="381"/>
      <c r="G101" s="381"/>
      <c r="H101" s="374"/>
      <c r="I101" s="374"/>
      <c r="J101" s="381"/>
      <c r="K101" s="381"/>
      <c r="L101" s="374"/>
      <c r="M101" s="372"/>
    </row>
    <row r="102" spans="1:15" x14ac:dyDescent="0.2">
      <c r="A102" s="298" t="s">
        <v>12</v>
      </c>
      <c r="B102" s="381"/>
      <c r="C102" s="381"/>
      <c r="D102" s="374"/>
      <c r="E102" s="374"/>
      <c r="F102" s="381"/>
      <c r="G102" s="381"/>
      <c r="H102" s="374"/>
      <c r="I102" s="374"/>
      <c r="J102" s="381"/>
      <c r="K102" s="381"/>
      <c r="L102" s="374"/>
      <c r="M102" s="372"/>
    </row>
    <row r="103" spans="1:15" x14ac:dyDescent="0.2">
      <c r="A103" s="298" t="s">
        <v>13</v>
      </c>
      <c r="B103" s="381"/>
      <c r="C103" s="381"/>
      <c r="D103" s="374"/>
      <c r="E103" s="374"/>
      <c r="F103" s="381"/>
      <c r="G103" s="381"/>
      <c r="H103" s="374"/>
      <c r="I103" s="374"/>
      <c r="J103" s="381"/>
      <c r="K103" s="381"/>
      <c r="L103" s="374"/>
      <c r="M103" s="372"/>
    </row>
    <row r="104" spans="1:15" ht="15.75" x14ac:dyDescent="0.2">
      <c r="A104" s="298" t="s">
        <v>367</v>
      </c>
      <c r="B104" s="381"/>
      <c r="C104" s="381"/>
      <c r="D104" s="374"/>
      <c r="E104" s="374"/>
      <c r="F104" s="381"/>
      <c r="G104" s="381"/>
      <c r="H104" s="374"/>
      <c r="I104" s="374"/>
      <c r="J104" s="381"/>
      <c r="K104" s="381"/>
      <c r="L104" s="374"/>
      <c r="M104" s="372"/>
    </row>
    <row r="105" spans="1:15" x14ac:dyDescent="0.2">
      <c r="A105" s="298" t="s">
        <v>12</v>
      </c>
      <c r="B105" s="392"/>
      <c r="C105" s="393"/>
      <c r="D105" s="374"/>
      <c r="E105" s="374"/>
      <c r="F105" s="381"/>
      <c r="G105" s="381"/>
      <c r="H105" s="374"/>
      <c r="I105" s="374"/>
      <c r="J105" s="381"/>
      <c r="K105" s="381"/>
      <c r="L105" s="374"/>
      <c r="M105" s="372"/>
    </row>
    <row r="106" spans="1:15" x14ac:dyDescent="0.2">
      <c r="A106" s="298" t="s">
        <v>13</v>
      </c>
      <c r="B106" s="392"/>
      <c r="C106" s="393"/>
      <c r="D106" s="374"/>
      <c r="E106" s="374"/>
      <c r="F106" s="381"/>
      <c r="G106" s="381"/>
      <c r="H106" s="374"/>
      <c r="I106" s="374"/>
      <c r="J106" s="381"/>
      <c r="K106" s="381"/>
      <c r="L106" s="374"/>
      <c r="M106" s="372"/>
    </row>
    <row r="107" spans="1:15" ht="15.75" x14ac:dyDescent="0.2">
      <c r="A107" s="21" t="s">
        <v>369</v>
      </c>
      <c r="B107" s="377"/>
      <c r="C107" s="389"/>
      <c r="D107" s="374"/>
      <c r="E107" s="372"/>
      <c r="F107" s="377"/>
      <c r="G107" s="389"/>
      <c r="H107" s="374"/>
      <c r="I107" s="372"/>
      <c r="J107" s="366"/>
      <c r="K107" s="365"/>
      <c r="L107" s="374"/>
      <c r="M107" s="372"/>
    </row>
    <row r="108" spans="1:15" ht="15.75" x14ac:dyDescent="0.2">
      <c r="A108" s="21" t="s">
        <v>370</v>
      </c>
      <c r="B108" s="377"/>
      <c r="C108" s="377"/>
      <c r="D108" s="374"/>
      <c r="E108" s="372"/>
      <c r="F108" s="377"/>
      <c r="G108" s="377"/>
      <c r="H108" s="374"/>
      <c r="I108" s="372"/>
      <c r="J108" s="366"/>
      <c r="K108" s="365"/>
      <c r="L108" s="374"/>
      <c r="M108" s="372"/>
    </row>
    <row r="109" spans="1:15" ht="15.75" x14ac:dyDescent="0.2">
      <c r="A109" s="38" t="s">
        <v>417</v>
      </c>
      <c r="B109" s="377"/>
      <c r="C109" s="377"/>
      <c r="D109" s="374"/>
      <c r="E109" s="372"/>
      <c r="F109" s="377"/>
      <c r="G109" s="377"/>
      <c r="H109" s="374"/>
      <c r="I109" s="372"/>
      <c r="J109" s="366"/>
      <c r="K109" s="365"/>
      <c r="L109" s="374"/>
      <c r="M109" s="372"/>
      <c r="O109" s="3"/>
    </row>
    <row r="110" spans="1:15" ht="15.75" x14ac:dyDescent="0.2">
      <c r="A110" s="21" t="s">
        <v>371</v>
      </c>
      <c r="B110" s="377"/>
      <c r="C110" s="377"/>
      <c r="D110" s="374"/>
      <c r="E110" s="372"/>
      <c r="F110" s="377"/>
      <c r="G110" s="377"/>
      <c r="H110" s="374"/>
      <c r="I110" s="372"/>
      <c r="J110" s="366"/>
      <c r="K110" s="365"/>
      <c r="L110" s="374"/>
      <c r="M110" s="372"/>
    </row>
    <row r="111" spans="1:15" ht="15.75" x14ac:dyDescent="0.2">
      <c r="A111" s="13" t="s">
        <v>352</v>
      </c>
      <c r="B111" s="373"/>
      <c r="C111" s="394"/>
      <c r="D111" s="374"/>
      <c r="E111" s="372"/>
      <c r="F111" s="373"/>
      <c r="G111" s="394"/>
      <c r="H111" s="374"/>
      <c r="I111" s="372"/>
      <c r="J111" s="368"/>
      <c r="K111" s="367"/>
      <c r="L111" s="374"/>
      <c r="M111" s="372"/>
    </row>
    <row r="112" spans="1:15" x14ac:dyDescent="0.2">
      <c r="A112" s="21" t="s">
        <v>9</v>
      </c>
      <c r="B112" s="377"/>
      <c r="C112" s="389"/>
      <c r="D112" s="374"/>
      <c r="E112" s="372"/>
      <c r="F112" s="377"/>
      <c r="G112" s="389"/>
      <c r="H112" s="374"/>
      <c r="I112" s="372"/>
      <c r="J112" s="366"/>
      <c r="K112" s="365"/>
      <c r="L112" s="374"/>
      <c r="M112" s="372"/>
    </row>
    <row r="113" spans="1:14" x14ac:dyDescent="0.2">
      <c r="A113" s="21" t="s">
        <v>10</v>
      </c>
      <c r="B113" s="377"/>
      <c r="C113" s="389"/>
      <c r="D113" s="374"/>
      <c r="E113" s="372"/>
      <c r="F113" s="377"/>
      <c r="G113" s="389"/>
      <c r="H113" s="374"/>
      <c r="I113" s="372"/>
      <c r="J113" s="366"/>
      <c r="K113" s="365"/>
      <c r="L113" s="374"/>
      <c r="M113" s="372"/>
    </row>
    <row r="114" spans="1:14" x14ac:dyDescent="0.2">
      <c r="A114" s="21" t="s">
        <v>26</v>
      </c>
      <c r="B114" s="377"/>
      <c r="C114" s="389"/>
      <c r="D114" s="374"/>
      <c r="E114" s="372"/>
      <c r="F114" s="377"/>
      <c r="G114" s="389"/>
      <c r="H114" s="374"/>
      <c r="I114" s="372"/>
      <c r="J114" s="366"/>
      <c r="K114" s="365"/>
      <c r="L114" s="374"/>
      <c r="M114" s="372"/>
    </row>
    <row r="115" spans="1:14" x14ac:dyDescent="0.2">
      <c r="A115" s="298" t="s">
        <v>15</v>
      </c>
      <c r="B115" s="365"/>
      <c r="C115" s="365"/>
      <c r="D115" s="374"/>
      <c r="E115" s="396"/>
      <c r="F115" s="365"/>
      <c r="G115" s="365"/>
      <c r="H115" s="374"/>
      <c r="I115" s="372"/>
      <c r="J115" s="364"/>
      <c r="K115" s="364"/>
      <c r="L115" s="374"/>
      <c r="M115" s="372"/>
    </row>
    <row r="116" spans="1:14" ht="15.75" x14ac:dyDescent="0.2">
      <c r="A116" s="21" t="s">
        <v>372</v>
      </c>
      <c r="B116" s="377"/>
      <c r="C116" s="377"/>
      <c r="D116" s="374"/>
      <c r="E116" s="372"/>
      <c r="F116" s="377"/>
      <c r="G116" s="377"/>
      <c r="H116" s="374"/>
      <c r="I116" s="372"/>
      <c r="J116" s="366"/>
      <c r="K116" s="365"/>
      <c r="L116" s="374"/>
      <c r="M116" s="372"/>
    </row>
    <row r="117" spans="1:14" ht="15.75" x14ac:dyDescent="0.2">
      <c r="A117" s="38" t="s">
        <v>417</v>
      </c>
      <c r="B117" s="377"/>
      <c r="C117" s="377"/>
      <c r="D117" s="374"/>
      <c r="E117" s="372"/>
      <c r="F117" s="377"/>
      <c r="G117" s="377"/>
      <c r="H117" s="374"/>
      <c r="I117" s="372"/>
      <c r="J117" s="366"/>
      <c r="K117" s="365"/>
      <c r="L117" s="374"/>
      <c r="M117" s="372"/>
    </row>
    <row r="118" spans="1:14" ht="15.75" x14ac:dyDescent="0.2">
      <c r="A118" s="21" t="s">
        <v>371</v>
      </c>
      <c r="B118" s="377"/>
      <c r="C118" s="377"/>
      <c r="D118" s="374"/>
      <c r="E118" s="372"/>
      <c r="F118" s="377"/>
      <c r="G118" s="377"/>
      <c r="H118" s="374"/>
      <c r="I118" s="372"/>
      <c r="J118" s="366"/>
      <c r="K118" s="365"/>
      <c r="L118" s="374"/>
      <c r="M118" s="372"/>
    </row>
    <row r="119" spans="1:14" ht="15.75" x14ac:dyDescent="0.2">
      <c r="A119" s="13" t="s">
        <v>353</v>
      </c>
      <c r="B119" s="373"/>
      <c r="C119" s="394"/>
      <c r="D119" s="374"/>
      <c r="E119" s="372"/>
      <c r="F119" s="373"/>
      <c r="G119" s="394"/>
      <c r="H119" s="374"/>
      <c r="I119" s="372"/>
      <c r="J119" s="368"/>
      <c r="K119" s="367"/>
      <c r="L119" s="374"/>
      <c r="M119" s="372"/>
    </row>
    <row r="120" spans="1:14" x14ac:dyDescent="0.2">
      <c r="A120" s="21" t="s">
        <v>9</v>
      </c>
      <c r="B120" s="377"/>
      <c r="C120" s="389"/>
      <c r="D120" s="374"/>
      <c r="E120" s="372"/>
      <c r="F120" s="377"/>
      <c r="G120" s="389"/>
      <c r="H120" s="374"/>
      <c r="I120" s="372"/>
      <c r="J120" s="366"/>
      <c r="K120" s="365"/>
      <c r="L120" s="374"/>
      <c r="M120" s="372"/>
    </row>
    <row r="121" spans="1:14" x14ac:dyDescent="0.2">
      <c r="A121" s="21" t="s">
        <v>10</v>
      </c>
      <c r="B121" s="377"/>
      <c r="C121" s="389"/>
      <c r="D121" s="374"/>
      <c r="E121" s="372"/>
      <c r="F121" s="377"/>
      <c r="G121" s="389"/>
      <c r="H121" s="374"/>
      <c r="I121" s="372"/>
      <c r="J121" s="366"/>
      <c r="K121" s="365"/>
      <c r="L121" s="374"/>
      <c r="M121" s="372"/>
    </row>
    <row r="122" spans="1:14" x14ac:dyDescent="0.2">
      <c r="A122" s="21" t="s">
        <v>26</v>
      </c>
      <c r="B122" s="377"/>
      <c r="C122" s="389"/>
      <c r="D122" s="374"/>
      <c r="E122" s="372"/>
      <c r="F122" s="377"/>
      <c r="G122" s="389"/>
      <c r="H122" s="374"/>
      <c r="I122" s="372"/>
      <c r="J122" s="366"/>
      <c r="K122" s="365"/>
      <c r="L122" s="374"/>
      <c r="M122" s="372"/>
    </row>
    <row r="123" spans="1:14" x14ac:dyDescent="0.2">
      <c r="A123" s="298" t="s">
        <v>14</v>
      </c>
      <c r="B123" s="365"/>
      <c r="C123" s="365"/>
      <c r="D123" s="374"/>
      <c r="E123" s="396"/>
      <c r="F123" s="365"/>
      <c r="G123" s="365"/>
      <c r="H123" s="374"/>
      <c r="I123" s="372"/>
      <c r="J123" s="364"/>
      <c r="K123" s="364"/>
      <c r="L123" s="374"/>
      <c r="M123" s="372"/>
    </row>
    <row r="124" spans="1:14" ht="15.75" x14ac:dyDescent="0.2">
      <c r="A124" s="21" t="s">
        <v>377</v>
      </c>
      <c r="B124" s="377"/>
      <c r="C124" s="377"/>
      <c r="D124" s="374"/>
      <c r="E124" s="372"/>
      <c r="F124" s="377"/>
      <c r="G124" s="377"/>
      <c r="H124" s="374"/>
      <c r="I124" s="372"/>
      <c r="J124" s="366"/>
      <c r="K124" s="365"/>
      <c r="L124" s="374"/>
      <c r="M124" s="372"/>
    </row>
    <row r="125" spans="1:14" ht="15.75" x14ac:dyDescent="0.2">
      <c r="A125" s="38" t="s">
        <v>417</v>
      </c>
      <c r="B125" s="377"/>
      <c r="C125" s="377"/>
      <c r="D125" s="374"/>
      <c r="E125" s="372"/>
      <c r="F125" s="377"/>
      <c r="G125" s="377"/>
      <c r="H125" s="374"/>
      <c r="I125" s="372"/>
      <c r="J125" s="366"/>
      <c r="K125" s="365"/>
      <c r="L125" s="374"/>
      <c r="M125" s="372"/>
    </row>
    <row r="126" spans="1:14" ht="15.75" x14ac:dyDescent="0.2">
      <c r="A126" s="10" t="s">
        <v>371</v>
      </c>
      <c r="B126" s="386"/>
      <c r="C126" s="386"/>
      <c r="D126" s="378"/>
      <c r="E126" s="395"/>
      <c r="F126" s="386"/>
      <c r="G126" s="386"/>
      <c r="H126" s="378"/>
      <c r="I126" s="378"/>
      <c r="J126" s="387"/>
      <c r="K126" s="386"/>
      <c r="L126" s="378"/>
      <c r="M126" s="378"/>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358"/>
      <c r="C130" s="358"/>
      <c r="D130" s="358"/>
      <c r="E130" s="359"/>
      <c r="F130" s="358"/>
      <c r="G130" s="358"/>
      <c r="H130" s="358"/>
      <c r="I130" s="359"/>
      <c r="J130" s="358"/>
      <c r="K130" s="358"/>
      <c r="L130" s="358"/>
      <c r="M130" s="359"/>
    </row>
    <row r="131" spans="1:14" s="3" customFormat="1" x14ac:dyDescent="0.2">
      <c r="A131" s="144"/>
      <c r="B131" s="702" t="s">
        <v>0</v>
      </c>
      <c r="C131" s="703"/>
      <c r="D131" s="703"/>
      <c r="E131" s="356"/>
      <c r="F131" s="702" t="s">
        <v>1</v>
      </c>
      <c r="G131" s="703"/>
      <c r="H131" s="703"/>
      <c r="I131" s="357"/>
      <c r="J131" s="702" t="s">
        <v>2</v>
      </c>
      <c r="K131" s="703"/>
      <c r="L131" s="703"/>
      <c r="M131" s="357"/>
      <c r="N131" s="148"/>
    </row>
    <row r="132" spans="1:14" s="3" customFormat="1" x14ac:dyDescent="0.2">
      <c r="A132" s="140"/>
      <c r="B132" s="152" t="s">
        <v>435</v>
      </c>
      <c r="C132" s="152" t="s">
        <v>436</v>
      </c>
      <c r="D132" s="246" t="s">
        <v>3</v>
      </c>
      <c r="E132" s="307" t="s">
        <v>29</v>
      </c>
      <c r="F132" s="152" t="s">
        <v>435</v>
      </c>
      <c r="G132" s="152" t="s">
        <v>436</v>
      </c>
      <c r="H132" s="206" t="s">
        <v>3</v>
      </c>
      <c r="I132" s="307"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367"/>
      <c r="C134" s="368"/>
      <c r="D134" s="371"/>
      <c r="E134" s="372"/>
      <c r="F134" s="362"/>
      <c r="G134" s="363"/>
      <c r="H134" s="397"/>
      <c r="I134" s="372"/>
      <c r="J134" s="380"/>
      <c r="K134" s="380"/>
      <c r="L134" s="371"/>
      <c r="M134" s="372"/>
      <c r="N134" s="148"/>
    </row>
    <row r="135" spans="1:14" s="3" customFormat="1" ht="15.75" x14ac:dyDescent="0.2">
      <c r="A135" s="13" t="s">
        <v>378</v>
      </c>
      <c r="B135" s="367"/>
      <c r="C135" s="368"/>
      <c r="D135" s="374"/>
      <c r="E135" s="372"/>
      <c r="F135" s="367"/>
      <c r="G135" s="368"/>
      <c r="H135" s="398"/>
      <c r="I135" s="372"/>
      <c r="J135" s="373"/>
      <c r="K135" s="373"/>
      <c r="L135" s="374"/>
      <c r="M135" s="372"/>
      <c r="N135" s="148"/>
    </row>
    <row r="136" spans="1:14" s="3" customFormat="1" ht="15.75" x14ac:dyDescent="0.2">
      <c r="A136" s="13" t="s">
        <v>375</v>
      </c>
      <c r="B136" s="367"/>
      <c r="C136" s="368"/>
      <c r="D136" s="374"/>
      <c r="E136" s="372"/>
      <c r="F136" s="367"/>
      <c r="G136" s="368"/>
      <c r="H136" s="398"/>
      <c r="I136" s="372"/>
      <c r="J136" s="373"/>
      <c r="K136" s="373"/>
      <c r="L136" s="374"/>
      <c r="M136" s="372"/>
      <c r="N136" s="148"/>
    </row>
    <row r="137" spans="1:14" s="3" customFormat="1" ht="15.75" x14ac:dyDescent="0.2">
      <c r="A137" s="41" t="s">
        <v>376</v>
      </c>
      <c r="B137" s="369"/>
      <c r="C137" s="370"/>
      <c r="D137" s="378"/>
      <c r="E137" s="395"/>
      <c r="F137" s="369"/>
      <c r="G137" s="370"/>
      <c r="H137" s="399"/>
      <c r="I137" s="395"/>
      <c r="J137" s="379"/>
      <c r="K137" s="379"/>
      <c r="L137" s="378"/>
      <c r="M137" s="378"/>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115">
    <cfRule type="expression" dxfId="574" priority="76">
      <formula>kvartal &lt; 4</formula>
    </cfRule>
  </conditionalFormatting>
  <conditionalFormatting sqref="C115">
    <cfRule type="expression" dxfId="573" priority="75">
      <formula>kvartal &lt; 4</formula>
    </cfRule>
  </conditionalFormatting>
  <conditionalFormatting sqref="B123">
    <cfRule type="expression" dxfId="572" priority="74">
      <formula>kvartal &lt; 4</formula>
    </cfRule>
  </conditionalFormatting>
  <conditionalFormatting sqref="C123">
    <cfRule type="expression" dxfId="571" priority="73">
      <formula>kvartal &lt; 4</formula>
    </cfRule>
  </conditionalFormatting>
  <conditionalFormatting sqref="F115">
    <cfRule type="expression" dxfId="570" priority="58">
      <formula>kvartal &lt; 4</formula>
    </cfRule>
  </conditionalFormatting>
  <conditionalFormatting sqref="G115">
    <cfRule type="expression" dxfId="569" priority="57">
      <formula>kvartal &lt; 4</formula>
    </cfRule>
  </conditionalFormatting>
  <conditionalFormatting sqref="F123:G123">
    <cfRule type="expression" dxfId="568" priority="56">
      <formula>kvartal &lt; 4</formula>
    </cfRule>
  </conditionalFormatting>
  <conditionalFormatting sqref="J115:K115">
    <cfRule type="expression" dxfId="567" priority="32">
      <formula>kvartal &lt; 4</formula>
    </cfRule>
  </conditionalFormatting>
  <conditionalFormatting sqref="J123:K123">
    <cfRule type="expression" dxfId="566" priority="31">
      <formula>kvartal &lt; 4</formula>
    </cfRule>
  </conditionalFormatting>
  <conditionalFormatting sqref="A50:A52">
    <cfRule type="expression" dxfId="565" priority="12">
      <formula>kvartal &lt; 4</formula>
    </cfRule>
  </conditionalFormatting>
  <conditionalFormatting sqref="A69:A74">
    <cfRule type="expression" dxfId="564" priority="10">
      <formula>kvartal &lt; 4</formula>
    </cfRule>
  </conditionalFormatting>
  <conditionalFormatting sqref="A80:A85">
    <cfRule type="expression" dxfId="563" priority="9">
      <formula>kvartal &lt; 4</formula>
    </cfRule>
  </conditionalFormatting>
  <conditionalFormatting sqref="A90:A95">
    <cfRule type="expression" dxfId="562" priority="6">
      <formula>kvartal &lt; 4</formula>
    </cfRule>
  </conditionalFormatting>
  <conditionalFormatting sqref="A101:A106">
    <cfRule type="expression" dxfId="561" priority="5">
      <formula>kvartal &lt; 4</formula>
    </cfRule>
  </conditionalFormatting>
  <conditionalFormatting sqref="A115">
    <cfRule type="expression" dxfId="560" priority="4">
      <formula>kvartal &lt; 4</formula>
    </cfRule>
  </conditionalFormatting>
  <conditionalFormatting sqref="A123">
    <cfRule type="expression" dxfId="559"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134</v>
      </c>
      <c r="B1" s="661"/>
      <c r="C1" s="250" t="s">
        <v>125</v>
      </c>
      <c r="D1" s="26"/>
      <c r="E1" s="26"/>
      <c r="F1" s="26"/>
      <c r="G1" s="26"/>
      <c r="H1" s="26"/>
      <c r="I1" s="26"/>
      <c r="J1" s="26"/>
      <c r="K1" s="26"/>
      <c r="L1" s="26"/>
      <c r="M1" s="26"/>
    </row>
    <row r="2" spans="1:17" ht="15.75" x14ac:dyDescent="0.25">
      <c r="A2" s="165" t="s">
        <v>28</v>
      </c>
      <c r="B2" s="706"/>
      <c r="C2" s="706"/>
      <c r="D2" s="706"/>
      <c r="E2" s="301"/>
      <c r="F2" s="706"/>
      <c r="G2" s="706"/>
      <c r="H2" s="706"/>
      <c r="I2" s="301"/>
      <c r="J2" s="706"/>
      <c r="K2" s="706"/>
      <c r="L2" s="706"/>
      <c r="M2" s="301"/>
    </row>
    <row r="3" spans="1:17" ht="15.75" x14ac:dyDescent="0.25">
      <c r="A3" s="163"/>
      <c r="B3" s="301"/>
      <c r="C3" s="301"/>
      <c r="D3" s="301"/>
      <c r="E3" s="301"/>
      <c r="F3" s="301"/>
      <c r="G3" s="301"/>
      <c r="H3" s="301"/>
      <c r="I3" s="301"/>
      <c r="J3" s="301"/>
      <c r="K3" s="301"/>
      <c r="L3" s="301"/>
      <c r="M3" s="301"/>
    </row>
    <row r="4" spans="1:17" x14ac:dyDescent="0.2">
      <c r="A4" s="144"/>
      <c r="B4" s="702" t="s">
        <v>0</v>
      </c>
      <c r="C4" s="703"/>
      <c r="D4" s="703"/>
      <c r="E4" s="303"/>
      <c r="F4" s="702" t="s">
        <v>1</v>
      </c>
      <c r="G4" s="703"/>
      <c r="H4" s="703"/>
      <c r="I4" s="306"/>
      <c r="J4" s="702" t="s">
        <v>2</v>
      </c>
      <c r="K4" s="703"/>
      <c r="L4" s="703"/>
      <c r="M4" s="306"/>
    </row>
    <row r="5" spans="1:17"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7" x14ac:dyDescent="0.2">
      <c r="A6" s="662"/>
      <c r="B6" s="156"/>
      <c r="C6" s="156"/>
      <c r="D6" s="248" t="s">
        <v>4</v>
      </c>
      <c r="E6" s="156" t="s">
        <v>30</v>
      </c>
      <c r="F6" s="161"/>
      <c r="G6" s="161"/>
      <c r="H6" s="246" t="s">
        <v>4</v>
      </c>
      <c r="I6" s="156" t="s">
        <v>30</v>
      </c>
      <c r="J6" s="161"/>
      <c r="K6" s="161"/>
      <c r="L6" s="246" t="s">
        <v>4</v>
      </c>
      <c r="M6" s="156" t="s">
        <v>30</v>
      </c>
    </row>
    <row r="7" spans="1:17" ht="15.75" x14ac:dyDescent="0.2">
      <c r="A7" s="14" t="s">
        <v>23</v>
      </c>
      <c r="B7" s="308">
        <v>217885</v>
      </c>
      <c r="C7" s="309">
        <v>235128</v>
      </c>
      <c r="D7" s="351">
        <f>IF(B7=0, "    ---- ", IF(ABS(ROUND(100/B7*C7-100,1))&lt;999,ROUND(100/B7*C7-100,1),IF(ROUND(100/B7*C7-100,1)&gt;999,999,-999)))</f>
        <v>7.9</v>
      </c>
      <c r="E7" s="11">
        <f>IFERROR(100/'Skjema total MA'!C7*C7,0)</f>
        <v>8.155156506874901</v>
      </c>
      <c r="F7" s="308"/>
      <c r="G7" s="309"/>
      <c r="H7" s="351"/>
      <c r="I7" s="160"/>
      <c r="J7" s="310">
        <f t="shared" ref="J7:K10" si="0">SUM(B7,F7)</f>
        <v>217885</v>
      </c>
      <c r="K7" s="311">
        <f t="shared" si="0"/>
        <v>235128</v>
      </c>
      <c r="L7" s="424">
        <f>IF(J7=0, "    ---- ", IF(ABS(ROUND(100/J7*K7-100,1))&lt;999,ROUND(100/J7*K7-100,1),IF(ROUND(100/J7*K7-100,1)&gt;999,999,-999)))</f>
        <v>7.9</v>
      </c>
      <c r="M7" s="11">
        <f>IFERROR(100/'Skjema total MA'!I7*K7,0)</f>
        <v>2.7110368820643003</v>
      </c>
    </row>
    <row r="8" spans="1:17" ht="15.75" x14ac:dyDescent="0.2">
      <c r="A8" s="21" t="s">
        <v>25</v>
      </c>
      <c r="B8" s="286">
        <v>189081</v>
      </c>
      <c r="C8" s="287">
        <v>204857</v>
      </c>
      <c r="D8" s="166">
        <f t="shared" ref="D8:D10" si="1">IF(B8=0, "    ---- ", IF(ABS(ROUND(100/B8*C8-100,1))&lt;999,ROUND(100/B8*C8-100,1),IF(ROUND(100/B8*C8-100,1)&gt;999,999,-999)))</f>
        <v>8.3000000000000007</v>
      </c>
      <c r="E8" s="27">
        <f>IFERROR(100/'Skjema total MA'!C8*C8,0)</f>
        <v>10.816645198154117</v>
      </c>
      <c r="F8" s="290"/>
      <c r="G8" s="291"/>
      <c r="H8" s="166"/>
      <c r="I8" s="176"/>
      <c r="J8" s="234">
        <f t="shared" si="0"/>
        <v>189081</v>
      </c>
      <c r="K8" s="292">
        <f t="shared" si="0"/>
        <v>204857</v>
      </c>
      <c r="L8" s="166">
        <f t="shared" ref="L8:L9" si="2">IF(J8=0, "    ---- ", IF(ABS(ROUND(100/J8*K8-100,1))&lt;999,ROUND(100/J8*K8-100,1),IF(ROUND(100/J8*K8-100,1)&gt;999,999,-999)))</f>
        <v>8.3000000000000007</v>
      </c>
      <c r="M8" s="27">
        <f>IFERROR(100/'Skjema total MA'!I8*K8,0)</f>
        <v>10.816645198154117</v>
      </c>
    </row>
    <row r="9" spans="1:17" ht="15.75" x14ac:dyDescent="0.2">
      <c r="A9" s="21" t="s">
        <v>24</v>
      </c>
      <c r="B9" s="286">
        <v>28804</v>
      </c>
      <c r="C9" s="287">
        <v>30271</v>
      </c>
      <c r="D9" s="166">
        <f t="shared" si="1"/>
        <v>5.0999999999999996</v>
      </c>
      <c r="E9" s="27">
        <f>IFERROR(100/'Skjema total MA'!C9*C9,0)</f>
        <v>5.2154468071834446</v>
      </c>
      <c r="F9" s="290"/>
      <c r="G9" s="291"/>
      <c r="H9" s="166"/>
      <c r="I9" s="176"/>
      <c r="J9" s="234">
        <f t="shared" si="0"/>
        <v>28804</v>
      </c>
      <c r="K9" s="292">
        <f t="shared" si="0"/>
        <v>30271</v>
      </c>
      <c r="L9" s="166">
        <f t="shared" si="2"/>
        <v>5.0999999999999996</v>
      </c>
      <c r="M9" s="27">
        <f>IFERROR(100/'Skjema total MA'!I9*K9,0)</f>
        <v>5.2154468071834446</v>
      </c>
    </row>
    <row r="10" spans="1:17" ht="15.75" x14ac:dyDescent="0.2">
      <c r="A10" s="13" t="s">
        <v>351</v>
      </c>
      <c r="B10" s="312">
        <v>185132</v>
      </c>
      <c r="C10" s="313">
        <v>183063</v>
      </c>
      <c r="D10" s="171">
        <f t="shared" si="1"/>
        <v>-1.1000000000000001</v>
      </c>
      <c r="E10" s="11">
        <f>IFERROR(100/'Skjema total MA'!C10*C10,0)</f>
        <v>1.1394643439989116</v>
      </c>
      <c r="F10" s="312"/>
      <c r="G10" s="313"/>
      <c r="H10" s="171"/>
      <c r="I10" s="160"/>
      <c r="J10" s="310">
        <f t="shared" si="0"/>
        <v>185132</v>
      </c>
      <c r="K10" s="311">
        <f t="shared" si="0"/>
        <v>183063</v>
      </c>
      <c r="L10" s="425">
        <f t="shared" ref="L10" si="3">IF(J10=0, "    ---- ", IF(ABS(ROUND(100/J10*K10-100,1))&lt;999,ROUND(100/J10*K10-100,1),IF(ROUND(100/J10*K10-100,1)&gt;999,999,-999)))</f>
        <v>-1.1000000000000001</v>
      </c>
      <c r="M10" s="11">
        <f>IFERROR(100/'Skjema total MA'!I10*K10,0)</f>
        <v>0.21102556529780672</v>
      </c>
    </row>
    <row r="11" spans="1:17" s="43" customFormat="1" ht="15.75" x14ac:dyDescent="0.2">
      <c r="A11" s="13" t="s">
        <v>352</v>
      </c>
      <c r="B11" s="312"/>
      <c r="C11" s="313"/>
      <c r="D11" s="171"/>
      <c r="E11" s="11"/>
      <c r="F11" s="312"/>
      <c r="G11" s="313"/>
      <c r="H11" s="171"/>
      <c r="I11" s="160"/>
      <c r="J11" s="310"/>
      <c r="K11" s="311"/>
      <c r="L11" s="425"/>
      <c r="M11" s="11"/>
      <c r="N11" s="143"/>
      <c r="Q11" s="143"/>
    </row>
    <row r="12" spans="1:17" s="43" customFormat="1" ht="15.75" x14ac:dyDescent="0.2">
      <c r="A12" s="41" t="s">
        <v>353</v>
      </c>
      <c r="B12" s="314"/>
      <c r="C12" s="315"/>
      <c r="D12" s="169"/>
      <c r="E12" s="36"/>
      <c r="F12" s="314"/>
      <c r="G12" s="315"/>
      <c r="H12" s="169"/>
      <c r="I12" s="169"/>
      <c r="J12" s="316"/>
      <c r="K12" s="317"/>
      <c r="L12" s="426"/>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207326</v>
      </c>
      <c r="C22" s="312">
        <v>237024</v>
      </c>
      <c r="D22" s="351">
        <f t="shared" ref="D22:D30" si="4">IF(B22=0, "    ---- ", IF(ABS(ROUND(100/B22*C22-100,1))&lt;999,ROUND(100/B22*C22-100,1),IF(ROUND(100/B22*C22-100,1)&gt;999,999,-999)))</f>
        <v>14.3</v>
      </c>
      <c r="E22" s="11">
        <f>IFERROR(100/'Skjema total MA'!C22*C22,0)</f>
        <v>19.017108710740782</v>
      </c>
      <c r="F22" s="320"/>
      <c r="G22" s="320"/>
      <c r="H22" s="351"/>
      <c r="I22" s="11"/>
      <c r="J22" s="318">
        <f t="shared" ref="J22:K29" si="5">SUM(B22,F22)</f>
        <v>207326</v>
      </c>
      <c r="K22" s="318">
        <f t="shared" si="5"/>
        <v>237024</v>
      </c>
      <c r="L22" s="424">
        <f t="shared" ref="L22:L30" si="6">IF(J22=0, "    ---- ", IF(ABS(ROUND(100/J22*K22-100,1))&lt;999,ROUND(100/J22*K22-100,1),IF(ROUND(100/J22*K22-100,1)&gt;999,999,-999)))</f>
        <v>14.3</v>
      </c>
      <c r="M22" s="24">
        <f>IFERROR(100/'Skjema total MA'!I22*K22,0)</f>
        <v>13.731711029756244</v>
      </c>
    </row>
    <row r="23" spans="1:14" ht="15.75" x14ac:dyDescent="0.2">
      <c r="A23" s="503" t="s">
        <v>354</v>
      </c>
      <c r="B23" s="286">
        <v>207326</v>
      </c>
      <c r="C23" s="286">
        <v>237024</v>
      </c>
      <c r="D23" s="166">
        <f t="shared" si="4"/>
        <v>14.3</v>
      </c>
      <c r="E23" s="11">
        <f>IFERROR(100/'Skjema total MA'!C23*C23,0)</f>
        <v>45.494653106115784</v>
      </c>
      <c r="F23" s="295"/>
      <c r="G23" s="295"/>
      <c r="H23" s="166"/>
      <c r="I23" s="414"/>
      <c r="J23" s="295">
        <f t="shared" ref="J23" si="7">SUM(B23,F23)</f>
        <v>207326</v>
      </c>
      <c r="K23" s="295">
        <f t="shared" ref="K23" si="8">SUM(C23,G23)</f>
        <v>237024</v>
      </c>
      <c r="L23" s="166">
        <f t="shared" si="6"/>
        <v>14.3</v>
      </c>
      <c r="M23" s="23">
        <f>IFERROR(100/'Skjema total MA'!I23*K23,0)</f>
        <v>42.847529125407199</v>
      </c>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207326</v>
      </c>
      <c r="C28" s="292">
        <v>237024</v>
      </c>
      <c r="D28" s="166">
        <f t="shared" si="4"/>
        <v>14.3</v>
      </c>
      <c r="E28" s="11">
        <f>IFERROR(100/'Skjema total MA'!C28*C28,0)</f>
        <v>17.55040306654724</v>
      </c>
      <c r="F28" s="234"/>
      <c r="G28" s="292"/>
      <c r="H28" s="166"/>
      <c r="I28" s="27"/>
      <c r="J28" s="44">
        <f t="shared" si="5"/>
        <v>207326</v>
      </c>
      <c r="K28" s="44">
        <f t="shared" si="5"/>
        <v>237024</v>
      </c>
      <c r="L28" s="259">
        <f t="shared" si="6"/>
        <v>14.3</v>
      </c>
      <c r="M28" s="23">
        <f>IFERROR(100/'Skjema total MA'!I28*K28,0)</f>
        <v>17.55040306654724</v>
      </c>
    </row>
    <row r="29" spans="1:14" s="3" customFormat="1" ht="15.75" x14ac:dyDescent="0.2">
      <c r="A29" s="13" t="s">
        <v>351</v>
      </c>
      <c r="B29" s="236">
        <v>949568</v>
      </c>
      <c r="C29" s="236">
        <v>1168719</v>
      </c>
      <c r="D29" s="171">
        <f t="shared" si="4"/>
        <v>23.1</v>
      </c>
      <c r="E29" s="11">
        <f>IFERROR(100/'Skjema total MA'!C29*C29,0)</f>
        <v>2.5970211694589111</v>
      </c>
      <c r="F29" s="310"/>
      <c r="G29" s="310"/>
      <c r="H29" s="171"/>
      <c r="I29" s="11"/>
      <c r="J29" s="236">
        <f t="shared" si="5"/>
        <v>949568</v>
      </c>
      <c r="K29" s="236">
        <f t="shared" si="5"/>
        <v>1168719</v>
      </c>
      <c r="L29" s="425">
        <f t="shared" si="6"/>
        <v>23.1</v>
      </c>
      <c r="M29" s="24">
        <f>IFERROR(100/'Skjema total MA'!I29*K29,0)</f>
        <v>1.7017578931470547</v>
      </c>
      <c r="N29" s="148"/>
    </row>
    <row r="30" spans="1:14" s="3" customFormat="1" ht="15.75" x14ac:dyDescent="0.2">
      <c r="A30" s="503" t="s">
        <v>354</v>
      </c>
      <c r="B30" s="286">
        <v>949568</v>
      </c>
      <c r="C30" s="286">
        <v>1168719</v>
      </c>
      <c r="D30" s="166">
        <f t="shared" si="4"/>
        <v>23.1</v>
      </c>
      <c r="E30" s="11">
        <f>IFERROR(100/'Skjema total MA'!C30*C30,0)</f>
        <v>12.05965089234321</v>
      </c>
      <c r="F30" s="295"/>
      <c r="G30" s="295"/>
      <c r="H30" s="166"/>
      <c r="I30" s="414"/>
      <c r="J30" s="295">
        <f t="shared" ref="J30" si="9">SUM(B30,F30)</f>
        <v>949568</v>
      </c>
      <c r="K30" s="295">
        <f t="shared" ref="K30" si="10">SUM(C30,G30)</f>
        <v>1168719</v>
      </c>
      <c r="L30" s="166">
        <f t="shared" si="6"/>
        <v>23.1</v>
      </c>
      <c r="M30" s="23">
        <f>IFERROR(100/'Skjema total MA'!I30*K30,0)</f>
        <v>8.8109252498286814</v>
      </c>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35217</v>
      </c>
      <c r="C47" s="313">
        <v>35902</v>
      </c>
      <c r="D47" s="424">
        <f t="shared" ref="D47:D48" si="11">IF(B47=0, "    ---- ", IF(ABS(ROUND(100/B47*C47-100,1))&lt;999,ROUND(100/B47*C47-100,1),IF(ROUND(100/B47*C47-100,1)&gt;999,999,-999)))</f>
        <v>1.9</v>
      </c>
      <c r="E47" s="11">
        <f>IFERROR(100/'Skjema total MA'!C47*C47,0)</f>
        <v>0.8249211261437619</v>
      </c>
      <c r="F47" s="145"/>
      <c r="G47" s="33"/>
      <c r="H47" s="159"/>
      <c r="I47" s="159"/>
      <c r="J47" s="37"/>
      <c r="K47" s="37"/>
      <c r="L47" s="159"/>
      <c r="M47" s="159"/>
      <c r="N47" s="148"/>
    </row>
    <row r="48" spans="1:14" s="3" customFormat="1" ht="15.75" x14ac:dyDescent="0.2">
      <c r="A48" s="38" t="s">
        <v>362</v>
      </c>
      <c r="B48" s="286">
        <v>35217</v>
      </c>
      <c r="C48" s="287">
        <v>35902</v>
      </c>
      <c r="D48" s="259">
        <f t="shared" si="11"/>
        <v>1.9</v>
      </c>
      <c r="E48" s="27">
        <f>IFERROR(100/'Skjema total MA'!C48*C48,0)</f>
        <v>1.4564656248587105</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558" priority="76">
      <formula>kvartal &lt; 4</formula>
    </cfRule>
  </conditionalFormatting>
  <conditionalFormatting sqref="C115">
    <cfRule type="expression" dxfId="557" priority="75">
      <formula>kvartal &lt; 4</formula>
    </cfRule>
  </conditionalFormatting>
  <conditionalFormatting sqref="B123">
    <cfRule type="expression" dxfId="556" priority="74">
      <formula>kvartal &lt; 4</formula>
    </cfRule>
  </conditionalFormatting>
  <conditionalFormatting sqref="C123">
    <cfRule type="expression" dxfId="555" priority="73">
      <formula>kvartal &lt; 4</formula>
    </cfRule>
  </conditionalFormatting>
  <conditionalFormatting sqref="F115">
    <cfRule type="expression" dxfId="554" priority="58">
      <formula>kvartal &lt; 4</formula>
    </cfRule>
  </conditionalFormatting>
  <conditionalFormatting sqref="G115">
    <cfRule type="expression" dxfId="553" priority="57">
      <formula>kvartal &lt; 4</formula>
    </cfRule>
  </conditionalFormatting>
  <conditionalFormatting sqref="F123:G123">
    <cfRule type="expression" dxfId="552" priority="56">
      <formula>kvartal &lt; 4</formula>
    </cfRule>
  </conditionalFormatting>
  <conditionalFormatting sqref="J115:K115">
    <cfRule type="expression" dxfId="551" priority="32">
      <formula>kvartal &lt; 4</formula>
    </cfRule>
  </conditionalFormatting>
  <conditionalFormatting sqref="J123:K123">
    <cfRule type="expression" dxfId="550" priority="31">
      <formula>kvartal &lt; 4</formula>
    </cfRule>
  </conditionalFormatting>
  <conditionalFormatting sqref="A50:A52">
    <cfRule type="expression" dxfId="549" priority="12">
      <formula>kvartal &lt; 4</formula>
    </cfRule>
  </conditionalFormatting>
  <conditionalFormatting sqref="A69:A74">
    <cfRule type="expression" dxfId="548" priority="10">
      <formula>kvartal &lt; 4</formula>
    </cfRule>
  </conditionalFormatting>
  <conditionalFormatting sqref="A80:A85">
    <cfRule type="expression" dxfId="547" priority="9">
      <formula>kvartal &lt; 4</formula>
    </cfRule>
  </conditionalFormatting>
  <conditionalFormatting sqref="A90:A95">
    <cfRule type="expression" dxfId="546" priority="6">
      <formula>kvartal &lt; 4</formula>
    </cfRule>
  </conditionalFormatting>
  <conditionalFormatting sqref="A101:A106">
    <cfRule type="expression" dxfId="545" priority="5">
      <formula>kvartal &lt; 4</formula>
    </cfRule>
  </conditionalFormatting>
  <conditionalFormatting sqref="A115">
    <cfRule type="expression" dxfId="544" priority="4">
      <formula>kvartal &lt; 4</formula>
    </cfRule>
  </conditionalFormatting>
  <conditionalFormatting sqref="A123">
    <cfRule type="expression" dxfId="543"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126</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5314.415</v>
      </c>
      <c r="C47" s="313">
        <v>6356.36</v>
      </c>
      <c r="D47" s="424">
        <f t="shared" ref="D47:D57" si="0">IF(B47=0, "    ---- ", IF(ABS(ROUND(100/B47*C47-100,1))&lt;999,ROUND(100/B47*C47-100,1),IF(ROUND(100/B47*C47-100,1)&gt;999,999,-999)))</f>
        <v>19.600000000000001</v>
      </c>
      <c r="E47" s="11">
        <f>IFERROR(100/'Skjema total MA'!C47*C47,0)</f>
        <v>0.14605023813088858</v>
      </c>
      <c r="F47" s="145"/>
      <c r="G47" s="33"/>
      <c r="H47" s="159"/>
      <c r="I47" s="159"/>
      <c r="J47" s="37"/>
      <c r="K47" s="37"/>
      <c r="L47" s="159"/>
      <c r="M47" s="159"/>
      <c r="N47" s="148"/>
    </row>
    <row r="48" spans="1:14" s="3" customFormat="1" ht="15.75" x14ac:dyDescent="0.2">
      <c r="A48" s="38" t="s">
        <v>362</v>
      </c>
      <c r="B48" s="286">
        <v>5314.415</v>
      </c>
      <c r="C48" s="287">
        <v>6356.36</v>
      </c>
      <c r="D48" s="259">
        <f t="shared" si="0"/>
        <v>19.600000000000001</v>
      </c>
      <c r="E48" s="27">
        <f>IFERROR(100/'Skjema total MA'!C48*C48,0)</f>
        <v>0.2578636242890901</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371.29</v>
      </c>
      <c r="C53" s="313">
        <v>215.715</v>
      </c>
      <c r="D53" s="425">
        <f t="shared" si="0"/>
        <v>-41.9</v>
      </c>
      <c r="E53" s="11">
        <f>IFERROR(100/'Skjema total MA'!C53*C53,0)</f>
        <v>0.19835767769269549</v>
      </c>
      <c r="F53" s="145"/>
      <c r="G53" s="33"/>
      <c r="H53" s="145"/>
      <c r="I53" s="145"/>
      <c r="J53" s="33"/>
      <c r="K53" s="33"/>
      <c r="L53" s="159"/>
      <c r="M53" s="159"/>
      <c r="N53" s="148"/>
    </row>
    <row r="54" spans="1:14" s="3" customFormat="1" ht="15.75" x14ac:dyDescent="0.2">
      <c r="A54" s="38" t="s">
        <v>362</v>
      </c>
      <c r="B54" s="286">
        <v>371.29</v>
      </c>
      <c r="C54" s="287">
        <v>215.715</v>
      </c>
      <c r="D54" s="259">
        <f t="shared" si="0"/>
        <v>-41.9</v>
      </c>
      <c r="E54" s="27">
        <f>IFERROR(100/'Skjema total MA'!C54*C54,0)</f>
        <v>0.20010386310240885</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137.988</v>
      </c>
      <c r="C56" s="313">
        <v>0</v>
      </c>
      <c r="D56" s="425">
        <f t="shared" si="0"/>
        <v>-100</v>
      </c>
      <c r="E56" s="11">
        <f>IFERROR(100/'Skjema total MA'!C56*C56,0)</f>
        <v>0</v>
      </c>
      <c r="F56" s="145"/>
      <c r="G56" s="33"/>
      <c r="H56" s="145"/>
      <c r="I56" s="145"/>
      <c r="J56" s="33"/>
      <c r="K56" s="33"/>
      <c r="L56" s="159"/>
      <c r="M56" s="159"/>
      <c r="N56" s="148"/>
    </row>
    <row r="57" spans="1:14" s="3" customFormat="1" ht="15.75" x14ac:dyDescent="0.2">
      <c r="A57" s="38" t="s">
        <v>362</v>
      </c>
      <c r="B57" s="286">
        <v>137.988</v>
      </c>
      <c r="C57" s="287">
        <v>0</v>
      </c>
      <c r="D57" s="259">
        <f t="shared" si="0"/>
        <v>-100</v>
      </c>
      <c r="E57" s="27">
        <f>IFERROR(100/'Skjema total MA'!C57*C57,0)</f>
        <v>0</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542" priority="76">
      <formula>kvartal &lt; 4</formula>
    </cfRule>
  </conditionalFormatting>
  <conditionalFormatting sqref="C115">
    <cfRule type="expression" dxfId="541" priority="75">
      <formula>kvartal &lt; 4</formula>
    </cfRule>
  </conditionalFormatting>
  <conditionalFormatting sqref="B123">
    <cfRule type="expression" dxfId="540" priority="74">
      <formula>kvartal &lt; 4</formula>
    </cfRule>
  </conditionalFormatting>
  <conditionalFormatting sqref="C123">
    <cfRule type="expression" dxfId="539" priority="73">
      <formula>kvartal &lt; 4</formula>
    </cfRule>
  </conditionalFormatting>
  <conditionalFormatting sqref="F115">
    <cfRule type="expression" dxfId="538" priority="58">
      <formula>kvartal &lt; 4</formula>
    </cfRule>
  </conditionalFormatting>
  <conditionalFormatting sqref="G115">
    <cfRule type="expression" dxfId="537" priority="57">
      <formula>kvartal &lt; 4</formula>
    </cfRule>
  </conditionalFormatting>
  <conditionalFormatting sqref="F123:G123">
    <cfRule type="expression" dxfId="536" priority="56">
      <formula>kvartal &lt; 4</formula>
    </cfRule>
  </conditionalFormatting>
  <conditionalFormatting sqref="J115:K115">
    <cfRule type="expression" dxfId="535" priority="32">
      <formula>kvartal &lt; 4</formula>
    </cfRule>
  </conditionalFormatting>
  <conditionalFormatting sqref="J123:K123">
    <cfRule type="expression" dxfId="534" priority="31">
      <formula>kvartal &lt; 4</formula>
    </cfRule>
  </conditionalFormatting>
  <conditionalFormatting sqref="A50:A52">
    <cfRule type="expression" dxfId="533" priority="12">
      <formula>kvartal &lt; 4</formula>
    </cfRule>
  </conditionalFormatting>
  <conditionalFormatting sqref="A69:A74">
    <cfRule type="expression" dxfId="532" priority="10">
      <formula>kvartal &lt; 4</formula>
    </cfRule>
  </conditionalFormatting>
  <conditionalFormatting sqref="A80:A85">
    <cfRule type="expression" dxfId="531" priority="9">
      <formula>kvartal &lt; 4</formula>
    </cfRule>
  </conditionalFormatting>
  <conditionalFormatting sqref="A90:A95">
    <cfRule type="expression" dxfId="530" priority="6">
      <formula>kvartal &lt; 4</formula>
    </cfRule>
  </conditionalFormatting>
  <conditionalFormatting sqref="A101:A106">
    <cfRule type="expression" dxfId="529" priority="5">
      <formula>kvartal &lt; 4</formula>
    </cfRule>
  </conditionalFormatting>
  <conditionalFormatting sqref="A115">
    <cfRule type="expression" dxfId="528" priority="4">
      <formula>kvartal &lt; 4</formula>
    </cfRule>
  </conditionalFormatting>
  <conditionalFormatting sqref="A123">
    <cfRule type="expression" dxfId="527"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O144"/>
  <sheetViews>
    <sheetView showGridLines="0" zoomScaleNormal="100" zoomScaleSheetLayoutView="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127</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568961.08900000004</v>
      </c>
      <c r="C7" s="309">
        <v>568015.47100000002</v>
      </c>
      <c r="D7" s="351">
        <f>IF(B7=0, "    ---- ", IF(ABS(ROUND(100/B7*C7-100,1))&lt;999,ROUND(100/B7*C7-100,1),IF(ROUND(100/B7*C7-100,1)&gt;999,999,-999)))</f>
        <v>-0.2</v>
      </c>
      <c r="E7" s="11">
        <f>IFERROR(100/'Skjema total MA'!C7*C7,0)</f>
        <v>19.7009929244125</v>
      </c>
      <c r="F7" s="308"/>
      <c r="G7" s="309"/>
      <c r="H7" s="351"/>
      <c r="I7" s="160"/>
      <c r="J7" s="310">
        <f t="shared" ref="J7:K9" si="0">SUM(B7,F7)</f>
        <v>568961.08900000004</v>
      </c>
      <c r="K7" s="311">
        <f t="shared" si="0"/>
        <v>568015.47100000002</v>
      </c>
      <c r="L7" s="424">
        <f>IF(J7=0, "    ---- ", IF(ABS(ROUND(100/J7*K7-100,1))&lt;999,ROUND(100/J7*K7-100,1),IF(ROUND(100/J7*K7-100,1)&gt;999,999,-999)))</f>
        <v>-0.2</v>
      </c>
      <c r="M7" s="11">
        <f>IFERROR(100/'Skjema total MA'!I7*K7,0)</f>
        <v>6.5492450557318787</v>
      </c>
    </row>
    <row r="8" spans="1:14" ht="15.75" x14ac:dyDescent="0.2">
      <c r="A8" s="21" t="s">
        <v>25</v>
      </c>
      <c r="B8" s="286">
        <v>361856.66899999999</v>
      </c>
      <c r="C8" s="287">
        <v>369955.64799999999</v>
      </c>
      <c r="D8" s="166">
        <f t="shared" ref="D8:D9" si="1">IF(B8=0, "    ---- ", IF(ABS(ROUND(100/B8*C8-100,1))&lt;999,ROUND(100/B8*C8-100,1),IF(ROUND(100/B8*C8-100,1)&gt;999,999,-999)))</f>
        <v>2.2000000000000002</v>
      </c>
      <c r="E8" s="27">
        <f>IFERROR(100/'Skjema total MA'!C8*C8,0)</f>
        <v>19.534011449299726</v>
      </c>
      <c r="F8" s="290"/>
      <c r="G8" s="291"/>
      <c r="H8" s="166"/>
      <c r="I8" s="176"/>
      <c r="J8" s="234">
        <f t="shared" si="0"/>
        <v>361856.66899999999</v>
      </c>
      <c r="K8" s="292">
        <f t="shared" si="0"/>
        <v>369955.64799999999</v>
      </c>
      <c r="L8" s="166">
        <f t="shared" ref="L8:L9" si="2">IF(J8=0, "    ---- ", IF(ABS(ROUND(100/J8*K8-100,1))&lt;999,ROUND(100/J8*K8-100,1),IF(ROUND(100/J8*K8-100,1)&gt;999,999,-999)))</f>
        <v>2.2000000000000002</v>
      </c>
      <c r="M8" s="27">
        <f>IFERROR(100/'Skjema total MA'!I8*K8,0)</f>
        <v>19.534011449299726</v>
      </c>
    </row>
    <row r="9" spans="1:14" ht="15.75" x14ac:dyDescent="0.2">
      <c r="A9" s="21" t="s">
        <v>24</v>
      </c>
      <c r="B9" s="286">
        <v>207104.42</v>
      </c>
      <c r="C9" s="287">
        <v>198059.823</v>
      </c>
      <c r="D9" s="166">
        <f t="shared" si="1"/>
        <v>-4.4000000000000004</v>
      </c>
      <c r="E9" s="27">
        <f>IFERROR(100/'Skjema total MA'!C9*C9,0)</f>
        <v>34.12409472751704</v>
      </c>
      <c r="F9" s="290"/>
      <c r="G9" s="291"/>
      <c r="H9" s="166"/>
      <c r="I9" s="176"/>
      <c r="J9" s="234">
        <f t="shared" si="0"/>
        <v>207104.42</v>
      </c>
      <c r="K9" s="292">
        <f t="shared" si="0"/>
        <v>198059.823</v>
      </c>
      <c r="L9" s="166">
        <f t="shared" si="2"/>
        <v>-4.4000000000000004</v>
      </c>
      <c r="M9" s="27">
        <f>IFERROR(100/'Skjema total MA'!I9*K9,0)</f>
        <v>34.12409472751704</v>
      </c>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905251.70799999998</v>
      </c>
      <c r="C47" s="313">
        <v>1013970.5959999999</v>
      </c>
      <c r="D47" s="424">
        <f t="shared" ref="D47:D57" si="3">IF(B47=0, "    ---- ", IF(ABS(ROUND(100/B47*C47-100,1))&lt;999,ROUND(100/B47*C47-100,1),IF(ROUND(100/B47*C47-100,1)&gt;999,999,-999)))</f>
        <v>12</v>
      </c>
      <c r="E47" s="11">
        <f>IFERROR(100/'Skjema total MA'!C47*C47,0)</f>
        <v>23.2980270160153</v>
      </c>
      <c r="F47" s="145"/>
      <c r="G47" s="33"/>
      <c r="H47" s="159"/>
      <c r="I47" s="159"/>
      <c r="J47" s="37"/>
      <c r="K47" s="37"/>
      <c r="L47" s="159"/>
      <c r="M47" s="159"/>
      <c r="N47" s="148"/>
    </row>
    <row r="48" spans="1:14" s="3" customFormat="1" ht="15.75" x14ac:dyDescent="0.2">
      <c r="A48" s="38" t="s">
        <v>362</v>
      </c>
      <c r="B48" s="286">
        <v>586946.875</v>
      </c>
      <c r="C48" s="287">
        <v>652448.85199999996</v>
      </c>
      <c r="D48" s="259">
        <f t="shared" si="3"/>
        <v>11.2</v>
      </c>
      <c r="E48" s="27">
        <f>IFERROR(100/'Skjema total MA'!C48*C48,0)</f>
        <v>26.46842306602775</v>
      </c>
      <c r="F48" s="145"/>
      <c r="G48" s="33"/>
      <c r="H48" s="145"/>
      <c r="I48" s="145"/>
      <c r="J48" s="33"/>
      <c r="K48" s="33"/>
      <c r="L48" s="159"/>
      <c r="M48" s="159"/>
      <c r="N48" s="148"/>
    </row>
    <row r="49" spans="1:14" s="3" customFormat="1" ht="15.75" x14ac:dyDescent="0.2">
      <c r="A49" s="38" t="s">
        <v>363</v>
      </c>
      <c r="B49" s="44">
        <v>318304.83299999998</v>
      </c>
      <c r="C49" s="292">
        <v>361521.74400000001</v>
      </c>
      <c r="D49" s="259">
        <f>IF(B49=0, "    ---- ", IF(ABS(ROUND(100/B49*C49-100,1))&lt;999,ROUND(100/B49*C49-100,1),IF(ROUND(100/B49*C49-100,1)&gt;999,999,-999)))</f>
        <v>13.6</v>
      </c>
      <c r="E49" s="27">
        <f>IFERROR(100/'Skjema total MA'!C49*C49,0)</f>
        <v>19.156867231994372</v>
      </c>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163993</v>
      </c>
      <c r="C53" s="313">
        <v>50550</v>
      </c>
      <c r="D53" s="425">
        <f t="shared" si="3"/>
        <v>-69.2</v>
      </c>
      <c r="E53" s="11">
        <f>IFERROR(100/'Skjema total MA'!C53*C53,0)</f>
        <v>46.482537641637144</v>
      </c>
      <c r="F53" s="145"/>
      <c r="G53" s="33"/>
      <c r="H53" s="145"/>
      <c r="I53" s="145"/>
      <c r="J53" s="33"/>
      <c r="K53" s="33"/>
      <c r="L53" s="159"/>
      <c r="M53" s="159"/>
      <c r="N53" s="148"/>
    </row>
    <row r="54" spans="1:14" s="3" customFormat="1" ht="15.75" x14ac:dyDescent="0.2">
      <c r="A54" s="38" t="s">
        <v>362</v>
      </c>
      <c r="B54" s="286">
        <v>163993</v>
      </c>
      <c r="C54" s="287">
        <v>50550</v>
      </c>
      <c r="D54" s="259">
        <f t="shared" si="3"/>
        <v>-69.2</v>
      </c>
      <c r="E54" s="27">
        <f>IFERROR(100/'Skjema total MA'!C54*C54,0)</f>
        <v>46.891733443788183</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24332</v>
      </c>
      <c r="C56" s="313">
        <v>17993</v>
      </c>
      <c r="D56" s="425">
        <f t="shared" si="3"/>
        <v>-26.1</v>
      </c>
      <c r="E56" s="11">
        <f>IFERROR(100/'Skjema total MA'!C56*C56,0)</f>
        <v>21.818083047435561</v>
      </c>
      <c r="F56" s="145"/>
      <c r="G56" s="33"/>
      <c r="H56" s="145"/>
      <c r="I56" s="145"/>
      <c r="J56" s="33"/>
      <c r="K56" s="33"/>
      <c r="L56" s="159"/>
      <c r="M56" s="159"/>
      <c r="N56" s="148"/>
    </row>
    <row r="57" spans="1:14" s="3" customFormat="1" ht="15.75" x14ac:dyDescent="0.2">
      <c r="A57" s="38" t="s">
        <v>362</v>
      </c>
      <c r="B57" s="286">
        <v>24332</v>
      </c>
      <c r="C57" s="287">
        <v>17993</v>
      </c>
      <c r="D57" s="259">
        <f t="shared" si="3"/>
        <v>-26.1</v>
      </c>
      <c r="E57" s="27">
        <f>IFERROR(100/'Skjema total MA'!C57*C57,0)</f>
        <v>21.818083047435561</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526" priority="76">
      <formula>kvartal &lt; 4</formula>
    </cfRule>
  </conditionalFormatting>
  <conditionalFormatting sqref="C115">
    <cfRule type="expression" dxfId="525" priority="75">
      <formula>kvartal &lt; 4</formula>
    </cfRule>
  </conditionalFormatting>
  <conditionalFormatting sqref="B123">
    <cfRule type="expression" dxfId="524" priority="74">
      <formula>kvartal &lt; 4</formula>
    </cfRule>
  </conditionalFormatting>
  <conditionalFormatting sqref="C123">
    <cfRule type="expression" dxfId="523" priority="73">
      <formula>kvartal &lt; 4</formula>
    </cfRule>
  </conditionalFormatting>
  <conditionalFormatting sqref="F115">
    <cfRule type="expression" dxfId="522" priority="58">
      <formula>kvartal &lt; 4</formula>
    </cfRule>
  </conditionalFormatting>
  <conditionalFormatting sqref="G115">
    <cfRule type="expression" dxfId="521" priority="57">
      <formula>kvartal &lt; 4</formula>
    </cfRule>
  </conditionalFormatting>
  <conditionalFormatting sqref="F123:G123">
    <cfRule type="expression" dxfId="520" priority="56">
      <formula>kvartal &lt; 4</formula>
    </cfRule>
  </conditionalFormatting>
  <conditionalFormatting sqref="J115:K115">
    <cfRule type="expression" dxfId="519" priority="32">
      <formula>kvartal &lt; 4</formula>
    </cfRule>
  </conditionalFormatting>
  <conditionalFormatting sqref="J123:K123">
    <cfRule type="expression" dxfId="518" priority="31">
      <formula>kvartal &lt; 4</formula>
    </cfRule>
  </conditionalFormatting>
  <conditionalFormatting sqref="A50:A52">
    <cfRule type="expression" dxfId="517" priority="12">
      <formula>kvartal &lt; 4</formula>
    </cfRule>
  </conditionalFormatting>
  <conditionalFormatting sqref="A69:A74">
    <cfRule type="expression" dxfId="516" priority="10">
      <formula>kvartal &lt; 4</formula>
    </cfRule>
  </conditionalFormatting>
  <conditionalFormatting sqref="A80:A85">
    <cfRule type="expression" dxfId="515" priority="9">
      <formula>kvartal &lt; 4</formula>
    </cfRule>
  </conditionalFormatting>
  <conditionalFormatting sqref="A90:A95">
    <cfRule type="expression" dxfId="514" priority="6">
      <formula>kvartal &lt; 4</formula>
    </cfRule>
  </conditionalFormatting>
  <conditionalFormatting sqref="A101:A106">
    <cfRule type="expression" dxfId="513" priority="5">
      <formula>kvartal &lt; 4</formula>
    </cfRule>
  </conditionalFormatting>
  <conditionalFormatting sqref="A115">
    <cfRule type="expression" dxfId="512" priority="4">
      <formula>kvartal &lt; 4</formula>
    </cfRule>
  </conditionalFormatting>
  <conditionalFormatting sqref="A123">
    <cfRule type="expression" dxfId="511"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128</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v>91362</v>
      </c>
      <c r="G7" s="309">
        <v>55689</v>
      </c>
      <c r="H7" s="351">
        <f>IF(F7=0, "    ---- ", IF(ABS(ROUND(100/F7*G7-100,1))&lt;999,ROUND(100/F7*G7-100,1),IF(ROUND(100/F7*G7-100,1)&gt;999,999,-999)))</f>
        <v>-39</v>
      </c>
      <c r="I7" s="160">
        <f>IFERROR(100/'Skjema total MA'!F7*G7,0)</f>
        <v>0.96184509842797616</v>
      </c>
      <c r="J7" s="310">
        <f t="shared" ref="J7:K12" si="0">SUM(B7,F7)</f>
        <v>91362</v>
      </c>
      <c r="K7" s="311">
        <f t="shared" si="0"/>
        <v>55689</v>
      </c>
      <c r="L7" s="424">
        <f>IF(J7=0, "    ---- ", IF(ABS(ROUND(100/J7*K7-100,1))&lt;999,ROUND(100/J7*K7-100,1),IF(ROUND(100/J7*K7-100,1)&gt;999,999,-999)))</f>
        <v>-39</v>
      </c>
      <c r="M7" s="11">
        <f>IFERROR(100/'Skjema total MA'!I7*K7,0)</f>
        <v>0.64209678526283054</v>
      </c>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v>967438</v>
      </c>
      <c r="G10" s="313">
        <v>929676</v>
      </c>
      <c r="H10" s="171">
        <f t="shared" ref="H10:H12" si="1">IF(F10=0, "    ---- ", IF(ABS(ROUND(100/F10*G10-100,1))&lt;999,ROUND(100/F10*G10-100,1),IF(ROUND(100/F10*G10-100,1)&gt;999,999,-999)))</f>
        <v>-3.9</v>
      </c>
      <c r="I10" s="160">
        <f>IFERROR(100/'Skjema total MA'!F10*G10,0)</f>
        <v>1.3152659736675307</v>
      </c>
      <c r="J10" s="310">
        <f t="shared" si="0"/>
        <v>967438</v>
      </c>
      <c r="K10" s="311">
        <f t="shared" si="0"/>
        <v>929676</v>
      </c>
      <c r="L10" s="425">
        <f t="shared" ref="L10:L12" si="2">IF(J10=0, "    ---- ", IF(ABS(ROUND(100/J10*K10-100,1))&lt;999,ROUND(100/J10*K10-100,1),IF(ROUND(100/J10*K10-100,1)&gt;999,999,-999)))</f>
        <v>-3.9</v>
      </c>
      <c r="M10" s="11">
        <f>IFERROR(100/'Skjema total MA'!I10*K10,0)</f>
        <v>1.0716824450806757</v>
      </c>
    </row>
    <row r="11" spans="1:14" s="43" customFormat="1" ht="15.75" x14ac:dyDescent="0.2">
      <c r="A11" s="13" t="s">
        <v>352</v>
      </c>
      <c r="B11" s="312"/>
      <c r="C11" s="313"/>
      <c r="D11" s="171"/>
      <c r="E11" s="11"/>
      <c r="F11" s="312">
        <v>4572</v>
      </c>
      <c r="G11" s="313">
        <v>5926</v>
      </c>
      <c r="H11" s="171">
        <f t="shared" si="1"/>
        <v>29.6</v>
      </c>
      <c r="I11" s="160">
        <f>IFERROR(100/'Skjema total MA'!F11*G11,0)</f>
        <v>4.397691030216266</v>
      </c>
      <c r="J11" s="310">
        <f t="shared" si="0"/>
        <v>4572</v>
      </c>
      <c r="K11" s="311">
        <f t="shared" si="0"/>
        <v>5926</v>
      </c>
      <c r="L11" s="425">
        <f t="shared" si="2"/>
        <v>29.6</v>
      </c>
      <c r="M11" s="11">
        <f>IFERROR(100/'Skjema total MA'!I11*K11,0)</f>
        <v>3.8189010436740842</v>
      </c>
      <c r="N11" s="143"/>
    </row>
    <row r="12" spans="1:14" s="43" customFormat="1" ht="15.75" x14ac:dyDescent="0.2">
      <c r="A12" s="41" t="s">
        <v>353</v>
      </c>
      <c r="B12" s="314"/>
      <c r="C12" s="315"/>
      <c r="D12" s="169"/>
      <c r="E12" s="36"/>
      <c r="F12" s="314">
        <v>5401</v>
      </c>
      <c r="G12" s="315">
        <v>18500</v>
      </c>
      <c r="H12" s="169">
        <f t="shared" si="1"/>
        <v>242.5</v>
      </c>
      <c r="I12" s="169">
        <f>IFERROR(100/'Skjema total MA'!F12*G12,0)</f>
        <v>18.525487955439612</v>
      </c>
      <c r="J12" s="316">
        <f t="shared" si="0"/>
        <v>5401</v>
      </c>
      <c r="K12" s="317">
        <f t="shared" si="0"/>
        <v>18500</v>
      </c>
      <c r="L12" s="426">
        <f t="shared" si="2"/>
        <v>242.5</v>
      </c>
      <c r="M12" s="36">
        <f>IFERROR(100/'Skjema total MA'!I12*K12,0)</f>
        <v>18.012681874825383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264529</v>
      </c>
      <c r="C22" s="312">
        <v>299285</v>
      </c>
      <c r="D22" s="351">
        <f t="shared" ref="D22:D29" si="3">IF(B22=0, "    ---- ", IF(ABS(ROUND(100/B22*C22-100,1))&lt;999,ROUND(100/B22*C22-100,1),IF(ROUND(100/B22*C22-100,1)&gt;999,999,-999)))</f>
        <v>13.1</v>
      </c>
      <c r="E22" s="11">
        <f>IFERROR(100/'Skjema total MA'!C22*C22,0)</f>
        <v>24.012485573165815</v>
      </c>
      <c r="F22" s="320">
        <v>44703</v>
      </c>
      <c r="G22" s="320">
        <v>25823</v>
      </c>
      <c r="H22" s="351">
        <f t="shared" ref="H22:H35" si="4">IF(F22=0, "    ---- ", IF(ABS(ROUND(100/F22*G22-100,1))&lt;999,ROUND(100/F22*G22-100,1),IF(ROUND(100/F22*G22-100,1)&gt;999,999,-999)))</f>
        <v>-42.2</v>
      </c>
      <c r="I22" s="11">
        <f>IFERROR(100/'Skjema total MA'!F22*G22,0)</f>
        <v>5.3827702957257699</v>
      </c>
      <c r="J22" s="318">
        <f t="shared" ref="J22:K35" si="5">SUM(B22,F22)</f>
        <v>309232</v>
      </c>
      <c r="K22" s="318">
        <f t="shared" si="5"/>
        <v>325108</v>
      </c>
      <c r="L22" s="424">
        <f t="shared" ref="L22:L35" si="6">IF(J22=0, "    ---- ", IF(ABS(ROUND(100/J22*K22-100,1))&lt;999,ROUND(100/J22*K22-100,1),IF(ROUND(100/J22*K22-100,1)&gt;999,999,-999)))</f>
        <v>5.0999999999999996</v>
      </c>
      <c r="M22" s="24">
        <f>IFERROR(100/'Skjema total MA'!I22*K22,0)</f>
        <v>18.83475559210035</v>
      </c>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v>44703</v>
      </c>
      <c r="G26" s="295">
        <v>25823</v>
      </c>
      <c r="H26" s="166">
        <f t="shared" si="4"/>
        <v>-42.2</v>
      </c>
      <c r="I26" s="414">
        <f>IFERROR(100/'Skjema total MA'!F26*G26,0)</f>
        <v>5.8922678303806446</v>
      </c>
      <c r="J26" s="295">
        <f t="shared" ref="J26" si="7">SUM(B26,F26)</f>
        <v>44703</v>
      </c>
      <c r="K26" s="295">
        <f t="shared" ref="K26" si="8">SUM(C26,G26)</f>
        <v>25823</v>
      </c>
      <c r="L26" s="166">
        <f t="shared" si="6"/>
        <v>-42.2</v>
      </c>
      <c r="M26" s="23">
        <f>IFERROR(100/'Skjema total MA'!I26*K26,0)</f>
        <v>5.8922678303806446</v>
      </c>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264529</v>
      </c>
      <c r="C28" s="292">
        <v>299285</v>
      </c>
      <c r="D28" s="166">
        <f t="shared" si="3"/>
        <v>13.1</v>
      </c>
      <c r="E28" s="11">
        <f>IFERROR(100/'Skjema total MA'!C28*C28,0)</f>
        <v>22.160508563569895</v>
      </c>
      <c r="F28" s="234"/>
      <c r="G28" s="292"/>
      <c r="H28" s="166"/>
      <c r="I28" s="27"/>
      <c r="J28" s="44">
        <f t="shared" si="5"/>
        <v>264529</v>
      </c>
      <c r="K28" s="44">
        <f t="shared" si="5"/>
        <v>299285</v>
      </c>
      <c r="L28" s="259">
        <f t="shared" si="6"/>
        <v>13.1</v>
      </c>
      <c r="M28" s="23">
        <f>IFERROR(100/'Skjema total MA'!I28*K28,0)</f>
        <v>22.160508563569895</v>
      </c>
    </row>
    <row r="29" spans="1:14" s="3" customFormat="1" ht="15.75" x14ac:dyDescent="0.2">
      <c r="A29" s="13" t="s">
        <v>351</v>
      </c>
      <c r="B29" s="236">
        <v>2485401</v>
      </c>
      <c r="C29" s="236">
        <v>2888062</v>
      </c>
      <c r="D29" s="171">
        <f t="shared" si="3"/>
        <v>16.2</v>
      </c>
      <c r="E29" s="11">
        <f>IFERROR(100/'Skjema total MA'!C29*C29,0)</f>
        <v>6.4175889608279171</v>
      </c>
      <c r="F29" s="310">
        <v>1723554</v>
      </c>
      <c r="G29" s="310">
        <v>1548298</v>
      </c>
      <c r="H29" s="171">
        <f t="shared" si="4"/>
        <v>-10.199999999999999</v>
      </c>
      <c r="I29" s="11">
        <f>IFERROR(100/'Skjema total MA'!F29*G29,0)</f>
        <v>6.5398372649499219</v>
      </c>
      <c r="J29" s="236">
        <f t="shared" si="5"/>
        <v>4208955</v>
      </c>
      <c r="K29" s="236">
        <f t="shared" si="5"/>
        <v>4436360</v>
      </c>
      <c r="L29" s="425">
        <f t="shared" si="6"/>
        <v>5.4</v>
      </c>
      <c r="M29" s="24">
        <f>IFERROR(100/'Skjema total MA'!I29*K29,0)</f>
        <v>6.4597312500625623</v>
      </c>
      <c r="N29" s="148"/>
    </row>
    <row r="30" spans="1:14" s="3" customFormat="1" ht="15.75" x14ac:dyDescent="0.2">
      <c r="A30" s="503" t="s">
        <v>354</v>
      </c>
      <c r="B30" s="286"/>
      <c r="C30" s="286"/>
      <c r="D30" s="166"/>
      <c r="E30" s="11"/>
      <c r="F30" s="295">
        <v>26463</v>
      </c>
      <c r="G30" s="295">
        <v>21334</v>
      </c>
      <c r="H30" s="166">
        <f t="shared" si="4"/>
        <v>-19.399999999999999</v>
      </c>
      <c r="I30" s="414">
        <f>IFERROR(100/'Skjema total MA'!F30*G30,0)</f>
        <v>0.59704271364444783</v>
      </c>
      <c r="J30" s="295">
        <f t="shared" ref="J30:J33" si="9">SUM(B30,F30)</f>
        <v>26463</v>
      </c>
      <c r="K30" s="295">
        <f t="shared" ref="K30:K33" si="10">SUM(C30,G30)</f>
        <v>21334</v>
      </c>
      <c r="L30" s="166">
        <f t="shared" si="6"/>
        <v>-19.399999999999999</v>
      </c>
      <c r="M30" s="23">
        <f>IFERROR(100/'Skjema total MA'!I30*K30,0)</f>
        <v>0.16083616273872942</v>
      </c>
      <c r="N30" s="148"/>
    </row>
    <row r="31" spans="1:14" s="3" customFormat="1" ht="15.75" x14ac:dyDescent="0.2">
      <c r="A31" s="503" t="s">
        <v>355</v>
      </c>
      <c r="B31" s="286"/>
      <c r="C31" s="286"/>
      <c r="D31" s="166"/>
      <c r="E31" s="11"/>
      <c r="F31" s="295">
        <v>1088178</v>
      </c>
      <c r="G31" s="295">
        <v>889219</v>
      </c>
      <c r="H31" s="166">
        <f t="shared" si="4"/>
        <v>-18.3</v>
      </c>
      <c r="I31" s="414">
        <f>IFERROR(100/'Skjema total MA'!F31*G31,0)</f>
        <v>11.246808242745553</v>
      </c>
      <c r="J31" s="295">
        <f t="shared" si="9"/>
        <v>1088178</v>
      </c>
      <c r="K31" s="295">
        <f t="shared" si="10"/>
        <v>889219</v>
      </c>
      <c r="L31" s="166">
        <f t="shared" si="6"/>
        <v>-18.3</v>
      </c>
      <c r="M31" s="23">
        <f>IFERROR(100/'Skjema total MA'!I31*K31,0)</f>
        <v>2.6058813294007326</v>
      </c>
      <c r="N31" s="148"/>
    </row>
    <row r="32" spans="1:14" ht="15.75" x14ac:dyDescent="0.2">
      <c r="A32" s="503" t="s">
        <v>356</v>
      </c>
      <c r="B32" s="286"/>
      <c r="C32" s="286"/>
      <c r="D32" s="166"/>
      <c r="E32" s="11"/>
      <c r="F32" s="295">
        <v>134127</v>
      </c>
      <c r="G32" s="295">
        <v>118687</v>
      </c>
      <c r="H32" s="166">
        <f t="shared" si="4"/>
        <v>-11.5</v>
      </c>
      <c r="I32" s="414">
        <f>IFERROR(100/'Skjema total MA'!F32*G32,0)</f>
        <v>2.2453293016231419</v>
      </c>
      <c r="J32" s="295">
        <f t="shared" si="9"/>
        <v>134127</v>
      </c>
      <c r="K32" s="295">
        <f t="shared" si="10"/>
        <v>118687</v>
      </c>
      <c r="L32" s="166">
        <f t="shared" si="6"/>
        <v>-11.5</v>
      </c>
      <c r="M32" s="23">
        <f>IFERROR(100/'Skjema total MA'!I32*K32,0)</f>
        <v>1.6144652935423167</v>
      </c>
    </row>
    <row r="33" spans="1:14" ht="15.75" x14ac:dyDescent="0.2">
      <c r="A33" s="503" t="s">
        <v>357</v>
      </c>
      <c r="B33" s="286"/>
      <c r="C33" s="286"/>
      <c r="D33" s="166"/>
      <c r="E33" s="11"/>
      <c r="F33" s="295">
        <v>474786</v>
      </c>
      <c r="G33" s="295">
        <v>519058</v>
      </c>
      <c r="H33" s="166">
        <f t="shared" si="4"/>
        <v>9.3000000000000007</v>
      </c>
      <c r="I33" s="414">
        <f>IFERROR(100/'Skjema total MA'!F33*G33,0)</f>
        <v>7.5125313902392099</v>
      </c>
      <c r="J33" s="295">
        <f t="shared" si="9"/>
        <v>474786</v>
      </c>
      <c r="K33" s="295">
        <f t="shared" si="10"/>
        <v>519058</v>
      </c>
      <c r="L33" s="166">
        <f t="shared" si="6"/>
        <v>9.3000000000000007</v>
      </c>
      <c r="M33" s="23">
        <f>IFERROR(100/'Skjema total MA'!I33*K33,0)</f>
        <v>7.5125313902392099</v>
      </c>
    </row>
    <row r="34" spans="1:14" ht="15.75" x14ac:dyDescent="0.2">
      <c r="A34" s="13" t="s">
        <v>352</v>
      </c>
      <c r="B34" s="236"/>
      <c r="C34" s="311"/>
      <c r="D34" s="171"/>
      <c r="E34" s="11"/>
      <c r="F34" s="310">
        <v>28020</v>
      </c>
      <c r="G34" s="311">
        <v>25886</v>
      </c>
      <c r="H34" s="171">
        <f t="shared" si="4"/>
        <v>-7.6</v>
      </c>
      <c r="I34" s="11">
        <f>IFERROR(100/'Skjema total MA'!F34*G34,0)</f>
        <v>43.333886015315947</v>
      </c>
      <c r="J34" s="236">
        <f t="shared" si="5"/>
        <v>28020</v>
      </c>
      <c r="K34" s="236">
        <f t="shared" si="5"/>
        <v>25886</v>
      </c>
      <c r="L34" s="425">
        <f t="shared" si="6"/>
        <v>-7.6</v>
      </c>
      <c r="M34" s="24">
        <f>IFERROR(100/'Skjema total MA'!I34*K34,0)</f>
        <v>35.157481339691422</v>
      </c>
    </row>
    <row r="35" spans="1:14" ht="15.75" x14ac:dyDescent="0.2">
      <c r="A35" s="13" t="s">
        <v>353</v>
      </c>
      <c r="B35" s="236"/>
      <c r="C35" s="311"/>
      <c r="D35" s="171"/>
      <c r="E35" s="11"/>
      <c r="F35" s="310">
        <v>9127</v>
      </c>
      <c r="G35" s="311">
        <v>6712</v>
      </c>
      <c r="H35" s="171">
        <f t="shared" si="4"/>
        <v>-26.5</v>
      </c>
      <c r="I35" s="11">
        <f>IFERROR(100/'Skjema total MA'!F35*G35,0)</f>
        <v>11.474228779846314</v>
      </c>
      <c r="J35" s="236">
        <f t="shared" si="5"/>
        <v>9127</v>
      </c>
      <c r="K35" s="236">
        <f t="shared" si="5"/>
        <v>6712</v>
      </c>
      <c r="L35" s="425">
        <f t="shared" si="6"/>
        <v>-26.5</v>
      </c>
      <c r="M35" s="24">
        <f>IFERROR(100/'Skjema total MA'!I35*K35,0)</f>
        <v>14.282632168838399</v>
      </c>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131341</v>
      </c>
      <c r="C66" s="354">
        <v>140565</v>
      </c>
      <c r="D66" s="351">
        <f t="shared" ref="D66:D111" si="11">IF(B66=0, "    ---- ", IF(ABS(ROUND(100/B66*C66-100,1))&lt;999,ROUND(100/B66*C66-100,1),IF(ROUND(100/B66*C66-100,1)&gt;999,999,-999)))</f>
        <v>7</v>
      </c>
      <c r="E66" s="11">
        <f>IFERROR(100/'Skjema total MA'!C66*C66,0)</f>
        <v>3.2173572754837756</v>
      </c>
      <c r="F66" s="353">
        <v>1677454</v>
      </c>
      <c r="G66" s="353">
        <v>1940772</v>
      </c>
      <c r="H66" s="351">
        <f t="shared" ref="H66:H111" si="12">IF(F66=0, "    ---- ", IF(ABS(ROUND(100/F66*G66-100,1))&lt;999,ROUND(100/F66*G66-100,1),IF(ROUND(100/F66*G66-100,1)&gt;999,999,-999)))</f>
        <v>15.7</v>
      </c>
      <c r="I66" s="11">
        <f>IFERROR(100/'Skjema total MA'!F66*G66,0)</f>
        <v>9.6084218606488836</v>
      </c>
      <c r="J66" s="311">
        <f t="shared" ref="J66:K86" si="13">SUM(B66,F66)</f>
        <v>1808795</v>
      </c>
      <c r="K66" s="318">
        <f t="shared" si="13"/>
        <v>2081337</v>
      </c>
      <c r="L66" s="425">
        <f t="shared" ref="L66:L111" si="14">IF(J66=0, "    ---- ", IF(ABS(ROUND(100/J66*K66-100,1))&lt;999,ROUND(100/J66*K66-100,1),IF(ROUND(100/J66*K66-100,1)&gt;999,999,-999)))</f>
        <v>15.1</v>
      </c>
      <c r="M66" s="11">
        <f>IFERROR(100/'Skjema total MA'!I66*K66,0)</f>
        <v>8.4718729216366988</v>
      </c>
    </row>
    <row r="67" spans="1:14" x14ac:dyDescent="0.2">
      <c r="A67" s="416" t="s">
        <v>9</v>
      </c>
      <c r="B67" s="44">
        <v>131341</v>
      </c>
      <c r="C67" s="145">
        <v>140565</v>
      </c>
      <c r="D67" s="166">
        <f t="shared" si="11"/>
        <v>7</v>
      </c>
      <c r="E67" s="27">
        <f>IFERROR(100/'Skjema total MA'!C67*C67,0)</f>
        <v>4.8045641785804527</v>
      </c>
      <c r="F67" s="234"/>
      <c r="G67" s="145"/>
      <c r="H67" s="166"/>
      <c r="I67" s="27"/>
      <c r="J67" s="292">
        <f t="shared" si="13"/>
        <v>131341</v>
      </c>
      <c r="K67" s="44">
        <f t="shared" si="13"/>
        <v>140565</v>
      </c>
      <c r="L67" s="259">
        <f t="shared" si="14"/>
        <v>7</v>
      </c>
      <c r="M67" s="27">
        <f>IFERROR(100/'Skjema total MA'!I67*K67,0)</f>
        <v>4.8045641785804527</v>
      </c>
    </row>
    <row r="68" spans="1:14" x14ac:dyDescent="0.2">
      <c r="A68" s="21" t="s">
        <v>10</v>
      </c>
      <c r="B68" s="296"/>
      <c r="C68" s="297"/>
      <c r="D68" s="166"/>
      <c r="E68" s="27"/>
      <c r="F68" s="296">
        <v>1677454</v>
      </c>
      <c r="G68" s="296">
        <v>1940772</v>
      </c>
      <c r="H68" s="166">
        <f t="shared" si="12"/>
        <v>15.7</v>
      </c>
      <c r="I68" s="27">
        <f>IFERROR(100/'Skjema total MA'!F68*G68,0)</f>
        <v>10.002790543635987</v>
      </c>
      <c r="J68" s="292">
        <f t="shared" si="13"/>
        <v>1677454</v>
      </c>
      <c r="K68" s="44">
        <f t="shared" si="13"/>
        <v>1940772</v>
      </c>
      <c r="L68" s="259">
        <f t="shared" si="14"/>
        <v>15.7</v>
      </c>
      <c r="M68" s="27">
        <f>IFERROR(100/'Skjema total MA'!I68*K68,0)</f>
        <v>9.9910275501235972</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v>130971</v>
      </c>
      <c r="C77" s="234">
        <v>140175</v>
      </c>
      <c r="D77" s="166">
        <f t="shared" si="11"/>
        <v>7</v>
      </c>
      <c r="E77" s="27">
        <f>IFERROR(100/'Skjema total MA'!C77*C77,0)</f>
        <v>4.8660707096445712</v>
      </c>
      <c r="F77" s="234">
        <v>1677454</v>
      </c>
      <c r="G77" s="145">
        <v>1940732</v>
      </c>
      <c r="H77" s="166">
        <f t="shared" si="12"/>
        <v>15.7</v>
      </c>
      <c r="I77" s="27">
        <f>IFERROR(100/'Skjema total MA'!F77*G77,0)</f>
        <v>10.006088232265599</v>
      </c>
      <c r="J77" s="292">
        <f t="shared" si="13"/>
        <v>1808425</v>
      </c>
      <c r="K77" s="44">
        <f t="shared" si="13"/>
        <v>2080907</v>
      </c>
      <c r="L77" s="259">
        <f t="shared" si="14"/>
        <v>15.1</v>
      </c>
      <c r="M77" s="27">
        <f>IFERROR(100/'Skjema total MA'!I77*K77,0)</f>
        <v>9.3414027766149665</v>
      </c>
    </row>
    <row r="78" spans="1:14" x14ac:dyDescent="0.2">
      <c r="A78" s="21" t="s">
        <v>9</v>
      </c>
      <c r="B78" s="234">
        <v>130971</v>
      </c>
      <c r="C78" s="145">
        <v>140175</v>
      </c>
      <c r="D78" s="166">
        <f t="shared" si="11"/>
        <v>7</v>
      </c>
      <c r="E78" s="27">
        <f>IFERROR(100/'Skjema total MA'!C78*C78,0)</f>
        <v>4.9023722129567648</v>
      </c>
      <c r="F78" s="234"/>
      <c r="G78" s="145"/>
      <c r="H78" s="166"/>
      <c r="I78" s="27"/>
      <c r="J78" s="292">
        <f t="shared" si="13"/>
        <v>130971</v>
      </c>
      <c r="K78" s="44">
        <f t="shared" si="13"/>
        <v>140175</v>
      </c>
      <c r="L78" s="259">
        <f t="shared" si="14"/>
        <v>7</v>
      </c>
      <c r="M78" s="27">
        <f>IFERROR(100/'Skjema total MA'!I78*K78,0)</f>
        <v>4.9023722129567648</v>
      </c>
    </row>
    <row r="79" spans="1:14" x14ac:dyDescent="0.2">
      <c r="A79" s="38" t="s">
        <v>403</v>
      </c>
      <c r="B79" s="296"/>
      <c r="C79" s="297"/>
      <c r="D79" s="166"/>
      <c r="E79" s="27"/>
      <c r="F79" s="296">
        <v>1677454</v>
      </c>
      <c r="G79" s="297">
        <v>1940732</v>
      </c>
      <c r="H79" s="166">
        <f t="shared" si="12"/>
        <v>15.7</v>
      </c>
      <c r="I79" s="27">
        <f>IFERROR(100/'Skjema total MA'!F79*G79,0)</f>
        <v>10.006088232265599</v>
      </c>
      <c r="J79" s="292">
        <f t="shared" si="13"/>
        <v>1677454</v>
      </c>
      <c r="K79" s="44">
        <f t="shared" si="13"/>
        <v>1940732</v>
      </c>
      <c r="L79" s="259">
        <f t="shared" si="14"/>
        <v>15.7</v>
      </c>
      <c r="M79" s="27">
        <f>IFERROR(100/'Skjema total MA'!I79*K79,0)</f>
        <v>9.9950957392751487</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v>370</v>
      </c>
      <c r="C86" s="145">
        <v>390</v>
      </c>
      <c r="D86" s="166">
        <f t="shared" si="11"/>
        <v>5.4</v>
      </c>
      <c r="E86" s="27">
        <f>IFERROR(100/'Skjema total MA'!C86*C86,0)</f>
        <v>0.57489885465407153</v>
      </c>
      <c r="F86" s="234">
        <v>0</v>
      </c>
      <c r="G86" s="145">
        <v>40</v>
      </c>
      <c r="H86" s="166" t="str">
        <f t="shared" si="12"/>
        <v xml:space="preserve">    ---- </v>
      </c>
      <c r="I86" s="27">
        <f>IFERROR(100/'Skjema total MA'!F86*G86,0)</f>
        <v>0.58874266388740482</v>
      </c>
      <c r="J86" s="292">
        <f t="shared" si="13"/>
        <v>370</v>
      </c>
      <c r="K86" s="44">
        <f t="shared" si="13"/>
        <v>430</v>
      </c>
      <c r="L86" s="259">
        <f t="shared" si="14"/>
        <v>16.2</v>
      </c>
      <c r="M86" s="27">
        <f>IFERROR(100/'Skjema total MA'!I86*K86,0)</f>
        <v>0.57615912604783615</v>
      </c>
    </row>
    <row r="87" spans="1:13" ht="15.75" x14ac:dyDescent="0.2">
      <c r="A87" s="13" t="s">
        <v>351</v>
      </c>
      <c r="B87" s="354">
        <v>5502984</v>
      </c>
      <c r="C87" s="354">
        <v>5710131</v>
      </c>
      <c r="D87" s="171">
        <f t="shared" si="11"/>
        <v>3.8</v>
      </c>
      <c r="E87" s="11">
        <f>IFERROR(100/'Skjema total MA'!C87*C87,0)</f>
        <v>1.4159127770153255</v>
      </c>
      <c r="F87" s="353">
        <v>35961198</v>
      </c>
      <c r="G87" s="353">
        <v>38299708</v>
      </c>
      <c r="H87" s="171">
        <f t="shared" si="12"/>
        <v>6.5</v>
      </c>
      <c r="I87" s="11">
        <f>IFERROR(100/'Skjema total MA'!F87*G87,0)</f>
        <v>9.1619353904457501</v>
      </c>
      <c r="J87" s="311">
        <f t="shared" ref="J87:K111" si="15">SUM(B87,F87)</f>
        <v>41464182</v>
      </c>
      <c r="K87" s="236">
        <f t="shared" si="15"/>
        <v>44009839</v>
      </c>
      <c r="L87" s="425">
        <f t="shared" si="14"/>
        <v>6.1</v>
      </c>
      <c r="M87" s="11">
        <f>IFERROR(100/'Skjema total MA'!I87*K87,0)</f>
        <v>5.3584705809367552</v>
      </c>
    </row>
    <row r="88" spans="1:13" x14ac:dyDescent="0.2">
      <c r="A88" s="21" t="s">
        <v>9</v>
      </c>
      <c r="B88" s="234">
        <v>5502984</v>
      </c>
      <c r="C88" s="145">
        <v>5710131</v>
      </c>
      <c r="D88" s="166">
        <f t="shared" si="11"/>
        <v>3.8</v>
      </c>
      <c r="E88" s="27">
        <f>IFERROR(100/'Skjema total MA'!C88*C88,0)</f>
        <v>1.4702354605226906</v>
      </c>
      <c r="F88" s="234"/>
      <c r="G88" s="145"/>
      <c r="H88" s="166"/>
      <c r="I88" s="27"/>
      <c r="J88" s="292">
        <f t="shared" si="15"/>
        <v>5502984</v>
      </c>
      <c r="K88" s="44">
        <f t="shared" si="15"/>
        <v>5710131</v>
      </c>
      <c r="L88" s="259">
        <f t="shared" si="14"/>
        <v>3.8</v>
      </c>
      <c r="M88" s="27">
        <f>IFERROR(100/'Skjema total MA'!I88*K88,0)</f>
        <v>1.4702354605226906</v>
      </c>
    </row>
    <row r="89" spans="1:13" x14ac:dyDescent="0.2">
      <c r="A89" s="21" t="s">
        <v>10</v>
      </c>
      <c r="B89" s="234"/>
      <c r="C89" s="145"/>
      <c r="D89" s="166"/>
      <c r="E89" s="27"/>
      <c r="F89" s="234">
        <v>35961198</v>
      </c>
      <c r="G89" s="145">
        <v>38299708</v>
      </c>
      <c r="H89" s="166">
        <f t="shared" si="12"/>
        <v>6.5</v>
      </c>
      <c r="I89" s="27">
        <f>IFERROR(100/'Skjema total MA'!F89*G89,0)</f>
        <v>9.2696751579751879</v>
      </c>
      <c r="J89" s="292">
        <f t="shared" si="15"/>
        <v>35961198</v>
      </c>
      <c r="K89" s="44">
        <f t="shared" si="15"/>
        <v>38299708</v>
      </c>
      <c r="L89" s="259">
        <f t="shared" si="14"/>
        <v>6.5</v>
      </c>
      <c r="M89" s="27">
        <f>IFERROR(100/'Skjema total MA'!I89*K89,0)</f>
        <v>9.1954960300110624</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v>5501147</v>
      </c>
      <c r="C98" s="234">
        <v>5707899</v>
      </c>
      <c r="D98" s="166">
        <f t="shared" si="11"/>
        <v>3.8</v>
      </c>
      <c r="E98" s="27">
        <f>IFERROR(100/'Skjema total MA'!C98*C98,0)</f>
        <v>1.4739301761902592</v>
      </c>
      <c r="F98" s="296">
        <v>35961198</v>
      </c>
      <c r="G98" s="296">
        <v>38299708</v>
      </c>
      <c r="H98" s="166">
        <f t="shared" si="12"/>
        <v>6.5</v>
      </c>
      <c r="I98" s="27">
        <f>IFERROR(100/'Skjema total MA'!F98*G98,0)</f>
        <v>9.2881026012421763</v>
      </c>
      <c r="J98" s="292">
        <f t="shared" si="15"/>
        <v>41462345</v>
      </c>
      <c r="K98" s="44">
        <f t="shared" si="15"/>
        <v>44007607</v>
      </c>
      <c r="L98" s="259">
        <f t="shared" si="14"/>
        <v>6.1</v>
      </c>
      <c r="M98" s="27">
        <f>IFERROR(100/'Skjema total MA'!I98*K98,0)</f>
        <v>5.5036379016170258</v>
      </c>
    </row>
    <row r="99" spans="1:15" x14ac:dyDescent="0.2">
      <c r="A99" s="21" t="s">
        <v>9</v>
      </c>
      <c r="B99" s="296">
        <v>5501147</v>
      </c>
      <c r="C99" s="297">
        <v>5707899</v>
      </c>
      <c r="D99" s="166">
        <f t="shared" si="11"/>
        <v>3.8</v>
      </c>
      <c r="E99" s="27">
        <f>IFERROR(100/'Skjema total MA'!C99*C99,0)</f>
        <v>1.4867260245356884</v>
      </c>
      <c r="F99" s="234"/>
      <c r="G99" s="145"/>
      <c r="H99" s="166"/>
      <c r="I99" s="27"/>
      <c r="J99" s="292">
        <f t="shared" si="15"/>
        <v>5501147</v>
      </c>
      <c r="K99" s="44">
        <f t="shared" si="15"/>
        <v>5707899</v>
      </c>
      <c r="L99" s="259">
        <f t="shared" si="14"/>
        <v>3.8</v>
      </c>
      <c r="M99" s="27">
        <f>IFERROR(100/'Skjema total MA'!I99*K99,0)</f>
        <v>1.4867260245356884</v>
      </c>
    </row>
    <row r="100" spans="1:15" x14ac:dyDescent="0.2">
      <c r="A100" s="38" t="s">
        <v>403</v>
      </c>
      <c r="B100" s="296"/>
      <c r="C100" s="297"/>
      <c r="D100" s="166"/>
      <c r="E100" s="27"/>
      <c r="F100" s="234">
        <v>35961198</v>
      </c>
      <c r="G100" s="234">
        <v>38299708</v>
      </c>
      <c r="H100" s="166">
        <f t="shared" si="12"/>
        <v>6.5</v>
      </c>
      <c r="I100" s="27">
        <f>IFERROR(100/'Skjema total MA'!F100*G100,0)</f>
        <v>9.2881026012421763</v>
      </c>
      <c r="J100" s="292">
        <f t="shared" si="15"/>
        <v>35961198</v>
      </c>
      <c r="K100" s="44">
        <f t="shared" si="15"/>
        <v>38299708</v>
      </c>
      <c r="L100" s="259">
        <f t="shared" si="14"/>
        <v>6.5</v>
      </c>
      <c r="M100" s="27">
        <f>IFERROR(100/'Skjema total MA'!I100*K100,0)</f>
        <v>9.2136294393833573</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v>1837</v>
      </c>
      <c r="C107" s="145">
        <v>2232</v>
      </c>
      <c r="D107" s="166">
        <f t="shared" si="11"/>
        <v>21.5</v>
      </c>
      <c r="E107" s="27">
        <f>IFERROR(100/'Skjema total MA'!C107*C107,0)</f>
        <v>5.0067182464851895E-2</v>
      </c>
      <c r="F107" s="234"/>
      <c r="G107" s="145"/>
      <c r="H107" s="166"/>
      <c r="I107" s="27"/>
      <c r="J107" s="292">
        <f t="shared" si="15"/>
        <v>1837</v>
      </c>
      <c r="K107" s="44">
        <f t="shared" si="15"/>
        <v>2232</v>
      </c>
      <c r="L107" s="259">
        <f t="shared" si="14"/>
        <v>21.5</v>
      </c>
      <c r="M107" s="27">
        <f>IFERROR(100/'Skjema total MA'!I107*K107,0)</f>
        <v>4.2290856317092881E-2</v>
      </c>
    </row>
    <row r="108" spans="1:15" ht="15.75" x14ac:dyDescent="0.2">
      <c r="A108" s="21" t="s">
        <v>370</v>
      </c>
      <c r="B108" s="234">
        <v>4177814</v>
      </c>
      <c r="C108" s="234">
        <v>4178813</v>
      </c>
      <c r="D108" s="166">
        <f t="shared" si="11"/>
        <v>0</v>
      </c>
      <c r="E108" s="27">
        <f>IFERROR(100/'Skjema total MA'!C108*C108,0)</f>
        <v>1.2503953515107766</v>
      </c>
      <c r="F108" s="234"/>
      <c r="G108" s="234"/>
      <c r="H108" s="166"/>
      <c r="I108" s="27"/>
      <c r="J108" s="292">
        <f t="shared" si="15"/>
        <v>4177814</v>
      </c>
      <c r="K108" s="44">
        <f t="shared" si="15"/>
        <v>4178813</v>
      </c>
      <c r="L108" s="259">
        <f t="shared" si="14"/>
        <v>0</v>
      </c>
      <c r="M108" s="27">
        <f>IFERROR(100/'Skjema total MA'!I108*K108,0)</f>
        <v>1.1827769335587572</v>
      </c>
    </row>
    <row r="109" spans="1:15" ht="15.75" x14ac:dyDescent="0.2">
      <c r="A109" s="38" t="s">
        <v>417</v>
      </c>
      <c r="B109" s="234"/>
      <c r="C109" s="234"/>
      <c r="D109" s="166"/>
      <c r="E109" s="27"/>
      <c r="F109" s="234">
        <v>13954639</v>
      </c>
      <c r="G109" s="234">
        <v>15879480</v>
      </c>
      <c r="H109" s="166">
        <f t="shared" si="12"/>
        <v>13.8</v>
      </c>
      <c r="I109" s="27">
        <f>IFERROR(100/'Skjema total MA'!F109*G109,0)</f>
        <v>10.399040266789973</v>
      </c>
      <c r="J109" s="292">
        <f t="shared" si="15"/>
        <v>13954639</v>
      </c>
      <c r="K109" s="44">
        <f t="shared" si="15"/>
        <v>15879480</v>
      </c>
      <c r="L109" s="259">
        <f t="shared" si="14"/>
        <v>13.8</v>
      </c>
      <c r="M109" s="27">
        <f>IFERROR(100/'Skjema total MA'!I109*K109,0)</f>
        <v>10.275126420417051</v>
      </c>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v>44890</v>
      </c>
      <c r="C111" s="159">
        <v>82565</v>
      </c>
      <c r="D111" s="171">
        <f t="shared" si="11"/>
        <v>83.9</v>
      </c>
      <c r="E111" s="11">
        <f>IFERROR(100/'Skjema total MA'!C111*C111,0)</f>
        <v>15.753599975102087</v>
      </c>
      <c r="F111" s="310">
        <v>3504049</v>
      </c>
      <c r="G111" s="159">
        <v>3653571</v>
      </c>
      <c r="H111" s="171">
        <f t="shared" si="12"/>
        <v>4.3</v>
      </c>
      <c r="I111" s="11">
        <f>IFERROR(100/'Skjema total MA'!F111*G111,0)</f>
        <v>17.290111021631031</v>
      </c>
      <c r="J111" s="311">
        <f t="shared" si="15"/>
        <v>3548939</v>
      </c>
      <c r="K111" s="236">
        <f t="shared" si="15"/>
        <v>3736136</v>
      </c>
      <c r="L111" s="425">
        <f t="shared" si="14"/>
        <v>5.3</v>
      </c>
      <c r="M111" s="11">
        <f>IFERROR(100/'Skjema total MA'!I111*K111,0)</f>
        <v>17.252923957718274</v>
      </c>
    </row>
    <row r="112" spans="1:15" x14ac:dyDescent="0.2">
      <c r="A112" s="21" t="s">
        <v>9</v>
      </c>
      <c r="B112" s="234">
        <v>44890</v>
      </c>
      <c r="C112" s="145">
        <v>82565</v>
      </c>
      <c r="D112" s="166">
        <f t="shared" ref="D112:D120" si="16">IF(B112=0, "    ---- ", IF(ABS(ROUND(100/B112*C112-100,1))&lt;999,ROUND(100/B112*C112-100,1),IF(ROUND(100/B112*C112-100,1)&gt;999,999,-999)))</f>
        <v>83.9</v>
      </c>
      <c r="E112" s="27">
        <f>IFERROR(100/'Skjema total MA'!C112*C112,0)</f>
        <v>29.966034605830014</v>
      </c>
      <c r="F112" s="234"/>
      <c r="G112" s="145"/>
      <c r="H112" s="166"/>
      <c r="I112" s="27"/>
      <c r="J112" s="292">
        <f t="shared" ref="J112:K125" si="17">SUM(B112,F112)</f>
        <v>44890</v>
      </c>
      <c r="K112" s="44">
        <f t="shared" si="17"/>
        <v>82565</v>
      </c>
      <c r="L112" s="259">
        <f t="shared" ref="L112:L125" si="18">IF(J112=0, "    ---- ", IF(ABS(ROUND(100/J112*K112-100,1))&lt;999,ROUND(100/J112*K112-100,1),IF(ROUND(100/J112*K112-100,1)&gt;999,999,-999)))</f>
        <v>83.9</v>
      </c>
      <c r="M112" s="27">
        <f>IFERROR(100/'Skjema total MA'!I112*K112,0)</f>
        <v>29.882564839059977</v>
      </c>
    </row>
    <row r="113" spans="1:14" x14ac:dyDescent="0.2">
      <c r="A113" s="21" t="s">
        <v>10</v>
      </c>
      <c r="B113" s="234"/>
      <c r="C113" s="145"/>
      <c r="D113" s="166"/>
      <c r="E113" s="27"/>
      <c r="F113" s="234">
        <v>3504049</v>
      </c>
      <c r="G113" s="145">
        <v>3653571</v>
      </c>
      <c r="H113" s="166">
        <f t="shared" ref="H113:H125" si="19">IF(F113=0, "    ---- ", IF(ABS(ROUND(100/F113*G113-100,1))&lt;999,ROUND(100/F113*G113-100,1),IF(ROUND(100/F113*G113-100,1)&gt;999,999,-999)))</f>
        <v>4.3</v>
      </c>
      <c r="I113" s="27">
        <f>IFERROR(100/'Skjema total MA'!F113*G113,0)</f>
        <v>17.291608589974011</v>
      </c>
      <c r="J113" s="292">
        <f t="shared" si="17"/>
        <v>3504049</v>
      </c>
      <c r="K113" s="44">
        <f t="shared" si="17"/>
        <v>3653571</v>
      </c>
      <c r="L113" s="259">
        <f t="shared" si="18"/>
        <v>4.3</v>
      </c>
      <c r="M113" s="27">
        <f>IFERROR(100/'Skjema total MA'!I113*K113,0)</f>
        <v>17.291460495344669</v>
      </c>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v>23366</v>
      </c>
      <c r="C116" s="234">
        <v>17062</v>
      </c>
      <c r="D116" s="166">
        <f t="shared" si="16"/>
        <v>-27</v>
      </c>
      <c r="E116" s="27">
        <f>IFERROR(100/'Skjema total MA'!C116*C116,0)</f>
        <v>21.022380165207927</v>
      </c>
      <c r="F116" s="234"/>
      <c r="G116" s="234"/>
      <c r="H116" s="166"/>
      <c r="I116" s="27"/>
      <c r="J116" s="292">
        <f t="shared" si="17"/>
        <v>23366</v>
      </c>
      <c r="K116" s="44">
        <f t="shared" si="17"/>
        <v>17062</v>
      </c>
      <c r="L116" s="259">
        <f t="shared" si="18"/>
        <v>-27</v>
      </c>
      <c r="M116" s="27">
        <f>IFERROR(100/'Skjema total MA'!I116*K116,0)</f>
        <v>20.824904761724984</v>
      </c>
    </row>
    <row r="117" spans="1:14" ht="15.75" x14ac:dyDescent="0.2">
      <c r="A117" s="38" t="s">
        <v>417</v>
      </c>
      <c r="B117" s="234"/>
      <c r="C117" s="234"/>
      <c r="D117" s="166"/>
      <c r="E117" s="27"/>
      <c r="F117" s="234">
        <v>103963</v>
      </c>
      <c r="G117" s="234">
        <v>1658800</v>
      </c>
      <c r="H117" s="166">
        <f t="shared" si="19"/>
        <v>999</v>
      </c>
      <c r="I117" s="27">
        <f>IFERROR(100/'Skjema total MA'!F117*G117,0)</f>
        <v>14.563185362078432</v>
      </c>
      <c r="J117" s="292">
        <f t="shared" si="17"/>
        <v>103963</v>
      </c>
      <c r="K117" s="44">
        <f t="shared" si="17"/>
        <v>1658800</v>
      </c>
      <c r="L117" s="259">
        <f t="shared" si="18"/>
        <v>999</v>
      </c>
      <c r="M117" s="27">
        <f>IFERROR(100/'Skjema total MA'!I117*K117,0)</f>
        <v>14.562953994971799</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50712</v>
      </c>
      <c r="C119" s="159">
        <v>25479</v>
      </c>
      <c r="D119" s="171">
        <f t="shared" si="16"/>
        <v>-49.8</v>
      </c>
      <c r="E119" s="11">
        <f>IFERROR(100/'Skjema total MA'!C119*C119,0)</f>
        <v>5.3675149013130827</v>
      </c>
      <c r="F119" s="310">
        <v>3864379</v>
      </c>
      <c r="G119" s="159">
        <v>2428092</v>
      </c>
      <c r="H119" s="171">
        <f t="shared" si="19"/>
        <v>-37.200000000000003</v>
      </c>
      <c r="I119" s="11">
        <f>IFERROR(100/'Skjema total MA'!F119*G119,0)</f>
        <v>10.798650225975559</v>
      </c>
      <c r="J119" s="311">
        <f t="shared" si="17"/>
        <v>3915091</v>
      </c>
      <c r="K119" s="236">
        <f t="shared" si="17"/>
        <v>2453571</v>
      </c>
      <c r="L119" s="425">
        <f t="shared" si="18"/>
        <v>-37.299999999999997</v>
      </c>
      <c r="M119" s="11">
        <f>IFERROR(100/'Skjema total MA'!I119*K119,0)</f>
        <v>10.686362825053285</v>
      </c>
    </row>
    <row r="120" spans="1:14" x14ac:dyDescent="0.2">
      <c r="A120" s="21" t="s">
        <v>9</v>
      </c>
      <c r="B120" s="234">
        <v>50712</v>
      </c>
      <c r="C120" s="145">
        <v>25479</v>
      </c>
      <c r="D120" s="166">
        <f t="shared" si="16"/>
        <v>-49.8</v>
      </c>
      <c r="E120" s="27">
        <f>IFERROR(100/'Skjema total MA'!C120*C120,0)</f>
        <v>15.808517777964825</v>
      </c>
      <c r="F120" s="234"/>
      <c r="G120" s="145"/>
      <c r="H120" s="166"/>
      <c r="I120" s="27"/>
      <c r="J120" s="292">
        <f t="shared" si="17"/>
        <v>50712</v>
      </c>
      <c r="K120" s="44">
        <f t="shared" si="17"/>
        <v>25479</v>
      </c>
      <c r="L120" s="259">
        <f t="shared" si="18"/>
        <v>-49.8</v>
      </c>
      <c r="M120" s="27">
        <f>IFERROR(100/'Skjema total MA'!I120*K120,0)</f>
        <v>15.808517777964825</v>
      </c>
    </row>
    <row r="121" spans="1:14" x14ac:dyDescent="0.2">
      <c r="A121" s="21" t="s">
        <v>10</v>
      </c>
      <c r="B121" s="234"/>
      <c r="C121" s="145"/>
      <c r="D121" s="166"/>
      <c r="E121" s="27"/>
      <c r="F121" s="234">
        <v>3864379</v>
      </c>
      <c r="G121" s="145">
        <v>2428092</v>
      </c>
      <c r="H121" s="166">
        <f t="shared" si="19"/>
        <v>-37.200000000000003</v>
      </c>
      <c r="I121" s="27">
        <f>IFERROR(100/'Skjema total MA'!F121*G121,0)</f>
        <v>10.798650225975559</v>
      </c>
      <c r="J121" s="292">
        <f t="shared" si="17"/>
        <v>3864379</v>
      </c>
      <c r="K121" s="44">
        <f t="shared" si="17"/>
        <v>2428092</v>
      </c>
      <c r="L121" s="259">
        <f t="shared" si="18"/>
        <v>-37.200000000000003</v>
      </c>
      <c r="M121" s="27">
        <f>IFERROR(100/'Skjema total MA'!I121*K121,0)</f>
        <v>10.79597201724606</v>
      </c>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v>147129</v>
      </c>
      <c r="G125" s="234">
        <v>1176938</v>
      </c>
      <c r="H125" s="166">
        <f t="shared" si="19"/>
        <v>699.9</v>
      </c>
      <c r="I125" s="27">
        <f>IFERROR(100/'Skjema total MA'!F125*G125,0)</f>
        <v>10.531053875762311</v>
      </c>
      <c r="J125" s="292">
        <f t="shared" si="17"/>
        <v>147129</v>
      </c>
      <c r="K125" s="44">
        <f t="shared" si="17"/>
        <v>1176938</v>
      </c>
      <c r="L125" s="259">
        <f t="shared" si="18"/>
        <v>699.9</v>
      </c>
      <c r="M125" s="27">
        <f>IFERROR(100/'Skjema total MA'!I125*K125,0)</f>
        <v>10.53060361156737</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510" priority="77">
      <formula>kvartal &lt; 4</formula>
    </cfRule>
  </conditionalFormatting>
  <conditionalFormatting sqref="C115">
    <cfRule type="expression" dxfId="509" priority="76">
      <formula>kvartal &lt; 4</formula>
    </cfRule>
  </conditionalFormatting>
  <conditionalFormatting sqref="B123">
    <cfRule type="expression" dxfId="508" priority="75">
      <formula>kvartal &lt; 4</formula>
    </cfRule>
  </conditionalFormatting>
  <conditionalFormatting sqref="C123">
    <cfRule type="expression" dxfId="507" priority="74">
      <formula>kvartal &lt; 4</formula>
    </cfRule>
  </conditionalFormatting>
  <conditionalFormatting sqref="F115">
    <cfRule type="expression" dxfId="506" priority="59">
      <formula>kvartal &lt; 4</formula>
    </cfRule>
  </conditionalFormatting>
  <conditionalFormatting sqref="G115">
    <cfRule type="expression" dxfId="505" priority="58">
      <formula>kvartal &lt; 4</formula>
    </cfRule>
  </conditionalFormatting>
  <conditionalFormatting sqref="F123:G123">
    <cfRule type="expression" dxfId="504" priority="57">
      <formula>kvartal &lt; 4</formula>
    </cfRule>
  </conditionalFormatting>
  <conditionalFormatting sqref="J115:K115">
    <cfRule type="expression" dxfId="503" priority="33">
      <formula>kvartal &lt; 4</formula>
    </cfRule>
  </conditionalFormatting>
  <conditionalFormatting sqref="J123:K123">
    <cfRule type="expression" dxfId="502" priority="32">
      <formula>kvartal &lt; 4</formula>
    </cfRule>
  </conditionalFormatting>
  <conditionalFormatting sqref="A50:A52">
    <cfRule type="expression" dxfId="501" priority="13">
      <formula>kvartal &lt; 4</formula>
    </cfRule>
  </conditionalFormatting>
  <conditionalFormatting sqref="A69:A74">
    <cfRule type="expression" dxfId="500" priority="11">
      <formula>kvartal &lt; 4</formula>
    </cfRule>
  </conditionalFormatting>
  <conditionalFormatting sqref="A80:A85">
    <cfRule type="expression" dxfId="499" priority="10">
      <formula>kvartal &lt; 4</formula>
    </cfRule>
  </conditionalFormatting>
  <conditionalFormatting sqref="A90:A95">
    <cfRule type="expression" dxfId="498" priority="7">
      <formula>kvartal &lt; 4</formula>
    </cfRule>
  </conditionalFormatting>
  <conditionalFormatting sqref="A101:A106">
    <cfRule type="expression" dxfId="497" priority="6">
      <formula>kvartal &lt; 4</formula>
    </cfRule>
  </conditionalFormatting>
  <conditionalFormatting sqref="A115">
    <cfRule type="expression" dxfId="496" priority="5">
      <formula>kvartal &lt; 4</formula>
    </cfRule>
  </conditionalFormatting>
  <conditionalFormatting sqref="A123">
    <cfRule type="expression" dxfId="495" priority="4">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90</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17560.796999999999</v>
      </c>
      <c r="C7" s="309">
        <v>16964.843000000001</v>
      </c>
      <c r="D7" s="351">
        <f>IF(B7=0, "    ---- ", IF(ABS(ROUND(100/B7*C7-100,1))&lt;999,ROUND(100/B7*C7-100,1),IF(ROUND(100/B7*C7-100,1)&gt;999,999,-999)))</f>
        <v>-3.4</v>
      </c>
      <c r="E7" s="11">
        <f>IFERROR(100/'Skjema total MA'!C7*C7,0)</f>
        <v>0.58840695187115588</v>
      </c>
      <c r="F7" s="308"/>
      <c r="G7" s="309"/>
      <c r="H7" s="351"/>
      <c r="I7" s="160"/>
      <c r="J7" s="310">
        <f t="shared" ref="J7:K10" si="0">SUM(B7,F7)</f>
        <v>17560.796999999999</v>
      </c>
      <c r="K7" s="311">
        <f t="shared" si="0"/>
        <v>16964.843000000001</v>
      </c>
      <c r="L7" s="424">
        <f>IF(J7=0, "    ---- ", IF(ABS(ROUND(100/J7*K7-100,1))&lt;999,ROUND(100/J7*K7-100,1),IF(ROUND(100/J7*K7-100,1)&gt;999,999,-999)))</f>
        <v>-3.4</v>
      </c>
      <c r="M7" s="11">
        <f>IFERROR(100/'Skjema total MA'!I7*K7,0)</f>
        <v>0.19560543649174225</v>
      </c>
    </row>
    <row r="8" spans="1:14" ht="15.75" x14ac:dyDescent="0.2">
      <c r="A8" s="21" t="s">
        <v>25</v>
      </c>
      <c r="B8" s="286">
        <v>10723.1120161</v>
      </c>
      <c r="C8" s="287">
        <v>6327.7157999999999</v>
      </c>
      <c r="D8" s="166">
        <f t="shared" ref="D8:D10" si="1">IF(B8=0, "    ---- ", IF(ABS(ROUND(100/B8*C8-100,1))&lt;999,ROUND(100/B8*C8-100,1),IF(ROUND(100/B8*C8-100,1)&gt;999,999,-999)))</f>
        <v>-41</v>
      </c>
      <c r="E8" s="27">
        <f>IFERROR(100/'Skjema total MA'!C8*C8,0)</f>
        <v>0.33410943596437481</v>
      </c>
      <c r="F8" s="290"/>
      <c r="G8" s="291"/>
      <c r="H8" s="166"/>
      <c r="I8" s="176"/>
      <c r="J8" s="234">
        <f t="shared" si="0"/>
        <v>10723.1120161</v>
      </c>
      <c r="K8" s="292">
        <f t="shared" si="0"/>
        <v>6327.7157999999999</v>
      </c>
      <c r="L8" s="166">
        <f t="shared" ref="L8:L9" si="2">IF(J8=0, "    ---- ", IF(ABS(ROUND(100/J8*K8-100,1))&lt;999,ROUND(100/J8*K8-100,1),IF(ROUND(100/J8*K8-100,1)&gt;999,999,-999)))</f>
        <v>-41</v>
      </c>
      <c r="M8" s="27">
        <f>IFERROR(100/'Skjema total MA'!I8*K8,0)</f>
        <v>0.33410943596437481</v>
      </c>
    </row>
    <row r="9" spans="1:14" ht="15.75" x14ac:dyDescent="0.2">
      <c r="A9" s="21" t="s">
        <v>24</v>
      </c>
      <c r="B9" s="286">
        <v>6434.7464136999997</v>
      </c>
      <c r="C9" s="287">
        <v>3676.6853999999998</v>
      </c>
      <c r="D9" s="166">
        <f t="shared" si="1"/>
        <v>-42.9</v>
      </c>
      <c r="E9" s="27">
        <f>IFERROR(100/'Skjema total MA'!C9*C9,0)</f>
        <v>0.63346295564890442</v>
      </c>
      <c r="F9" s="290"/>
      <c r="G9" s="291"/>
      <c r="H9" s="166"/>
      <c r="I9" s="176"/>
      <c r="J9" s="234">
        <f t="shared" si="0"/>
        <v>6434.7464136999997</v>
      </c>
      <c r="K9" s="292">
        <f t="shared" si="0"/>
        <v>3676.6853999999998</v>
      </c>
      <c r="L9" s="166">
        <f t="shared" si="2"/>
        <v>-42.9</v>
      </c>
      <c r="M9" s="27">
        <f>IFERROR(100/'Skjema total MA'!I9*K9,0)</f>
        <v>0.63346295564890442</v>
      </c>
    </row>
    <row r="10" spans="1:14" ht="15.75" x14ac:dyDescent="0.2">
      <c r="A10" s="13" t="s">
        <v>351</v>
      </c>
      <c r="B10" s="312">
        <v>18796.744812458899</v>
      </c>
      <c r="C10" s="313">
        <v>23966.39632</v>
      </c>
      <c r="D10" s="171">
        <f t="shared" si="1"/>
        <v>27.5</v>
      </c>
      <c r="E10" s="11">
        <f>IFERROR(100/'Skjema total MA'!C10*C10,0)</f>
        <v>0.14917735457622092</v>
      </c>
      <c r="F10" s="312"/>
      <c r="G10" s="313"/>
      <c r="H10" s="171"/>
      <c r="I10" s="160"/>
      <c r="J10" s="310">
        <f t="shared" si="0"/>
        <v>18796.744812458899</v>
      </c>
      <c r="K10" s="311">
        <f t="shared" si="0"/>
        <v>23966.39632</v>
      </c>
      <c r="L10" s="425">
        <f t="shared" ref="L10" si="3">IF(J10=0, "    ---- ", IF(ABS(ROUND(100/J10*K10-100,1))&lt;999,ROUND(100/J10*K10-100,1),IF(ROUND(100/J10*K10-100,1)&gt;999,999,-999)))</f>
        <v>27.5</v>
      </c>
      <c r="M10" s="11">
        <f>IFERROR(100/'Skjema total MA'!I10*K10,0)</f>
        <v>2.762722304113488E-2</v>
      </c>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83.232900000000001</v>
      </c>
      <c r="C22" s="312">
        <v>66.142049999999998</v>
      </c>
      <c r="D22" s="351">
        <f t="shared" ref="D22:D31" si="4">IF(B22=0, "    ---- ", IF(ABS(ROUND(100/B22*C22-100,1))&lt;999,ROUND(100/B22*C22-100,1),IF(ROUND(100/B22*C22-100,1)&gt;999,999,-999)))</f>
        <v>-20.5</v>
      </c>
      <c r="E22" s="11">
        <f>IFERROR(100/'Skjema total MA'!C22*C22,0)</f>
        <v>5.3067645268042567E-3</v>
      </c>
      <c r="F22" s="320"/>
      <c r="G22" s="320"/>
      <c r="H22" s="351"/>
      <c r="I22" s="11"/>
      <c r="J22" s="318">
        <f t="shared" ref="J22:K29" si="5">SUM(B22,F22)</f>
        <v>83.232900000000001</v>
      </c>
      <c r="K22" s="318">
        <f t="shared" si="5"/>
        <v>66.142049999999998</v>
      </c>
      <c r="L22" s="424">
        <f t="shared" ref="L22:L31" si="6">IF(J22=0, "    ---- ", IF(ABS(ROUND(100/J22*K22-100,1))&lt;999,ROUND(100/J22*K22-100,1),IF(ROUND(100/J22*K22-100,1)&gt;999,999,-999)))</f>
        <v>-20.5</v>
      </c>
      <c r="M22" s="24">
        <f>IFERROR(100/'Skjema total MA'!I22*K22,0)</f>
        <v>3.8318630919893723E-3</v>
      </c>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v>83.232900000000001</v>
      </c>
      <c r="C24" s="286">
        <v>66.142049999999998</v>
      </c>
      <c r="D24" s="166">
        <f t="shared" si="4"/>
        <v>-20.5</v>
      </c>
      <c r="E24" s="11">
        <f>IFERROR(100/'Skjema total MA'!C24*C24,0)</f>
        <v>0.98724088910988761</v>
      </c>
      <c r="F24" s="295"/>
      <c r="G24" s="295"/>
      <c r="H24" s="166"/>
      <c r="I24" s="414"/>
      <c r="J24" s="295">
        <f t="shared" ref="J24" si="7">SUM(B24,F24)</f>
        <v>83.232900000000001</v>
      </c>
      <c r="K24" s="295">
        <f t="shared" ref="K24" si="8">SUM(C24,G24)</f>
        <v>66.142049999999998</v>
      </c>
      <c r="L24" s="166">
        <f t="shared" si="6"/>
        <v>-20.5</v>
      </c>
      <c r="M24" s="23">
        <f>IFERROR(100/'Skjema total MA'!I24*K24,0)</f>
        <v>0.94297799199211529</v>
      </c>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83.232900000000001</v>
      </c>
      <c r="C28" s="292">
        <v>66.142049999999998</v>
      </c>
      <c r="D28" s="166">
        <f t="shared" si="4"/>
        <v>-20.5</v>
      </c>
      <c r="E28" s="11">
        <f>IFERROR(100/'Skjema total MA'!C28*C28,0)</f>
        <v>4.897477205463247E-3</v>
      </c>
      <c r="F28" s="234"/>
      <c r="G28" s="292"/>
      <c r="H28" s="166"/>
      <c r="I28" s="27"/>
      <c r="J28" s="44">
        <f t="shared" si="5"/>
        <v>83.232900000000001</v>
      </c>
      <c r="K28" s="44">
        <f t="shared" si="5"/>
        <v>66.142049999999998</v>
      </c>
      <c r="L28" s="259">
        <f t="shared" si="6"/>
        <v>-20.5</v>
      </c>
      <c r="M28" s="23">
        <f>IFERROR(100/'Skjema total MA'!I28*K28,0)</f>
        <v>4.897477205463247E-3</v>
      </c>
    </row>
    <row r="29" spans="1:14" s="3" customFormat="1" ht="15.75" x14ac:dyDescent="0.2">
      <c r="A29" s="13" t="s">
        <v>351</v>
      </c>
      <c r="B29" s="236">
        <v>1624.6421352918201</v>
      </c>
      <c r="C29" s="236">
        <v>1508.72009</v>
      </c>
      <c r="D29" s="171">
        <f t="shared" si="4"/>
        <v>-7.1</v>
      </c>
      <c r="E29" s="11">
        <f>IFERROR(100/'Skjema total MA'!C29*C29,0)</f>
        <v>3.3525406984210525E-3</v>
      </c>
      <c r="F29" s="310"/>
      <c r="G29" s="310"/>
      <c r="H29" s="171"/>
      <c r="I29" s="11"/>
      <c r="J29" s="236">
        <f t="shared" si="5"/>
        <v>1624.6421352918201</v>
      </c>
      <c r="K29" s="236">
        <f t="shared" si="5"/>
        <v>1508.72009</v>
      </c>
      <c r="L29" s="425">
        <f t="shared" si="6"/>
        <v>-7.1</v>
      </c>
      <c r="M29" s="24">
        <f>IFERROR(100/'Skjema total MA'!I29*K29,0)</f>
        <v>2.1968294531936544E-3</v>
      </c>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v>1624.6421352918201</v>
      </c>
      <c r="C31" s="286">
        <v>1508.72009</v>
      </c>
      <c r="D31" s="166">
        <f t="shared" si="4"/>
        <v>-7.1</v>
      </c>
      <c r="E31" s="11">
        <f>IFERROR(100/'Skjema total MA'!C31*C31,0)</f>
        <v>5.7547111894427905E-3</v>
      </c>
      <c r="F31" s="295"/>
      <c r="G31" s="295"/>
      <c r="H31" s="166"/>
      <c r="I31" s="414"/>
      <c r="J31" s="295">
        <f t="shared" ref="J31" si="9">SUM(B31,F31)</f>
        <v>1624.6421352918201</v>
      </c>
      <c r="K31" s="295">
        <f t="shared" ref="K31" si="10">SUM(C31,G31)</f>
        <v>1508.72009</v>
      </c>
      <c r="L31" s="166">
        <f t="shared" si="6"/>
        <v>-7.1</v>
      </c>
      <c r="M31" s="23">
        <f>IFERROR(100/'Skjema total MA'!I31*K31,0)</f>
        <v>4.4213467254104926E-3</v>
      </c>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94" priority="76">
      <formula>kvartal &lt; 4</formula>
    </cfRule>
  </conditionalFormatting>
  <conditionalFormatting sqref="C115">
    <cfRule type="expression" dxfId="493" priority="75">
      <formula>kvartal &lt; 4</formula>
    </cfRule>
  </conditionalFormatting>
  <conditionalFormatting sqref="B123">
    <cfRule type="expression" dxfId="492" priority="74">
      <formula>kvartal &lt; 4</formula>
    </cfRule>
  </conditionalFormatting>
  <conditionalFormatting sqref="C123">
    <cfRule type="expression" dxfId="491" priority="73">
      <formula>kvartal &lt; 4</formula>
    </cfRule>
  </conditionalFormatting>
  <conditionalFormatting sqref="F115">
    <cfRule type="expression" dxfId="490" priority="58">
      <formula>kvartal &lt; 4</formula>
    </cfRule>
  </conditionalFormatting>
  <conditionalFormatting sqref="G115">
    <cfRule type="expression" dxfId="489" priority="57">
      <formula>kvartal &lt; 4</formula>
    </cfRule>
  </conditionalFormatting>
  <conditionalFormatting sqref="F123:G123">
    <cfRule type="expression" dxfId="488" priority="56">
      <formula>kvartal &lt; 4</formula>
    </cfRule>
  </conditionalFormatting>
  <conditionalFormatting sqref="J115:K115">
    <cfRule type="expression" dxfId="487" priority="32">
      <formula>kvartal &lt; 4</formula>
    </cfRule>
  </conditionalFormatting>
  <conditionalFormatting sqref="J123:K123">
    <cfRule type="expression" dxfId="486" priority="31">
      <formula>kvartal &lt; 4</formula>
    </cfRule>
  </conditionalFormatting>
  <conditionalFormatting sqref="A50:A52">
    <cfRule type="expression" dxfId="485" priority="12">
      <formula>kvartal &lt; 4</formula>
    </cfRule>
  </conditionalFormatting>
  <conditionalFormatting sqref="A69:A74">
    <cfRule type="expression" dxfId="484" priority="10">
      <formula>kvartal &lt; 4</formula>
    </cfRule>
  </conditionalFormatting>
  <conditionalFormatting sqref="A80:A85">
    <cfRule type="expression" dxfId="483" priority="9">
      <formula>kvartal &lt; 4</formula>
    </cfRule>
  </conditionalFormatting>
  <conditionalFormatting sqref="A90:A95">
    <cfRule type="expression" dxfId="482" priority="6">
      <formula>kvartal &lt; 4</formula>
    </cfRule>
  </conditionalFormatting>
  <conditionalFormatting sqref="A101:A106">
    <cfRule type="expression" dxfId="481" priority="5">
      <formula>kvartal &lt; 4</formula>
    </cfRule>
  </conditionalFormatting>
  <conditionalFormatting sqref="A115">
    <cfRule type="expression" dxfId="480" priority="4">
      <formula>kvartal &lt; 4</formula>
    </cfRule>
  </conditionalFormatting>
  <conditionalFormatting sqref="A123">
    <cfRule type="expression" dxfId="479"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129</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212665.79478698201</v>
      </c>
      <c r="C7" s="309">
        <v>229866.21539847401</v>
      </c>
      <c r="D7" s="351">
        <f>IF(B7=0, "    ---- ", IF(ABS(ROUND(100/B7*C7-100,1))&lt;999,ROUND(100/B7*C7-100,1),IF(ROUND(100/B7*C7-100,1)&gt;999,999,-999)))</f>
        <v>8.1</v>
      </c>
      <c r="E7" s="11">
        <f>IFERROR(100/'Skjema total MA'!C7*C7,0)</f>
        <v>7.9726572854682258</v>
      </c>
      <c r="F7" s="308"/>
      <c r="G7" s="309"/>
      <c r="H7" s="351"/>
      <c r="I7" s="160"/>
      <c r="J7" s="310">
        <f t="shared" ref="J7:K9" si="0">SUM(B7,F7)</f>
        <v>212665.79478698201</v>
      </c>
      <c r="K7" s="311">
        <f t="shared" si="0"/>
        <v>229866.21539847401</v>
      </c>
      <c r="L7" s="424">
        <f>IF(J7=0, "    ---- ", IF(ABS(ROUND(100/J7*K7-100,1))&lt;999,ROUND(100/J7*K7-100,1),IF(ROUND(100/J7*K7-100,1)&gt;999,999,-999)))</f>
        <v>8.1</v>
      </c>
      <c r="M7" s="11">
        <f>IFERROR(100/'Skjema total MA'!I7*K7,0)</f>
        <v>2.650368258505154</v>
      </c>
    </row>
    <row r="8" spans="1:14" ht="15.75" x14ac:dyDescent="0.2">
      <c r="A8" s="21" t="s">
        <v>25</v>
      </c>
      <c r="B8" s="286">
        <v>147987.35501556599</v>
      </c>
      <c r="C8" s="287">
        <v>162929.77605693301</v>
      </c>
      <c r="D8" s="166">
        <f t="shared" ref="D8:D9" si="1">IF(B8=0, "    ---- ", IF(ABS(ROUND(100/B8*C8-100,1))&lt;999,ROUND(100/B8*C8-100,1),IF(ROUND(100/B8*C8-100,1)&gt;999,999,-999)))</f>
        <v>10.1</v>
      </c>
      <c r="E8" s="27">
        <f>IFERROR(100/'Skjema total MA'!C8*C8,0)</f>
        <v>8.6028477417054336</v>
      </c>
      <c r="F8" s="290"/>
      <c r="G8" s="291"/>
      <c r="H8" s="166"/>
      <c r="I8" s="176"/>
      <c r="J8" s="234">
        <f t="shared" si="0"/>
        <v>147987.35501556599</v>
      </c>
      <c r="K8" s="292">
        <f t="shared" si="0"/>
        <v>162929.77605693301</v>
      </c>
      <c r="L8" s="166">
        <f t="shared" ref="L8:L9" si="2">IF(J8=0, "    ---- ", IF(ABS(ROUND(100/J8*K8-100,1))&lt;999,ROUND(100/J8*K8-100,1),IF(ROUND(100/J8*K8-100,1)&gt;999,999,-999)))</f>
        <v>10.1</v>
      </c>
      <c r="M8" s="27">
        <f>IFERROR(100/'Skjema total MA'!I8*K8,0)</f>
        <v>8.6028477417054336</v>
      </c>
    </row>
    <row r="9" spans="1:14" ht="15.75" x14ac:dyDescent="0.2">
      <c r="A9" s="21" t="s">
        <v>24</v>
      </c>
      <c r="B9" s="286">
        <v>64678.439771415899</v>
      </c>
      <c r="C9" s="287">
        <v>66936.439341541103</v>
      </c>
      <c r="D9" s="166">
        <f t="shared" si="1"/>
        <v>3.5</v>
      </c>
      <c r="E9" s="27">
        <f>IFERROR(100/'Skjema total MA'!C9*C9,0)</f>
        <v>11.532603443826398</v>
      </c>
      <c r="F9" s="290"/>
      <c r="G9" s="291"/>
      <c r="H9" s="166"/>
      <c r="I9" s="176"/>
      <c r="J9" s="234">
        <f t="shared" si="0"/>
        <v>64678.439771415899</v>
      </c>
      <c r="K9" s="292">
        <f t="shared" si="0"/>
        <v>66936.439341541103</v>
      </c>
      <c r="L9" s="166">
        <f t="shared" si="2"/>
        <v>3.5</v>
      </c>
      <c r="M9" s="27">
        <f>IFERROR(100/'Skjema total MA'!I9*K9,0)</f>
        <v>11.532603443826398</v>
      </c>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107889.36030423699</v>
      </c>
      <c r="C28" s="292">
        <v>127817.21180871299</v>
      </c>
      <c r="D28" s="166">
        <f t="shared" ref="D28" si="3">IF(B28=0, "    ---- ", IF(ABS(ROUND(100/B28*C28-100,1))&lt;999,ROUND(100/B28*C28-100,1),IF(ROUND(100/B28*C28-100,1)&gt;999,999,-999)))</f>
        <v>18.5</v>
      </c>
      <c r="E28" s="11">
        <f>IFERROR(100/'Skjema total MA'!C28*C28,0)</f>
        <v>9.4642044100392972</v>
      </c>
      <c r="F28" s="234"/>
      <c r="G28" s="292"/>
      <c r="H28" s="166"/>
      <c r="I28" s="27"/>
      <c r="J28" s="44">
        <f t="shared" ref="J28:K28" si="4">SUM(B28,F28)</f>
        <v>107889.36030423699</v>
      </c>
      <c r="K28" s="44">
        <f t="shared" si="4"/>
        <v>127817.21180871299</v>
      </c>
      <c r="L28" s="259">
        <f t="shared" ref="L28" si="5">IF(J28=0, "    ---- ", IF(ABS(ROUND(100/J28*K28-100,1))&lt;999,ROUND(100/J28*K28-100,1),IF(ROUND(100/J28*K28-100,1)&gt;999,999,-999)))</f>
        <v>18.5</v>
      </c>
      <c r="M28" s="23">
        <f>IFERROR(100/'Skjema total MA'!I28*K28,0)</f>
        <v>9.4642044100392972</v>
      </c>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102436.05684999999</v>
      </c>
      <c r="C47" s="313">
        <v>120875.34600000001</v>
      </c>
      <c r="D47" s="424">
        <f t="shared" ref="D47:D57" si="6">IF(B47=0, "    ---- ", IF(ABS(ROUND(100/B47*C47-100,1))&lt;999,ROUND(100/B47*C47-100,1),IF(ROUND(100/B47*C47-100,1)&gt;999,999,-999)))</f>
        <v>18</v>
      </c>
      <c r="E47" s="11">
        <f>IFERROR(100/'Skjema total MA'!C47*C47,0)</f>
        <v>2.7773557613875792</v>
      </c>
      <c r="F47" s="145"/>
      <c r="G47" s="33"/>
      <c r="H47" s="159"/>
      <c r="I47" s="159"/>
      <c r="J47" s="37"/>
      <c r="K47" s="37"/>
      <c r="L47" s="159"/>
      <c r="M47" s="159"/>
      <c r="N47" s="148"/>
    </row>
    <row r="48" spans="1:14" s="3" customFormat="1" ht="15.75" x14ac:dyDescent="0.2">
      <c r="A48" s="38" t="s">
        <v>362</v>
      </c>
      <c r="B48" s="286">
        <v>102436.05684999999</v>
      </c>
      <c r="C48" s="287">
        <v>120875.34600000001</v>
      </c>
      <c r="D48" s="259">
        <f t="shared" si="6"/>
        <v>18</v>
      </c>
      <c r="E48" s="27">
        <f>IFERROR(100/'Skjema total MA'!C48*C48,0)</f>
        <v>4.9036484413654629</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4134.22</v>
      </c>
      <c r="C53" s="313">
        <v>2802.0819999999999</v>
      </c>
      <c r="D53" s="425">
        <f t="shared" si="6"/>
        <v>-32.200000000000003</v>
      </c>
      <c r="E53" s="11">
        <f>IFERROR(100/'Skjema total MA'!C53*C53,0)</f>
        <v>2.5766148771504231</v>
      </c>
      <c r="F53" s="145"/>
      <c r="G53" s="33"/>
      <c r="H53" s="145"/>
      <c r="I53" s="145"/>
      <c r="J53" s="33"/>
      <c r="K53" s="33"/>
      <c r="L53" s="159"/>
      <c r="M53" s="159"/>
      <c r="N53" s="148"/>
    </row>
    <row r="54" spans="1:14" s="3" customFormat="1" ht="15.75" x14ac:dyDescent="0.2">
      <c r="A54" s="38" t="s">
        <v>362</v>
      </c>
      <c r="B54" s="286">
        <v>4134.22</v>
      </c>
      <c r="C54" s="287">
        <v>2802.0819999999999</v>
      </c>
      <c r="D54" s="259">
        <f t="shared" si="6"/>
        <v>-32.200000000000003</v>
      </c>
      <c r="E54" s="27">
        <f>IFERROR(100/'Skjema total MA'!C54*C54,0)</f>
        <v>2.5992973735239735</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654.79</v>
      </c>
      <c r="C56" s="313">
        <v>1450.1220000000001</v>
      </c>
      <c r="D56" s="425">
        <f t="shared" si="6"/>
        <v>121.5</v>
      </c>
      <c r="E56" s="11">
        <f>IFERROR(100/'Skjema total MA'!C56*C56,0)</f>
        <v>1.7583995011900937</v>
      </c>
      <c r="F56" s="145"/>
      <c r="G56" s="33"/>
      <c r="H56" s="145"/>
      <c r="I56" s="145"/>
      <c r="J56" s="33"/>
      <c r="K56" s="33"/>
      <c r="L56" s="159"/>
      <c r="M56" s="159"/>
      <c r="N56" s="148"/>
    </row>
    <row r="57" spans="1:14" s="3" customFormat="1" ht="15.75" x14ac:dyDescent="0.2">
      <c r="A57" s="38" t="s">
        <v>362</v>
      </c>
      <c r="B57" s="286">
        <v>654.79</v>
      </c>
      <c r="C57" s="287">
        <v>1450.1220000000001</v>
      </c>
      <c r="D57" s="259">
        <f t="shared" si="6"/>
        <v>121.5</v>
      </c>
      <c r="E57" s="27">
        <f>IFERROR(100/'Skjema total MA'!C57*C57,0)</f>
        <v>1.7583995011900937</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78" priority="76">
      <formula>kvartal &lt; 4</formula>
    </cfRule>
  </conditionalFormatting>
  <conditionalFormatting sqref="C115">
    <cfRule type="expression" dxfId="477" priority="75">
      <formula>kvartal &lt; 4</formula>
    </cfRule>
  </conditionalFormatting>
  <conditionalFormatting sqref="B123">
    <cfRule type="expression" dxfId="476" priority="74">
      <formula>kvartal &lt; 4</formula>
    </cfRule>
  </conditionalFormatting>
  <conditionalFormatting sqref="C123">
    <cfRule type="expression" dxfId="475" priority="73">
      <formula>kvartal &lt; 4</formula>
    </cfRule>
  </conditionalFormatting>
  <conditionalFormatting sqref="F115">
    <cfRule type="expression" dxfId="474" priority="58">
      <formula>kvartal &lt; 4</formula>
    </cfRule>
  </conditionalFormatting>
  <conditionalFormatting sqref="G115">
    <cfRule type="expression" dxfId="473" priority="57">
      <formula>kvartal &lt; 4</formula>
    </cfRule>
  </conditionalFormatting>
  <conditionalFormatting sqref="F123:G123">
    <cfRule type="expression" dxfId="472" priority="56">
      <formula>kvartal &lt; 4</formula>
    </cfRule>
  </conditionalFormatting>
  <conditionalFormatting sqref="J115:K115">
    <cfRule type="expression" dxfId="471" priority="32">
      <formula>kvartal &lt; 4</formula>
    </cfRule>
  </conditionalFormatting>
  <conditionalFormatting sqref="J123:K123">
    <cfRule type="expression" dxfId="470" priority="31">
      <formula>kvartal &lt; 4</formula>
    </cfRule>
  </conditionalFormatting>
  <conditionalFormatting sqref="A50:A52">
    <cfRule type="expression" dxfId="469" priority="12">
      <formula>kvartal &lt; 4</formula>
    </cfRule>
  </conditionalFormatting>
  <conditionalFormatting sqref="A69:A74">
    <cfRule type="expression" dxfId="468" priority="10">
      <formula>kvartal &lt; 4</formula>
    </cfRule>
  </conditionalFormatting>
  <conditionalFormatting sqref="A80:A85">
    <cfRule type="expression" dxfId="467" priority="9">
      <formula>kvartal &lt; 4</formula>
    </cfRule>
  </conditionalFormatting>
  <conditionalFormatting sqref="A90:A95">
    <cfRule type="expression" dxfId="466" priority="6">
      <formula>kvartal &lt; 4</formula>
    </cfRule>
  </conditionalFormatting>
  <conditionalFormatting sqref="A101:A106">
    <cfRule type="expression" dxfId="465" priority="5">
      <formula>kvartal &lt; 4</formula>
    </cfRule>
  </conditionalFormatting>
  <conditionalFormatting sqref="A115">
    <cfRule type="expression" dxfId="464" priority="4">
      <formula>kvartal &lt; 4</formula>
    </cfRule>
  </conditionalFormatting>
  <conditionalFormatting sqref="A123">
    <cfRule type="expression" dxfId="463"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O144"/>
  <sheetViews>
    <sheetView showGridLines="0" zoomScaleNormal="100" workbookViewId="0">
      <selection activeCell="O118" sqref="O118"/>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63</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v>1001.35307</v>
      </c>
      <c r="C48" s="287">
        <v>0</v>
      </c>
      <c r="D48" s="259">
        <f t="shared" ref="D48" si="0">IF(B48=0, "    ---- ", IF(ABS(ROUND(100/B48*C48-100,1))&lt;999,ROUND(100/B48*C48-100,1),IF(ROUND(100/B48*C48-100,1)&gt;999,999,-999)))</f>
        <v>-100</v>
      </c>
      <c r="E48" s="27">
        <f>IFERROR(100/'Skjema total MA'!C48*C48,0)</f>
        <v>0</v>
      </c>
      <c r="F48" s="145"/>
      <c r="G48" s="33"/>
      <c r="H48" s="145"/>
      <c r="I48" s="145"/>
      <c r="J48" s="33"/>
      <c r="K48" s="33"/>
      <c r="L48" s="159"/>
      <c r="M48" s="159"/>
      <c r="N48" s="148"/>
    </row>
    <row r="49" spans="1:14" s="3" customFormat="1" ht="15.75" x14ac:dyDescent="0.2">
      <c r="A49" s="38" t="s">
        <v>363</v>
      </c>
      <c r="B49" s="44">
        <v>-1001.43612</v>
      </c>
      <c r="C49" s="292">
        <v>0</v>
      </c>
      <c r="D49" s="259">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v>33537381.302000001</v>
      </c>
      <c r="C134" s="311">
        <v>32592177.502640001</v>
      </c>
      <c r="D134" s="351">
        <f t="shared" ref="D134:D137" si="1">IF(B134=0, "    ---- ", IF(ABS(ROUND(100/B134*C134-100,1))&lt;999,ROUND(100/B134*C134-100,1),IF(ROUND(100/B134*C134-100,1)&gt;999,999,-999)))</f>
        <v>-2.8</v>
      </c>
      <c r="E134" s="11">
        <f>IFERROR(100/'Skjema total MA'!C134*C134,0)</f>
        <v>84.622623902320484</v>
      </c>
      <c r="F134" s="318">
        <v>96259.103000000003</v>
      </c>
      <c r="G134" s="319">
        <v>103293.625</v>
      </c>
      <c r="H134" s="428">
        <f t="shared" ref="H134:H136" si="2">IF(F134=0, "    ---- ", IF(ABS(ROUND(100/F134*G134-100,1))&lt;999,ROUND(100/F134*G134-100,1),IF(ROUND(100/F134*G134-100,1)&gt;999,999,-999)))</f>
        <v>7.3</v>
      </c>
      <c r="I134" s="24">
        <f>IFERROR(100/'Skjema total MA'!F134*G134,0)</f>
        <v>100</v>
      </c>
      <c r="J134" s="320">
        <f t="shared" ref="J134:K137" si="3">SUM(B134,F134)</f>
        <v>33633640.405000001</v>
      </c>
      <c r="K134" s="320">
        <f t="shared" si="3"/>
        <v>32695471.127640001</v>
      </c>
      <c r="L134" s="424">
        <f t="shared" ref="L134:L137" si="4">IF(J134=0, "    ---- ", IF(ABS(ROUND(100/J134*K134-100,1))&lt;999,ROUND(100/J134*K134-100,1),IF(ROUND(100/J134*K134-100,1)&gt;999,999,-999)))</f>
        <v>-2.8</v>
      </c>
      <c r="M134" s="11">
        <f>IFERROR(100/'Skjema total MA'!I134*K134,0)</f>
        <v>84.663754562436225</v>
      </c>
      <c r="N134" s="148"/>
    </row>
    <row r="135" spans="1:14" s="3" customFormat="1" ht="15.75" x14ac:dyDescent="0.2">
      <c r="A135" s="13" t="s">
        <v>378</v>
      </c>
      <c r="B135" s="236">
        <v>563636708.30683994</v>
      </c>
      <c r="C135" s="311">
        <v>651822235.95746005</v>
      </c>
      <c r="D135" s="171">
        <f t="shared" si="1"/>
        <v>15.6</v>
      </c>
      <c r="E135" s="11">
        <f>IFERROR(100/'Skjema total MA'!C135*C135,0)</f>
        <v>83.7543281526698</v>
      </c>
      <c r="F135" s="236">
        <v>2232813.0127599998</v>
      </c>
      <c r="G135" s="311">
        <v>2589206.34993</v>
      </c>
      <c r="H135" s="429">
        <f t="shared" si="2"/>
        <v>16</v>
      </c>
      <c r="I135" s="24">
        <f>IFERROR(100/'Skjema total MA'!F135*G135,0)</f>
        <v>100</v>
      </c>
      <c r="J135" s="310">
        <f t="shared" si="3"/>
        <v>565869521.31959999</v>
      </c>
      <c r="K135" s="310">
        <f t="shared" si="3"/>
        <v>654411442.30739009</v>
      </c>
      <c r="L135" s="425">
        <f t="shared" si="4"/>
        <v>15.6</v>
      </c>
      <c r="M135" s="11">
        <f>IFERROR(100/'Skjema total MA'!I135*K135,0)</f>
        <v>83.808197281807409</v>
      </c>
      <c r="N135" s="148"/>
    </row>
    <row r="136" spans="1:14" s="3" customFormat="1" ht="15.75" x14ac:dyDescent="0.2">
      <c r="A136" s="13" t="s">
        <v>375</v>
      </c>
      <c r="B136" s="236">
        <v>0</v>
      </c>
      <c r="C136" s="311">
        <v>9190.7080000000005</v>
      </c>
      <c r="D136" s="171" t="str">
        <f t="shared" si="1"/>
        <v xml:space="preserve">    ---- </v>
      </c>
      <c r="E136" s="11">
        <f>IFERROR(100/'Skjema total MA'!C136*C136,0)</f>
        <v>0.2804970496661624</v>
      </c>
      <c r="F136" s="236">
        <v>0</v>
      </c>
      <c r="G136" s="311">
        <v>376440.52899999998</v>
      </c>
      <c r="H136" s="429" t="str">
        <f t="shared" si="2"/>
        <v xml:space="preserve">    ---- </v>
      </c>
      <c r="I136" s="24">
        <f>IFERROR(100/'Skjema total MA'!F136*G136,0)</f>
        <v>100</v>
      </c>
      <c r="J136" s="310">
        <f t="shared" si="3"/>
        <v>0</v>
      </c>
      <c r="K136" s="310">
        <f t="shared" si="3"/>
        <v>385631.23699999996</v>
      </c>
      <c r="L136" s="425" t="str">
        <f t="shared" si="4"/>
        <v xml:space="preserve">    ---- </v>
      </c>
      <c r="M136" s="11">
        <f>IFERROR(100/'Skjema total MA'!I136*K136,0)</f>
        <v>10.556505715279554</v>
      </c>
      <c r="N136" s="148"/>
    </row>
    <row r="137" spans="1:14" s="3" customFormat="1" ht="15.75" x14ac:dyDescent="0.2">
      <c r="A137" s="41" t="s">
        <v>376</v>
      </c>
      <c r="B137" s="281">
        <v>8346122.3590000002</v>
      </c>
      <c r="C137" s="317">
        <v>4364270.784</v>
      </c>
      <c r="D137" s="169">
        <f t="shared" si="1"/>
        <v>-47.7</v>
      </c>
      <c r="E137" s="9">
        <f>IFERROR(100/'Skjema total MA'!C137*C137,0)</f>
        <v>99.7614962173149</v>
      </c>
      <c r="F137" s="281"/>
      <c r="G137" s="317"/>
      <c r="H137" s="430"/>
      <c r="I137" s="36"/>
      <c r="J137" s="316">
        <f t="shared" si="3"/>
        <v>8346122.3590000002</v>
      </c>
      <c r="K137" s="316">
        <f t="shared" si="3"/>
        <v>4364270.784</v>
      </c>
      <c r="L137" s="426">
        <f t="shared" si="4"/>
        <v>-47.7</v>
      </c>
      <c r="M137" s="36">
        <f>IFERROR(100/'Skjema total MA'!I137*K137,0)</f>
        <v>99.7614962173149</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62" priority="76">
      <formula>kvartal &lt; 4</formula>
    </cfRule>
  </conditionalFormatting>
  <conditionalFormatting sqref="C115">
    <cfRule type="expression" dxfId="461" priority="75">
      <formula>kvartal &lt; 4</formula>
    </cfRule>
  </conditionalFormatting>
  <conditionalFormatting sqref="B123">
    <cfRule type="expression" dxfId="460" priority="74">
      <formula>kvartal &lt; 4</formula>
    </cfRule>
  </conditionalFormatting>
  <conditionalFormatting sqref="C123">
    <cfRule type="expression" dxfId="459" priority="73">
      <formula>kvartal &lt; 4</formula>
    </cfRule>
  </conditionalFormatting>
  <conditionalFormatting sqref="F115">
    <cfRule type="expression" dxfId="458" priority="58">
      <formula>kvartal &lt; 4</formula>
    </cfRule>
  </conditionalFormatting>
  <conditionalFormatting sqref="G115">
    <cfRule type="expression" dxfId="457" priority="57">
      <formula>kvartal &lt; 4</formula>
    </cfRule>
  </conditionalFormatting>
  <conditionalFormatting sqref="F123:G123">
    <cfRule type="expression" dxfId="456" priority="56">
      <formula>kvartal &lt; 4</formula>
    </cfRule>
  </conditionalFormatting>
  <conditionalFormatting sqref="J115:K115">
    <cfRule type="expression" dxfId="455" priority="32">
      <formula>kvartal &lt; 4</formula>
    </cfRule>
  </conditionalFormatting>
  <conditionalFormatting sqref="J123:K123">
    <cfRule type="expression" dxfId="454" priority="31">
      <formula>kvartal &lt; 4</formula>
    </cfRule>
  </conditionalFormatting>
  <conditionalFormatting sqref="A50:A52">
    <cfRule type="expression" dxfId="453" priority="12">
      <formula>kvartal &lt; 4</formula>
    </cfRule>
  </conditionalFormatting>
  <conditionalFormatting sqref="A69:A74">
    <cfRule type="expression" dxfId="452" priority="10">
      <formula>kvartal &lt; 4</formula>
    </cfRule>
  </conditionalFormatting>
  <conditionalFormatting sqref="A80:A85">
    <cfRule type="expression" dxfId="451" priority="9">
      <formula>kvartal &lt; 4</formula>
    </cfRule>
  </conditionalFormatting>
  <conditionalFormatting sqref="A90:A95">
    <cfRule type="expression" dxfId="450" priority="6">
      <formula>kvartal &lt; 4</formula>
    </cfRule>
  </conditionalFormatting>
  <conditionalFormatting sqref="A101:A106">
    <cfRule type="expression" dxfId="449" priority="5">
      <formula>kvartal &lt; 4</formula>
    </cfRule>
  </conditionalFormatting>
  <conditionalFormatting sqref="A115">
    <cfRule type="expression" dxfId="448" priority="4">
      <formula>kvartal &lt; 4</formula>
    </cfRule>
  </conditionalFormatting>
  <conditionalFormatting sqref="A123">
    <cfRule type="expression" dxfId="447" priority="3">
      <formula>kvartal &lt; 4</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133</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12221.714</v>
      </c>
      <c r="C7" s="309">
        <v>15175.531000000001</v>
      </c>
      <c r="D7" s="351">
        <f>IF(B7=0, "    ---- ", IF(ABS(ROUND(100/B7*C7-100,1))&lt;999,ROUND(100/B7*C7-100,1),IF(ROUND(100/B7*C7-100,1)&gt;999,999,-999)))</f>
        <v>24.2</v>
      </c>
      <c r="E7" s="11">
        <f>IFERROR(100/'Skjema total MA'!C7*C7,0)</f>
        <v>0.52634662983537384</v>
      </c>
      <c r="F7" s="308"/>
      <c r="G7" s="309"/>
      <c r="H7" s="351"/>
      <c r="I7" s="160"/>
      <c r="J7" s="310">
        <f t="shared" ref="J7:K10" si="0">SUM(B7,F7)</f>
        <v>12221.714</v>
      </c>
      <c r="K7" s="311">
        <f t="shared" si="0"/>
        <v>15175.531000000001</v>
      </c>
      <c r="L7" s="424">
        <f>IF(J7=0, "    ---- ", IF(ABS(ROUND(100/J7*K7-100,1))&lt;999,ROUND(100/J7*K7-100,1),IF(ROUND(100/J7*K7-100,1)&gt;999,999,-999)))</f>
        <v>24.2</v>
      </c>
      <c r="M7" s="11">
        <f>IFERROR(100/'Skjema total MA'!I7*K7,0)</f>
        <v>0.17497458510220024</v>
      </c>
    </row>
    <row r="8" spans="1:14" ht="15.75" x14ac:dyDescent="0.2">
      <c r="A8" s="21" t="s">
        <v>25</v>
      </c>
      <c r="B8" s="286">
        <v>11612.184999999999</v>
      </c>
      <c r="C8" s="287">
        <v>14453.754999999999</v>
      </c>
      <c r="D8" s="166">
        <f t="shared" ref="D8:D10" si="1">IF(B8=0, "    ---- ", IF(ABS(ROUND(100/B8*C8-100,1))&lt;999,ROUND(100/B8*C8-100,1),IF(ROUND(100/B8*C8-100,1)&gt;999,999,-999)))</f>
        <v>24.5</v>
      </c>
      <c r="E8" s="27">
        <f>IFERROR(100/'Skjema total MA'!C8*C8,0)</f>
        <v>0.76317206449399355</v>
      </c>
      <c r="F8" s="290"/>
      <c r="G8" s="291"/>
      <c r="H8" s="166"/>
      <c r="I8" s="176"/>
      <c r="J8" s="234">
        <f t="shared" si="0"/>
        <v>11612.184999999999</v>
      </c>
      <c r="K8" s="292">
        <f t="shared" si="0"/>
        <v>14453.754999999999</v>
      </c>
      <c r="L8" s="166">
        <f t="shared" ref="L8:L9" si="2">IF(J8=0, "    ---- ", IF(ABS(ROUND(100/J8*K8-100,1))&lt;999,ROUND(100/J8*K8-100,1),IF(ROUND(100/J8*K8-100,1)&gt;999,999,-999)))</f>
        <v>24.5</v>
      </c>
      <c r="M8" s="27">
        <f>IFERROR(100/'Skjema total MA'!I8*K8,0)</f>
        <v>0.76317206449399355</v>
      </c>
    </row>
    <row r="9" spans="1:14" ht="15.75" x14ac:dyDescent="0.2">
      <c r="A9" s="21" t="s">
        <v>24</v>
      </c>
      <c r="B9" s="286">
        <v>609.529</v>
      </c>
      <c r="C9" s="287">
        <v>721.77599999999995</v>
      </c>
      <c r="D9" s="166">
        <f t="shared" si="1"/>
        <v>18.399999999999999</v>
      </c>
      <c r="E9" s="27">
        <f>IFERROR(100/'Skjema total MA'!C9*C9,0)</f>
        <v>0.12435612747189184</v>
      </c>
      <c r="F9" s="290"/>
      <c r="G9" s="291"/>
      <c r="H9" s="166"/>
      <c r="I9" s="176"/>
      <c r="J9" s="234">
        <f t="shared" si="0"/>
        <v>609.529</v>
      </c>
      <c r="K9" s="292">
        <f t="shared" si="0"/>
        <v>721.77599999999995</v>
      </c>
      <c r="L9" s="166">
        <f t="shared" si="2"/>
        <v>18.399999999999999</v>
      </c>
      <c r="M9" s="27">
        <f>IFERROR(100/'Skjema total MA'!I9*K9,0)</f>
        <v>0.12435612747189184</v>
      </c>
    </row>
    <row r="10" spans="1:14" ht="15.75" x14ac:dyDescent="0.2">
      <c r="A10" s="13" t="s">
        <v>351</v>
      </c>
      <c r="B10" s="312">
        <v>17641.626</v>
      </c>
      <c r="C10" s="313">
        <v>20740.351999999999</v>
      </c>
      <c r="D10" s="171">
        <f t="shared" si="1"/>
        <v>17.600000000000001</v>
      </c>
      <c r="E10" s="11">
        <f>IFERROR(100/'Skjema total MA'!C10*C10,0)</f>
        <v>0.12909704083286361</v>
      </c>
      <c r="F10" s="312"/>
      <c r="G10" s="313"/>
      <c r="H10" s="171"/>
      <c r="I10" s="160"/>
      <c r="J10" s="310">
        <f t="shared" si="0"/>
        <v>17641.626</v>
      </c>
      <c r="K10" s="311">
        <f t="shared" si="0"/>
        <v>20740.351999999999</v>
      </c>
      <c r="L10" s="425">
        <f t="shared" ref="L10" si="3">IF(J10=0, "    ---- ", IF(ABS(ROUND(100/J10*K10-100,1))&lt;999,ROUND(100/J10*K10-100,1),IF(ROUND(100/J10*K10-100,1)&gt;999,999,-999)))</f>
        <v>17.600000000000001</v>
      </c>
      <c r="M10" s="11">
        <f>IFERROR(100/'Skjema total MA'!I10*K10,0)</f>
        <v>2.3908405878170332E-2</v>
      </c>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10231.873</v>
      </c>
      <c r="C22" s="312">
        <v>12812.046</v>
      </c>
      <c r="D22" s="351">
        <f t="shared" ref="D22:D29" si="4">IF(B22=0, "    ---- ", IF(ABS(ROUND(100/B22*C22-100,1))&lt;999,ROUND(100/B22*C22-100,1),IF(ROUND(100/B22*C22-100,1)&gt;999,999,-999)))</f>
        <v>25.2</v>
      </c>
      <c r="E22" s="11">
        <f>IFERROR(100/'Skjema total MA'!C22*C22,0)</f>
        <v>1.0279468390922926</v>
      </c>
      <c r="F22" s="320"/>
      <c r="G22" s="320"/>
      <c r="H22" s="351"/>
      <c r="I22" s="11"/>
      <c r="J22" s="318">
        <f t="shared" ref="J22:K29" si="5">SUM(B22,F22)</f>
        <v>10231.873</v>
      </c>
      <c r="K22" s="318">
        <f t="shared" si="5"/>
        <v>12812.046</v>
      </c>
      <c r="L22" s="424">
        <f t="shared" ref="L22:L29" si="6">IF(J22=0, "    ---- ", IF(ABS(ROUND(100/J22*K22-100,1))&lt;999,ROUND(100/J22*K22-100,1),IF(ROUND(100/J22*K22-100,1)&gt;999,999,-999)))</f>
        <v>25.2</v>
      </c>
      <c r="M22" s="24">
        <f>IFERROR(100/'Skjema total MA'!I22*K22,0)</f>
        <v>0.74225105209575559</v>
      </c>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10231.873</v>
      </c>
      <c r="C28" s="292">
        <v>12812.046</v>
      </c>
      <c r="D28" s="166">
        <f t="shared" si="4"/>
        <v>25.2</v>
      </c>
      <c r="E28" s="11">
        <f>IFERROR(100/'Skjema total MA'!C28*C28,0)</f>
        <v>0.94866583724493847</v>
      </c>
      <c r="F28" s="234"/>
      <c r="G28" s="292"/>
      <c r="H28" s="166"/>
      <c r="I28" s="27"/>
      <c r="J28" s="44">
        <f t="shared" si="5"/>
        <v>10231.873</v>
      </c>
      <c r="K28" s="44">
        <f t="shared" si="5"/>
        <v>12812.046</v>
      </c>
      <c r="L28" s="259">
        <f t="shared" si="6"/>
        <v>25.2</v>
      </c>
      <c r="M28" s="23">
        <f>IFERROR(100/'Skjema total MA'!I28*K28,0)</f>
        <v>0.94866583724493847</v>
      </c>
    </row>
    <row r="29" spans="1:14" s="3" customFormat="1" ht="15.75" x14ac:dyDescent="0.2">
      <c r="A29" s="13" t="s">
        <v>351</v>
      </c>
      <c r="B29" s="236">
        <v>49807.194000000003</v>
      </c>
      <c r="C29" s="236">
        <v>69755.203999999998</v>
      </c>
      <c r="D29" s="171">
        <f t="shared" si="4"/>
        <v>40.1</v>
      </c>
      <c r="E29" s="11">
        <f>IFERROR(100/'Skjema total MA'!C29*C29,0)</f>
        <v>0.15500367621979699</v>
      </c>
      <c r="F29" s="310"/>
      <c r="G29" s="310"/>
      <c r="H29" s="171"/>
      <c r="I29" s="11"/>
      <c r="J29" s="236">
        <f t="shared" si="5"/>
        <v>49807.194000000003</v>
      </c>
      <c r="K29" s="236">
        <f t="shared" si="5"/>
        <v>69755.203999999998</v>
      </c>
      <c r="L29" s="425">
        <f t="shared" si="6"/>
        <v>40.1</v>
      </c>
      <c r="M29" s="24">
        <f>IFERROR(100/'Skjema total MA'!I29*K29,0)</f>
        <v>0.10156972633719739</v>
      </c>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197037.22700000001</v>
      </c>
      <c r="C47" s="313">
        <v>249161.701</v>
      </c>
      <c r="D47" s="424">
        <f t="shared" ref="D47:D48" si="7">IF(B47=0, "    ---- ", IF(ABS(ROUND(100/B47*C47-100,1))&lt;999,ROUND(100/B47*C47-100,1),IF(ROUND(100/B47*C47-100,1)&gt;999,999,-999)))</f>
        <v>26.5</v>
      </c>
      <c r="E47" s="11">
        <f>IFERROR(100/'Skjema total MA'!C47*C47,0)</f>
        <v>5.7249944565989432</v>
      </c>
      <c r="F47" s="145"/>
      <c r="G47" s="33"/>
      <c r="H47" s="159"/>
      <c r="I47" s="159"/>
      <c r="J47" s="37"/>
      <c r="K47" s="37"/>
      <c r="L47" s="159"/>
      <c r="M47" s="159"/>
      <c r="N47" s="148"/>
    </row>
    <row r="48" spans="1:14" s="3" customFormat="1" ht="15.75" x14ac:dyDescent="0.2">
      <c r="A48" s="38" t="s">
        <v>362</v>
      </c>
      <c r="B48" s="286">
        <v>197037.22700000001</v>
      </c>
      <c r="C48" s="287">
        <v>249161.701</v>
      </c>
      <c r="D48" s="259">
        <f t="shared" si="7"/>
        <v>26.5</v>
      </c>
      <c r="E48" s="27">
        <f>IFERROR(100/'Skjema total MA'!C48*C48,0)</f>
        <v>10.107945310507052</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46" priority="76">
      <formula>kvartal &lt; 4</formula>
    </cfRule>
  </conditionalFormatting>
  <conditionalFormatting sqref="C115">
    <cfRule type="expression" dxfId="445" priority="75">
      <formula>kvartal &lt; 4</formula>
    </cfRule>
  </conditionalFormatting>
  <conditionalFormatting sqref="B123">
    <cfRule type="expression" dxfId="444" priority="74">
      <formula>kvartal &lt; 4</formula>
    </cfRule>
  </conditionalFormatting>
  <conditionalFormatting sqref="C123">
    <cfRule type="expression" dxfId="443" priority="73">
      <formula>kvartal &lt; 4</formula>
    </cfRule>
  </conditionalFormatting>
  <conditionalFormatting sqref="F115">
    <cfRule type="expression" dxfId="442" priority="58">
      <formula>kvartal &lt; 4</formula>
    </cfRule>
  </conditionalFormatting>
  <conditionalFormatting sqref="G115">
    <cfRule type="expression" dxfId="441" priority="57">
      <formula>kvartal &lt; 4</formula>
    </cfRule>
  </conditionalFormatting>
  <conditionalFormatting sqref="F123:G123">
    <cfRule type="expression" dxfId="440" priority="56">
      <formula>kvartal &lt; 4</formula>
    </cfRule>
  </conditionalFormatting>
  <conditionalFormatting sqref="J115:K115">
    <cfRule type="expression" dxfId="439" priority="32">
      <formula>kvartal &lt; 4</formula>
    </cfRule>
  </conditionalFormatting>
  <conditionalFormatting sqref="J123:K123">
    <cfRule type="expression" dxfId="438" priority="31">
      <formula>kvartal &lt; 4</formula>
    </cfRule>
  </conditionalFormatting>
  <conditionalFormatting sqref="A50:A52">
    <cfRule type="expression" dxfId="437" priority="12">
      <formula>kvartal &lt; 4</formula>
    </cfRule>
  </conditionalFormatting>
  <conditionalFormatting sqref="A69:A74">
    <cfRule type="expression" dxfId="436" priority="10">
      <formula>kvartal &lt; 4</formula>
    </cfRule>
  </conditionalFormatting>
  <conditionalFormatting sqref="A80:A85">
    <cfRule type="expression" dxfId="435" priority="9">
      <formula>kvartal &lt; 4</formula>
    </cfRule>
  </conditionalFormatting>
  <conditionalFormatting sqref="A90:A95">
    <cfRule type="expression" dxfId="434" priority="6">
      <formula>kvartal &lt; 4</formula>
    </cfRule>
  </conditionalFormatting>
  <conditionalFormatting sqref="A101:A106">
    <cfRule type="expression" dxfId="433" priority="5">
      <formula>kvartal &lt; 4</formula>
    </cfRule>
  </conditionalFormatting>
  <conditionalFormatting sqref="A115">
    <cfRule type="expression" dxfId="432" priority="4">
      <formula>kvartal &lt; 4</formula>
    </cfRule>
  </conditionalFormatting>
  <conditionalFormatting sqref="A123">
    <cfRule type="expression" dxfId="431"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502" t="s">
        <v>395</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39431</v>
      </c>
      <c r="C47" s="313">
        <v>26301</v>
      </c>
      <c r="D47" s="424">
        <f t="shared" ref="D47:D57" si="0">IF(B47=0, "    ---- ", IF(ABS(ROUND(100/B47*C47-100,1))&lt;999,ROUND(100/B47*C47-100,1),IF(ROUND(100/B47*C47-100,1)&gt;999,999,-999)))</f>
        <v>-33.299999999999997</v>
      </c>
      <c r="E47" s="11">
        <f>IFERROR(100/'Skjema total MA'!C47*C47,0)</f>
        <v>0.60431871591295971</v>
      </c>
      <c r="F47" s="145"/>
      <c r="G47" s="33"/>
      <c r="H47" s="159"/>
      <c r="I47" s="159"/>
      <c r="J47" s="37"/>
      <c r="K47" s="37"/>
      <c r="L47" s="159"/>
      <c r="M47" s="159"/>
      <c r="N47" s="148"/>
    </row>
    <row r="48" spans="1:14" s="3" customFormat="1" ht="15.75" x14ac:dyDescent="0.2">
      <c r="A48" s="38" t="s">
        <v>362</v>
      </c>
      <c r="B48" s="286">
        <v>39431</v>
      </c>
      <c r="C48" s="287">
        <v>26301</v>
      </c>
      <c r="D48" s="259">
        <f t="shared" si="0"/>
        <v>-33.299999999999997</v>
      </c>
      <c r="E48" s="27">
        <f>IFERROR(100/'Skjema total MA'!C48*C48,0)</f>
        <v>1.066974051568407</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3061</v>
      </c>
      <c r="C53" s="313">
        <v>900</v>
      </c>
      <c r="D53" s="425">
        <f t="shared" si="0"/>
        <v>-70.599999999999994</v>
      </c>
      <c r="E53" s="11">
        <f>IFERROR(100/'Skjema total MA'!C53*C53,0)</f>
        <v>0.82758227255140315</v>
      </c>
      <c r="F53" s="145"/>
      <c r="G53" s="33"/>
      <c r="H53" s="145"/>
      <c r="I53" s="145"/>
      <c r="J53" s="33"/>
      <c r="K53" s="33"/>
      <c r="L53" s="159"/>
      <c r="M53" s="159"/>
      <c r="N53" s="148"/>
    </row>
    <row r="54" spans="1:14" s="3" customFormat="1" ht="15.75" x14ac:dyDescent="0.2">
      <c r="A54" s="38" t="s">
        <v>362</v>
      </c>
      <c r="B54" s="286">
        <v>3061</v>
      </c>
      <c r="C54" s="287">
        <v>900</v>
      </c>
      <c r="D54" s="259">
        <f t="shared" si="0"/>
        <v>-70.599999999999994</v>
      </c>
      <c r="E54" s="27">
        <f>IFERROR(100/'Skjema total MA'!C54*C54,0)</f>
        <v>0.83486765775290528</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292</v>
      </c>
      <c r="C56" s="313">
        <v>16093</v>
      </c>
      <c r="D56" s="425">
        <f t="shared" si="0"/>
        <v>999</v>
      </c>
      <c r="E56" s="11">
        <f>IFERROR(100/'Skjema total MA'!C56*C56,0)</f>
        <v>19.51416720293339</v>
      </c>
      <c r="F56" s="145"/>
      <c r="G56" s="33"/>
      <c r="H56" s="145"/>
      <c r="I56" s="145"/>
      <c r="J56" s="33"/>
      <c r="K56" s="33"/>
      <c r="L56" s="159"/>
      <c r="M56" s="159"/>
      <c r="N56" s="148"/>
    </row>
    <row r="57" spans="1:14" s="3" customFormat="1" ht="15.75" x14ac:dyDescent="0.2">
      <c r="A57" s="38" t="s">
        <v>362</v>
      </c>
      <c r="B57" s="286">
        <v>292</v>
      </c>
      <c r="C57" s="287">
        <v>16093</v>
      </c>
      <c r="D57" s="259">
        <f t="shared" si="0"/>
        <v>999</v>
      </c>
      <c r="E57" s="27">
        <f>IFERROR(100/'Skjema total MA'!C57*C57,0)</f>
        <v>19.51416720293339</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30" priority="76">
      <formula>kvartal &lt; 4</formula>
    </cfRule>
  </conditionalFormatting>
  <conditionalFormatting sqref="C115">
    <cfRule type="expression" dxfId="429" priority="75">
      <formula>kvartal &lt; 4</formula>
    </cfRule>
  </conditionalFormatting>
  <conditionalFormatting sqref="B123">
    <cfRule type="expression" dxfId="428" priority="74">
      <formula>kvartal &lt; 4</formula>
    </cfRule>
  </conditionalFormatting>
  <conditionalFormatting sqref="C123">
    <cfRule type="expression" dxfId="427" priority="73">
      <formula>kvartal &lt; 4</formula>
    </cfRule>
  </conditionalFormatting>
  <conditionalFormatting sqref="F115">
    <cfRule type="expression" dxfId="426" priority="58">
      <formula>kvartal &lt; 4</formula>
    </cfRule>
  </conditionalFormatting>
  <conditionalFormatting sqref="G115">
    <cfRule type="expression" dxfId="425" priority="57">
      <formula>kvartal &lt; 4</formula>
    </cfRule>
  </conditionalFormatting>
  <conditionalFormatting sqref="F123:G123">
    <cfRule type="expression" dxfId="424" priority="56">
      <formula>kvartal &lt; 4</formula>
    </cfRule>
  </conditionalFormatting>
  <conditionalFormatting sqref="J115:K115">
    <cfRule type="expression" dxfId="423" priority="32">
      <formula>kvartal &lt; 4</formula>
    </cfRule>
  </conditionalFormatting>
  <conditionalFormatting sqref="J123:K123">
    <cfRule type="expression" dxfId="422" priority="31">
      <formula>kvartal &lt; 4</formula>
    </cfRule>
  </conditionalFormatting>
  <conditionalFormatting sqref="A50:A52">
    <cfRule type="expression" dxfId="421" priority="12">
      <formula>kvartal &lt; 4</formula>
    </cfRule>
  </conditionalFormatting>
  <conditionalFormatting sqref="A69:A74">
    <cfRule type="expression" dxfId="420" priority="10">
      <formula>kvartal &lt; 4</formula>
    </cfRule>
  </conditionalFormatting>
  <conditionalFormatting sqref="A80:A85">
    <cfRule type="expression" dxfId="419" priority="9">
      <formula>kvartal &lt; 4</formula>
    </cfRule>
  </conditionalFormatting>
  <conditionalFormatting sqref="A90:A95">
    <cfRule type="expression" dxfId="418" priority="6">
      <formula>kvartal &lt; 4</formula>
    </cfRule>
  </conditionalFormatting>
  <conditionalFormatting sqref="A101:A106">
    <cfRule type="expression" dxfId="417" priority="5">
      <formula>kvartal &lt; 4</formula>
    </cfRule>
  </conditionalFormatting>
  <conditionalFormatting sqref="A115">
    <cfRule type="expression" dxfId="416" priority="4">
      <formula>kvartal &lt; 4</formula>
    </cfRule>
  </conditionalFormatting>
  <conditionalFormatting sqref="A123">
    <cfRule type="expression" dxfId="415"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O144"/>
  <sheetViews>
    <sheetView showGridLines="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406</v>
      </c>
      <c r="D1" s="26"/>
      <c r="E1" s="26"/>
      <c r="F1" s="26"/>
      <c r="G1" s="26"/>
      <c r="H1" s="26"/>
      <c r="I1" s="26"/>
      <c r="J1" s="26"/>
      <c r="K1" s="26"/>
      <c r="L1" s="26"/>
      <c r="M1" s="26"/>
    </row>
    <row r="2" spans="1:14" ht="15.75" x14ac:dyDescent="0.25">
      <c r="A2" s="165" t="s">
        <v>28</v>
      </c>
      <c r="B2" s="706"/>
      <c r="C2" s="706"/>
      <c r="D2" s="706"/>
      <c r="E2" s="570"/>
      <c r="F2" s="706"/>
      <c r="G2" s="706"/>
      <c r="H2" s="706"/>
      <c r="I2" s="570"/>
      <c r="J2" s="706"/>
      <c r="K2" s="706"/>
      <c r="L2" s="706"/>
      <c r="M2" s="570"/>
    </row>
    <row r="3" spans="1:14" ht="15.75" x14ac:dyDescent="0.25">
      <c r="A3" s="163"/>
      <c r="B3" s="570"/>
      <c r="C3" s="570"/>
      <c r="D3" s="570"/>
      <c r="E3" s="570"/>
      <c r="F3" s="570"/>
      <c r="G3" s="570"/>
      <c r="H3" s="570"/>
      <c r="I3" s="570"/>
      <c r="J3" s="570"/>
      <c r="K3" s="570"/>
      <c r="L3" s="570"/>
      <c r="M3" s="570"/>
    </row>
    <row r="4" spans="1:14" x14ac:dyDescent="0.2">
      <c r="A4" s="144"/>
      <c r="B4" s="702" t="s">
        <v>0</v>
      </c>
      <c r="C4" s="703"/>
      <c r="D4" s="703"/>
      <c r="E4" s="568"/>
      <c r="F4" s="702" t="s">
        <v>1</v>
      </c>
      <c r="G4" s="703"/>
      <c r="H4" s="703"/>
      <c r="I4" s="569"/>
      <c r="J4" s="702" t="s">
        <v>2</v>
      </c>
      <c r="K4" s="703"/>
      <c r="L4" s="703"/>
      <c r="M4" s="569"/>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570"/>
      <c r="F18" s="701"/>
      <c r="G18" s="701"/>
      <c r="H18" s="701"/>
      <c r="I18" s="570"/>
      <c r="J18" s="701"/>
      <c r="K18" s="701"/>
      <c r="L18" s="701"/>
      <c r="M18" s="570"/>
    </row>
    <row r="19" spans="1:14" x14ac:dyDescent="0.2">
      <c r="A19" s="144"/>
      <c r="B19" s="702" t="s">
        <v>0</v>
      </c>
      <c r="C19" s="703"/>
      <c r="D19" s="703"/>
      <c r="E19" s="568"/>
      <c r="F19" s="702" t="s">
        <v>1</v>
      </c>
      <c r="G19" s="703"/>
      <c r="H19" s="703"/>
      <c r="I19" s="569"/>
      <c r="J19" s="702" t="s">
        <v>2</v>
      </c>
      <c r="K19" s="703"/>
      <c r="L19" s="703"/>
      <c r="M19" s="569"/>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571"/>
    </row>
    <row r="41" spans="1:14" x14ac:dyDescent="0.2">
      <c r="A41" s="155"/>
    </row>
    <row r="42" spans="1:14" ht="15.75" x14ac:dyDescent="0.25">
      <c r="A42" s="147" t="s">
        <v>269</v>
      </c>
      <c r="B42" s="706"/>
      <c r="C42" s="706"/>
      <c r="D42" s="706"/>
      <c r="E42" s="570"/>
      <c r="F42" s="707"/>
      <c r="G42" s="707"/>
      <c r="H42" s="707"/>
      <c r="I42" s="571"/>
      <c r="J42" s="707"/>
      <c r="K42" s="707"/>
      <c r="L42" s="707"/>
      <c r="M42" s="571"/>
    </row>
    <row r="43" spans="1:14" ht="15.75" x14ac:dyDescent="0.25">
      <c r="A43" s="163"/>
      <c r="B43" s="566"/>
      <c r="C43" s="566"/>
      <c r="D43" s="566"/>
      <c r="E43" s="566"/>
      <c r="F43" s="571"/>
      <c r="G43" s="571"/>
      <c r="H43" s="571"/>
      <c r="I43" s="571"/>
      <c r="J43" s="571"/>
      <c r="K43" s="571"/>
      <c r="L43" s="571"/>
      <c r="M43" s="571"/>
    </row>
    <row r="44" spans="1:14" ht="15.75" x14ac:dyDescent="0.25">
      <c r="A44" s="249"/>
      <c r="B44" s="702" t="s">
        <v>0</v>
      </c>
      <c r="C44" s="703"/>
      <c r="D44" s="703"/>
      <c r="E44" s="244"/>
      <c r="F44" s="571"/>
      <c r="G44" s="571"/>
      <c r="H44" s="571"/>
      <c r="I44" s="571"/>
      <c r="J44" s="571"/>
      <c r="K44" s="571"/>
      <c r="L44" s="571"/>
      <c r="M44" s="571"/>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v>13753.589</v>
      </c>
      <c r="D47" s="424" t="str">
        <f t="shared" ref="D47:D48" si="0">IF(B47=0, "    ---- ", IF(ABS(ROUND(100/B47*C47-100,1))&lt;999,ROUND(100/B47*C47-100,1),IF(ROUND(100/B47*C47-100,1)&gt;999,999,-999)))</f>
        <v xml:space="preserve">    ---- </v>
      </c>
      <c r="E47" s="11">
        <f>IFERROR(100/'Skjema total MA'!C47*C47,0)</f>
        <v>0.31601654855992578</v>
      </c>
      <c r="F47" s="145"/>
      <c r="G47" s="33"/>
      <c r="H47" s="159"/>
      <c r="I47" s="159"/>
      <c r="J47" s="37"/>
      <c r="K47" s="37"/>
      <c r="L47" s="159"/>
      <c r="M47" s="159"/>
      <c r="N47" s="148"/>
    </row>
    <row r="48" spans="1:14" s="3" customFormat="1" ht="15.75" x14ac:dyDescent="0.2">
      <c r="A48" s="38" t="s">
        <v>362</v>
      </c>
      <c r="B48" s="286"/>
      <c r="C48" s="287">
        <v>13753.589</v>
      </c>
      <c r="D48" s="259" t="str">
        <f t="shared" si="0"/>
        <v xml:space="preserve">    ---- </v>
      </c>
      <c r="E48" s="27">
        <f>IFERROR(100/'Skjema total MA'!C48*C48,0)</f>
        <v>0.55795302760110543</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570"/>
      <c r="F62" s="701"/>
      <c r="G62" s="701"/>
      <c r="H62" s="701"/>
      <c r="I62" s="570"/>
      <c r="J62" s="701"/>
      <c r="K62" s="701"/>
      <c r="L62" s="701"/>
      <c r="M62" s="570"/>
    </row>
    <row r="63" spans="1:14" x14ac:dyDescent="0.2">
      <c r="A63" s="144"/>
      <c r="B63" s="702" t="s">
        <v>0</v>
      </c>
      <c r="C63" s="703"/>
      <c r="D63" s="704"/>
      <c r="E63" s="567"/>
      <c r="F63" s="703" t="s">
        <v>1</v>
      </c>
      <c r="G63" s="703"/>
      <c r="H63" s="703"/>
      <c r="I63" s="569"/>
      <c r="J63" s="702" t="s">
        <v>2</v>
      </c>
      <c r="K63" s="703"/>
      <c r="L63" s="703"/>
      <c r="M63" s="569"/>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570"/>
      <c r="F130" s="701"/>
      <c r="G130" s="701"/>
      <c r="H130" s="701"/>
      <c r="I130" s="570"/>
      <c r="J130" s="701"/>
      <c r="K130" s="701"/>
      <c r="L130" s="701"/>
      <c r="M130" s="570"/>
    </row>
    <row r="131" spans="1:14" s="3" customFormat="1" x14ac:dyDescent="0.2">
      <c r="A131" s="144"/>
      <c r="B131" s="702" t="s">
        <v>0</v>
      </c>
      <c r="C131" s="703"/>
      <c r="D131" s="703"/>
      <c r="E131" s="568"/>
      <c r="F131" s="702" t="s">
        <v>1</v>
      </c>
      <c r="G131" s="703"/>
      <c r="H131" s="703"/>
      <c r="I131" s="569"/>
      <c r="J131" s="702" t="s">
        <v>2</v>
      </c>
      <c r="K131" s="703"/>
      <c r="L131" s="703"/>
      <c r="M131" s="569"/>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414" priority="42">
      <formula>kvartal &lt; 4</formula>
    </cfRule>
  </conditionalFormatting>
  <conditionalFormatting sqref="C115">
    <cfRule type="expression" dxfId="413" priority="41">
      <formula>kvartal &lt; 4</formula>
    </cfRule>
  </conditionalFormatting>
  <conditionalFormatting sqref="B123">
    <cfRule type="expression" dxfId="412" priority="40">
      <formula>kvartal &lt; 4</formula>
    </cfRule>
  </conditionalFormatting>
  <conditionalFormatting sqref="C123">
    <cfRule type="expression" dxfId="411" priority="39">
      <formula>kvartal &lt; 4</formula>
    </cfRule>
  </conditionalFormatting>
  <conditionalFormatting sqref="F115">
    <cfRule type="expression" dxfId="410" priority="28">
      <formula>kvartal &lt; 4</formula>
    </cfRule>
  </conditionalFormatting>
  <conditionalFormatting sqref="G115">
    <cfRule type="expression" dxfId="409" priority="27">
      <formula>kvartal &lt; 4</formula>
    </cfRule>
  </conditionalFormatting>
  <conditionalFormatting sqref="F123:G123">
    <cfRule type="expression" dxfId="408" priority="26">
      <formula>kvartal &lt; 4</formula>
    </cfRule>
  </conditionalFormatting>
  <conditionalFormatting sqref="J115:K115">
    <cfRule type="expression" dxfId="407" priority="9">
      <formula>kvartal &lt; 4</formula>
    </cfRule>
  </conditionalFormatting>
  <conditionalFormatting sqref="J123:K123">
    <cfRule type="expression" dxfId="406" priority="8">
      <formula>kvartal &lt; 4</formula>
    </cfRule>
  </conditionalFormatting>
  <conditionalFormatting sqref="A50:A52">
    <cfRule type="expression" dxfId="405" priority="7">
      <formula>kvartal &lt; 4</formula>
    </cfRule>
  </conditionalFormatting>
  <conditionalFormatting sqref="A69:A74">
    <cfRule type="expression" dxfId="404" priority="6">
      <formula>kvartal &lt; 4</formula>
    </cfRule>
  </conditionalFormatting>
  <conditionalFormatting sqref="A80:A85">
    <cfRule type="expression" dxfId="403" priority="5">
      <formula>kvartal &lt; 4</formula>
    </cfRule>
  </conditionalFormatting>
  <conditionalFormatting sqref="A90:A95">
    <cfRule type="expression" dxfId="402" priority="4">
      <formula>kvartal &lt; 4</formula>
    </cfRule>
  </conditionalFormatting>
  <conditionalFormatting sqref="A101:A106">
    <cfRule type="expression" dxfId="401" priority="3">
      <formula>kvartal &lt; 4</formula>
    </cfRule>
  </conditionalFormatting>
  <conditionalFormatting sqref="A115">
    <cfRule type="expression" dxfId="400" priority="2">
      <formula>kvartal &lt; 4</formula>
    </cfRule>
  </conditionalFormatting>
  <conditionalFormatting sqref="A123">
    <cfRule type="expression" dxfId="399" priority="1">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130</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255556.77027792</v>
      </c>
      <c r="C7" s="309">
        <v>263432.92462601501</v>
      </c>
      <c r="D7" s="351">
        <f>IF(B7=0, "    ---- ", IF(ABS(ROUND(100/B7*C7-100,1))&lt;999,ROUND(100/B7*C7-100,1),IF(ROUND(100/B7*C7-100,1)&gt;999,999,-999)))</f>
        <v>3.1</v>
      </c>
      <c r="E7" s="11">
        <f>IFERROR(100/'Skjema total MA'!C7*C7,0)</f>
        <v>9.1368817384102776</v>
      </c>
      <c r="F7" s="308">
        <v>5956364.9827300003</v>
      </c>
      <c r="G7" s="309">
        <v>4384286.7492800001</v>
      </c>
      <c r="H7" s="351">
        <f>IF(F7=0, "    ---- ", IF(ABS(ROUND(100/F7*G7-100,1))&lt;999,ROUND(100/F7*G7-100,1),IF(ROUND(100/F7*G7-100,1)&gt;999,999,-999)))</f>
        <v>-26.4</v>
      </c>
      <c r="I7" s="160">
        <f>IFERROR(100/'Skjema total MA'!F7*G7,0)</f>
        <v>75.724195440709892</v>
      </c>
      <c r="J7" s="310">
        <f t="shared" ref="J7:K12" si="0">SUM(B7,F7)</f>
        <v>6211921.7530079205</v>
      </c>
      <c r="K7" s="311">
        <f t="shared" si="0"/>
        <v>4647719.6739060152</v>
      </c>
      <c r="L7" s="424">
        <f>IF(J7=0, "    ---- ", IF(ABS(ROUND(100/J7*K7-100,1))&lt;999,ROUND(100/J7*K7-100,1),IF(ROUND(100/J7*K7-100,1)&gt;999,999,-999)))</f>
        <v>-25.2</v>
      </c>
      <c r="M7" s="11">
        <f>IFERROR(100/'Skjema total MA'!I7*K7,0)</f>
        <v>53.5884261060149</v>
      </c>
    </row>
    <row r="8" spans="1:14" ht="15.75" x14ac:dyDescent="0.2">
      <c r="A8" s="21" t="s">
        <v>25</v>
      </c>
      <c r="B8" s="286">
        <v>215920.553231211</v>
      </c>
      <c r="C8" s="287">
        <v>225294.878823504</v>
      </c>
      <c r="D8" s="166">
        <f t="shared" ref="D8:D10" si="1">IF(B8=0, "    ---- ", IF(ABS(ROUND(100/B8*C8-100,1))&lt;999,ROUND(100/B8*C8-100,1),IF(ROUND(100/B8*C8-100,1)&gt;999,999,-999)))</f>
        <v>4.3</v>
      </c>
      <c r="E8" s="27">
        <f>IFERROR(100/'Skjema total MA'!C8*C8,0)</f>
        <v>11.895784714190718</v>
      </c>
      <c r="F8" s="290"/>
      <c r="G8" s="291"/>
      <c r="H8" s="166"/>
      <c r="I8" s="176"/>
      <c r="J8" s="234">
        <f t="shared" si="0"/>
        <v>215920.553231211</v>
      </c>
      <c r="K8" s="292">
        <f t="shared" si="0"/>
        <v>225294.878823504</v>
      </c>
      <c r="L8" s="166">
        <f t="shared" ref="L8:L9" si="2">IF(J8=0, "    ---- ", IF(ABS(ROUND(100/J8*K8-100,1))&lt;999,ROUND(100/J8*K8-100,1),IF(ROUND(100/J8*K8-100,1)&gt;999,999,-999)))</f>
        <v>4.3</v>
      </c>
      <c r="M8" s="27">
        <f>IFERROR(100/'Skjema total MA'!I8*K8,0)</f>
        <v>11.895784714190718</v>
      </c>
    </row>
    <row r="9" spans="1:14" ht="15.75" x14ac:dyDescent="0.2">
      <c r="A9" s="21" t="s">
        <v>24</v>
      </c>
      <c r="B9" s="286">
        <v>36276.696887652201</v>
      </c>
      <c r="C9" s="287">
        <v>35016.033883378797</v>
      </c>
      <c r="D9" s="166">
        <f t="shared" si="1"/>
        <v>-3.5</v>
      </c>
      <c r="E9" s="27">
        <f>IFERROR(100/'Skjema total MA'!C9*C9,0)</f>
        <v>6.0329775070957439</v>
      </c>
      <c r="F9" s="290"/>
      <c r="G9" s="291"/>
      <c r="H9" s="166"/>
      <c r="I9" s="176"/>
      <c r="J9" s="234">
        <f t="shared" si="0"/>
        <v>36276.696887652201</v>
      </c>
      <c r="K9" s="292">
        <f t="shared" si="0"/>
        <v>35016.033883378797</v>
      </c>
      <c r="L9" s="166">
        <f t="shared" si="2"/>
        <v>-3.5</v>
      </c>
      <c r="M9" s="27">
        <f>IFERROR(100/'Skjema total MA'!I9*K9,0)</f>
        <v>6.0329775070957439</v>
      </c>
    </row>
    <row r="10" spans="1:14" ht="15.75" x14ac:dyDescent="0.2">
      <c r="A10" s="13" t="s">
        <v>351</v>
      </c>
      <c r="B10" s="312">
        <v>750259.935029543</v>
      </c>
      <c r="C10" s="313">
        <v>726118.81983110704</v>
      </c>
      <c r="D10" s="171">
        <f t="shared" si="1"/>
        <v>-3.2</v>
      </c>
      <c r="E10" s="11">
        <f>IFERROR(100/'Skjema total MA'!C10*C10,0)</f>
        <v>4.5196817746028213</v>
      </c>
      <c r="F10" s="312">
        <v>43304159.491669998</v>
      </c>
      <c r="G10" s="313">
        <v>44679233.276395001</v>
      </c>
      <c r="H10" s="171">
        <f t="shared" ref="H10:H12" si="3">IF(F10=0, "    ---- ", IF(ABS(ROUND(100/F10*G10-100,1))&lt;999,ROUND(100/F10*G10-100,1),IF(ROUND(100/F10*G10-100,1)&gt;999,999,-999)))</f>
        <v>3.2</v>
      </c>
      <c r="I10" s="160">
        <f>IFERROR(100/'Skjema total MA'!F10*G10,0)</f>
        <v>63.210274609645097</v>
      </c>
      <c r="J10" s="310">
        <f t="shared" si="0"/>
        <v>44054419.426699542</v>
      </c>
      <c r="K10" s="311">
        <f t="shared" si="0"/>
        <v>45405352.096226111</v>
      </c>
      <c r="L10" s="425">
        <f t="shared" ref="L10:L12" si="4">IF(J10=0, "    ---- ", IF(ABS(ROUND(100/J10*K10-100,1))&lt;999,ROUND(100/J10*K10-100,1),IF(ROUND(100/J10*K10-100,1)&gt;999,999,-999)))</f>
        <v>3.1</v>
      </c>
      <c r="M10" s="11">
        <f>IFERROR(100/'Skjema total MA'!I10*K10,0)</f>
        <v>52.3409432471448</v>
      </c>
    </row>
    <row r="11" spans="1:14" s="43" customFormat="1" ht="15.75" x14ac:dyDescent="0.2">
      <c r="A11" s="13" t="s">
        <v>352</v>
      </c>
      <c r="B11" s="312"/>
      <c r="C11" s="313"/>
      <c r="D11" s="171"/>
      <c r="E11" s="11"/>
      <c r="F11" s="312">
        <v>199027.62635999999</v>
      </c>
      <c r="G11" s="313">
        <v>58822.068720000003</v>
      </c>
      <c r="H11" s="171">
        <f t="shared" si="3"/>
        <v>-70.400000000000006</v>
      </c>
      <c r="I11" s="160">
        <f>IFERROR(100/'Skjema total MA'!F11*G11,0)</f>
        <v>43.651921024081808</v>
      </c>
      <c r="J11" s="310">
        <f t="shared" si="0"/>
        <v>199027.62635999999</v>
      </c>
      <c r="K11" s="311">
        <f t="shared" si="0"/>
        <v>58822.068720000003</v>
      </c>
      <c r="L11" s="425">
        <f t="shared" si="4"/>
        <v>-70.400000000000006</v>
      </c>
      <c r="M11" s="11">
        <f>IFERROR(100/'Skjema total MA'!I11*K11,0)</f>
        <v>37.906793726945111</v>
      </c>
      <c r="N11" s="143"/>
    </row>
    <row r="12" spans="1:14" s="43" customFormat="1" ht="15.75" x14ac:dyDescent="0.2">
      <c r="A12" s="41" t="s">
        <v>353</v>
      </c>
      <c r="B12" s="314"/>
      <c r="C12" s="315"/>
      <c r="D12" s="169"/>
      <c r="E12" s="36"/>
      <c r="F12" s="314">
        <v>29503.59434</v>
      </c>
      <c r="G12" s="315">
        <v>35951.1325</v>
      </c>
      <c r="H12" s="169">
        <f t="shared" si="3"/>
        <v>21.9</v>
      </c>
      <c r="I12" s="169">
        <f>IFERROR(100/'Skjema total MA'!F12*G12,0)</f>
        <v>36.000663357468298</v>
      </c>
      <c r="J12" s="316">
        <f t="shared" si="0"/>
        <v>29503.59434</v>
      </c>
      <c r="K12" s="317">
        <f t="shared" si="0"/>
        <v>35951.1325</v>
      </c>
      <c r="L12" s="426">
        <f t="shared" si="4"/>
        <v>21.9</v>
      </c>
      <c r="M12" s="36">
        <f>IFERROR(100/'Skjema total MA'!I12*K12,0)</f>
        <v>35.004125014172743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93033.2201320233</v>
      </c>
      <c r="C22" s="312">
        <v>100843.736422931</v>
      </c>
      <c r="D22" s="351">
        <f t="shared" ref="D22:D34" si="5">IF(B22=0, "    ---- ", IF(ABS(ROUND(100/B22*C22-100,1))&lt;999,ROUND(100/B22*C22-100,1),IF(ROUND(100/B22*C22-100,1)&gt;999,999,-999)))</f>
        <v>8.4</v>
      </c>
      <c r="E22" s="11">
        <f>IFERROR(100/'Skjema total MA'!C22*C22,0)</f>
        <v>8.0909793875395248</v>
      </c>
      <c r="F22" s="320">
        <v>170987.64564999999</v>
      </c>
      <c r="G22" s="320">
        <v>118111.36221000001</v>
      </c>
      <c r="H22" s="351">
        <f t="shared" ref="H22:H35" si="6">IF(F22=0, "    ---- ", IF(ABS(ROUND(100/F22*G22-100,1))&lt;999,ROUND(100/F22*G22-100,1),IF(ROUND(100/F22*G22-100,1)&gt;999,999,-999)))</f>
        <v>-30.9</v>
      </c>
      <c r="I22" s="11">
        <f>IFERROR(100/'Skjema total MA'!F22*G22,0)</f>
        <v>24.620157692432919</v>
      </c>
      <c r="J22" s="318">
        <f t="shared" ref="J22:K35" si="7">SUM(B22,F22)</f>
        <v>264020.86578202329</v>
      </c>
      <c r="K22" s="318">
        <f t="shared" si="7"/>
        <v>218955.09863293101</v>
      </c>
      <c r="L22" s="424">
        <f t="shared" ref="L22:L35" si="8">IF(J22=0, "    ---- ", IF(ABS(ROUND(100/J22*K22-100,1))&lt;999,ROUND(100/J22*K22-100,1),IF(ROUND(100/J22*K22-100,1)&gt;999,999,-999)))</f>
        <v>-17.100000000000001</v>
      </c>
      <c r="M22" s="24">
        <f>IFERROR(100/'Skjema total MA'!I22*K22,0)</f>
        <v>12.684910147998453</v>
      </c>
    </row>
    <row r="23" spans="1:14" ht="15.75" x14ac:dyDescent="0.2">
      <c r="A23" s="503" t="s">
        <v>354</v>
      </c>
      <c r="B23" s="286">
        <v>92543.352132023298</v>
      </c>
      <c r="C23" s="286">
        <v>100689.11242293099</v>
      </c>
      <c r="D23" s="166">
        <f t="shared" si="5"/>
        <v>8.8000000000000007</v>
      </c>
      <c r="E23" s="11">
        <f>IFERROR(100/'Skjema total MA'!C23*C23,0)</f>
        <v>19.326381468728648</v>
      </c>
      <c r="F23" s="295">
        <v>1736.56161</v>
      </c>
      <c r="G23" s="295">
        <v>1335.963</v>
      </c>
      <c r="H23" s="166">
        <f t="shared" si="6"/>
        <v>-23.1</v>
      </c>
      <c r="I23" s="414">
        <f>IFERROR(100/'Skjema total MA'!F23*G23,0)</f>
        <v>4.1506294725554707</v>
      </c>
      <c r="J23" s="295">
        <f t="shared" ref="J23:J26" si="9">SUM(B23,F23)</f>
        <v>94279.913742023302</v>
      </c>
      <c r="K23" s="295">
        <f t="shared" ref="K23:K26" si="10">SUM(C23,G23)</f>
        <v>102025.075422931</v>
      </c>
      <c r="L23" s="166">
        <f t="shared" si="8"/>
        <v>8.1999999999999993</v>
      </c>
      <c r="M23" s="23">
        <f>IFERROR(100/'Skjema total MA'!I23*K23,0)</f>
        <v>18.443374471386448</v>
      </c>
    </row>
    <row r="24" spans="1:14" ht="15.75" x14ac:dyDescent="0.2">
      <c r="A24" s="503" t="s">
        <v>355</v>
      </c>
      <c r="B24" s="286">
        <v>401.89800000000002</v>
      </c>
      <c r="C24" s="286">
        <v>154.624</v>
      </c>
      <c r="D24" s="166">
        <f t="shared" si="5"/>
        <v>-61.5</v>
      </c>
      <c r="E24" s="11">
        <f>IFERROR(100/'Skjema total MA'!C24*C24,0)</f>
        <v>2.307928696460531</v>
      </c>
      <c r="F24" s="295"/>
      <c r="G24" s="295"/>
      <c r="H24" s="166"/>
      <c r="I24" s="414"/>
      <c r="J24" s="295">
        <f t="shared" si="9"/>
        <v>401.89800000000002</v>
      </c>
      <c r="K24" s="295">
        <f t="shared" si="10"/>
        <v>154.624</v>
      </c>
      <c r="L24" s="166">
        <f t="shared" si="8"/>
        <v>-61.5</v>
      </c>
      <c r="M24" s="23">
        <f>IFERROR(100/'Skjema total MA'!I24*K24,0)</f>
        <v>2.2044528259071021</v>
      </c>
    </row>
    <row r="25" spans="1:14" ht="15.75" x14ac:dyDescent="0.2">
      <c r="A25" s="503" t="s">
        <v>356</v>
      </c>
      <c r="B25" s="286">
        <v>87.97</v>
      </c>
      <c r="C25" s="286">
        <v>0</v>
      </c>
      <c r="D25" s="166">
        <f t="shared" si="5"/>
        <v>-100</v>
      </c>
      <c r="E25" s="11">
        <f>IFERROR(100/'Skjema total MA'!C25*C25,0)</f>
        <v>0</v>
      </c>
      <c r="F25" s="295">
        <v>499.49799999999999</v>
      </c>
      <c r="G25" s="295">
        <v>521.79321000000004</v>
      </c>
      <c r="H25" s="166">
        <f t="shared" si="6"/>
        <v>4.5</v>
      </c>
      <c r="I25" s="414">
        <f>IFERROR(100/'Skjema total MA'!F25*G25,0)</f>
        <v>5.8102290645360819</v>
      </c>
      <c r="J25" s="295">
        <f t="shared" si="9"/>
        <v>587.46799999999996</v>
      </c>
      <c r="K25" s="295">
        <f t="shared" si="10"/>
        <v>521.79321000000004</v>
      </c>
      <c r="L25" s="166">
        <f t="shared" si="8"/>
        <v>-11.2</v>
      </c>
      <c r="M25" s="23">
        <f>IFERROR(100/'Skjema total MA'!I25*K25,0)</f>
        <v>3.1366066117525784</v>
      </c>
    </row>
    <row r="26" spans="1:14" ht="15.75" x14ac:dyDescent="0.2">
      <c r="A26" s="503" t="s">
        <v>357</v>
      </c>
      <c r="B26" s="286"/>
      <c r="C26" s="286"/>
      <c r="D26" s="166"/>
      <c r="E26" s="11"/>
      <c r="F26" s="295">
        <v>168751.58603999999</v>
      </c>
      <c r="G26" s="295">
        <v>116253.606</v>
      </c>
      <c r="H26" s="166">
        <f t="shared" si="6"/>
        <v>-31.1</v>
      </c>
      <c r="I26" s="414">
        <f>IFERROR(100/'Skjema total MA'!F26*G26,0)</f>
        <v>26.52663837662341</v>
      </c>
      <c r="J26" s="295">
        <f t="shared" si="9"/>
        <v>168751.58603999999</v>
      </c>
      <c r="K26" s="295">
        <f t="shared" si="10"/>
        <v>116253.606</v>
      </c>
      <c r="L26" s="166">
        <f t="shared" si="8"/>
        <v>-31.1</v>
      </c>
      <c r="M26" s="23">
        <f>IFERROR(100/'Skjema total MA'!I26*K26,0)</f>
        <v>26.52663837662341</v>
      </c>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95823.213071417995</v>
      </c>
      <c r="C28" s="292">
        <v>104221.52034313401</v>
      </c>
      <c r="D28" s="166">
        <f t="shared" si="5"/>
        <v>8.8000000000000007</v>
      </c>
      <c r="E28" s="11">
        <f>IFERROR(100/'Skjema total MA'!C28*C28,0)</f>
        <v>7.7170653192518666</v>
      </c>
      <c r="F28" s="234"/>
      <c r="G28" s="292"/>
      <c r="H28" s="166"/>
      <c r="I28" s="27"/>
      <c r="J28" s="44">
        <f t="shared" si="7"/>
        <v>95823.213071417995</v>
      </c>
      <c r="K28" s="44">
        <f t="shared" si="7"/>
        <v>104221.52034313401</v>
      </c>
      <c r="L28" s="259">
        <f t="shared" si="8"/>
        <v>8.8000000000000007</v>
      </c>
      <c r="M28" s="23">
        <f>IFERROR(100/'Skjema total MA'!I28*K28,0)</f>
        <v>7.7170653192518666</v>
      </c>
    </row>
    <row r="29" spans="1:14" s="3" customFormat="1" ht="15.75" x14ac:dyDescent="0.2">
      <c r="A29" s="13" t="s">
        <v>351</v>
      </c>
      <c r="B29" s="236">
        <v>3986156.1058492502</v>
      </c>
      <c r="C29" s="236">
        <v>4034181.1611713902</v>
      </c>
      <c r="D29" s="171">
        <f t="shared" si="5"/>
        <v>1.2</v>
      </c>
      <c r="E29" s="11">
        <f>IFERROR(100/'Skjema total MA'!C29*C29,0)</f>
        <v>8.9643908219122235</v>
      </c>
      <c r="F29" s="310">
        <v>5381935.5199999996</v>
      </c>
      <c r="G29" s="310">
        <v>5095977.24</v>
      </c>
      <c r="H29" s="171">
        <f t="shared" si="6"/>
        <v>-5.3</v>
      </c>
      <c r="I29" s="11">
        <f>IFERROR(100/'Skjema total MA'!F29*G29,0)</f>
        <v>21.524836856657213</v>
      </c>
      <c r="J29" s="236">
        <f t="shared" si="7"/>
        <v>9368091.6258492507</v>
      </c>
      <c r="K29" s="236">
        <f t="shared" si="7"/>
        <v>9130158.40117139</v>
      </c>
      <c r="L29" s="425">
        <f t="shared" si="8"/>
        <v>-2.5</v>
      </c>
      <c r="M29" s="24">
        <f>IFERROR(100/'Skjema total MA'!I29*K29,0)</f>
        <v>13.294315506872316</v>
      </c>
      <c r="N29" s="148"/>
    </row>
    <row r="30" spans="1:14" s="3" customFormat="1" ht="15.75" x14ac:dyDescent="0.2">
      <c r="A30" s="503" t="s">
        <v>354</v>
      </c>
      <c r="B30" s="286">
        <v>624918.15930594003</v>
      </c>
      <c r="C30" s="286">
        <v>576075.45603113901</v>
      </c>
      <c r="D30" s="166">
        <f t="shared" si="5"/>
        <v>-7.8</v>
      </c>
      <c r="E30" s="11">
        <f>IFERROR(100/'Skjema total MA'!C30*C30,0)</f>
        <v>5.9443449515092572</v>
      </c>
      <c r="F30" s="295">
        <v>486165.57861181698</v>
      </c>
      <c r="G30" s="295">
        <v>391510.20972726902</v>
      </c>
      <c r="H30" s="166">
        <f t="shared" si="6"/>
        <v>-19.5</v>
      </c>
      <c r="I30" s="414">
        <f>IFERROR(100/'Skjema total MA'!F30*G30,0)</f>
        <v>10.956610013831236</v>
      </c>
      <c r="J30" s="295">
        <f t="shared" ref="J30:J33" si="11">SUM(B30,F30)</f>
        <v>1111083.7379177571</v>
      </c>
      <c r="K30" s="295">
        <f t="shared" ref="K30:K33" si="12">SUM(C30,G30)</f>
        <v>967585.66575840802</v>
      </c>
      <c r="L30" s="166">
        <f t="shared" si="8"/>
        <v>-12.9</v>
      </c>
      <c r="M30" s="23">
        <f>IFERROR(100/'Skjema total MA'!I30*K30,0)</f>
        <v>7.2945891816621895</v>
      </c>
      <c r="N30" s="148"/>
    </row>
    <row r="31" spans="1:14" s="3" customFormat="1" ht="15.75" x14ac:dyDescent="0.2">
      <c r="A31" s="503" t="s">
        <v>355</v>
      </c>
      <c r="B31" s="286">
        <v>2787285.9302364402</v>
      </c>
      <c r="C31" s="286">
        <v>2768861.1784075401</v>
      </c>
      <c r="D31" s="166">
        <f t="shared" si="5"/>
        <v>-0.7</v>
      </c>
      <c r="E31" s="11">
        <f>IFERROR(100/'Skjema total MA'!C31*C31,0)</f>
        <v>10.561267468371565</v>
      </c>
      <c r="F31" s="295">
        <v>844764.89620558999</v>
      </c>
      <c r="G31" s="295">
        <v>701381.12452945404</v>
      </c>
      <c r="H31" s="166">
        <f t="shared" si="6"/>
        <v>-17</v>
      </c>
      <c r="I31" s="414">
        <f>IFERROR(100/'Skjema total MA'!F31*G31,0)</f>
        <v>8.8710419060591477</v>
      </c>
      <c r="J31" s="295">
        <f t="shared" si="11"/>
        <v>3632050.8264420303</v>
      </c>
      <c r="K31" s="295">
        <f t="shared" si="12"/>
        <v>3470242.302936994</v>
      </c>
      <c r="L31" s="166">
        <f t="shared" si="8"/>
        <v>-4.5</v>
      </c>
      <c r="M31" s="23">
        <f>IFERROR(100/'Skjema total MA'!I31*K31,0)</f>
        <v>10.169642827829943</v>
      </c>
      <c r="N31" s="148"/>
    </row>
    <row r="32" spans="1:14" ht="15.75" x14ac:dyDescent="0.2">
      <c r="A32" s="503" t="s">
        <v>356</v>
      </c>
      <c r="B32" s="286">
        <v>573952.01630686503</v>
      </c>
      <c r="C32" s="286">
        <v>689244.52673271298</v>
      </c>
      <c r="D32" s="166">
        <f t="shared" si="5"/>
        <v>20.100000000000001</v>
      </c>
      <c r="E32" s="11">
        <f>IFERROR(100/'Skjema total MA'!C32*C32,0)</f>
        <v>33.368999084845768</v>
      </c>
      <c r="F32" s="295">
        <v>2445245.7448207201</v>
      </c>
      <c r="G32" s="295">
        <v>2209119.3226601598</v>
      </c>
      <c r="H32" s="166">
        <f t="shared" si="6"/>
        <v>-9.6999999999999993</v>
      </c>
      <c r="I32" s="414">
        <f>IFERROR(100/'Skjema total MA'!F32*G32,0)</f>
        <v>41.792280080806869</v>
      </c>
      <c r="J32" s="295">
        <f t="shared" si="11"/>
        <v>3019197.7611275851</v>
      </c>
      <c r="K32" s="295">
        <f t="shared" si="12"/>
        <v>2898363.8493928728</v>
      </c>
      <c r="L32" s="166">
        <f t="shared" si="8"/>
        <v>-4</v>
      </c>
      <c r="M32" s="23">
        <f>IFERROR(100/'Skjema total MA'!I32*K32,0)</f>
        <v>39.425613950158848</v>
      </c>
    </row>
    <row r="33" spans="1:14" ht="15.75" x14ac:dyDescent="0.2">
      <c r="A33" s="503" t="s">
        <v>357</v>
      </c>
      <c r="B33" s="286"/>
      <c r="C33" s="286"/>
      <c r="D33" s="166"/>
      <c r="E33" s="11"/>
      <c r="F33" s="295">
        <v>1605759.3003618701</v>
      </c>
      <c r="G33" s="295">
        <v>1793966.5830831099</v>
      </c>
      <c r="H33" s="166">
        <f t="shared" si="6"/>
        <v>11.7</v>
      </c>
      <c r="I33" s="414">
        <f>IFERROR(100/'Skjema total MA'!F33*G33,0)</f>
        <v>25.964786726053816</v>
      </c>
      <c r="J33" s="295">
        <f t="shared" si="11"/>
        <v>1605759.3003618701</v>
      </c>
      <c r="K33" s="295">
        <f t="shared" si="12"/>
        <v>1793966.5830831099</v>
      </c>
      <c r="L33" s="166">
        <f t="shared" si="8"/>
        <v>11.7</v>
      </c>
      <c r="M33" s="23">
        <f>IFERROR(100/'Skjema total MA'!I33*K33,0)</f>
        <v>25.964786726053816</v>
      </c>
    </row>
    <row r="34" spans="1:14" ht="15.75" x14ac:dyDescent="0.2">
      <c r="A34" s="13" t="s">
        <v>352</v>
      </c>
      <c r="B34" s="236">
        <v>0</v>
      </c>
      <c r="C34" s="311">
        <v>974.46686999999997</v>
      </c>
      <c r="D34" s="171" t="str">
        <f t="shared" si="5"/>
        <v xml:space="preserve">    ---- </v>
      </c>
      <c r="E34" s="11">
        <f>IFERROR(100/'Skjema total MA'!C34*C34,0)</f>
        <v>7.0143130617614302</v>
      </c>
      <c r="F34" s="310">
        <v>8454.43037</v>
      </c>
      <c r="G34" s="311">
        <v>6401.01541</v>
      </c>
      <c r="H34" s="171">
        <f t="shared" si="6"/>
        <v>-24.3</v>
      </c>
      <c r="I34" s="11">
        <f>IFERROR(100/'Skjema total MA'!F34*G34,0)</f>
        <v>10.715478334204622</v>
      </c>
      <c r="J34" s="236">
        <f t="shared" si="7"/>
        <v>8454.43037</v>
      </c>
      <c r="K34" s="236">
        <f t="shared" si="7"/>
        <v>7375.4822800000002</v>
      </c>
      <c r="L34" s="425">
        <f t="shared" si="8"/>
        <v>-12.8</v>
      </c>
      <c r="M34" s="24">
        <f>IFERROR(100/'Skjema total MA'!I34*K34,0)</f>
        <v>10.01712820174321</v>
      </c>
    </row>
    <row r="35" spans="1:14" ht="15.75" x14ac:dyDescent="0.2">
      <c r="A35" s="13" t="s">
        <v>353</v>
      </c>
      <c r="B35" s="236"/>
      <c r="C35" s="311"/>
      <c r="D35" s="171"/>
      <c r="E35" s="11"/>
      <c r="F35" s="310">
        <v>23926.34319</v>
      </c>
      <c r="G35" s="311">
        <v>14876.57948</v>
      </c>
      <c r="H35" s="171">
        <f t="shared" si="6"/>
        <v>-37.799999999999997</v>
      </c>
      <c r="I35" s="11">
        <f>IFERROR(100/'Skjema total MA'!F35*G35,0)</f>
        <v>25.43165620010237</v>
      </c>
      <c r="J35" s="236">
        <f t="shared" si="7"/>
        <v>23926.34319</v>
      </c>
      <c r="K35" s="236">
        <f t="shared" si="7"/>
        <v>14876.57948</v>
      </c>
      <c r="L35" s="425">
        <f t="shared" si="8"/>
        <v>-37.799999999999997</v>
      </c>
      <c r="M35" s="24">
        <f>IFERROR(100/'Skjema total MA'!I35*K35,0)</f>
        <v>31.656244434345833</v>
      </c>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587066</v>
      </c>
      <c r="C66" s="354">
        <v>544607</v>
      </c>
      <c r="D66" s="351">
        <f t="shared" ref="D66:D111" si="13">IF(B66=0, "    ---- ", IF(ABS(ROUND(100/B66*C66-100,1))&lt;999,ROUND(100/B66*C66-100,1),IF(ROUND(100/B66*C66-100,1)&gt;999,999,-999)))</f>
        <v>-7.2</v>
      </c>
      <c r="E66" s="11">
        <f>IFERROR(100/'Skjema total MA'!C66*C66,0)</f>
        <v>12.465373981641182</v>
      </c>
      <c r="F66" s="353">
        <v>3013325.0890000002</v>
      </c>
      <c r="G66" s="353">
        <v>3229158.7080000001</v>
      </c>
      <c r="H66" s="351">
        <f t="shared" ref="H66:H111" si="14">IF(F66=0, "    ---- ", IF(ABS(ROUND(100/F66*G66-100,1))&lt;999,ROUND(100/F66*G66-100,1),IF(ROUND(100/F66*G66-100,1)&gt;999,999,-999)))</f>
        <v>7.2</v>
      </c>
      <c r="I66" s="11">
        <f>IFERROR(100/'Skjema total MA'!F66*G66,0)</f>
        <v>15.986998535351862</v>
      </c>
      <c r="J66" s="311">
        <f t="shared" ref="J66:K86" si="15">SUM(B66,F66)</f>
        <v>3600391.0890000002</v>
      </c>
      <c r="K66" s="318">
        <f t="shared" si="15"/>
        <v>3773765.7080000001</v>
      </c>
      <c r="L66" s="425">
        <f t="shared" ref="L66:L111" si="16">IF(J66=0, "    ---- ", IF(ABS(ROUND(100/J66*K66-100,1))&lt;999,ROUND(100/J66*K66-100,1),IF(ROUND(100/J66*K66-100,1)&gt;999,999,-999)))</f>
        <v>4.8</v>
      </c>
      <c r="M66" s="11">
        <f>IFERROR(100/'Skjema total MA'!I66*K66,0)</f>
        <v>15.360733756333715</v>
      </c>
    </row>
    <row r="67" spans="1:14" x14ac:dyDescent="0.2">
      <c r="A67" s="416" t="s">
        <v>9</v>
      </c>
      <c r="B67" s="44">
        <v>477103.80108201498</v>
      </c>
      <c r="C67" s="145">
        <v>387091.11025553901</v>
      </c>
      <c r="D67" s="166">
        <f t="shared" si="13"/>
        <v>-18.899999999999999</v>
      </c>
      <c r="E67" s="27">
        <f>IFERROR(100/'Skjema total MA'!C67*C67,0)</f>
        <v>13.230918665248812</v>
      </c>
      <c r="F67" s="234"/>
      <c r="G67" s="145"/>
      <c r="H67" s="166"/>
      <c r="I67" s="27"/>
      <c r="J67" s="292">
        <f t="shared" si="15"/>
        <v>477103.80108201498</v>
      </c>
      <c r="K67" s="44">
        <f t="shared" si="15"/>
        <v>387091.11025553901</v>
      </c>
      <c r="L67" s="259">
        <f t="shared" si="16"/>
        <v>-18.899999999999999</v>
      </c>
      <c r="M67" s="27">
        <f>IFERROR(100/'Skjema total MA'!I67*K67,0)</f>
        <v>13.230918665248812</v>
      </c>
    </row>
    <row r="68" spans="1:14" x14ac:dyDescent="0.2">
      <c r="A68" s="21" t="s">
        <v>10</v>
      </c>
      <c r="B68" s="296">
        <v>7321</v>
      </c>
      <c r="C68" s="297">
        <v>4402</v>
      </c>
      <c r="D68" s="166">
        <f t="shared" si="13"/>
        <v>-39.9</v>
      </c>
      <c r="E68" s="27">
        <f>IFERROR(100/'Skjema total MA'!C68*C68,0)</f>
        <v>19.270323003248759</v>
      </c>
      <c r="F68" s="296">
        <v>3013325.0890000002</v>
      </c>
      <c r="G68" s="297">
        <v>3229158.7080000001</v>
      </c>
      <c r="H68" s="166">
        <f t="shared" si="14"/>
        <v>7.2</v>
      </c>
      <c r="I68" s="27">
        <f>IFERROR(100/'Skjema total MA'!F68*G68,0)</f>
        <v>16.643169928400759</v>
      </c>
      <c r="J68" s="292">
        <f t="shared" si="15"/>
        <v>3020646.0890000002</v>
      </c>
      <c r="K68" s="44">
        <f t="shared" si="15"/>
        <v>3233560.7080000001</v>
      </c>
      <c r="L68" s="259">
        <f t="shared" si="16"/>
        <v>7</v>
      </c>
      <c r="M68" s="27">
        <f>IFERROR(100/'Skjema total MA'!I68*K68,0)</f>
        <v>16.646259384732037</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v>102641.19891798501</v>
      </c>
      <c r="C76" s="145">
        <v>153113.88974446099</v>
      </c>
      <c r="D76" s="166">
        <f t="shared" ref="D76" si="17">IF(B76=0, "    ---- ", IF(ABS(ROUND(100/B76*C76-100,1))&lt;999,ROUND(100/B76*C76-100,1),IF(ROUND(100/B76*C76-100,1)&gt;999,999,-999)))</f>
        <v>49.2</v>
      </c>
      <c r="E76" s="27">
        <f>IFERROR(100/'Skjema total MA'!C77*C76,0)</f>
        <v>5.31523462903706</v>
      </c>
      <c r="F76" s="234"/>
      <c r="G76" s="145"/>
      <c r="H76" s="166"/>
      <c r="I76" s="27"/>
      <c r="J76" s="292">
        <f t="shared" ref="J76" si="18">SUM(B76,F76)</f>
        <v>102641.19891798501</v>
      </c>
      <c r="K76" s="44">
        <f t="shared" ref="K76" si="19">SUM(C76,G76)</f>
        <v>153113.88974446099</v>
      </c>
      <c r="L76" s="259">
        <f t="shared" ref="L76" si="20">IF(J76=0, "    ---- ", IF(ABS(ROUND(100/J76*K76-100,1))&lt;999,ROUND(100/J76*K76-100,1),IF(ROUND(100/J76*K76-100,1)&gt;999,999,-999)))</f>
        <v>49.2</v>
      </c>
      <c r="M76" s="27">
        <f>IFERROR(100/'Skjema total MA'!I77*K76,0)</f>
        <v>0.68734379518028721</v>
      </c>
      <c r="N76" s="148"/>
    </row>
    <row r="77" spans="1:14" ht="15.75" x14ac:dyDescent="0.2">
      <c r="A77" s="21" t="s">
        <v>368</v>
      </c>
      <c r="B77" s="234">
        <v>477659.21108201495</v>
      </c>
      <c r="C77" s="234">
        <v>384619.464255539</v>
      </c>
      <c r="D77" s="166">
        <f t="shared" si="13"/>
        <v>-19.5</v>
      </c>
      <c r="E77" s="27">
        <f>IFERROR(100/'Skjema total MA'!C77*C77,0)</f>
        <v>13.351778201341649</v>
      </c>
      <c r="F77" s="234">
        <v>3012087.3739999998</v>
      </c>
      <c r="G77" s="145">
        <v>3227646.352</v>
      </c>
      <c r="H77" s="166">
        <f t="shared" si="14"/>
        <v>7.2</v>
      </c>
      <c r="I77" s="27">
        <f>IFERROR(100/'Skjema total MA'!F77*G77,0)</f>
        <v>16.641202484764609</v>
      </c>
      <c r="J77" s="292">
        <f t="shared" si="15"/>
        <v>3489746.585082015</v>
      </c>
      <c r="K77" s="44">
        <f t="shared" si="15"/>
        <v>3612265.8162555387</v>
      </c>
      <c r="L77" s="259">
        <f t="shared" si="16"/>
        <v>3.5</v>
      </c>
      <c r="M77" s="27">
        <f>IFERROR(100/'Skjema total MA'!I77*K77,0)</f>
        <v>16.215827966286248</v>
      </c>
    </row>
    <row r="78" spans="1:14" x14ac:dyDescent="0.2">
      <c r="A78" s="21" t="s">
        <v>9</v>
      </c>
      <c r="B78" s="234">
        <v>471576.01908201497</v>
      </c>
      <c r="C78" s="145">
        <v>381729.91625553899</v>
      </c>
      <c r="D78" s="166">
        <f t="shared" si="13"/>
        <v>-19.100000000000001</v>
      </c>
      <c r="E78" s="27">
        <f>IFERROR(100/'Skjema total MA'!C78*C78,0)</f>
        <v>13.350327335869215</v>
      </c>
      <c r="F78" s="234"/>
      <c r="G78" s="145"/>
      <c r="H78" s="166"/>
      <c r="I78" s="27"/>
      <c r="J78" s="292">
        <f t="shared" si="15"/>
        <v>471576.01908201497</v>
      </c>
      <c r="K78" s="44">
        <f t="shared" si="15"/>
        <v>381729.91625553899</v>
      </c>
      <c r="L78" s="259">
        <f t="shared" si="16"/>
        <v>-19.100000000000001</v>
      </c>
      <c r="M78" s="27">
        <f>IFERROR(100/'Skjema total MA'!I78*K78,0)</f>
        <v>13.350327335869215</v>
      </c>
    </row>
    <row r="79" spans="1:14" x14ac:dyDescent="0.2">
      <c r="A79" s="38" t="s">
        <v>403</v>
      </c>
      <c r="B79" s="296">
        <v>6083.192</v>
      </c>
      <c r="C79" s="297">
        <v>2889.5479999999998</v>
      </c>
      <c r="D79" s="166">
        <f t="shared" si="13"/>
        <v>-52.5</v>
      </c>
      <c r="E79" s="27">
        <f>IFERROR(100/'Skjema total MA'!C79*C79,0)</f>
        <v>13.546260890345378</v>
      </c>
      <c r="F79" s="296">
        <v>3012087.3739999998</v>
      </c>
      <c r="G79" s="297">
        <v>3227646.352</v>
      </c>
      <c r="H79" s="166">
        <f t="shared" si="14"/>
        <v>7.2</v>
      </c>
      <c r="I79" s="27">
        <f>IFERROR(100/'Skjema total MA'!F79*G79,0)</f>
        <v>16.641202484764609</v>
      </c>
      <c r="J79" s="292">
        <f t="shared" si="15"/>
        <v>3018170.5659999996</v>
      </c>
      <c r="K79" s="44">
        <f t="shared" si="15"/>
        <v>3230535.9</v>
      </c>
      <c r="L79" s="259">
        <f t="shared" si="16"/>
        <v>7</v>
      </c>
      <c r="M79" s="27">
        <f>IFERROR(100/'Skjema total MA'!I79*K79,0)</f>
        <v>16.637802442411115</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v>6765.59</v>
      </c>
      <c r="C86" s="145">
        <v>6873.6459999999997</v>
      </c>
      <c r="D86" s="166">
        <f t="shared" si="13"/>
        <v>1.6</v>
      </c>
      <c r="E86" s="27">
        <f>IFERROR(100/'Skjema total MA'!C86*C86,0)</f>
        <v>10.132439006916769</v>
      </c>
      <c r="F86" s="234">
        <v>1237.7149999999999</v>
      </c>
      <c r="G86" s="145">
        <v>1512.356</v>
      </c>
      <c r="H86" s="166">
        <f t="shared" si="14"/>
        <v>22.2</v>
      </c>
      <c r="I86" s="27">
        <f>IFERROR(100/'Skjema total MA'!F86*G86,0)</f>
        <v>22.259712504652502</v>
      </c>
      <c r="J86" s="292">
        <f t="shared" si="15"/>
        <v>8003.3050000000003</v>
      </c>
      <c r="K86" s="44">
        <f t="shared" si="15"/>
        <v>8386.0020000000004</v>
      </c>
      <c r="L86" s="259">
        <f t="shared" si="16"/>
        <v>4.8</v>
      </c>
      <c r="M86" s="27">
        <f>IFERROR(100/'Skjema total MA'!I86*K86,0)</f>
        <v>11.236445542686992</v>
      </c>
    </row>
    <row r="87" spans="1:13" ht="15.75" x14ac:dyDescent="0.2">
      <c r="A87" s="13" t="s">
        <v>351</v>
      </c>
      <c r="B87" s="354">
        <v>50064243.959105276</v>
      </c>
      <c r="C87" s="354">
        <v>50609580.018991075</v>
      </c>
      <c r="D87" s="171">
        <f t="shared" si="13"/>
        <v>1.1000000000000001</v>
      </c>
      <c r="E87" s="11">
        <f>IFERROR(100/'Skjema total MA'!C87*C87,0)</f>
        <v>12.549405782156134</v>
      </c>
      <c r="F87" s="353">
        <v>65365404.988329999</v>
      </c>
      <c r="G87" s="353">
        <v>64725069.483604997</v>
      </c>
      <c r="H87" s="171">
        <f t="shared" si="14"/>
        <v>-1</v>
      </c>
      <c r="I87" s="11">
        <f>IFERROR(100/'Skjema total MA'!F87*G87,0)</f>
        <v>15.483327046537818</v>
      </c>
      <c r="J87" s="311">
        <f t="shared" ref="J87:K111" si="21">SUM(B87,F87)</f>
        <v>115429648.94743527</v>
      </c>
      <c r="K87" s="236">
        <f t="shared" si="21"/>
        <v>115334649.50259608</v>
      </c>
      <c r="L87" s="425">
        <f t="shared" si="16"/>
        <v>-0.1</v>
      </c>
      <c r="M87" s="11">
        <f>IFERROR(100/'Skjema total MA'!I87*K87,0)</f>
        <v>14.042708184465592</v>
      </c>
    </row>
    <row r="88" spans="1:13" x14ac:dyDescent="0.2">
      <c r="A88" s="21" t="s">
        <v>9</v>
      </c>
      <c r="B88" s="234">
        <v>48499765.653930701</v>
      </c>
      <c r="C88" s="145">
        <v>48909786.186169498</v>
      </c>
      <c r="D88" s="166">
        <f t="shared" si="13"/>
        <v>0.8</v>
      </c>
      <c r="E88" s="27">
        <f>IFERROR(100/'Skjema total MA'!C88*C88,0)</f>
        <v>12.593214064176328</v>
      </c>
      <c r="F88" s="234"/>
      <c r="G88" s="145"/>
      <c r="H88" s="166"/>
      <c r="I88" s="27"/>
      <c r="J88" s="292">
        <f t="shared" si="21"/>
        <v>48499765.653930701</v>
      </c>
      <c r="K88" s="44">
        <f t="shared" si="21"/>
        <v>48909786.186169498</v>
      </c>
      <c r="L88" s="259">
        <f t="shared" si="16"/>
        <v>0.8</v>
      </c>
      <c r="M88" s="27">
        <f>IFERROR(100/'Skjema total MA'!I88*K88,0)</f>
        <v>12.593214064176328</v>
      </c>
    </row>
    <row r="89" spans="1:13" x14ac:dyDescent="0.2">
      <c r="A89" s="21" t="s">
        <v>10</v>
      </c>
      <c r="B89" s="234">
        <v>1286987.70417457</v>
      </c>
      <c r="C89" s="145">
        <v>1373603.17882158</v>
      </c>
      <c r="D89" s="166">
        <f t="shared" si="13"/>
        <v>6.7</v>
      </c>
      <c r="E89" s="27">
        <f>IFERROR(100/'Skjema total MA'!C89*C89,0)</f>
        <v>41.212008166910742</v>
      </c>
      <c r="F89" s="234">
        <v>65365404.988329999</v>
      </c>
      <c r="G89" s="145">
        <v>64725069.483604997</v>
      </c>
      <c r="H89" s="166">
        <f t="shared" si="14"/>
        <v>-1</v>
      </c>
      <c r="I89" s="27">
        <f>IFERROR(100/'Skjema total MA'!F89*G89,0)</f>
        <v>15.665403211178299</v>
      </c>
      <c r="J89" s="292">
        <f t="shared" si="21"/>
        <v>66652392.69250457</v>
      </c>
      <c r="K89" s="44">
        <f t="shared" si="21"/>
        <v>66098672.662426576</v>
      </c>
      <c r="L89" s="259">
        <f t="shared" si="16"/>
        <v>-0.8</v>
      </c>
      <c r="M89" s="27">
        <f>IFERROR(100/'Skjema total MA'!I89*K89,0)</f>
        <v>15.869835928157581</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v>277490.60100000002</v>
      </c>
      <c r="C97" s="145">
        <v>326190.65399999998</v>
      </c>
      <c r="D97" s="166">
        <f t="shared" ref="D97" si="22">IF(B97=0, "    ---- ", IF(ABS(ROUND(100/B97*C97-100,1))&lt;999,ROUND(100/B97*C97-100,1),IF(ROUND(100/B97*C97-100,1)&gt;999,999,-999)))</f>
        <v>17.600000000000001</v>
      </c>
      <c r="E97" s="27">
        <f>IFERROR(100/'Skjema total MA'!C98*C97,0)</f>
        <v>8.4231036344868018E-2</v>
      </c>
      <c r="F97" s="234"/>
      <c r="G97" s="145"/>
      <c r="H97" s="166"/>
      <c r="I97" s="27"/>
      <c r="J97" s="292">
        <f t="shared" ref="J97" si="23">SUM(B97,F97)</f>
        <v>277490.60100000002</v>
      </c>
      <c r="K97" s="44">
        <f t="shared" ref="K97" si="24">SUM(C97,G97)</f>
        <v>326190.65399999998</v>
      </c>
      <c r="L97" s="259">
        <f t="shared" ref="L97" si="25">IF(J97=0, "    ---- ", IF(ABS(ROUND(100/J97*K97-100,1))&lt;999,ROUND(100/J97*K97-100,1),IF(ROUND(100/J97*K97-100,1)&gt;999,999,-999)))</f>
        <v>17.600000000000001</v>
      </c>
      <c r="M97" s="27">
        <f>IFERROR(100/'Skjema total MA'!I98*K97,0)</f>
        <v>4.0793748374176431E-2</v>
      </c>
    </row>
    <row r="98" spans="1:15" ht="15.75" x14ac:dyDescent="0.2">
      <c r="A98" s="21" t="s">
        <v>368</v>
      </c>
      <c r="B98" s="234">
        <v>49763229.42710527</v>
      </c>
      <c r="C98" s="234">
        <v>50266229.468991078</v>
      </c>
      <c r="D98" s="166">
        <f t="shared" si="13"/>
        <v>1</v>
      </c>
      <c r="E98" s="27">
        <f>IFERROR(100/'Skjema total MA'!C98*C98,0)</f>
        <v>12.980067176670438</v>
      </c>
      <c r="F98" s="296">
        <v>65352830.488329999</v>
      </c>
      <c r="G98" s="296">
        <v>64712870.365604997</v>
      </c>
      <c r="H98" s="166">
        <f t="shared" si="14"/>
        <v>-1</v>
      </c>
      <c r="I98" s="27">
        <f>IFERROR(100/'Skjema total MA'!F98*G98,0)</f>
        <v>15.693586477907964</v>
      </c>
      <c r="J98" s="292">
        <f t="shared" si="21"/>
        <v>115116059.91543527</v>
      </c>
      <c r="K98" s="44">
        <f t="shared" si="21"/>
        <v>114979099.83459607</v>
      </c>
      <c r="L98" s="259">
        <f t="shared" si="16"/>
        <v>-0.1</v>
      </c>
      <c r="M98" s="27">
        <f>IFERROR(100/'Skjema total MA'!I98*K98,0)</f>
        <v>14.37940789971813</v>
      </c>
    </row>
    <row r="99" spans="1:15" x14ac:dyDescent="0.2">
      <c r="A99" s="21" t="s">
        <v>9</v>
      </c>
      <c r="B99" s="296">
        <v>48476241.7229307</v>
      </c>
      <c r="C99" s="297">
        <v>48892626.2901695</v>
      </c>
      <c r="D99" s="166">
        <f t="shared" si="13"/>
        <v>0.9</v>
      </c>
      <c r="E99" s="27">
        <f>IFERROR(100/'Skjema total MA'!C99*C99,0)</f>
        <v>12.734973045860269</v>
      </c>
      <c r="F99" s="234"/>
      <c r="G99" s="145"/>
      <c r="H99" s="166"/>
      <c r="I99" s="27"/>
      <c r="J99" s="292">
        <f t="shared" si="21"/>
        <v>48476241.7229307</v>
      </c>
      <c r="K99" s="44">
        <f t="shared" si="21"/>
        <v>48892626.2901695</v>
      </c>
      <c r="L99" s="259">
        <f t="shared" si="16"/>
        <v>0.9</v>
      </c>
      <c r="M99" s="27">
        <f>IFERROR(100/'Skjema total MA'!I99*K99,0)</f>
        <v>12.734973045860269</v>
      </c>
    </row>
    <row r="100" spans="1:15" x14ac:dyDescent="0.2">
      <c r="A100" s="38" t="s">
        <v>403</v>
      </c>
      <c r="B100" s="296">
        <v>1286987.70417457</v>
      </c>
      <c r="C100" s="297">
        <v>1373603.17882158</v>
      </c>
      <c r="D100" s="166">
        <f t="shared" si="13"/>
        <v>6.7</v>
      </c>
      <c r="E100" s="27">
        <f>IFERROR(100/'Skjema total MA'!C100*C100,0)</f>
        <v>41.212008166910742</v>
      </c>
      <c r="F100" s="234">
        <v>65352830.488329999</v>
      </c>
      <c r="G100" s="234">
        <v>64712870.365604997</v>
      </c>
      <c r="H100" s="166">
        <f t="shared" si="14"/>
        <v>-1</v>
      </c>
      <c r="I100" s="27">
        <f>IFERROR(100/'Skjema total MA'!F100*G100,0)</f>
        <v>15.693586477907964</v>
      </c>
      <c r="J100" s="292">
        <f t="shared" si="21"/>
        <v>66639818.19250457</v>
      </c>
      <c r="K100" s="44">
        <f t="shared" si="21"/>
        <v>66086473.544426575</v>
      </c>
      <c r="L100" s="259">
        <f t="shared" si="16"/>
        <v>-0.8</v>
      </c>
      <c r="M100" s="27">
        <f>IFERROR(100/'Skjema total MA'!I100*K100,0)</f>
        <v>15.898196356848416</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v>23523.931</v>
      </c>
      <c r="C107" s="145">
        <v>17159.896000000001</v>
      </c>
      <c r="D107" s="166">
        <f t="shared" si="13"/>
        <v>-27.1</v>
      </c>
      <c r="E107" s="27">
        <f>IFERROR(100/'Skjema total MA'!C107*C107,0)</f>
        <v>0.38492277961912286</v>
      </c>
      <c r="F107" s="234">
        <v>12574.5</v>
      </c>
      <c r="G107" s="145">
        <v>12199.118</v>
      </c>
      <c r="H107" s="166">
        <f t="shared" si="14"/>
        <v>-3</v>
      </c>
      <c r="I107" s="27">
        <f>IFERROR(100/'Skjema total MA'!F107*G107,0)</f>
        <v>1.4881935088106033</v>
      </c>
      <c r="J107" s="292">
        <f t="shared" si="21"/>
        <v>36098.430999999997</v>
      </c>
      <c r="K107" s="44">
        <f t="shared" si="21"/>
        <v>29359.014000000003</v>
      </c>
      <c r="L107" s="259">
        <f t="shared" si="16"/>
        <v>-18.7</v>
      </c>
      <c r="M107" s="27">
        <f>IFERROR(100/'Skjema total MA'!I107*K107,0)</f>
        <v>0.55628039546842223</v>
      </c>
    </row>
    <row r="108" spans="1:15" ht="15.75" x14ac:dyDescent="0.2">
      <c r="A108" s="21" t="s">
        <v>370</v>
      </c>
      <c r="B108" s="234">
        <v>39272375.641019002</v>
      </c>
      <c r="C108" s="234">
        <v>39449841.111361399</v>
      </c>
      <c r="D108" s="166">
        <f t="shared" si="13"/>
        <v>0.5</v>
      </c>
      <c r="E108" s="27">
        <f>IFERROR(100/'Skjema total MA'!C108*C108,0)</f>
        <v>11.804284600312345</v>
      </c>
      <c r="F108" s="234"/>
      <c r="G108" s="234"/>
      <c r="H108" s="166"/>
      <c r="I108" s="27"/>
      <c r="J108" s="292">
        <f t="shared" si="21"/>
        <v>39272375.641019002</v>
      </c>
      <c r="K108" s="44">
        <f t="shared" si="21"/>
        <v>39449841.111361399</v>
      </c>
      <c r="L108" s="259">
        <f t="shared" si="16"/>
        <v>0.5</v>
      </c>
      <c r="M108" s="27">
        <f>IFERROR(100/'Skjema total MA'!I108*K108,0)</f>
        <v>11.165936857925022</v>
      </c>
    </row>
    <row r="109" spans="1:15" ht="15.75" x14ac:dyDescent="0.2">
      <c r="A109" s="38" t="s">
        <v>417</v>
      </c>
      <c r="B109" s="234">
        <v>789705.53827758494</v>
      </c>
      <c r="C109" s="234">
        <v>954256.13243531797</v>
      </c>
      <c r="D109" s="166">
        <f t="shared" si="13"/>
        <v>20.8</v>
      </c>
      <c r="E109" s="27">
        <f>IFERROR(100/'Skjema total MA'!C109*C109,0)</f>
        <v>51.81902995205779</v>
      </c>
      <c r="F109" s="234">
        <v>24901863.811315998</v>
      </c>
      <c r="G109" s="234">
        <v>25545752.013907202</v>
      </c>
      <c r="H109" s="166">
        <f t="shared" si="14"/>
        <v>2.6</v>
      </c>
      <c r="I109" s="27">
        <f>IFERROR(100/'Skjema total MA'!F109*G109,0)</f>
        <v>16.729219334515491</v>
      </c>
      <c r="J109" s="292">
        <f t="shared" si="21"/>
        <v>25691569.349593583</v>
      </c>
      <c r="K109" s="44">
        <f t="shared" si="21"/>
        <v>26500008.14634252</v>
      </c>
      <c r="L109" s="259">
        <f t="shared" si="16"/>
        <v>3.1</v>
      </c>
      <c r="M109" s="27">
        <f>IFERROR(100/'Skjema total MA'!I109*K109,0)</f>
        <v>17.14734574720023</v>
      </c>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v>177.893</v>
      </c>
      <c r="C111" s="159">
        <v>382.262</v>
      </c>
      <c r="D111" s="171">
        <f t="shared" si="13"/>
        <v>114.9</v>
      </c>
      <c r="E111" s="11">
        <f>IFERROR(100/'Skjema total MA'!C111*C111,0)</f>
        <v>7.2936506191273232E-2</v>
      </c>
      <c r="F111" s="310">
        <v>4838624.8609999996</v>
      </c>
      <c r="G111" s="159">
        <v>3844723.4470000002</v>
      </c>
      <c r="H111" s="171">
        <f t="shared" si="14"/>
        <v>-20.5</v>
      </c>
      <c r="I111" s="11">
        <f>IFERROR(100/'Skjema total MA'!F111*G111,0)</f>
        <v>18.194718330668255</v>
      </c>
      <c r="J111" s="311">
        <f t="shared" si="21"/>
        <v>4838802.7539999997</v>
      </c>
      <c r="K111" s="236">
        <f t="shared" si="21"/>
        <v>3845105.7090000003</v>
      </c>
      <c r="L111" s="425">
        <f t="shared" si="16"/>
        <v>-20.5</v>
      </c>
      <c r="M111" s="11">
        <f>IFERROR(100/'Skjema total MA'!I111*K111,0)</f>
        <v>17.756129971383647</v>
      </c>
    </row>
    <row r="112" spans="1:15" x14ac:dyDescent="0.2">
      <c r="A112" s="21" t="s">
        <v>9</v>
      </c>
      <c r="B112" s="234">
        <v>177.893</v>
      </c>
      <c r="C112" s="145">
        <v>201.29900000000001</v>
      </c>
      <c r="D112" s="166">
        <f t="shared" ref="D112:D120" si="26">IF(B112=0, "    ---- ", IF(ABS(ROUND(100/B112*C112-100,1))&lt;999,ROUND(100/B112*C112-100,1),IF(ROUND(100/B112*C112-100,1)&gt;999,999,-999)))</f>
        <v>13.2</v>
      </c>
      <c r="E112" s="27">
        <f>IFERROR(100/'Skjema total MA'!C112*C112,0)</f>
        <v>7.3059199420080864E-2</v>
      </c>
      <c r="F112" s="234"/>
      <c r="G112" s="145"/>
      <c r="H112" s="166"/>
      <c r="I112" s="27"/>
      <c r="J112" s="292">
        <f t="shared" ref="J112:K125" si="27">SUM(B112,F112)</f>
        <v>177.893</v>
      </c>
      <c r="K112" s="44">
        <f t="shared" si="27"/>
        <v>201.29900000000001</v>
      </c>
      <c r="L112" s="259">
        <f t="shared" ref="L112:L125" si="28">IF(J112=0, "    ---- ", IF(ABS(ROUND(100/J112*K112-100,1))&lt;999,ROUND(100/J112*K112-100,1),IF(ROUND(100/J112*K112-100,1)&gt;999,999,-999)))</f>
        <v>13.2</v>
      </c>
      <c r="M112" s="27">
        <f>IFERROR(100/'Skjema total MA'!I112*K112,0)</f>
        <v>7.2855694538096469E-2</v>
      </c>
    </row>
    <row r="113" spans="1:14" x14ac:dyDescent="0.2">
      <c r="A113" s="21" t="s">
        <v>10</v>
      </c>
      <c r="B113" s="234">
        <v>0</v>
      </c>
      <c r="C113" s="145">
        <v>180.96299999999999</v>
      </c>
      <c r="D113" s="166" t="str">
        <f t="shared" si="26"/>
        <v xml:space="preserve">    ---- </v>
      </c>
      <c r="E113" s="27">
        <f>IFERROR(100/'Skjema total MA'!C113*C113,0)</f>
        <v>100</v>
      </c>
      <c r="F113" s="234">
        <v>4838624.8609999996</v>
      </c>
      <c r="G113" s="145">
        <v>3844723.4470000002</v>
      </c>
      <c r="H113" s="166">
        <f t="shared" ref="H113:H125" si="29">IF(F113=0, "    ---- ", IF(ABS(ROUND(100/F113*G113-100,1))&lt;999,ROUND(100/F113*G113-100,1),IF(ROUND(100/F113*G113-100,1)&gt;999,999,-999)))</f>
        <v>-20.5</v>
      </c>
      <c r="I113" s="27">
        <f>IFERROR(100/'Skjema total MA'!F113*G113,0)</f>
        <v>18.196294250808233</v>
      </c>
      <c r="J113" s="292">
        <f t="shared" si="27"/>
        <v>4838624.8609999996</v>
      </c>
      <c r="K113" s="44">
        <f t="shared" si="27"/>
        <v>3844904.41</v>
      </c>
      <c r="L113" s="259">
        <f t="shared" si="28"/>
        <v>-20.5</v>
      </c>
      <c r="M113" s="27">
        <f>IFERROR(100/'Skjema total MA'!I113*K113,0)</f>
        <v>18.196994861709683</v>
      </c>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v>0</v>
      </c>
      <c r="C117" s="234">
        <v>180.96299999999999</v>
      </c>
      <c r="D117" s="166" t="str">
        <f t="shared" si="26"/>
        <v xml:space="preserve">    ---- </v>
      </c>
      <c r="E117" s="27">
        <f>IFERROR(100/'Skjema total MA'!C117*C117,0)</f>
        <v>100</v>
      </c>
      <c r="F117" s="234">
        <v>266235.45400000003</v>
      </c>
      <c r="G117" s="234">
        <v>2407467.818</v>
      </c>
      <c r="H117" s="166">
        <f t="shared" si="29"/>
        <v>804.3</v>
      </c>
      <c r="I117" s="27">
        <f>IFERROR(100/'Skjema total MA'!F117*G117,0)</f>
        <v>21.136001981415784</v>
      </c>
      <c r="J117" s="292">
        <f t="shared" si="27"/>
        <v>266235.45400000003</v>
      </c>
      <c r="K117" s="44">
        <f t="shared" si="27"/>
        <v>2407648.781</v>
      </c>
      <c r="L117" s="259">
        <f t="shared" si="28"/>
        <v>804.3</v>
      </c>
      <c r="M117" s="27">
        <f>IFERROR(100/'Skjema total MA'!I117*K117,0)</f>
        <v>21.137254903395789</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40.597459999844403</v>
      </c>
      <c r="C119" s="159">
        <v>3197.1460199998601</v>
      </c>
      <c r="D119" s="171">
        <f t="shared" si="26"/>
        <v>999</v>
      </c>
      <c r="E119" s="11">
        <f>IFERROR(100/'Skjema total MA'!C119*C119,0)</f>
        <v>0.67352442811817825</v>
      </c>
      <c r="F119" s="310">
        <v>4979529.4650100004</v>
      </c>
      <c r="G119" s="159">
        <v>3234975.142</v>
      </c>
      <c r="H119" s="171">
        <f t="shared" si="29"/>
        <v>-35</v>
      </c>
      <c r="I119" s="11">
        <f>IFERROR(100/'Skjema total MA'!F119*G119,0)</f>
        <v>14.387166980568947</v>
      </c>
      <c r="J119" s="311">
        <f t="shared" si="27"/>
        <v>4979570.0624700002</v>
      </c>
      <c r="K119" s="236">
        <f t="shared" si="27"/>
        <v>3238172.2880199999</v>
      </c>
      <c r="L119" s="425">
        <f t="shared" si="28"/>
        <v>-35</v>
      </c>
      <c r="M119" s="11">
        <f>IFERROR(100/'Skjema total MA'!I119*K119,0)</f>
        <v>14.103640758639006</v>
      </c>
    </row>
    <row r="120" spans="1:14" x14ac:dyDescent="0.2">
      <c r="A120" s="21" t="s">
        <v>9</v>
      </c>
      <c r="B120" s="234">
        <v>40.597459999844403</v>
      </c>
      <c r="C120" s="145">
        <v>3197.1460199998601</v>
      </c>
      <c r="D120" s="166">
        <f t="shared" si="26"/>
        <v>999</v>
      </c>
      <c r="E120" s="27">
        <f>IFERROR(100/'Skjema total MA'!C120*C120,0)</f>
        <v>1.9836783113904499</v>
      </c>
      <c r="F120" s="234"/>
      <c r="G120" s="145"/>
      <c r="H120" s="166"/>
      <c r="I120" s="27"/>
      <c r="J120" s="292">
        <f t="shared" si="27"/>
        <v>40.597459999844403</v>
      </c>
      <c r="K120" s="44">
        <f t="shared" si="27"/>
        <v>3197.1460199998601</v>
      </c>
      <c r="L120" s="259">
        <f t="shared" si="28"/>
        <v>999</v>
      </c>
      <c r="M120" s="27">
        <f>IFERROR(100/'Skjema total MA'!I120*K120,0)</f>
        <v>1.9836783113904499</v>
      </c>
    </row>
    <row r="121" spans="1:14" x14ac:dyDescent="0.2">
      <c r="A121" s="21" t="s">
        <v>10</v>
      </c>
      <c r="B121" s="234"/>
      <c r="C121" s="145"/>
      <c r="D121" s="166"/>
      <c r="E121" s="27"/>
      <c r="F121" s="234">
        <v>4979529.4650100004</v>
      </c>
      <c r="G121" s="145">
        <v>3234975.142</v>
      </c>
      <c r="H121" s="166">
        <f t="shared" si="29"/>
        <v>-35</v>
      </c>
      <c r="I121" s="27">
        <f>IFERROR(100/'Skjema total MA'!F121*G121,0)</f>
        <v>14.387166980568947</v>
      </c>
      <c r="J121" s="292">
        <f t="shared" si="27"/>
        <v>4979529.4650100004</v>
      </c>
      <c r="K121" s="44">
        <f t="shared" si="27"/>
        <v>3234975.142</v>
      </c>
      <c r="L121" s="259">
        <f t="shared" si="28"/>
        <v>-35</v>
      </c>
      <c r="M121" s="27">
        <f>IFERROR(100/'Skjema total MA'!I121*K121,0)</f>
        <v>14.383598772006414</v>
      </c>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v>3302415.7379999999</v>
      </c>
      <c r="G125" s="234">
        <v>2314578.0789999999</v>
      </c>
      <c r="H125" s="166">
        <f t="shared" si="29"/>
        <v>-29.9</v>
      </c>
      <c r="I125" s="27">
        <f>IFERROR(100/'Skjema total MA'!F125*G125,0)</f>
        <v>20.710476209968096</v>
      </c>
      <c r="J125" s="292">
        <f t="shared" si="27"/>
        <v>3302415.7379999999</v>
      </c>
      <c r="K125" s="44">
        <f t="shared" si="27"/>
        <v>2314578.0789999999</v>
      </c>
      <c r="L125" s="259">
        <f t="shared" si="28"/>
        <v>-29.9</v>
      </c>
      <c r="M125" s="27">
        <f>IFERROR(100/'Skjema total MA'!I125*K125,0)</f>
        <v>20.709590715884836</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98" priority="76">
      <formula>kvartal &lt; 4</formula>
    </cfRule>
  </conditionalFormatting>
  <conditionalFormatting sqref="C115">
    <cfRule type="expression" dxfId="397" priority="75">
      <formula>kvartal &lt; 4</formula>
    </cfRule>
  </conditionalFormatting>
  <conditionalFormatting sqref="B123">
    <cfRule type="expression" dxfId="396" priority="74">
      <formula>kvartal &lt; 4</formula>
    </cfRule>
  </conditionalFormatting>
  <conditionalFormatting sqref="C123">
    <cfRule type="expression" dxfId="395" priority="73">
      <formula>kvartal &lt; 4</formula>
    </cfRule>
  </conditionalFormatting>
  <conditionalFormatting sqref="F115">
    <cfRule type="expression" dxfId="394" priority="58">
      <formula>kvartal &lt; 4</formula>
    </cfRule>
  </conditionalFormatting>
  <conditionalFormatting sqref="G115">
    <cfRule type="expression" dxfId="393" priority="57">
      <formula>kvartal &lt; 4</formula>
    </cfRule>
  </conditionalFormatting>
  <conditionalFormatting sqref="F123:G123">
    <cfRule type="expression" dxfId="392" priority="56">
      <formula>kvartal &lt; 4</formula>
    </cfRule>
  </conditionalFormatting>
  <conditionalFormatting sqref="J115:K115">
    <cfRule type="expression" dxfId="391" priority="32">
      <formula>kvartal &lt; 4</formula>
    </cfRule>
  </conditionalFormatting>
  <conditionalFormatting sqref="J123:K123">
    <cfRule type="expression" dxfId="390" priority="31">
      <formula>kvartal &lt; 4</formula>
    </cfRule>
  </conditionalFormatting>
  <conditionalFormatting sqref="A50:A52">
    <cfRule type="expression" dxfId="389" priority="12">
      <formula>kvartal &lt; 4</formula>
    </cfRule>
  </conditionalFormatting>
  <conditionalFormatting sqref="A69:A74">
    <cfRule type="expression" dxfId="388" priority="10">
      <formula>kvartal &lt; 4</formula>
    </cfRule>
  </conditionalFormatting>
  <conditionalFormatting sqref="A80:A85">
    <cfRule type="expression" dxfId="387" priority="9">
      <formula>kvartal &lt; 4</formula>
    </cfRule>
  </conditionalFormatting>
  <conditionalFormatting sqref="A90:A95">
    <cfRule type="expression" dxfId="386" priority="6">
      <formula>kvartal &lt; 4</formula>
    </cfRule>
  </conditionalFormatting>
  <conditionalFormatting sqref="A101:A106">
    <cfRule type="expression" dxfId="385" priority="5">
      <formula>kvartal &lt; 4</formula>
    </cfRule>
  </conditionalFormatting>
  <conditionalFormatting sqref="A115">
    <cfRule type="expression" dxfId="384" priority="4">
      <formula>kvartal &lt; 4</formula>
    </cfRule>
  </conditionalFormatting>
  <conditionalFormatting sqref="A123">
    <cfRule type="expression" dxfId="383" priority="3">
      <formula>kvartal &lt; 4</formula>
    </cfRule>
  </conditionalFormatting>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94</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16000</v>
      </c>
      <c r="C47" s="313">
        <v>16000</v>
      </c>
      <c r="D47" s="424">
        <f t="shared" ref="D47:D48" si="0">IF(B47=0, "    ---- ", IF(ABS(ROUND(100/B47*C47-100,1))&lt;999,ROUND(100/B47*C47-100,1),IF(ROUND(100/B47*C47-100,1)&gt;999,999,-999)))</f>
        <v>0</v>
      </c>
      <c r="E47" s="11">
        <f>IFERROR(100/'Skjema total MA'!C47*C47,0)</f>
        <v>0.3676323886775163</v>
      </c>
      <c r="F47" s="145"/>
      <c r="G47" s="33"/>
      <c r="H47" s="159"/>
      <c r="I47" s="159"/>
      <c r="J47" s="37"/>
      <c r="K47" s="37"/>
      <c r="L47" s="159"/>
      <c r="M47" s="159"/>
      <c r="N47" s="148"/>
    </row>
    <row r="48" spans="1:14" s="3" customFormat="1" ht="15.75" x14ac:dyDescent="0.2">
      <c r="A48" s="38" t="s">
        <v>362</v>
      </c>
      <c r="B48" s="286">
        <v>16000</v>
      </c>
      <c r="C48" s="287">
        <v>16000</v>
      </c>
      <c r="D48" s="259">
        <f t="shared" si="0"/>
        <v>0</v>
      </c>
      <c r="E48" s="27">
        <f>IFERROR(100/'Skjema total MA'!C48*C48,0)</f>
        <v>0.64908500912872169</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v>2112000</v>
      </c>
      <c r="C134" s="311">
        <v>5315000</v>
      </c>
      <c r="D134" s="351">
        <f t="shared" ref="D134:D136" si="1">IF(B134=0, "    ---- ", IF(ABS(ROUND(100/B134*C134-100,1))&lt;999,ROUND(100/B134*C134-100,1),IF(ROUND(100/B134*C134-100,1)&gt;999,999,-999)))</f>
        <v>151.69999999999999</v>
      </c>
      <c r="E134" s="11">
        <f>IFERROR(100/'Skjema total MA'!C134*C134,0)</f>
        <v>13.799913982562275</v>
      </c>
      <c r="F134" s="318"/>
      <c r="G134" s="319"/>
      <c r="H134" s="428"/>
      <c r="I134" s="24"/>
      <c r="J134" s="320">
        <f t="shared" ref="J134:K136" si="2">SUM(B134,F134)</f>
        <v>2112000</v>
      </c>
      <c r="K134" s="320">
        <f t="shared" si="2"/>
        <v>5315000</v>
      </c>
      <c r="L134" s="424">
        <f t="shared" ref="L134:L136" si="3">IF(J134=0, "    ---- ", IF(ABS(ROUND(100/J134*K134-100,1))&lt;999,ROUND(100/J134*K134-100,1),IF(ROUND(100/J134*K134-100,1)&gt;999,999,-999)))</f>
        <v>151.69999999999999</v>
      </c>
      <c r="M134" s="11">
        <f>IFERROR(100/'Skjema total MA'!I134*K134,0)</f>
        <v>13.763002641639231</v>
      </c>
      <c r="N134" s="148"/>
    </row>
    <row r="135" spans="1:14" s="3" customFormat="1" ht="15.75" x14ac:dyDescent="0.2">
      <c r="A135" s="13" t="s">
        <v>378</v>
      </c>
      <c r="B135" s="236">
        <v>87821000</v>
      </c>
      <c r="C135" s="311">
        <v>110112000</v>
      </c>
      <c r="D135" s="171">
        <f t="shared" si="1"/>
        <v>25.4</v>
      </c>
      <c r="E135" s="11">
        <f>IFERROR(100/'Skjema total MA'!C135*C135,0)</f>
        <v>14.148576211120016</v>
      </c>
      <c r="F135" s="236"/>
      <c r="G135" s="311"/>
      <c r="H135" s="429"/>
      <c r="I135" s="24"/>
      <c r="J135" s="310">
        <f t="shared" si="2"/>
        <v>87821000</v>
      </c>
      <c r="K135" s="310">
        <f t="shared" si="2"/>
        <v>110112000</v>
      </c>
      <c r="L135" s="425">
        <f t="shared" si="3"/>
        <v>25.4</v>
      </c>
      <c r="M135" s="11">
        <f>IFERROR(100/'Skjema total MA'!I135*K135,0)</f>
        <v>14.101660855067488</v>
      </c>
      <c r="N135" s="148"/>
    </row>
    <row r="136" spans="1:14" s="3" customFormat="1" ht="15.75" x14ac:dyDescent="0.2">
      <c r="A136" s="13" t="s">
        <v>375</v>
      </c>
      <c r="B136" s="236">
        <v>14000</v>
      </c>
      <c r="C136" s="311">
        <v>0</v>
      </c>
      <c r="D136" s="171">
        <f t="shared" si="1"/>
        <v>-100</v>
      </c>
      <c r="E136" s="11">
        <f>IFERROR(100/'Skjema total MA'!C136*C136,0)</f>
        <v>0</v>
      </c>
      <c r="F136" s="236"/>
      <c r="G136" s="311"/>
      <c r="H136" s="429"/>
      <c r="I136" s="24"/>
      <c r="J136" s="310">
        <f t="shared" si="2"/>
        <v>14000</v>
      </c>
      <c r="K136" s="310">
        <f t="shared" si="2"/>
        <v>0</v>
      </c>
      <c r="L136" s="425">
        <f t="shared" si="3"/>
        <v>-100</v>
      </c>
      <c r="M136" s="11">
        <f>IFERROR(100/'Skjema total MA'!I136*K136,0)</f>
        <v>0</v>
      </c>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82" priority="76">
      <formula>kvartal &lt; 4</formula>
    </cfRule>
  </conditionalFormatting>
  <conditionalFormatting sqref="C115">
    <cfRule type="expression" dxfId="381" priority="75">
      <formula>kvartal &lt; 4</formula>
    </cfRule>
  </conditionalFormatting>
  <conditionalFormatting sqref="B123">
    <cfRule type="expression" dxfId="380" priority="74">
      <formula>kvartal &lt; 4</formula>
    </cfRule>
  </conditionalFormatting>
  <conditionalFormatting sqref="C123">
    <cfRule type="expression" dxfId="379" priority="73">
      <formula>kvartal &lt; 4</formula>
    </cfRule>
  </conditionalFormatting>
  <conditionalFormatting sqref="F115">
    <cfRule type="expression" dxfId="378" priority="58">
      <formula>kvartal &lt; 4</formula>
    </cfRule>
  </conditionalFormatting>
  <conditionalFormatting sqref="G115">
    <cfRule type="expression" dxfId="377" priority="57">
      <formula>kvartal &lt; 4</formula>
    </cfRule>
  </conditionalFormatting>
  <conditionalFormatting sqref="F123:G123">
    <cfRule type="expression" dxfId="376" priority="56">
      <formula>kvartal &lt; 4</formula>
    </cfRule>
  </conditionalFormatting>
  <conditionalFormatting sqref="J115:K115">
    <cfRule type="expression" dxfId="375" priority="32">
      <formula>kvartal &lt; 4</formula>
    </cfRule>
  </conditionalFormatting>
  <conditionalFormatting sqref="J123:K123">
    <cfRule type="expression" dxfId="374" priority="31">
      <formula>kvartal &lt; 4</formula>
    </cfRule>
  </conditionalFormatting>
  <conditionalFormatting sqref="A50:A52">
    <cfRule type="expression" dxfId="373" priority="12">
      <formula>kvartal &lt; 4</formula>
    </cfRule>
  </conditionalFormatting>
  <conditionalFormatting sqref="A69:A74">
    <cfRule type="expression" dxfId="372" priority="10">
      <formula>kvartal &lt; 4</formula>
    </cfRule>
  </conditionalFormatting>
  <conditionalFormatting sqref="A80:A85">
    <cfRule type="expression" dxfId="371" priority="9">
      <formula>kvartal &lt; 4</formula>
    </cfRule>
  </conditionalFormatting>
  <conditionalFormatting sqref="A90:A95">
    <cfRule type="expression" dxfId="370" priority="6">
      <formula>kvartal &lt; 4</formula>
    </cfRule>
  </conditionalFormatting>
  <conditionalFormatting sqref="A101:A106">
    <cfRule type="expression" dxfId="369" priority="5">
      <formula>kvartal &lt; 4</formula>
    </cfRule>
  </conditionalFormatting>
  <conditionalFormatting sqref="A115">
    <cfRule type="expression" dxfId="368" priority="4">
      <formula>kvartal &lt; 4</formula>
    </cfRule>
  </conditionalFormatting>
  <conditionalFormatting sqref="A123">
    <cfRule type="expression" dxfId="367" priority="3">
      <formula>kvartal &lt; 4</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502" t="s">
        <v>350</v>
      </c>
      <c r="D1" s="26"/>
      <c r="E1" s="26"/>
      <c r="F1" s="26"/>
      <c r="G1" s="26"/>
      <c r="H1" s="26"/>
      <c r="I1" s="26"/>
      <c r="J1" s="26"/>
      <c r="K1" s="26"/>
      <c r="L1" s="26"/>
      <c r="M1" s="26"/>
    </row>
    <row r="2" spans="1:14" ht="15.75" x14ac:dyDescent="0.25">
      <c r="A2" s="165" t="s">
        <v>28</v>
      </c>
      <c r="B2" s="706"/>
      <c r="C2" s="706"/>
      <c r="D2" s="706"/>
      <c r="E2" s="499"/>
      <c r="F2" s="706"/>
      <c r="G2" s="706"/>
      <c r="H2" s="706"/>
      <c r="I2" s="499"/>
      <c r="J2" s="706"/>
      <c r="K2" s="706"/>
      <c r="L2" s="706"/>
      <c r="M2" s="499"/>
    </row>
    <row r="3" spans="1:14" ht="15.75" x14ac:dyDescent="0.25">
      <c r="A3" s="163"/>
      <c r="B3" s="499"/>
      <c r="C3" s="499"/>
      <c r="D3" s="499"/>
      <c r="E3" s="499"/>
      <c r="F3" s="499"/>
      <c r="G3" s="499"/>
      <c r="H3" s="499"/>
      <c r="I3" s="499"/>
      <c r="J3" s="499"/>
      <c r="K3" s="499"/>
      <c r="L3" s="499"/>
      <c r="M3" s="499"/>
    </row>
    <row r="4" spans="1:14" x14ac:dyDescent="0.2">
      <c r="A4" s="144"/>
      <c r="B4" s="702" t="s">
        <v>0</v>
      </c>
      <c r="C4" s="703"/>
      <c r="D4" s="703"/>
      <c r="E4" s="497"/>
      <c r="F4" s="702" t="s">
        <v>1</v>
      </c>
      <c r="G4" s="703"/>
      <c r="H4" s="703"/>
      <c r="I4" s="498"/>
      <c r="J4" s="702" t="s">
        <v>2</v>
      </c>
      <c r="K4" s="703"/>
      <c r="L4" s="703"/>
      <c r="M4" s="498"/>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1371.56793721087</v>
      </c>
      <c r="C7" s="309">
        <v>1041.14752490456</v>
      </c>
      <c r="D7" s="351">
        <f>IF(B7=0, "    ---- ", IF(ABS(ROUND(100/B7*C7-100,1))&lt;999,ROUND(100/B7*C7-100,1),IF(ROUND(100/B7*C7-100,1)&gt;999,999,-999)))</f>
        <v>-24.1</v>
      </c>
      <c r="E7" s="11">
        <f>IFERROR(100/'Skjema total MA'!C7*C7,0)</f>
        <v>3.6111058709903207E-2</v>
      </c>
      <c r="F7" s="308"/>
      <c r="G7" s="309"/>
      <c r="H7" s="351"/>
      <c r="I7" s="160"/>
      <c r="J7" s="310">
        <f t="shared" ref="J7:K9" si="0">SUM(B7,F7)</f>
        <v>1371.56793721087</v>
      </c>
      <c r="K7" s="311">
        <f t="shared" si="0"/>
        <v>1041.14752490456</v>
      </c>
      <c r="L7" s="424">
        <f>IF(J7=0, "    ---- ", IF(ABS(ROUND(100/J7*K7-100,1))&lt;999,ROUND(100/J7*K7-100,1),IF(ROUND(100/J7*K7-100,1)&gt;999,999,-999)))</f>
        <v>-24.1</v>
      </c>
      <c r="M7" s="11">
        <f>IFERROR(100/'Skjema total MA'!I7*K7,0)</f>
        <v>1.2004479856445094E-2</v>
      </c>
    </row>
    <row r="8" spans="1:14" ht="15.75" x14ac:dyDescent="0.2">
      <c r="A8" s="21" t="s">
        <v>25</v>
      </c>
      <c r="B8" s="286"/>
      <c r="C8" s="287"/>
      <c r="D8" s="166"/>
      <c r="E8" s="27"/>
      <c r="F8" s="290"/>
      <c r="G8" s="291"/>
      <c r="H8" s="166"/>
      <c r="I8" s="176"/>
      <c r="J8" s="234"/>
      <c r="K8" s="292"/>
      <c r="L8" s="166"/>
      <c r="M8" s="27"/>
    </row>
    <row r="9" spans="1:14" ht="15.75" x14ac:dyDescent="0.2">
      <c r="A9" s="21" t="s">
        <v>24</v>
      </c>
      <c r="B9" s="286">
        <v>1371.56793721087</v>
      </c>
      <c r="C9" s="287">
        <v>1041.14752490456</v>
      </c>
      <c r="D9" s="166">
        <f t="shared" ref="D9" si="1">IF(B9=0, "    ---- ", IF(ABS(ROUND(100/B9*C9-100,1))&lt;999,ROUND(100/B9*C9-100,1),IF(ROUND(100/B9*C9-100,1)&gt;999,999,-999)))</f>
        <v>-24.1</v>
      </c>
      <c r="E9" s="27">
        <f>IFERROR(100/'Skjema total MA'!C9*C9,0)</f>
        <v>0.17938124061215135</v>
      </c>
      <c r="F9" s="290"/>
      <c r="G9" s="291"/>
      <c r="H9" s="166"/>
      <c r="I9" s="176"/>
      <c r="J9" s="234">
        <f t="shared" si="0"/>
        <v>1371.56793721087</v>
      </c>
      <c r="K9" s="292">
        <f t="shared" si="0"/>
        <v>1041.14752490456</v>
      </c>
      <c r="L9" s="166">
        <f t="shared" ref="L9" si="2">IF(J9=0, "    ---- ", IF(ABS(ROUND(100/J9*K9-100,1))&lt;999,ROUND(100/J9*K9-100,1),IF(ROUND(100/J9*K9-100,1)&gt;999,999,-999)))</f>
        <v>-24.1</v>
      </c>
      <c r="M9" s="27">
        <f>IFERROR(100/'Skjema total MA'!I9*K9,0)</f>
        <v>0.17938124061215135</v>
      </c>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499"/>
      <c r="F18" s="701"/>
      <c r="G18" s="701"/>
      <c r="H18" s="701"/>
      <c r="I18" s="499"/>
      <c r="J18" s="701"/>
      <c r="K18" s="701"/>
      <c r="L18" s="701"/>
      <c r="M18" s="499"/>
    </row>
    <row r="19" spans="1:14" x14ac:dyDescent="0.2">
      <c r="A19" s="144"/>
      <c r="B19" s="702" t="s">
        <v>0</v>
      </c>
      <c r="C19" s="703"/>
      <c r="D19" s="703"/>
      <c r="E19" s="497"/>
      <c r="F19" s="702" t="s">
        <v>1</v>
      </c>
      <c r="G19" s="703"/>
      <c r="H19" s="703"/>
      <c r="I19" s="498"/>
      <c r="J19" s="702" t="s">
        <v>2</v>
      </c>
      <c r="K19" s="703"/>
      <c r="L19" s="703"/>
      <c r="M19" s="498"/>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501"/>
    </row>
    <row r="41" spans="1:14" x14ac:dyDescent="0.2">
      <c r="A41" s="155"/>
    </row>
    <row r="42" spans="1:14" ht="15.75" x14ac:dyDescent="0.25">
      <c r="A42" s="147" t="s">
        <v>269</v>
      </c>
      <c r="B42" s="706"/>
      <c r="C42" s="706"/>
      <c r="D42" s="706"/>
      <c r="E42" s="499"/>
      <c r="F42" s="707"/>
      <c r="G42" s="707"/>
      <c r="H42" s="707"/>
      <c r="I42" s="501"/>
      <c r="J42" s="707"/>
      <c r="K42" s="707"/>
      <c r="L42" s="707"/>
      <c r="M42" s="501"/>
    </row>
    <row r="43" spans="1:14" ht="15.75" x14ac:dyDescent="0.25">
      <c r="A43" s="163"/>
      <c r="B43" s="500"/>
      <c r="C43" s="500"/>
      <c r="D43" s="500"/>
      <c r="E43" s="500"/>
      <c r="F43" s="501"/>
      <c r="G43" s="501"/>
      <c r="H43" s="501"/>
      <c r="I43" s="501"/>
      <c r="J43" s="501"/>
      <c r="K43" s="501"/>
      <c r="L43" s="501"/>
      <c r="M43" s="501"/>
    </row>
    <row r="44" spans="1:14" ht="15.75" x14ac:dyDescent="0.25">
      <c r="A44" s="249"/>
      <c r="B44" s="702" t="s">
        <v>0</v>
      </c>
      <c r="C44" s="703"/>
      <c r="D44" s="703"/>
      <c r="E44" s="244"/>
      <c r="F44" s="501"/>
      <c r="G44" s="501"/>
      <c r="H44" s="501"/>
      <c r="I44" s="501"/>
      <c r="J44" s="501"/>
      <c r="K44" s="501"/>
      <c r="L44" s="501"/>
      <c r="M44" s="501"/>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284136.24706419499</v>
      </c>
      <c r="C47" s="313">
        <v>314185.82499289699</v>
      </c>
      <c r="D47" s="424">
        <f t="shared" ref="D47:D48" si="3">IF(B47=0, "    ---- ", IF(ABS(ROUND(100/B47*C47-100,1))&lt;999,ROUND(100/B47*C47-100,1),IF(ROUND(100/B47*C47-100,1)&gt;999,999,-999)))</f>
        <v>10.6</v>
      </c>
      <c r="E47" s="11">
        <f>IFERROR(100/'Skjema total MA'!C47*C47,0)</f>
        <v>7.2190553331721761</v>
      </c>
      <c r="F47" s="145"/>
      <c r="G47" s="33"/>
      <c r="H47" s="159"/>
      <c r="I47" s="159"/>
      <c r="J47" s="37"/>
      <c r="K47" s="37"/>
      <c r="L47" s="159"/>
      <c r="M47" s="159"/>
      <c r="N47" s="148"/>
    </row>
    <row r="48" spans="1:14" s="3" customFormat="1" ht="15.75" x14ac:dyDescent="0.2">
      <c r="A48" s="38" t="s">
        <v>362</v>
      </c>
      <c r="B48" s="286">
        <v>284136.24706419499</v>
      </c>
      <c r="C48" s="287">
        <v>314185.82499289699</v>
      </c>
      <c r="D48" s="259">
        <f t="shared" si="3"/>
        <v>10.6</v>
      </c>
      <c r="E48" s="27">
        <f>IFERROR(100/'Skjema total MA'!C48*C48,0)</f>
        <v>12.745831817726845</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499"/>
      <c r="F62" s="701"/>
      <c r="G62" s="701"/>
      <c r="H62" s="701"/>
      <c r="I62" s="499"/>
      <c r="J62" s="701"/>
      <c r="K62" s="701"/>
      <c r="L62" s="701"/>
      <c r="M62" s="499"/>
    </row>
    <row r="63" spans="1:14" x14ac:dyDescent="0.2">
      <c r="A63" s="144"/>
      <c r="B63" s="702" t="s">
        <v>0</v>
      </c>
      <c r="C63" s="703"/>
      <c r="D63" s="704"/>
      <c r="E63" s="496"/>
      <c r="F63" s="703" t="s">
        <v>1</v>
      </c>
      <c r="G63" s="703"/>
      <c r="H63" s="703"/>
      <c r="I63" s="498"/>
      <c r="J63" s="702" t="s">
        <v>2</v>
      </c>
      <c r="K63" s="703"/>
      <c r="L63" s="703"/>
      <c r="M63" s="498"/>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499"/>
      <c r="F130" s="701"/>
      <c r="G130" s="701"/>
      <c r="H130" s="701"/>
      <c r="I130" s="499"/>
      <c r="J130" s="701"/>
      <c r="K130" s="701"/>
      <c r="L130" s="701"/>
      <c r="M130" s="499"/>
    </row>
    <row r="131" spans="1:14" s="3" customFormat="1" x14ac:dyDescent="0.2">
      <c r="A131" s="144"/>
      <c r="B131" s="702" t="s">
        <v>0</v>
      </c>
      <c r="C131" s="703"/>
      <c r="D131" s="703"/>
      <c r="E131" s="497"/>
      <c r="F131" s="702" t="s">
        <v>1</v>
      </c>
      <c r="G131" s="703"/>
      <c r="H131" s="703"/>
      <c r="I131" s="498"/>
      <c r="J131" s="702" t="s">
        <v>2</v>
      </c>
      <c r="K131" s="703"/>
      <c r="L131" s="703"/>
      <c r="M131" s="498"/>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366" priority="45">
      <formula>kvartal &lt; 4</formula>
    </cfRule>
  </conditionalFormatting>
  <conditionalFormatting sqref="C115">
    <cfRule type="expression" dxfId="365" priority="44">
      <formula>kvartal &lt; 4</formula>
    </cfRule>
  </conditionalFormatting>
  <conditionalFormatting sqref="B123">
    <cfRule type="expression" dxfId="364" priority="43">
      <formula>kvartal &lt; 4</formula>
    </cfRule>
  </conditionalFormatting>
  <conditionalFormatting sqref="C123">
    <cfRule type="expression" dxfId="363" priority="42">
      <formula>kvartal &lt; 4</formula>
    </cfRule>
  </conditionalFormatting>
  <conditionalFormatting sqref="F115">
    <cfRule type="expression" dxfId="362" priority="31">
      <formula>kvartal &lt; 4</formula>
    </cfRule>
  </conditionalFormatting>
  <conditionalFormatting sqref="G115">
    <cfRule type="expression" dxfId="361" priority="30">
      <formula>kvartal &lt; 4</formula>
    </cfRule>
  </conditionalFormatting>
  <conditionalFormatting sqref="F123:G123">
    <cfRule type="expression" dxfId="360" priority="29">
      <formula>kvartal &lt; 4</formula>
    </cfRule>
  </conditionalFormatting>
  <conditionalFormatting sqref="J115:K115">
    <cfRule type="expression" dxfId="359" priority="12">
      <formula>kvartal &lt; 4</formula>
    </cfRule>
  </conditionalFormatting>
  <conditionalFormatting sqref="J123:K123">
    <cfRule type="expression" dxfId="358" priority="11">
      <formula>kvartal &lt; 4</formula>
    </cfRule>
  </conditionalFormatting>
  <conditionalFormatting sqref="A50:A52">
    <cfRule type="expression" dxfId="357" priority="8">
      <formula>kvartal &lt; 4</formula>
    </cfRule>
  </conditionalFormatting>
  <conditionalFormatting sqref="A69:A74">
    <cfRule type="expression" dxfId="356" priority="7">
      <formula>kvartal &lt; 4</formula>
    </cfRule>
  </conditionalFormatting>
  <conditionalFormatting sqref="A80:A85">
    <cfRule type="expression" dxfId="355" priority="6">
      <formula>kvartal &lt; 4</formula>
    </cfRule>
  </conditionalFormatting>
  <conditionalFormatting sqref="A90:A95">
    <cfRule type="expression" dxfId="354" priority="5">
      <formula>kvartal &lt; 4</formula>
    </cfRule>
  </conditionalFormatting>
  <conditionalFormatting sqref="A101:A106">
    <cfRule type="expression" dxfId="353" priority="4">
      <formula>kvartal &lt; 4</formula>
    </cfRule>
  </conditionalFormatting>
  <conditionalFormatting sqref="A115">
    <cfRule type="expression" dxfId="352" priority="3">
      <formula>kvartal &lt; 4</formula>
    </cfRule>
  </conditionalFormatting>
  <conditionalFormatting sqref="A123">
    <cfRule type="expression" dxfId="351"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71</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v>56762.975140000002</v>
      </c>
      <c r="G7" s="309">
        <v>45923.68866</v>
      </c>
      <c r="H7" s="351">
        <f>IF(F7=0, "    ---- ", IF(ABS(ROUND(100/F7*G7-100,1))&lt;999,ROUND(100/F7*G7-100,1),IF(ROUND(100/F7*G7-100,1)&gt;999,999,-999)))</f>
        <v>-19.100000000000001</v>
      </c>
      <c r="I7" s="160">
        <f>IFERROR(100/'Skjema total MA'!F7*G7,0)</f>
        <v>0.79318132556435617</v>
      </c>
      <c r="J7" s="310">
        <f t="shared" ref="J7:K12" si="0">SUM(B7,F7)</f>
        <v>56762.975140000002</v>
      </c>
      <c r="K7" s="311">
        <f t="shared" si="0"/>
        <v>45923.68866</v>
      </c>
      <c r="L7" s="424">
        <f>IF(J7=0, "    ---- ", IF(ABS(ROUND(100/J7*K7-100,1))&lt;999,ROUND(100/J7*K7-100,1),IF(ROUND(100/J7*K7-100,1)&gt;999,999,-999)))</f>
        <v>-19.100000000000001</v>
      </c>
      <c r="M7" s="11">
        <f>IFERROR(100/'Skjema total MA'!I7*K7,0)</f>
        <v>0.52950228691477863</v>
      </c>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v>1226112.6529099999</v>
      </c>
      <c r="G10" s="313">
        <v>1165371.2489700001</v>
      </c>
      <c r="H10" s="171">
        <f t="shared" ref="H10:H12" si="1">IF(F10=0, "    ---- ", IF(ABS(ROUND(100/F10*G10-100,1))&lt;999,ROUND(100/F10*G10-100,1),IF(ROUND(100/F10*G10-100,1)&gt;999,999,-999)))</f>
        <v>-5</v>
      </c>
      <c r="I10" s="160">
        <f>IFERROR(100/'Skjema total MA'!F10*G10,0)</f>
        <v>1.6487175644640431</v>
      </c>
      <c r="J10" s="310">
        <f t="shared" si="0"/>
        <v>1226112.6529099999</v>
      </c>
      <c r="K10" s="311">
        <f t="shared" si="0"/>
        <v>1165371.2489700001</v>
      </c>
      <c r="L10" s="425">
        <f t="shared" ref="L10:L12" si="2">IF(J10=0, "    ---- ", IF(ABS(ROUND(100/J10*K10-100,1))&lt;999,ROUND(100/J10*K10-100,1),IF(ROUND(100/J10*K10-100,1)&gt;999,999,-999)))</f>
        <v>-5</v>
      </c>
      <c r="M10" s="11">
        <f>IFERROR(100/'Skjema total MA'!I10*K10,0)</f>
        <v>1.3433797468396416</v>
      </c>
    </row>
    <row r="11" spans="1:14" s="43" customFormat="1" ht="15.75" x14ac:dyDescent="0.2">
      <c r="A11" s="13" t="s">
        <v>352</v>
      </c>
      <c r="B11" s="312"/>
      <c r="C11" s="313"/>
      <c r="D11" s="171"/>
      <c r="E11" s="11"/>
      <c r="F11" s="312">
        <v>4936.8389999999999</v>
      </c>
      <c r="G11" s="313">
        <v>11063.382</v>
      </c>
      <c r="H11" s="171">
        <f t="shared" si="1"/>
        <v>124.1</v>
      </c>
      <c r="I11" s="160">
        <f>IFERROR(100/'Skjema total MA'!F11*G11,0)</f>
        <v>8.2101477869146287</v>
      </c>
      <c r="J11" s="310">
        <f t="shared" si="0"/>
        <v>4936.8389999999999</v>
      </c>
      <c r="K11" s="311">
        <f t="shared" si="0"/>
        <v>11063.382</v>
      </c>
      <c r="L11" s="425">
        <f t="shared" si="2"/>
        <v>124.1</v>
      </c>
      <c r="M11" s="11">
        <f>IFERROR(100/'Skjema total MA'!I11*K11,0)</f>
        <v>7.1295918100514815</v>
      </c>
      <c r="N11" s="143"/>
    </row>
    <row r="12" spans="1:14" s="43" customFormat="1" ht="15.75" x14ac:dyDescent="0.2">
      <c r="A12" s="41" t="s">
        <v>353</v>
      </c>
      <c r="B12" s="314"/>
      <c r="C12" s="315"/>
      <c r="D12" s="169"/>
      <c r="E12" s="36"/>
      <c r="F12" s="314">
        <v>1590.05087</v>
      </c>
      <c r="G12" s="315">
        <v>2303.68878</v>
      </c>
      <c r="H12" s="169">
        <f t="shared" si="1"/>
        <v>44.9</v>
      </c>
      <c r="I12" s="169">
        <f>IFERROR(100/'Skjema total MA'!F12*G12,0)</f>
        <v>2.3068626349714254</v>
      </c>
      <c r="J12" s="316">
        <f t="shared" si="0"/>
        <v>1590.05087</v>
      </c>
      <c r="K12" s="317">
        <f t="shared" si="0"/>
        <v>2303.68878</v>
      </c>
      <c r="L12" s="426">
        <f t="shared" si="2"/>
        <v>44.9</v>
      </c>
      <c r="M12" s="36">
        <f>IFERROR(100/'Skjema total MA'!I12*K12,0)</f>
        <v>2.2430061152834919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v>26256.761269999999</v>
      </c>
      <c r="G22" s="320">
        <v>12005.00496</v>
      </c>
      <c r="H22" s="351">
        <f t="shared" ref="H22:H35" si="3">IF(F22=0, "    ---- ", IF(ABS(ROUND(100/F22*G22-100,1))&lt;999,ROUND(100/F22*G22-100,1),IF(ROUND(100/F22*G22-100,1)&gt;999,999,-999)))</f>
        <v>-54.3</v>
      </c>
      <c r="I22" s="11">
        <f>IFERROR(100/'Skjema total MA'!F22*G22,0)</f>
        <v>2.5024274522219936</v>
      </c>
      <c r="J22" s="318">
        <f t="shared" ref="J22:K35" si="4">SUM(B22,F22)</f>
        <v>26256.761269999999</v>
      </c>
      <c r="K22" s="318">
        <f t="shared" si="4"/>
        <v>12005.00496</v>
      </c>
      <c r="L22" s="424">
        <f t="shared" ref="L22:L35" si="5">IF(J22=0, "    ---- ", IF(ABS(ROUND(100/J22*K22-100,1))&lt;999,ROUND(100/J22*K22-100,1),IF(ROUND(100/J22*K22-100,1)&gt;999,999,-999)))</f>
        <v>-54.3</v>
      </c>
      <c r="M22" s="24">
        <f>IFERROR(100/'Skjema total MA'!I22*K22,0)</f>
        <v>0.6954960637805051</v>
      </c>
    </row>
    <row r="23" spans="1:14" ht="15.75" x14ac:dyDescent="0.2">
      <c r="A23" s="503" t="s">
        <v>354</v>
      </c>
      <c r="B23" s="286"/>
      <c r="C23" s="286"/>
      <c r="D23" s="166"/>
      <c r="E23" s="11"/>
      <c r="F23" s="295">
        <v>228.60195999999999</v>
      </c>
      <c r="G23" s="295">
        <v>128.4</v>
      </c>
      <c r="H23" s="166">
        <f t="shared" si="3"/>
        <v>-43.8</v>
      </c>
      <c r="I23" s="414">
        <f>IFERROR(100/'Skjema total MA'!F23*G23,0)</f>
        <v>0.39891885050418496</v>
      </c>
      <c r="J23" s="295">
        <f t="shared" ref="J23:J26" si="6">SUM(B23,F23)</f>
        <v>228.60195999999999</v>
      </c>
      <c r="K23" s="295">
        <f t="shared" ref="K23:K26" si="7">SUM(C23,G23)</f>
        <v>128.4</v>
      </c>
      <c r="L23" s="166">
        <f t="shared" si="5"/>
        <v>-43.8</v>
      </c>
      <c r="M23" s="23">
        <f>IFERROR(100/'Skjema total MA'!I23*K23,0)</f>
        <v>2.3211247551734357E-2</v>
      </c>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v>26028.159309999999</v>
      </c>
      <c r="G26" s="295">
        <v>11876.604960000001</v>
      </c>
      <c r="H26" s="166">
        <f t="shared" si="3"/>
        <v>-54.4</v>
      </c>
      <c r="I26" s="414">
        <f>IFERROR(100/'Skjema total MA'!F26*G26,0)</f>
        <v>2.7099925392071875</v>
      </c>
      <c r="J26" s="295">
        <f t="shared" si="6"/>
        <v>26028.159309999999</v>
      </c>
      <c r="K26" s="295">
        <f t="shared" si="7"/>
        <v>11876.604960000001</v>
      </c>
      <c r="L26" s="166">
        <f t="shared" si="5"/>
        <v>-54.4</v>
      </c>
      <c r="M26" s="23">
        <f>IFERROR(100/'Skjema total MA'!I26*K26,0)</f>
        <v>2.7099925392071875</v>
      </c>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v>1092542.1240300001</v>
      </c>
      <c r="G29" s="310">
        <v>973794.13277999999</v>
      </c>
      <c r="H29" s="171">
        <f t="shared" si="3"/>
        <v>-10.9</v>
      </c>
      <c r="I29" s="11">
        <f>IFERROR(100/'Skjema total MA'!F29*G29,0)</f>
        <v>4.1131973030671327</v>
      </c>
      <c r="J29" s="236">
        <f t="shared" si="4"/>
        <v>1092542.1240300001</v>
      </c>
      <c r="K29" s="236">
        <f t="shared" si="4"/>
        <v>973794.13277999999</v>
      </c>
      <c r="L29" s="425">
        <f t="shared" si="5"/>
        <v>-10.9</v>
      </c>
      <c r="M29" s="24">
        <f>IFERROR(100/'Skjema total MA'!I29*K29,0)</f>
        <v>1.4179301027523776</v>
      </c>
      <c r="N29" s="148"/>
    </row>
    <row r="30" spans="1:14" s="3" customFormat="1" ht="15.75" x14ac:dyDescent="0.2">
      <c r="A30" s="503" t="s">
        <v>354</v>
      </c>
      <c r="B30" s="286"/>
      <c r="C30" s="286"/>
      <c r="D30" s="166"/>
      <c r="E30" s="11"/>
      <c r="F30" s="295">
        <v>123900.11773</v>
      </c>
      <c r="G30" s="295">
        <v>106286.92151</v>
      </c>
      <c r="H30" s="166">
        <f t="shared" si="3"/>
        <v>-14.2</v>
      </c>
      <c r="I30" s="414">
        <f>IFERROR(100/'Skjema total MA'!F30*G30,0)</f>
        <v>2.974492924123223</v>
      </c>
      <c r="J30" s="295">
        <f t="shared" ref="J30:J33" si="8">SUM(B30,F30)</f>
        <v>123900.11773</v>
      </c>
      <c r="K30" s="295">
        <f t="shared" ref="K30:K33" si="9">SUM(C30,G30)</f>
        <v>106286.92151</v>
      </c>
      <c r="L30" s="166">
        <f t="shared" si="5"/>
        <v>-14.2</v>
      </c>
      <c r="M30" s="23">
        <f>IFERROR(100/'Skjema total MA'!I30*K30,0)</f>
        <v>0.80129280045846629</v>
      </c>
      <c r="N30" s="148"/>
    </row>
    <row r="31" spans="1:14" s="3" customFormat="1" ht="15.75" x14ac:dyDescent="0.2">
      <c r="A31" s="503" t="s">
        <v>355</v>
      </c>
      <c r="B31" s="286"/>
      <c r="C31" s="286"/>
      <c r="D31" s="166"/>
      <c r="E31" s="11"/>
      <c r="F31" s="295">
        <v>672381.57799999998</v>
      </c>
      <c r="G31" s="295">
        <v>545411.43467999995</v>
      </c>
      <c r="H31" s="166">
        <f t="shared" si="3"/>
        <v>-18.899999999999999</v>
      </c>
      <c r="I31" s="414">
        <f>IFERROR(100/'Skjema total MA'!F31*G31,0)</f>
        <v>6.8983431744561257</v>
      </c>
      <c r="J31" s="295">
        <f t="shared" si="8"/>
        <v>672381.57799999998</v>
      </c>
      <c r="K31" s="295">
        <f t="shared" si="9"/>
        <v>545411.43467999995</v>
      </c>
      <c r="L31" s="166">
        <f t="shared" si="5"/>
        <v>-18.899999999999999</v>
      </c>
      <c r="M31" s="23">
        <f>IFERROR(100/'Skjema total MA'!I31*K31,0)</f>
        <v>1.5983435739387926</v>
      </c>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v>296260.42830000003</v>
      </c>
      <c r="G33" s="295">
        <v>322095.77659000002</v>
      </c>
      <c r="H33" s="166">
        <f t="shared" si="3"/>
        <v>8.6999999999999993</v>
      </c>
      <c r="I33" s="414">
        <f>IFERROR(100/'Skjema total MA'!F33*G33,0)</f>
        <v>4.6618193579442968</v>
      </c>
      <c r="J33" s="295">
        <f t="shared" si="8"/>
        <v>296260.42830000003</v>
      </c>
      <c r="K33" s="295">
        <f t="shared" si="9"/>
        <v>322095.77659000002</v>
      </c>
      <c r="L33" s="166">
        <f t="shared" si="5"/>
        <v>8.6999999999999993</v>
      </c>
      <c r="M33" s="23">
        <f>IFERROR(100/'Skjema total MA'!I33*K33,0)</f>
        <v>4.6618193579442968</v>
      </c>
    </row>
    <row r="34" spans="1:14" ht="15.75" x14ac:dyDescent="0.2">
      <c r="A34" s="13" t="s">
        <v>352</v>
      </c>
      <c r="B34" s="236"/>
      <c r="C34" s="311"/>
      <c r="D34" s="171"/>
      <c r="E34" s="11"/>
      <c r="F34" s="310">
        <v>3993.4789999999998</v>
      </c>
      <c r="G34" s="311">
        <v>1301.212</v>
      </c>
      <c r="H34" s="171">
        <f t="shared" si="3"/>
        <v>-67.400000000000006</v>
      </c>
      <c r="I34" s="11">
        <f>IFERROR(100/'Skjema total MA'!F34*G34,0)</f>
        <v>2.1782651815561032</v>
      </c>
      <c r="J34" s="236">
        <f t="shared" si="4"/>
        <v>3993.4789999999998</v>
      </c>
      <c r="K34" s="236">
        <f t="shared" si="4"/>
        <v>1301.212</v>
      </c>
      <c r="L34" s="425">
        <f t="shared" si="5"/>
        <v>-67.400000000000006</v>
      </c>
      <c r="M34" s="24">
        <f>IFERROR(100/'Skjema total MA'!I34*K34,0)</f>
        <v>1.7672617093789134</v>
      </c>
    </row>
    <row r="35" spans="1:14" ht="15.75" x14ac:dyDescent="0.2">
      <c r="A35" s="13" t="s">
        <v>353</v>
      </c>
      <c r="B35" s="236"/>
      <c r="C35" s="311"/>
      <c r="D35" s="171"/>
      <c r="E35" s="11"/>
      <c r="F35" s="310">
        <v>11812.36808</v>
      </c>
      <c r="G35" s="311">
        <v>4791.3867099999998</v>
      </c>
      <c r="H35" s="171">
        <f t="shared" si="3"/>
        <v>-59.4</v>
      </c>
      <c r="I35" s="11">
        <f>IFERROR(100/'Skjema total MA'!F35*G35,0)</f>
        <v>8.1909218240844961</v>
      </c>
      <c r="J35" s="236">
        <f t="shared" si="4"/>
        <v>11812.36808</v>
      </c>
      <c r="K35" s="236">
        <f t="shared" si="4"/>
        <v>4791.3867099999998</v>
      </c>
      <c r="L35" s="425">
        <f t="shared" si="5"/>
        <v>-59.4</v>
      </c>
      <c r="M35" s="24">
        <f>IFERROR(100/'Skjema total MA'!I35*K35,0)</f>
        <v>10.195711257090402</v>
      </c>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v>54.71349</v>
      </c>
      <c r="G66" s="353">
        <v>12.29668</v>
      </c>
      <c r="H66" s="351">
        <f t="shared" ref="H66:H111" si="10">IF(F66=0, "    ---- ", IF(ABS(ROUND(100/F66*G66-100,1))&lt;999,ROUND(100/F66*G66-100,1),IF(ROUND(100/F66*G66-100,1)&gt;999,999,-999)))</f>
        <v>-77.5</v>
      </c>
      <c r="I66" s="11">
        <f>IFERROR(100/'Skjema total MA'!F66*G66,0)</f>
        <v>6.0878706476290834E-5</v>
      </c>
      <c r="J66" s="311">
        <f t="shared" ref="J66:K86" si="11">SUM(B66,F66)</f>
        <v>54.71349</v>
      </c>
      <c r="K66" s="318">
        <f t="shared" si="11"/>
        <v>12.29668</v>
      </c>
      <c r="L66" s="425">
        <f t="shared" ref="L66:L111" si="12">IF(J66=0, "    ---- ", IF(ABS(ROUND(100/J66*K66-100,1))&lt;999,ROUND(100/J66*K66-100,1),IF(ROUND(100/J66*K66-100,1)&gt;999,999,-999)))</f>
        <v>-77.5</v>
      </c>
      <c r="M66" s="11">
        <f>IFERROR(100/'Skjema total MA'!I66*K66,0)</f>
        <v>5.0052399163629709E-5</v>
      </c>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v>54.71349</v>
      </c>
      <c r="G68" s="297">
        <v>12.29668</v>
      </c>
      <c r="H68" s="166">
        <f t="shared" si="10"/>
        <v>-77.5</v>
      </c>
      <c r="I68" s="27">
        <f>IFERROR(100/'Skjema total MA'!F68*G68,0)</f>
        <v>6.3377416008741764E-5</v>
      </c>
      <c r="J68" s="292">
        <f t="shared" si="11"/>
        <v>54.71349</v>
      </c>
      <c r="K68" s="44">
        <f t="shared" si="11"/>
        <v>12.29668</v>
      </c>
      <c r="L68" s="259">
        <f t="shared" si="12"/>
        <v>-77.5</v>
      </c>
      <c r="M68" s="27">
        <f>IFERROR(100/'Skjema total MA'!I68*K68,0)</f>
        <v>6.3302885993333493E-5</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v>54.71349</v>
      </c>
      <c r="G86" s="145">
        <v>12.29668</v>
      </c>
      <c r="H86" s="166">
        <f t="shared" si="10"/>
        <v>-77.5</v>
      </c>
      <c r="I86" s="27">
        <f>IFERROR(100/'Skjema total MA'!F86*G86,0)</f>
        <v>0.18098950350427434</v>
      </c>
      <c r="J86" s="292">
        <f t="shared" si="11"/>
        <v>54.71349</v>
      </c>
      <c r="K86" s="44">
        <f t="shared" si="11"/>
        <v>12.29668</v>
      </c>
      <c r="L86" s="259">
        <f t="shared" si="12"/>
        <v>-77.5</v>
      </c>
      <c r="M86" s="27">
        <f>IFERROR(100/'Skjema total MA'!I86*K86,0)</f>
        <v>1.6476382330441641E-2</v>
      </c>
    </row>
    <row r="87" spans="1:13" ht="15.75" x14ac:dyDescent="0.2">
      <c r="A87" s="13" t="s">
        <v>351</v>
      </c>
      <c r="B87" s="354"/>
      <c r="C87" s="354"/>
      <c r="D87" s="171"/>
      <c r="E87" s="11"/>
      <c r="F87" s="353">
        <v>910459.78596999997</v>
      </c>
      <c r="G87" s="353">
        <v>635864.75552000001</v>
      </c>
      <c r="H87" s="171">
        <f t="shared" si="10"/>
        <v>-30.2</v>
      </c>
      <c r="I87" s="11">
        <f>IFERROR(100/'Skjema total MA'!F87*G87,0)</f>
        <v>0.15210956196156439</v>
      </c>
      <c r="J87" s="311">
        <f t="shared" ref="J87:K111" si="13">SUM(B87,F87)</f>
        <v>910459.78596999997</v>
      </c>
      <c r="K87" s="236">
        <f t="shared" si="13"/>
        <v>635864.75552000001</v>
      </c>
      <c r="L87" s="425">
        <f t="shared" si="12"/>
        <v>-30.2</v>
      </c>
      <c r="M87" s="11">
        <f>IFERROR(100/'Skjema total MA'!I87*K87,0)</f>
        <v>7.7420473769705497E-2</v>
      </c>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v>910459.78596999997</v>
      </c>
      <c r="G89" s="145">
        <v>635864.75552000001</v>
      </c>
      <c r="H89" s="166">
        <f t="shared" si="10"/>
        <v>-30.2</v>
      </c>
      <c r="I89" s="27">
        <f>IFERROR(100/'Skjema total MA'!F89*G89,0)</f>
        <v>0.15389829416129519</v>
      </c>
      <c r="J89" s="292">
        <f t="shared" si="13"/>
        <v>910459.78596999997</v>
      </c>
      <c r="K89" s="44">
        <f t="shared" si="13"/>
        <v>635864.75552000001</v>
      </c>
      <c r="L89" s="259">
        <f t="shared" si="12"/>
        <v>-30.2</v>
      </c>
      <c r="M89" s="27">
        <f>IFERROR(100/'Skjema total MA'!I89*K89,0)</f>
        <v>0.15266674709394953</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v>910459.78596999997</v>
      </c>
      <c r="G107" s="145">
        <v>635864.75552000001</v>
      </c>
      <c r="H107" s="166">
        <f t="shared" si="10"/>
        <v>-30.2</v>
      </c>
      <c r="I107" s="27">
        <f>IFERROR(100/'Skjema total MA'!F107*G107,0)</f>
        <v>77.570345794368507</v>
      </c>
      <c r="J107" s="292">
        <f t="shared" si="13"/>
        <v>910459.78596999997</v>
      </c>
      <c r="K107" s="44">
        <f t="shared" si="13"/>
        <v>635864.75552000001</v>
      </c>
      <c r="L107" s="259">
        <f t="shared" si="12"/>
        <v>-30.2</v>
      </c>
      <c r="M107" s="27">
        <f>IFERROR(100/'Skjema total MA'!I107*K107,0)</f>
        <v>12.048057801433563</v>
      </c>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v>713364.46713999996</v>
      </c>
      <c r="G109" s="234">
        <v>469720.37124000001</v>
      </c>
      <c r="H109" s="166">
        <f t="shared" si="10"/>
        <v>-34.200000000000003</v>
      </c>
      <c r="I109" s="27">
        <f>IFERROR(100/'Skjema total MA'!F109*G109,0)</f>
        <v>0.30760711652121447</v>
      </c>
      <c r="J109" s="292">
        <f t="shared" si="13"/>
        <v>713364.46713999996</v>
      </c>
      <c r="K109" s="44">
        <f t="shared" si="13"/>
        <v>469720.37124000001</v>
      </c>
      <c r="L109" s="259">
        <f t="shared" si="12"/>
        <v>-34.200000000000003</v>
      </c>
      <c r="M109" s="27">
        <f>IFERROR(100/'Skjema total MA'!I109*K109,0)</f>
        <v>0.30394170317518143</v>
      </c>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v>53291.790999999997</v>
      </c>
      <c r="G111" s="159">
        <v>13283.64</v>
      </c>
      <c r="H111" s="171">
        <f t="shared" si="10"/>
        <v>-75.099999999999994</v>
      </c>
      <c r="I111" s="11">
        <f>IFERROR(100/'Skjema total MA'!F111*G111,0)</f>
        <v>6.2863322040649761E-2</v>
      </c>
      <c r="J111" s="311">
        <f t="shared" si="13"/>
        <v>53291.790999999997</v>
      </c>
      <c r="K111" s="236">
        <f t="shared" si="13"/>
        <v>13283.64</v>
      </c>
      <c r="L111" s="425">
        <f t="shared" si="12"/>
        <v>-75.099999999999994</v>
      </c>
      <c r="M111" s="11">
        <f>IFERROR(100/'Skjema total MA'!I111*K111,0)</f>
        <v>6.1341886591308445E-2</v>
      </c>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v>53291.790999999997</v>
      </c>
      <c r="G113" s="145">
        <v>13283.64</v>
      </c>
      <c r="H113" s="166">
        <f t="shared" ref="H113:H125" si="14">IF(F113=0, "    ---- ", IF(ABS(ROUND(100/F113*G113-100,1))&lt;999,ROUND(100/F113*G113-100,1),IF(ROUND(100/F113*G113-100,1)&gt;999,999,-999)))</f>
        <v>-75.099999999999994</v>
      </c>
      <c r="I113" s="27">
        <f>IFERROR(100/'Skjema total MA'!F113*G113,0)</f>
        <v>6.2868766894121492E-2</v>
      </c>
      <c r="J113" s="292">
        <f t="shared" ref="J113:K125" si="15">SUM(B113,F113)</f>
        <v>53291.790999999997</v>
      </c>
      <c r="K113" s="44">
        <f t="shared" si="15"/>
        <v>13283.64</v>
      </c>
      <c r="L113" s="259">
        <f t="shared" ref="L113:L125" si="16">IF(J113=0, "    ---- ", IF(ABS(ROUND(100/J113*K113-100,1))&lt;999,ROUND(100/J113*K113-100,1),IF(ROUND(100/J113*K113-100,1)&gt;999,999,-999)))</f>
        <v>-75.099999999999994</v>
      </c>
      <c r="M113" s="27">
        <f>IFERROR(100/'Skjema total MA'!I113*K113,0)</f>
        <v>6.2868228452212988E-2</v>
      </c>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v>53291.790999999997</v>
      </c>
      <c r="G117" s="234">
        <v>13283.64</v>
      </c>
      <c r="H117" s="166">
        <f t="shared" si="14"/>
        <v>-75.099999999999994</v>
      </c>
      <c r="I117" s="27">
        <f>IFERROR(100/'Skjema total MA'!F117*G117,0)</f>
        <v>0.11662172148729173</v>
      </c>
      <c r="J117" s="292">
        <f t="shared" si="15"/>
        <v>53291.790999999997</v>
      </c>
      <c r="K117" s="44">
        <f t="shared" si="15"/>
        <v>13283.64</v>
      </c>
      <c r="L117" s="259">
        <f t="shared" si="16"/>
        <v>-75.099999999999994</v>
      </c>
      <c r="M117" s="27">
        <f>IFERROR(100/'Skjema total MA'!I117*K117,0)</f>
        <v>0.11661986870374198</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v>56724.709649999997</v>
      </c>
      <c r="G119" s="159">
        <v>33989.018929999998</v>
      </c>
      <c r="H119" s="171">
        <f t="shared" si="14"/>
        <v>-40.1</v>
      </c>
      <c r="I119" s="11">
        <f>IFERROR(100/'Skjema total MA'!F119*G119,0)</f>
        <v>0.15116211698285403</v>
      </c>
      <c r="J119" s="311">
        <f t="shared" si="15"/>
        <v>56724.709649999997</v>
      </c>
      <c r="K119" s="236">
        <f t="shared" si="15"/>
        <v>33989.018929999998</v>
      </c>
      <c r="L119" s="425">
        <f t="shared" si="16"/>
        <v>-40.1</v>
      </c>
      <c r="M119" s="11">
        <f>IFERROR(100/'Skjema total MA'!I119*K119,0)</f>
        <v>0.14803687700644666</v>
      </c>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v>56724.709649999997</v>
      </c>
      <c r="G121" s="145">
        <v>33989.018929999998</v>
      </c>
      <c r="H121" s="166">
        <f t="shared" si="14"/>
        <v>-40.1</v>
      </c>
      <c r="I121" s="27">
        <f>IFERROR(100/'Skjema total MA'!F121*G121,0)</f>
        <v>0.15116211698285403</v>
      </c>
      <c r="J121" s="292">
        <f t="shared" si="15"/>
        <v>56724.709649999997</v>
      </c>
      <c r="K121" s="44">
        <f t="shared" si="15"/>
        <v>33989.018929999998</v>
      </c>
      <c r="L121" s="259">
        <f t="shared" si="16"/>
        <v>-40.1</v>
      </c>
      <c r="M121" s="27">
        <f>IFERROR(100/'Skjema total MA'!I121*K121,0)</f>
        <v>0.15112462676946614</v>
      </c>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v>56724.709649999997</v>
      </c>
      <c r="G125" s="234">
        <v>33989.018929999998</v>
      </c>
      <c r="H125" s="166">
        <f t="shared" si="14"/>
        <v>-40.1</v>
      </c>
      <c r="I125" s="27">
        <f>IFERROR(100/'Skjema total MA'!F125*G125,0)</f>
        <v>0.30412833091984032</v>
      </c>
      <c r="J125" s="292">
        <f t="shared" si="15"/>
        <v>56724.709649999997</v>
      </c>
      <c r="K125" s="44">
        <f t="shared" si="15"/>
        <v>33989.018929999998</v>
      </c>
      <c r="L125" s="259">
        <f t="shared" si="16"/>
        <v>-40.1</v>
      </c>
      <c r="M125" s="27">
        <f>IFERROR(100/'Skjema total MA'!I125*K125,0)</f>
        <v>0.3041153276535295</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50" priority="76">
      <formula>kvartal &lt; 4</formula>
    </cfRule>
  </conditionalFormatting>
  <conditionalFormatting sqref="C115">
    <cfRule type="expression" dxfId="349" priority="75">
      <formula>kvartal &lt; 4</formula>
    </cfRule>
  </conditionalFormatting>
  <conditionalFormatting sqref="B123">
    <cfRule type="expression" dxfId="348" priority="74">
      <formula>kvartal &lt; 4</formula>
    </cfRule>
  </conditionalFormatting>
  <conditionalFormatting sqref="C123">
    <cfRule type="expression" dxfId="347" priority="73">
      <formula>kvartal &lt; 4</formula>
    </cfRule>
  </conditionalFormatting>
  <conditionalFormatting sqref="F115">
    <cfRule type="expression" dxfId="346" priority="58">
      <formula>kvartal &lt; 4</formula>
    </cfRule>
  </conditionalFormatting>
  <conditionalFormatting sqref="G115">
    <cfRule type="expression" dxfId="345" priority="57">
      <formula>kvartal &lt; 4</formula>
    </cfRule>
  </conditionalFormatting>
  <conditionalFormatting sqref="F123:G123">
    <cfRule type="expression" dxfId="344" priority="56">
      <formula>kvartal &lt; 4</formula>
    </cfRule>
  </conditionalFormatting>
  <conditionalFormatting sqref="J115:K115">
    <cfRule type="expression" dxfId="343" priority="32">
      <formula>kvartal &lt; 4</formula>
    </cfRule>
  </conditionalFormatting>
  <conditionalFormatting sqref="J123:K123">
    <cfRule type="expression" dxfId="342" priority="31">
      <formula>kvartal &lt; 4</formula>
    </cfRule>
  </conditionalFormatting>
  <conditionalFormatting sqref="A50:A52">
    <cfRule type="expression" dxfId="341" priority="12">
      <formula>kvartal &lt; 4</formula>
    </cfRule>
  </conditionalFormatting>
  <conditionalFormatting sqref="A69:A74">
    <cfRule type="expression" dxfId="340" priority="10">
      <formula>kvartal &lt; 4</formula>
    </cfRule>
  </conditionalFormatting>
  <conditionalFormatting sqref="A80:A85">
    <cfRule type="expression" dxfId="339" priority="9">
      <formula>kvartal &lt; 4</formula>
    </cfRule>
  </conditionalFormatting>
  <conditionalFormatting sqref="A90:A95">
    <cfRule type="expression" dxfId="338" priority="6">
      <formula>kvartal &lt; 4</formula>
    </cfRule>
  </conditionalFormatting>
  <conditionalFormatting sqref="A101:A106">
    <cfRule type="expression" dxfId="337" priority="5">
      <formula>kvartal &lt; 4</formula>
    </cfRule>
  </conditionalFormatting>
  <conditionalFormatting sqref="A115">
    <cfRule type="expression" dxfId="336" priority="4">
      <formula>kvartal &lt; 4</formula>
    </cfRule>
  </conditionalFormatting>
  <conditionalFormatting sqref="A123">
    <cfRule type="expression" dxfId="335"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132</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2878.3163399999999</v>
      </c>
      <c r="C7" s="309">
        <v>2504.6159200000002</v>
      </c>
      <c r="D7" s="351">
        <f>IF(B7=0, "    ---- ", IF(ABS(ROUND(100/B7*C7-100,1))&lt;999,ROUND(100/B7*C7-100,1),IF(ROUND(100/B7*C7-100,1)&gt;999,999,-999)))</f>
        <v>-13</v>
      </c>
      <c r="E7" s="11">
        <f>IFERROR(100/'Skjema total MA'!C7*C7,0)</f>
        <v>8.686985308942563E-2</v>
      </c>
      <c r="F7" s="308">
        <v>310457.60495000001</v>
      </c>
      <c r="G7" s="309">
        <v>335015.85707999999</v>
      </c>
      <c r="H7" s="351">
        <f>IF(F7=0, "    ---- ", IF(ABS(ROUND(100/F7*G7-100,1))&lt;999,ROUND(100/F7*G7-100,1),IF(ROUND(100/F7*G7-100,1)&gt;999,999,-999)))</f>
        <v>7.9</v>
      </c>
      <c r="I7" s="160">
        <f>IFERROR(100/'Skjema total MA'!F7*G7,0)</f>
        <v>5.7863017836205604</v>
      </c>
      <c r="J7" s="310">
        <f t="shared" ref="J7:K12" si="0">SUM(B7,F7)</f>
        <v>313335.92129000003</v>
      </c>
      <c r="K7" s="311">
        <f t="shared" si="0"/>
        <v>337520.473</v>
      </c>
      <c r="L7" s="424">
        <f>IF(J7=0, "    ---- ", IF(ABS(ROUND(100/J7*K7-100,1))&lt;999,ROUND(100/J7*K7-100,1),IF(ROUND(100/J7*K7-100,1)&gt;999,999,-999)))</f>
        <v>7.7</v>
      </c>
      <c r="M7" s="11">
        <f>IFERROR(100/'Skjema total MA'!I7*K7,0)</f>
        <v>3.891626904302286</v>
      </c>
    </row>
    <row r="8" spans="1:14" ht="15.75" x14ac:dyDescent="0.2">
      <c r="A8" s="21" t="s">
        <v>25</v>
      </c>
      <c r="B8" s="286">
        <v>2719.94694999999</v>
      </c>
      <c r="C8" s="287">
        <v>2597.1547500000001</v>
      </c>
      <c r="D8" s="166">
        <f t="shared" ref="D8:D10" si="1">IF(B8=0, "    ---- ", IF(ABS(ROUND(100/B8*C8-100,1))&lt;999,ROUND(100/B8*C8-100,1),IF(ROUND(100/B8*C8-100,1)&gt;999,999,-999)))</f>
        <v>-4.5</v>
      </c>
      <c r="E8" s="27">
        <f>IFERROR(100/'Skjema total MA'!C8*C8,0)</f>
        <v>0.13713225057210959</v>
      </c>
      <c r="F8" s="290"/>
      <c r="G8" s="291"/>
      <c r="H8" s="166"/>
      <c r="I8" s="176"/>
      <c r="J8" s="234">
        <f t="shared" si="0"/>
        <v>2719.94694999999</v>
      </c>
      <c r="K8" s="292">
        <f t="shared" si="0"/>
        <v>2597.1547500000001</v>
      </c>
      <c r="L8" s="166">
        <f t="shared" ref="L8:L9" si="2">IF(J8=0, "    ---- ", IF(ABS(ROUND(100/J8*K8-100,1))&lt;999,ROUND(100/J8*K8-100,1),IF(ROUND(100/J8*K8-100,1)&gt;999,999,-999)))</f>
        <v>-4.5</v>
      </c>
      <c r="M8" s="27">
        <f>IFERROR(100/'Skjema total MA'!I8*K8,0)</f>
        <v>0.13713225057210959</v>
      </c>
    </row>
    <row r="9" spans="1:14" ht="15.75" x14ac:dyDescent="0.2">
      <c r="A9" s="21" t="s">
        <v>24</v>
      </c>
      <c r="B9" s="286">
        <v>1115.42146</v>
      </c>
      <c r="C9" s="287">
        <v>1021.47339</v>
      </c>
      <c r="D9" s="166">
        <f t="shared" si="1"/>
        <v>-8.4</v>
      </c>
      <c r="E9" s="27">
        <f>IFERROR(100/'Skjema total MA'!C9*C9,0)</f>
        <v>0.17599154737201775</v>
      </c>
      <c r="F9" s="290"/>
      <c r="G9" s="291"/>
      <c r="H9" s="166"/>
      <c r="I9" s="176"/>
      <c r="J9" s="234">
        <f t="shared" si="0"/>
        <v>1115.42146</v>
      </c>
      <c r="K9" s="292">
        <f t="shared" si="0"/>
        <v>1021.47339</v>
      </c>
      <c r="L9" s="166">
        <f t="shared" si="2"/>
        <v>-8.4</v>
      </c>
      <c r="M9" s="27">
        <f>IFERROR(100/'Skjema total MA'!I9*K9,0)</f>
        <v>0.17599154737201775</v>
      </c>
    </row>
    <row r="10" spans="1:14" ht="15.75" x14ac:dyDescent="0.2">
      <c r="A10" s="13" t="s">
        <v>351</v>
      </c>
      <c r="B10" s="312">
        <v>388268.93274000002</v>
      </c>
      <c r="C10" s="313">
        <v>369988.99186000001</v>
      </c>
      <c r="D10" s="171">
        <f t="shared" si="1"/>
        <v>-4.7</v>
      </c>
      <c r="E10" s="11">
        <f>IFERROR(100/'Skjema total MA'!C10*C10,0)</f>
        <v>2.3029736423885412</v>
      </c>
      <c r="F10" s="312">
        <v>3876879.6676699999</v>
      </c>
      <c r="G10" s="313">
        <v>3905086.3210800001</v>
      </c>
      <c r="H10" s="171">
        <f t="shared" ref="H10:H12" si="3">IF(F10=0, "    ---- ", IF(ABS(ROUND(100/F10*G10-100,1))&lt;999,ROUND(100/F10*G10-100,1),IF(ROUND(100/F10*G10-100,1)&gt;999,999,-999)))</f>
        <v>0.7</v>
      </c>
      <c r="I10" s="160">
        <f>IFERROR(100/'Skjema total MA'!F10*G10,0)</f>
        <v>5.5247496572473018</v>
      </c>
      <c r="J10" s="310">
        <f t="shared" si="0"/>
        <v>4265148.6004099995</v>
      </c>
      <c r="K10" s="311">
        <f t="shared" si="0"/>
        <v>4275075.3129400006</v>
      </c>
      <c r="L10" s="425">
        <f t="shared" ref="L10:L12" si="4">IF(J10=0, "    ---- ", IF(ABS(ROUND(100/J10*K10-100,1))&lt;999,ROUND(100/J10*K10-100,1),IF(ROUND(100/J10*K10-100,1)&gt;999,999,-999)))</f>
        <v>0.2</v>
      </c>
      <c r="M10" s="11">
        <f>IFERROR(100/'Skjema total MA'!I10*K10,0)</f>
        <v>4.9280858753754799</v>
      </c>
    </row>
    <row r="11" spans="1:14" s="43" customFormat="1" ht="15.75" x14ac:dyDescent="0.2">
      <c r="A11" s="13" t="s">
        <v>352</v>
      </c>
      <c r="B11" s="312"/>
      <c r="C11" s="313"/>
      <c r="D11" s="171"/>
      <c r="E11" s="11"/>
      <c r="F11" s="312">
        <v>14338.57215</v>
      </c>
      <c r="G11" s="313">
        <v>25018.365989999998</v>
      </c>
      <c r="H11" s="171">
        <f t="shared" si="3"/>
        <v>74.5</v>
      </c>
      <c r="I11" s="160">
        <f>IFERROR(100/'Skjema total MA'!F11*G11,0)</f>
        <v>18.566156548243452</v>
      </c>
      <c r="J11" s="310">
        <f t="shared" si="0"/>
        <v>14338.57215</v>
      </c>
      <c r="K11" s="311">
        <f t="shared" si="0"/>
        <v>25018.365989999998</v>
      </c>
      <c r="L11" s="425">
        <f t="shared" si="4"/>
        <v>74.5</v>
      </c>
      <c r="M11" s="11">
        <f>IFERROR(100/'Skjema total MA'!I11*K11,0)</f>
        <v>16.122623015563821</v>
      </c>
      <c r="N11" s="143"/>
    </row>
    <row r="12" spans="1:14" s="43" customFormat="1" ht="15.75" x14ac:dyDescent="0.2">
      <c r="A12" s="41" t="s">
        <v>353</v>
      </c>
      <c r="B12" s="314"/>
      <c r="C12" s="315"/>
      <c r="D12" s="169"/>
      <c r="E12" s="36"/>
      <c r="F12" s="314">
        <v>2536.6276499999999</v>
      </c>
      <c r="G12" s="315">
        <v>4151.2495399999998</v>
      </c>
      <c r="H12" s="169">
        <f t="shared" si="3"/>
        <v>63.7</v>
      </c>
      <c r="I12" s="169">
        <f>IFERROR(100/'Skjema total MA'!F12*G12,0)</f>
        <v>4.1569688299077958</v>
      </c>
      <c r="J12" s="316">
        <f t="shared" si="0"/>
        <v>2536.6276499999999</v>
      </c>
      <c r="K12" s="317">
        <f t="shared" si="0"/>
        <v>4151.2495399999998</v>
      </c>
      <c r="L12" s="426">
        <f t="shared" si="4"/>
        <v>63.7</v>
      </c>
      <c r="M12" s="36">
        <f>IFERROR(100/'Skjema total MA'!I12*K12,0)</f>
        <v>4.0418993160559573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3030.1634899999999</v>
      </c>
      <c r="C22" s="312">
        <v>4855.0457699999997</v>
      </c>
      <c r="D22" s="351">
        <f t="shared" ref="D22:D35" si="5">IF(B22=0, "    ---- ", IF(ABS(ROUND(100/B22*C22-100,1))&lt;999,ROUND(100/B22*C22-100,1),IF(ROUND(100/B22*C22-100,1)&gt;999,999,-999)))</f>
        <v>60.2</v>
      </c>
      <c r="E22" s="11">
        <f>IFERROR(100/'Skjema total MA'!C22*C22,0)</f>
        <v>0.38953411132928384</v>
      </c>
      <c r="F22" s="320">
        <v>179906.41725</v>
      </c>
      <c r="G22" s="320">
        <v>157449.78831</v>
      </c>
      <c r="H22" s="351">
        <f t="shared" ref="H22:H35" si="6">IF(F22=0, "    ---- ", IF(ABS(ROUND(100/F22*G22-100,1))&lt;999,ROUND(100/F22*G22-100,1),IF(ROUND(100/F22*G22-100,1)&gt;999,999,-999)))</f>
        <v>-12.5</v>
      </c>
      <c r="I22" s="11">
        <f>IFERROR(100/'Skjema total MA'!F22*G22,0)</f>
        <v>32.820200735134513</v>
      </c>
      <c r="J22" s="318">
        <f t="shared" ref="J22:K35" si="7">SUM(B22,F22)</f>
        <v>182936.58074</v>
      </c>
      <c r="K22" s="318">
        <f t="shared" si="7"/>
        <v>162304.83408</v>
      </c>
      <c r="L22" s="424">
        <f t="shared" ref="L22:L35" si="8">IF(J22=0, "    ---- ", IF(ABS(ROUND(100/J22*K22-100,1))&lt;999,ROUND(100/J22*K22-100,1),IF(ROUND(100/J22*K22-100,1)&gt;999,999,-999)))</f>
        <v>-11.3</v>
      </c>
      <c r="M22" s="24">
        <f>IFERROR(100/'Skjema total MA'!I22*K22,0)</f>
        <v>9.4029426569423062</v>
      </c>
    </row>
    <row r="23" spans="1:14" ht="15.75" x14ac:dyDescent="0.2">
      <c r="A23" s="503" t="s">
        <v>354</v>
      </c>
      <c r="B23" s="286">
        <v>3025.0795499999999</v>
      </c>
      <c r="C23" s="286">
        <v>4850.0457699999997</v>
      </c>
      <c r="D23" s="166">
        <f t="shared" si="5"/>
        <v>60.3</v>
      </c>
      <c r="E23" s="11">
        <f>IFERROR(100/'Skjema total MA'!C23*C23,0)</f>
        <v>0.93092323922866138</v>
      </c>
      <c r="F23" s="295">
        <v>3703.3908099999999</v>
      </c>
      <c r="G23" s="295">
        <v>3549.42139</v>
      </c>
      <c r="H23" s="166">
        <f t="shared" si="6"/>
        <v>-4.2</v>
      </c>
      <c r="I23" s="414">
        <f>IFERROR(100/'Skjema total MA'!F23*G23,0)</f>
        <v>11.02750078546547</v>
      </c>
      <c r="J23" s="295">
        <f t="shared" ref="J23:J26" si="9">SUM(B23,F23)</f>
        <v>6728.4703599999993</v>
      </c>
      <c r="K23" s="295">
        <f t="shared" ref="K23:K26" si="10">SUM(C23,G23)</f>
        <v>8399.4671600000001</v>
      </c>
      <c r="L23" s="166">
        <f t="shared" si="8"/>
        <v>24.8</v>
      </c>
      <c r="M23" s="23">
        <f>IFERROR(100/'Skjema total MA'!I23*K23,0)</f>
        <v>1.5183965074254138</v>
      </c>
    </row>
    <row r="24" spans="1:14" ht="15.75" x14ac:dyDescent="0.2">
      <c r="A24" s="503" t="s">
        <v>355</v>
      </c>
      <c r="B24" s="286">
        <v>5.0839400000000001</v>
      </c>
      <c r="C24" s="286">
        <v>5</v>
      </c>
      <c r="D24" s="166">
        <f t="shared" si="5"/>
        <v>-1.7</v>
      </c>
      <c r="E24" s="11">
        <f>IFERROR(100/'Skjema total MA'!C24*C24,0)</f>
        <v>7.4630351577391965E-2</v>
      </c>
      <c r="F24" s="295">
        <v>41.213290000000001</v>
      </c>
      <c r="G24" s="295">
        <v>161.70083</v>
      </c>
      <c r="H24" s="166">
        <f t="shared" si="6"/>
        <v>292.39999999999998</v>
      </c>
      <c r="I24" s="414">
        <f>IFERROR(100/'Skjema total MA'!F24*G24,0)</f>
        <v>51.418505918169693</v>
      </c>
      <c r="J24" s="295">
        <f t="shared" si="9"/>
        <v>46.297229999999999</v>
      </c>
      <c r="K24" s="295">
        <f t="shared" si="10"/>
        <v>166.70083</v>
      </c>
      <c r="L24" s="166">
        <f t="shared" si="8"/>
        <v>260.10000000000002</v>
      </c>
      <c r="M24" s="23">
        <f>IFERROR(100/'Skjema total MA'!I24*K24,0)</f>
        <v>2.3766305086827364</v>
      </c>
    </row>
    <row r="25" spans="1:14" ht="15.75" x14ac:dyDescent="0.2">
      <c r="A25" s="503" t="s">
        <v>356</v>
      </c>
      <c r="B25" s="286"/>
      <c r="C25" s="286"/>
      <c r="D25" s="166"/>
      <c r="E25" s="11"/>
      <c r="F25" s="295">
        <v>2053.7187199999998</v>
      </c>
      <c r="G25" s="295">
        <v>3706.8449799999999</v>
      </c>
      <c r="H25" s="166">
        <f t="shared" si="6"/>
        <v>80.5</v>
      </c>
      <c r="I25" s="414">
        <f>IFERROR(100/'Skjema total MA'!F25*G25,0)</f>
        <v>41.276156967480794</v>
      </c>
      <c r="J25" s="295">
        <f t="shared" si="9"/>
        <v>2053.7187199999998</v>
      </c>
      <c r="K25" s="295">
        <f t="shared" si="10"/>
        <v>3706.8449799999999</v>
      </c>
      <c r="L25" s="166">
        <f t="shared" si="8"/>
        <v>80.5</v>
      </c>
      <c r="M25" s="23">
        <f>IFERROR(100/'Skjema total MA'!I25*K25,0)</f>
        <v>22.282609758394237</v>
      </c>
    </row>
    <row r="26" spans="1:14" ht="15.75" x14ac:dyDescent="0.2">
      <c r="A26" s="503" t="s">
        <v>357</v>
      </c>
      <c r="B26" s="286"/>
      <c r="C26" s="286"/>
      <c r="D26" s="166"/>
      <c r="E26" s="11"/>
      <c r="F26" s="295">
        <v>174108.09443</v>
      </c>
      <c r="G26" s="295">
        <v>150031.82110999999</v>
      </c>
      <c r="H26" s="166">
        <f t="shared" si="6"/>
        <v>-13.8</v>
      </c>
      <c r="I26" s="414">
        <f>IFERROR(100/'Skjema total MA'!F26*G26,0)</f>
        <v>34.23411970181143</v>
      </c>
      <c r="J26" s="295">
        <f t="shared" si="9"/>
        <v>174108.09443</v>
      </c>
      <c r="K26" s="295">
        <f t="shared" si="10"/>
        <v>150031.82110999999</v>
      </c>
      <c r="L26" s="166">
        <f t="shared" si="8"/>
        <v>-13.8</v>
      </c>
      <c r="M26" s="23">
        <f>IFERROR(100/'Skjema total MA'!I26*K26,0)</f>
        <v>34.23411970181143</v>
      </c>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v>2649680.0407099999</v>
      </c>
      <c r="C29" s="236">
        <v>2601081.9433300002</v>
      </c>
      <c r="D29" s="171">
        <f t="shared" si="5"/>
        <v>-1.8</v>
      </c>
      <c r="E29" s="11">
        <f>IFERROR(100/'Skjema total MA'!C29*C29,0)</f>
        <v>5.7798879545257114</v>
      </c>
      <c r="F29" s="310">
        <v>3605430.8008699999</v>
      </c>
      <c r="G29" s="310">
        <v>3534336.4807699998</v>
      </c>
      <c r="H29" s="171">
        <f t="shared" si="6"/>
        <v>-2</v>
      </c>
      <c r="I29" s="11">
        <f>IFERROR(100/'Skjema total MA'!F29*G29,0)</f>
        <v>14.928641271778176</v>
      </c>
      <c r="J29" s="236">
        <f t="shared" si="7"/>
        <v>6255110.8415799998</v>
      </c>
      <c r="K29" s="236">
        <f t="shared" si="7"/>
        <v>6135418.4241000004</v>
      </c>
      <c r="L29" s="425">
        <f t="shared" si="8"/>
        <v>-1.9</v>
      </c>
      <c r="M29" s="24">
        <f>IFERROR(100/'Skjema total MA'!I29*K29,0)</f>
        <v>8.9337100970995067</v>
      </c>
      <c r="N29" s="148"/>
    </row>
    <row r="30" spans="1:14" s="3" customFormat="1" ht="15.75" x14ac:dyDescent="0.2">
      <c r="A30" s="503" t="s">
        <v>354</v>
      </c>
      <c r="B30" s="286">
        <v>1520100.3170422299</v>
      </c>
      <c r="C30" s="286">
        <v>1492219.9759821901</v>
      </c>
      <c r="D30" s="166">
        <f t="shared" si="5"/>
        <v>-1.8</v>
      </c>
      <c r="E30" s="11">
        <f>IFERROR(100/'Skjema total MA'!C30*C30,0)</f>
        <v>15.397757685915932</v>
      </c>
      <c r="F30" s="295">
        <v>696285.36093999899</v>
      </c>
      <c r="G30" s="295">
        <v>581733.64671999903</v>
      </c>
      <c r="H30" s="166">
        <f t="shared" si="6"/>
        <v>-16.5</v>
      </c>
      <c r="I30" s="414">
        <f>IFERROR(100/'Skjema total MA'!F30*G30,0)</f>
        <v>16.280108514858384</v>
      </c>
      <c r="J30" s="295">
        <f t="shared" ref="J30:J33" si="11">SUM(B30,F30)</f>
        <v>2216385.6779822288</v>
      </c>
      <c r="K30" s="295">
        <f t="shared" ref="K30:K33" si="12">SUM(C30,G30)</f>
        <v>2073953.6227021893</v>
      </c>
      <c r="L30" s="166">
        <f t="shared" si="8"/>
        <v>-6.4</v>
      </c>
      <c r="M30" s="23">
        <f>IFERROR(100/'Skjema total MA'!I30*K30,0)</f>
        <v>15.635452440869351</v>
      </c>
      <c r="N30" s="148"/>
    </row>
    <row r="31" spans="1:14" s="3" customFormat="1" ht="15.75" x14ac:dyDescent="0.2">
      <c r="A31" s="503" t="s">
        <v>355</v>
      </c>
      <c r="B31" s="286">
        <v>1129579.7236677699</v>
      </c>
      <c r="C31" s="286">
        <v>1108861.96734781</v>
      </c>
      <c r="D31" s="166">
        <f t="shared" si="5"/>
        <v>-1.8</v>
      </c>
      <c r="E31" s="11">
        <f>IFERROR(100/'Skjema total MA'!C31*C31,0)</f>
        <v>4.2295323124145501</v>
      </c>
      <c r="F31" s="295">
        <v>978637.84877999895</v>
      </c>
      <c r="G31" s="295">
        <v>798985.61625999899</v>
      </c>
      <c r="H31" s="166">
        <f t="shared" si="6"/>
        <v>-18.399999999999999</v>
      </c>
      <c r="I31" s="414">
        <f>IFERROR(100/'Skjema total MA'!F31*G31,0)</f>
        <v>10.105539821785289</v>
      </c>
      <c r="J31" s="295">
        <f t="shared" si="11"/>
        <v>2108217.5724477689</v>
      </c>
      <c r="K31" s="295">
        <f t="shared" si="12"/>
        <v>1907847.5836078092</v>
      </c>
      <c r="L31" s="166">
        <f t="shared" si="8"/>
        <v>-9.5</v>
      </c>
      <c r="M31" s="23">
        <f>IFERROR(100/'Skjema total MA'!I31*K31,0)</f>
        <v>5.5910010891196578</v>
      </c>
      <c r="N31" s="148"/>
    </row>
    <row r="32" spans="1:14" ht="15.75" x14ac:dyDescent="0.2">
      <c r="A32" s="503" t="s">
        <v>356</v>
      </c>
      <c r="B32" s="286"/>
      <c r="C32" s="286"/>
      <c r="D32" s="166"/>
      <c r="E32" s="11"/>
      <c r="F32" s="295">
        <v>541961.74688999995</v>
      </c>
      <c r="G32" s="295">
        <v>509258.28717000003</v>
      </c>
      <c r="H32" s="166">
        <f t="shared" si="6"/>
        <v>-6</v>
      </c>
      <c r="I32" s="414">
        <f>IFERROR(100/'Skjema total MA'!F32*G32,0)</f>
        <v>9.6341853301306273</v>
      </c>
      <c r="J32" s="295">
        <f t="shared" si="11"/>
        <v>541961.74688999995</v>
      </c>
      <c r="K32" s="295">
        <f t="shared" si="12"/>
        <v>509258.28717000003</v>
      </c>
      <c r="L32" s="166">
        <f t="shared" si="8"/>
        <v>-6</v>
      </c>
      <c r="M32" s="23">
        <f>IFERROR(100/'Skjema total MA'!I32*K32,0)</f>
        <v>6.9272947339200712</v>
      </c>
    </row>
    <row r="33" spans="1:14" ht="15.75" x14ac:dyDescent="0.2">
      <c r="A33" s="503" t="s">
        <v>357</v>
      </c>
      <c r="B33" s="286"/>
      <c r="C33" s="286"/>
      <c r="D33" s="166"/>
      <c r="E33" s="11"/>
      <c r="F33" s="295">
        <v>1388545.8442599999</v>
      </c>
      <c r="G33" s="295">
        <v>1644358.93062</v>
      </c>
      <c r="H33" s="166">
        <f t="shared" si="6"/>
        <v>18.399999999999999</v>
      </c>
      <c r="I33" s="414">
        <f>IFERROR(100/'Skjema total MA'!F33*G33,0)</f>
        <v>23.799456097590113</v>
      </c>
      <c r="J33" s="295">
        <f t="shared" si="11"/>
        <v>1388545.8442599999</v>
      </c>
      <c r="K33" s="295">
        <f t="shared" si="12"/>
        <v>1644358.93062</v>
      </c>
      <c r="L33" s="166">
        <f t="shared" si="8"/>
        <v>18.399999999999999</v>
      </c>
      <c r="M33" s="23">
        <f>IFERROR(100/'Skjema total MA'!I33*K33,0)</f>
        <v>23.799456097590113</v>
      </c>
    </row>
    <row r="34" spans="1:14" ht="15.75" x14ac:dyDescent="0.2">
      <c r="A34" s="13" t="s">
        <v>352</v>
      </c>
      <c r="B34" s="236"/>
      <c r="C34" s="311"/>
      <c r="D34" s="171"/>
      <c r="E34" s="11"/>
      <c r="F34" s="310">
        <v>15694.465249999999</v>
      </c>
      <c r="G34" s="311">
        <v>23545.958780000001</v>
      </c>
      <c r="H34" s="171">
        <f t="shared" si="6"/>
        <v>50</v>
      </c>
      <c r="I34" s="11">
        <f>IFERROR(100/'Skjema total MA'!F34*G34,0)</f>
        <v>39.416591744334688</v>
      </c>
      <c r="J34" s="236">
        <f t="shared" si="7"/>
        <v>15694.465249999999</v>
      </c>
      <c r="K34" s="236">
        <f t="shared" si="7"/>
        <v>23545.958780000001</v>
      </c>
      <c r="L34" s="425">
        <f t="shared" si="8"/>
        <v>50</v>
      </c>
      <c r="M34" s="24">
        <f>IFERROR(100/'Skjema total MA'!I34*K34,0)</f>
        <v>31.979317253843522</v>
      </c>
    </row>
    <row r="35" spans="1:14" ht="15.75" x14ac:dyDescent="0.2">
      <c r="A35" s="13" t="s">
        <v>353</v>
      </c>
      <c r="B35" s="236">
        <v>115.85290999999999</v>
      </c>
      <c r="C35" s="311">
        <v>23.832709999999999</v>
      </c>
      <c r="D35" s="171">
        <f t="shared" si="5"/>
        <v>-79.400000000000006</v>
      </c>
      <c r="E35" s="11">
        <f>IFERROR(100/'Skjema total MA'!C35*C35,0)</f>
        <v>-0.20720190725029872</v>
      </c>
      <c r="F35" s="310">
        <v>12445.66692</v>
      </c>
      <c r="G35" s="311">
        <v>5134</v>
      </c>
      <c r="H35" s="171">
        <f t="shared" si="6"/>
        <v>-58.7</v>
      </c>
      <c r="I35" s="11">
        <f>IFERROR(100/'Skjema total MA'!F35*G35,0)</f>
        <v>8.7766225500195123</v>
      </c>
      <c r="J35" s="236">
        <f t="shared" si="7"/>
        <v>12561.519829999999</v>
      </c>
      <c r="K35" s="236">
        <f t="shared" si="7"/>
        <v>5157.8327099999997</v>
      </c>
      <c r="L35" s="425">
        <f t="shared" si="8"/>
        <v>-58.9</v>
      </c>
      <c r="M35" s="24">
        <f>IFERROR(100/'Skjema total MA'!I35*K35,0)</f>
        <v>10.975480838100854</v>
      </c>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429502.96535000001</v>
      </c>
      <c r="C66" s="354">
        <v>429749.12056999997</v>
      </c>
      <c r="D66" s="351">
        <f t="shared" ref="D66:D111" si="13">IF(B66=0, "    ---- ", IF(ABS(ROUND(100/B66*C66-100,1))&lt;999,ROUND(100/B66*C66-100,1),IF(ROUND(100/B66*C66-100,1)&gt;999,999,-999)))</f>
        <v>0.1</v>
      </c>
      <c r="E66" s="11">
        <f>IFERROR(100/'Skjema total MA'!C66*C66,0)</f>
        <v>9.8364205861960219</v>
      </c>
      <c r="F66" s="353">
        <v>2210229.72364</v>
      </c>
      <c r="G66" s="353">
        <v>2506597.0855700001</v>
      </c>
      <c r="H66" s="351">
        <f t="shared" ref="H66:H111" si="14">IF(F66=0, "    ---- ", IF(ABS(ROUND(100/F66*G66-100,1))&lt;999,ROUND(100/F66*G66-100,1),IF(ROUND(100/F66*G66-100,1)&gt;999,999,-999)))</f>
        <v>13.4</v>
      </c>
      <c r="I66" s="11">
        <f>IFERROR(100/'Skjema total MA'!F66*G66,0)</f>
        <v>12.409722642757401</v>
      </c>
      <c r="J66" s="311">
        <f t="shared" ref="J66:K86" si="15">SUM(B66,F66)</f>
        <v>2639732.6889900002</v>
      </c>
      <c r="K66" s="318">
        <f t="shared" si="15"/>
        <v>2936346.2061399999</v>
      </c>
      <c r="L66" s="425">
        <f t="shared" ref="L66:L111" si="16">IF(J66=0, "    ---- ", IF(ABS(ROUND(100/J66*K66-100,1))&lt;999,ROUND(100/J66*K66-100,1),IF(ROUND(100/J66*K66-100,1)&gt;999,999,-999)))</f>
        <v>11.2</v>
      </c>
      <c r="M66" s="11">
        <f>IFERROR(100/'Skjema total MA'!I66*K66,0)</f>
        <v>11.952101900051803</v>
      </c>
    </row>
    <row r="67" spans="1:14" x14ac:dyDescent="0.2">
      <c r="A67" s="416" t="s">
        <v>9</v>
      </c>
      <c r="B67" s="44">
        <v>121248.19727</v>
      </c>
      <c r="C67" s="145">
        <v>102583.99</v>
      </c>
      <c r="D67" s="166">
        <f t="shared" si="13"/>
        <v>-15.4</v>
      </c>
      <c r="E67" s="27">
        <f>IFERROR(100/'Skjema total MA'!C67*C67,0)</f>
        <v>3.5063590769384656</v>
      </c>
      <c r="F67" s="234">
        <v>0</v>
      </c>
      <c r="G67" s="145">
        <v>0</v>
      </c>
      <c r="H67" s="166" t="str">
        <f t="shared" si="14"/>
        <v xml:space="preserve">    ---- </v>
      </c>
      <c r="I67" s="27">
        <f>IFERROR(100/'Skjema total MA'!F67*G67,0)</f>
        <v>0</v>
      </c>
      <c r="J67" s="292">
        <f t="shared" si="15"/>
        <v>121248.19727</v>
      </c>
      <c r="K67" s="44">
        <f t="shared" si="15"/>
        <v>102583.99</v>
      </c>
      <c r="L67" s="259">
        <f t="shared" si="16"/>
        <v>-15.4</v>
      </c>
      <c r="M67" s="27">
        <f>IFERROR(100/'Skjema total MA'!I67*K67,0)</f>
        <v>3.5063590769384656</v>
      </c>
    </row>
    <row r="68" spans="1:14" x14ac:dyDescent="0.2">
      <c r="A68" s="21" t="s">
        <v>10</v>
      </c>
      <c r="B68" s="296">
        <v>17191.352129999999</v>
      </c>
      <c r="C68" s="297">
        <v>18441.41575</v>
      </c>
      <c r="D68" s="166">
        <f t="shared" si="13"/>
        <v>7.3</v>
      </c>
      <c r="E68" s="27">
        <f>IFERROR(100/'Skjema total MA'!C68*C68,0)</f>
        <v>80.729676996751238</v>
      </c>
      <c r="F68" s="296">
        <v>2050250.4059900001</v>
      </c>
      <c r="G68" s="297">
        <v>2341550.2201700001</v>
      </c>
      <c r="H68" s="166">
        <f t="shared" si="14"/>
        <v>14.2</v>
      </c>
      <c r="I68" s="27">
        <f>IFERROR(100/'Skjema total MA'!F68*G68,0)</f>
        <v>12.068412157515278</v>
      </c>
      <c r="J68" s="292">
        <f t="shared" si="15"/>
        <v>2067441.7581200001</v>
      </c>
      <c r="K68" s="44">
        <f t="shared" si="15"/>
        <v>2359991.6359200003</v>
      </c>
      <c r="L68" s="259">
        <f t="shared" si="16"/>
        <v>14.2</v>
      </c>
      <c r="M68" s="27">
        <f>IFERROR(100/'Skjema total MA'!I68*K68,0)</f>
        <v>12.149155826927625</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v>178252.90106</v>
      </c>
      <c r="C75" s="145">
        <v>186962.16982000001</v>
      </c>
      <c r="D75" s="166">
        <f t="shared" si="13"/>
        <v>4.9000000000000004</v>
      </c>
      <c r="E75" s="27">
        <f>IFERROR(100/'Skjema total MA'!C75*C75,0)</f>
        <v>55.85488426593276</v>
      </c>
      <c r="F75" s="234">
        <v>159979.31765000001</v>
      </c>
      <c r="G75" s="145">
        <v>165046.86540000001</v>
      </c>
      <c r="H75" s="166">
        <f t="shared" si="14"/>
        <v>3.2</v>
      </c>
      <c r="I75" s="27">
        <f>IFERROR(100/'Skjema total MA'!F75*G75,0)</f>
        <v>20.725431443033354</v>
      </c>
      <c r="J75" s="292">
        <f t="shared" si="15"/>
        <v>338232.21871000004</v>
      </c>
      <c r="K75" s="44">
        <f t="shared" si="15"/>
        <v>352009.03522000002</v>
      </c>
      <c r="L75" s="259">
        <f t="shared" si="16"/>
        <v>4.0999999999999996</v>
      </c>
      <c r="M75" s="27">
        <f>IFERROR(100/'Skjema total MA'!I75*K75,0)</f>
        <v>31.121555499969968</v>
      </c>
      <c r="N75" s="148"/>
    </row>
    <row r="76" spans="1:14" s="3" customFormat="1" x14ac:dyDescent="0.2">
      <c r="A76" s="21" t="s">
        <v>337</v>
      </c>
      <c r="B76" s="234">
        <v>112810.51489000001</v>
      </c>
      <c r="C76" s="145">
        <v>121761.545</v>
      </c>
      <c r="D76" s="166">
        <f t="shared" ref="D76" si="17">IF(B76=0, "    ---- ", IF(ABS(ROUND(100/B76*C76-100,1))&lt;999,ROUND(100/B76*C76-100,1),IF(ROUND(100/B76*C76-100,1)&gt;999,999,-999)))</f>
        <v>7.9</v>
      </c>
      <c r="E76" s="27">
        <f>IFERROR(100/'Skjema total MA'!C77*C76,0)</f>
        <v>4.2268613353705682</v>
      </c>
      <c r="F76" s="234"/>
      <c r="G76" s="145"/>
      <c r="H76" s="166"/>
      <c r="I76" s="27"/>
      <c r="J76" s="292">
        <f t="shared" ref="J76" si="18">SUM(B76,F76)</f>
        <v>112810.51489000001</v>
      </c>
      <c r="K76" s="44">
        <f t="shared" ref="K76" si="19">SUM(C76,G76)</f>
        <v>121761.545</v>
      </c>
      <c r="L76" s="259">
        <f t="shared" ref="L76" si="20">IF(J76=0, "    ---- ", IF(ABS(ROUND(100/J76*K76-100,1))&lt;999,ROUND(100/J76*K76-100,1),IF(ROUND(100/J76*K76-100,1)&gt;999,999,-999)))</f>
        <v>7.9</v>
      </c>
      <c r="M76" s="27">
        <f>IFERROR(100/'Skjema total MA'!I77*K76,0)</f>
        <v>0.54659993673332263</v>
      </c>
      <c r="N76" s="148"/>
    </row>
    <row r="77" spans="1:14" ht="15.75" x14ac:dyDescent="0.2">
      <c r="A77" s="21" t="s">
        <v>368</v>
      </c>
      <c r="B77" s="234">
        <v>138439.54940000002</v>
      </c>
      <c r="C77" s="234">
        <v>121025.40575000001</v>
      </c>
      <c r="D77" s="166">
        <f t="shared" si="13"/>
        <v>-12.6</v>
      </c>
      <c r="E77" s="27">
        <f>IFERROR(100/'Skjema total MA'!C77*C77,0)</f>
        <v>4.2013068096516832</v>
      </c>
      <c r="F77" s="234">
        <v>2045238.7596400001</v>
      </c>
      <c r="G77" s="145">
        <v>2336320.7329899999</v>
      </c>
      <c r="H77" s="166">
        <f t="shared" si="14"/>
        <v>14.2</v>
      </c>
      <c r="I77" s="27">
        <f>IFERROR(100/'Skjema total MA'!F77*G77,0)</f>
        <v>12.045677297622431</v>
      </c>
      <c r="J77" s="292">
        <f t="shared" si="15"/>
        <v>2183678.3090400002</v>
      </c>
      <c r="K77" s="44">
        <f t="shared" si="15"/>
        <v>2457346.1387399998</v>
      </c>
      <c r="L77" s="259">
        <f t="shared" si="16"/>
        <v>12.5</v>
      </c>
      <c r="M77" s="27">
        <f>IFERROR(100/'Skjema total MA'!I77*K77,0)</f>
        <v>11.031276286508673</v>
      </c>
    </row>
    <row r="78" spans="1:14" x14ac:dyDescent="0.2">
      <c r="A78" s="21" t="s">
        <v>9</v>
      </c>
      <c r="B78" s="234">
        <v>121248.19727</v>
      </c>
      <c r="C78" s="145">
        <v>102583.99</v>
      </c>
      <c r="D78" s="166">
        <f t="shared" si="13"/>
        <v>-15.4</v>
      </c>
      <c r="E78" s="27">
        <f>IFERROR(100/'Skjema total MA'!C78*C78,0)</f>
        <v>3.5876932553610463</v>
      </c>
      <c r="F78" s="234"/>
      <c r="G78" s="145"/>
      <c r="H78" s="166"/>
      <c r="I78" s="27"/>
      <c r="J78" s="292">
        <f t="shared" si="15"/>
        <v>121248.19727</v>
      </c>
      <c r="K78" s="44">
        <f t="shared" si="15"/>
        <v>102583.99</v>
      </c>
      <c r="L78" s="259">
        <f t="shared" si="16"/>
        <v>-15.4</v>
      </c>
      <c r="M78" s="27">
        <f>IFERROR(100/'Skjema total MA'!I78*K78,0)</f>
        <v>3.5876932553610463</v>
      </c>
    </row>
    <row r="79" spans="1:14" x14ac:dyDescent="0.2">
      <c r="A79" s="38" t="s">
        <v>403</v>
      </c>
      <c r="B79" s="296">
        <v>17191.352129999999</v>
      </c>
      <c r="C79" s="297">
        <v>18441.41575</v>
      </c>
      <c r="D79" s="166">
        <f t="shared" si="13"/>
        <v>7.3</v>
      </c>
      <c r="E79" s="27">
        <f>IFERROR(100/'Skjema total MA'!C79*C79,0)</f>
        <v>86.45373910965462</v>
      </c>
      <c r="F79" s="296">
        <v>2045238.7596400001</v>
      </c>
      <c r="G79" s="297">
        <v>2336320.7329899999</v>
      </c>
      <c r="H79" s="166">
        <f t="shared" si="14"/>
        <v>14.2</v>
      </c>
      <c r="I79" s="27">
        <f>IFERROR(100/'Skjema total MA'!F79*G79,0)</f>
        <v>12.045677297622431</v>
      </c>
      <c r="J79" s="292">
        <f t="shared" si="15"/>
        <v>2062430.1117700001</v>
      </c>
      <c r="K79" s="44">
        <f t="shared" si="15"/>
        <v>2354762.1487400001</v>
      </c>
      <c r="L79" s="259">
        <f t="shared" si="16"/>
        <v>14.2</v>
      </c>
      <c r="M79" s="27">
        <f>IFERROR(100/'Skjema total MA'!I79*K79,0)</f>
        <v>12.127420540227897</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v>5011.64635</v>
      </c>
      <c r="G86" s="145">
        <v>5229.4871800000001</v>
      </c>
      <c r="H86" s="166">
        <f t="shared" si="14"/>
        <v>4.3</v>
      </c>
      <c r="I86" s="27">
        <f>IFERROR(100/'Skjema total MA'!F86*G86,0)</f>
        <v>76.970555327955822</v>
      </c>
      <c r="J86" s="292">
        <f t="shared" si="15"/>
        <v>5011.64635</v>
      </c>
      <c r="K86" s="44">
        <f t="shared" si="15"/>
        <v>5229.4871800000001</v>
      </c>
      <c r="L86" s="259">
        <f t="shared" si="16"/>
        <v>4.3</v>
      </c>
      <c r="M86" s="27">
        <f>IFERROR(100/'Skjema total MA'!I86*K86,0)</f>
        <v>7.0070157286213099</v>
      </c>
    </row>
    <row r="87" spans="1:13" ht="15.75" x14ac:dyDescent="0.2">
      <c r="A87" s="13" t="s">
        <v>351</v>
      </c>
      <c r="B87" s="354">
        <v>16720266.8926</v>
      </c>
      <c r="C87" s="354">
        <v>17870824.948319998</v>
      </c>
      <c r="D87" s="171">
        <f t="shared" si="13"/>
        <v>6.9</v>
      </c>
      <c r="E87" s="11">
        <f>IFERROR(100/'Skjema total MA'!C87*C87,0)</f>
        <v>4.4313395577317802</v>
      </c>
      <c r="F87" s="353">
        <v>43466141.779549994</v>
      </c>
      <c r="G87" s="353">
        <v>44402665.895829998</v>
      </c>
      <c r="H87" s="171">
        <f t="shared" si="14"/>
        <v>2.2000000000000002</v>
      </c>
      <c r="I87" s="11">
        <f>IFERROR(100/'Skjema total MA'!F87*G87,0)</f>
        <v>10.621865735925281</v>
      </c>
      <c r="J87" s="311">
        <f t="shared" ref="J87:K111" si="21">SUM(B87,F87)</f>
        <v>60186408.672149993</v>
      </c>
      <c r="K87" s="236">
        <f t="shared" si="21"/>
        <v>62273490.844149992</v>
      </c>
      <c r="L87" s="425">
        <f t="shared" si="16"/>
        <v>3.5</v>
      </c>
      <c r="M87" s="11">
        <f>IFERROR(100/'Skjema total MA'!I87*K87,0)</f>
        <v>7.5821833536044538</v>
      </c>
    </row>
    <row r="88" spans="1:13" x14ac:dyDescent="0.2">
      <c r="A88" s="21" t="s">
        <v>9</v>
      </c>
      <c r="B88" s="234">
        <v>12191997.92066</v>
      </c>
      <c r="C88" s="145">
        <v>12624048.382889999</v>
      </c>
      <c r="D88" s="166">
        <f t="shared" si="13"/>
        <v>3.5</v>
      </c>
      <c r="E88" s="27">
        <f>IFERROR(100/'Skjema total MA'!C88*C88,0)</f>
        <v>3.2504199269472114</v>
      </c>
      <c r="F88" s="234"/>
      <c r="G88" s="145"/>
      <c r="H88" s="166"/>
      <c r="I88" s="27"/>
      <c r="J88" s="292">
        <f t="shared" si="21"/>
        <v>12191997.92066</v>
      </c>
      <c r="K88" s="44">
        <f t="shared" si="21"/>
        <v>12624048.382889999</v>
      </c>
      <c r="L88" s="259">
        <f t="shared" si="16"/>
        <v>3.5</v>
      </c>
      <c r="M88" s="27">
        <f>IFERROR(100/'Skjema total MA'!I88*K88,0)</f>
        <v>3.2504199269472114</v>
      </c>
    </row>
    <row r="89" spans="1:13" x14ac:dyDescent="0.2">
      <c r="A89" s="21" t="s">
        <v>10</v>
      </c>
      <c r="B89" s="234">
        <v>1654994.3801500001</v>
      </c>
      <c r="C89" s="145">
        <v>1820339.7035699999</v>
      </c>
      <c r="D89" s="166">
        <f t="shared" si="13"/>
        <v>10</v>
      </c>
      <c r="E89" s="27">
        <f>IFERROR(100/'Skjema total MA'!C89*C89,0)</f>
        <v>54.615376468798338</v>
      </c>
      <c r="F89" s="234">
        <v>41931796.882019997</v>
      </c>
      <c r="G89" s="145">
        <v>42788478.49797</v>
      </c>
      <c r="H89" s="166">
        <f t="shared" si="14"/>
        <v>2</v>
      </c>
      <c r="I89" s="27">
        <f>IFERROR(100/'Skjema total MA'!F89*G89,0)</f>
        <v>10.356091910157332</v>
      </c>
      <c r="J89" s="292">
        <f t="shared" si="21"/>
        <v>43586791.262169994</v>
      </c>
      <c r="K89" s="44">
        <f t="shared" si="21"/>
        <v>44608818.201540001</v>
      </c>
      <c r="L89" s="259">
        <f t="shared" si="16"/>
        <v>2.2999999999999998</v>
      </c>
      <c r="M89" s="27">
        <f>IFERROR(100/'Skjema total MA'!I89*K89,0)</f>
        <v>10.71026992361786</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v>1843061.4203600001</v>
      </c>
      <c r="C96" s="145">
        <v>2202350.5609599999</v>
      </c>
      <c r="D96" s="166">
        <f t="shared" si="13"/>
        <v>19.5</v>
      </c>
      <c r="E96" s="27">
        <f>IFERROR(100/'Skjema total MA'!C96*C96,0)</f>
        <v>66.892307700017426</v>
      </c>
      <c r="F96" s="234">
        <v>1534344.89753</v>
      </c>
      <c r="G96" s="145">
        <v>1614187.3978599999</v>
      </c>
      <c r="H96" s="166">
        <f t="shared" si="14"/>
        <v>5.2</v>
      </c>
      <c r="I96" s="27">
        <f>IFERROR(100/'Skjema total MA'!F96*G96,0)</f>
        <v>33.222644222775017</v>
      </c>
      <c r="J96" s="292">
        <f t="shared" si="21"/>
        <v>3377406.3178900001</v>
      </c>
      <c r="K96" s="44">
        <f t="shared" si="21"/>
        <v>3816537.9588199998</v>
      </c>
      <c r="L96" s="259">
        <f t="shared" si="16"/>
        <v>13</v>
      </c>
      <c r="M96" s="27">
        <f>IFERROR(100/'Skjema total MA'!I96*K96,0)</f>
        <v>46.822489210630906</v>
      </c>
    </row>
    <row r="97" spans="1:15" x14ac:dyDescent="0.2">
      <c r="A97" s="21" t="s">
        <v>335</v>
      </c>
      <c r="B97" s="234">
        <v>1030213.17143</v>
      </c>
      <c r="C97" s="145">
        <v>1224086.3008999999</v>
      </c>
      <c r="D97" s="166">
        <f t="shared" ref="D97" si="22">IF(B97=0, "    ---- ", IF(ABS(ROUND(100/B97*C97-100,1))&lt;999,ROUND(100/B97*C97-100,1),IF(ROUND(100/B97*C97-100,1)&gt;999,999,-999)))</f>
        <v>18.8</v>
      </c>
      <c r="E97" s="27">
        <f>IFERROR(100/'Skjema total MA'!C98*C97,0)</f>
        <v>0.31609139144852066</v>
      </c>
      <c r="F97" s="234"/>
      <c r="G97" s="145"/>
      <c r="H97" s="166"/>
      <c r="I97" s="27"/>
      <c r="J97" s="292">
        <f t="shared" ref="J97" si="23">SUM(B97,F97)</f>
        <v>1030213.17143</v>
      </c>
      <c r="K97" s="44">
        <f t="shared" ref="K97" si="24">SUM(C97,G97)</f>
        <v>1224086.3008999999</v>
      </c>
      <c r="L97" s="259">
        <f t="shared" ref="L97" si="25">IF(J97=0, "    ---- ", IF(ABS(ROUND(100/J97*K97-100,1))&lt;999,ROUND(100/J97*K97-100,1),IF(ROUND(100/J97*K97-100,1)&gt;999,999,-999)))</f>
        <v>18.8</v>
      </c>
      <c r="M97" s="27">
        <f>IFERROR(100/'Skjema total MA'!I98*K97,0)</f>
        <v>0.15308552815615317</v>
      </c>
    </row>
    <row r="98" spans="1:15" ht="15.75" x14ac:dyDescent="0.2">
      <c r="A98" s="21" t="s">
        <v>368</v>
      </c>
      <c r="B98" s="234">
        <v>13846992.30081</v>
      </c>
      <c r="C98" s="234">
        <v>14444388.086459998</v>
      </c>
      <c r="D98" s="166">
        <f t="shared" si="13"/>
        <v>4.3</v>
      </c>
      <c r="E98" s="27">
        <f>IFERROR(100/'Skjema total MA'!C98*C98,0)</f>
        <v>3.7299222493664423</v>
      </c>
      <c r="F98" s="296">
        <v>41840796.796400003</v>
      </c>
      <c r="G98" s="296">
        <v>42707923.77493</v>
      </c>
      <c r="H98" s="166">
        <f t="shared" si="14"/>
        <v>2.1</v>
      </c>
      <c r="I98" s="27">
        <f>IFERROR(100/'Skjema total MA'!F98*G98,0)</f>
        <v>10.35714366040545</v>
      </c>
      <c r="J98" s="292">
        <f t="shared" si="21"/>
        <v>55687789.097210005</v>
      </c>
      <c r="K98" s="44">
        <f t="shared" si="21"/>
        <v>57152311.861389995</v>
      </c>
      <c r="L98" s="259">
        <f t="shared" si="16"/>
        <v>2.6</v>
      </c>
      <c r="M98" s="27">
        <f>IFERROR(100/'Skjema total MA'!I98*K98,0)</f>
        <v>7.1475286017115698</v>
      </c>
    </row>
    <row r="99" spans="1:15" x14ac:dyDescent="0.2">
      <c r="A99" s="21" t="s">
        <v>9</v>
      </c>
      <c r="B99" s="296">
        <v>12191997.92066</v>
      </c>
      <c r="C99" s="297">
        <v>12624048.382889999</v>
      </c>
      <c r="D99" s="166">
        <f t="shared" si="13"/>
        <v>3.5</v>
      </c>
      <c r="E99" s="27">
        <f>IFERROR(100/'Skjema total MA'!C99*C99,0)</f>
        <v>3.288162818900656</v>
      </c>
      <c r="F99" s="234"/>
      <c r="G99" s="145"/>
      <c r="H99" s="166"/>
      <c r="I99" s="27"/>
      <c r="J99" s="292">
        <f t="shared" si="21"/>
        <v>12191997.92066</v>
      </c>
      <c r="K99" s="44">
        <f t="shared" si="21"/>
        <v>12624048.382889999</v>
      </c>
      <c r="L99" s="259">
        <f t="shared" si="16"/>
        <v>3.5</v>
      </c>
      <c r="M99" s="27">
        <f>IFERROR(100/'Skjema total MA'!I99*K99,0)</f>
        <v>3.288162818900656</v>
      </c>
    </row>
    <row r="100" spans="1:15" x14ac:dyDescent="0.2">
      <c r="A100" s="38" t="s">
        <v>403</v>
      </c>
      <c r="B100" s="296">
        <v>1654994.3801500001</v>
      </c>
      <c r="C100" s="297">
        <v>1820339.7035699999</v>
      </c>
      <c r="D100" s="166">
        <f t="shared" si="13"/>
        <v>10</v>
      </c>
      <c r="E100" s="27">
        <f>IFERROR(100/'Skjema total MA'!C100*C100,0)</f>
        <v>54.615376468798338</v>
      </c>
      <c r="F100" s="234">
        <v>41840796.796400003</v>
      </c>
      <c r="G100" s="234">
        <v>42707923.77493</v>
      </c>
      <c r="H100" s="166">
        <f t="shared" si="14"/>
        <v>2.1</v>
      </c>
      <c r="I100" s="27">
        <f>IFERROR(100/'Skjema total MA'!F100*G100,0)</f>
        <v>10.35714366040545</v>
      </c>
      <c r="J100" s="292">
        <f t="shared" si="21"/>
        <v>43495791.176550001</v>
      </c>
      <c r="K100" s="44">
        <f t="shared" si="21"/>
        <v>44528263.478500001</v>
      </c>
      <c r="L100" s="259">
        <f t="shared" si="16"/>
        <v>2.4</v>
      </c>
      <c r="M100" s="27">
        <f>IFERROR(100/'Skjema total MA'!I100*K100,0)</f>
        <v>10.712011675653674</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v>91000.085619999998</v>
      </c>
      <c r="G107" s="145">
        <v>80554.723039999895</v>
      </c>
      <c r="H107" s="166">
        <f t="shared" si="14"/>
        <v>-11.5</v>
      </c>
      <c r="I107" s="27">
        <f>IFERROR(100/'Skjema total MA'!F107*G107,0)</f>
        <v>9.827023226774573</v>
      </c>
      <c r="J107" s="292">
        <f t="shared" si="21"/>
        <v>91000.085619999998</v>
      </c>
      <c r="K107" s="44">
        <f t="shared" si="21"/>
        <v>80554.723039999895</v>
      </c>
      <c r="L107" s="259">
        <f t="shared" si="16"/>
        <v>-11.5</v>
      </c>
      <c r="M107" s="27">
        <f>IFERROR(100/'Skjema total MA'!I107*K107,0)</f>
        <v>1.5263119255142683</v>
      </c>
    </row>
    <row r="108" spans="1:15" ht="15.75" x14ac:dyDescent="0.2">
      <c r="A108" s="21" t="s">
        <v>370</v>
      </c>
      <c r="B108" s="234">
        <v>8856559.0841700006</v>
      </c>
      <c r="C108" s="234">
        <v>9686803.8097699992</v>
      </c>
      <c r="D108" s="166">
        <f t="shared" si="13"/>
        <v>9.4</v>
      </c>
      <c r="E108" s="27">
        <f>IFERROR(100/'Skjema total MA'!C108*C108,0)</f>
        <v>2.8985107624421791</v>
      </c>
      <c r="F108" s="234"/>
      <c r="G108" s="234"/>
      <c r="H108" s="166"/>
      <c r="I108" s="27"/>
      <c r="J108" s="292">
        <f t="shared" si="21"/>
        <v>8856559.0841700006</v>
      </c>
      <c r="K108" s="44">
        <f t="shared" si="21"/>
        <v>9686803.8097699992</v>
      </c>
      <c r="L108" s="259">
        <f t="shared" si="16"/>
        <v>9.4</v>
      </c>
      <c r="M108" s="27">
        <f>IFERROR(100/'Skjema total MA'!I108*K108,0)</f>
        <v>2.7417661680733372</v>
      </c>
    </row>
    <row r="109" spans="1:15" ht="15.75" x14ac:dyDescent="0.2">
      <c r="A109" s="38" t="s">
        <v>417</v>
      </c>
      <c r="B109" s="234">
        <v>367578.22836000001</v>
      </c>
      <c r="C109" s="234">
        <v>402087.12079000002</v>
      </c>
      <c r="D109" s="166">
        <f t="shared" si="13"/>
        <v>9.4</v>
      </c>
      <c r="E109" s="27">
        <f>IFERROR(100/'Skjema total MA'!C109*C109,0)</f>
        <v>21.834561861687583</v>
      </c>
      <c r="F109" s="234">
        <v>15050753.6448</v>
      </c>
      <c r="G109" s="234">
        <v>16997970.94971</v>
      </c>
      <c r="H109" s="166">
        <f t="shared" si="14"/>
        <v>12.9</v>
      </c>
      <c r="I109" s="27">
        <f>IFERROR(100/'Skjema total MA'!F109*G109,0)</f>
        <v>11.131509618687796</v>
      </c>
      <c r="J109" s="292">
        <f t="shared" si="21"/>
        <v>15418331.873159999</v>
      </c>
      <c r="K109" s="44">
        <f t="shared" si="21"/>
        <v>17400058.070500001</v>
      </c>
      <c r="L109" s="259">
        <f t="shared" si="16"/>
        <v>12.9</v>
      </c>
      <c r="M109" s="27">
        <f>IFERROR(100/'Skjema total MA'!I109*K109,0)</f>
        <v>11.259046039101124</v>
      </c>
      <c r="O109" s="3"/>
    </row>
    <row r="110" spans="1:15" ht="15.75" x14ac:dyDescent="0.2">
      <c r="A110" s="21" t="s">
        <v>371</v>
      </c>
      <c r="B110" s="234">
        <v>404615.14861999999</v>
      </c>
      <c r="C110" s="234">
        <v>679587.42723999999</v>
      </c>
      <c r="D110" s="166">
        <f t="shared" si="13"/>
        <v>68</v>
      </c>
      <c r="E110" s="27">
        <f>IFERROR(100/'Skjema total MA'!C110*C110,0)</f>
        <v>59.502942994813672</v>
      </c>
      <c r="F110" s="234"/>
      <c r="G110" s="234"/>
      <c r="H110" s="166"/>
      <c r="I110" s="27"/>
      <c r="J110" s="292">
        <f t="shared" si="21"/>
        <v>404615.14861999999</v>
      </c>
      <c r="K110" s="44">
        <f t="shared" si="21"/>
        <v>679587.42723999999</v>
      </c>
      <c r="L110" s="259">
        <f t="shared" si="16"/>
        <v>68</v>
      </c>
      <c r="M110" s="27">
        <f>IFERROR(100/'Skjema total MA'!I110*K110,0)</f>
        <v>59.502942994813672</v>
      </c>
    </row>
    <row r="111" spans="1:15" ht="15.75" x14ac:dyDescent="0.2">
      <c r="A111" s="13" t="s">
        <v>352</v>
      </c>
      <c r="B111" s="310">
        <v>14614.607800000002</v>
      </c>
      <c r="C111" s="159">
        <v>24595.281210000001</v>
      </c>
      <c r="D111" s="171">
        <f t="shared" si="13"/>
        <v>68.3</v>
      </c>
      <c r="E111" s="11">
        <f>IFERROR(100/'Skjema total MA'!C111*C111,0)</f>
        <v>4.69283862965524</v>
      </c>
      <c r="F111" s="310">
        <v>4274666.1332900003</v>
      </c>
      <c r="G111" s="159">
        <v>2535230.0770800002</v>
      </c>
      <c r="H111" s="171">
        <f t="shared" si="14"/>
        <v>-40.700000000000003</v>
      </c>
      <c r="I111" s="11">
        <f>IFERROR(100/'Skjema total MA'!F111*G111,0)</f>
        <v>11.997689246518378</v>
      </c>
      <c r="J111" s="311">
        <f t="shared" si="21"/>
        <v>4289280.7410900006</v>
      </c>
      <c r="K111" s="236">
        <f t="shared" si="21"/>
        <v>2559825.3582900004</v>
      </c>
      <c r="L111" s="425">
        <f t="shared" si="16"/>
        <v>-40.299999999999997</v>
      </c>
      <c r="M111" s="11">
        <f>IFERROR(100/'Skjema total MA'!I111*K111,0)</f>
        <v>11.820895238186274</v>
      </c>
    </row>
    <row r="112" spans="1:15" x14ac:dyDescent="0.2">
      <c r="A112" s="21" t="s">
        <v>9</v>
      </c>
      <c r="B112" s="234">
        <v>3391.69994</v>
      </c>
      <c r="C112" s="145">
        <v>16817.437600000001</v>
      </c>
      <c r="D112" s="166">
        <f t="shared" ref="D112:D125" si="26">IF(B112=0, "    ---- ", IF(ABS(ROUND(100/B112*C112-100,1))&lt;999,ROUND(100/B112*C112-100,1),IF(ROUND(100/B112*C112-100,1)&gt;999,999,-999)))</f>
        <v>395.8</v>
      </c>
      <c r="E112" s="27">
        <f>IFERROR(100/'Skjema total MA'!C112*C112,0)</f>
        <v>6.1036991110396279</v>
      </c>
      <c r="F112" s="234"/>
      <c r="G112" s="145"/>
      <c r="H112" s="166"/>
      <c r="I112" s="27"/>
      <c r="J112" s="292">
        <f t="shared" ref="J112:K125" si="27">SUM(B112,F112)</f>
        <v>3391.69994</v>
      </c>
      <c r="K112" s="44">
        <f t="shared" si="27"/>
        <v>16817.437600000001</v>
      </c>
      <c r="L112" s="259">
        <f t="shared" ref="L112:L125" si="28">IF(J112=0, "    ---- ", IF(ABS(ROUND(100/J112*K112-100,1))&lt;999,ROUND(100/J112*K112-100,1),IF(ROUND(100/J112*K112-100,1)&gt;999,999,-999)))</f>
        <v>395.8</v>
      </c>
      <c r="M112" s="27">
        <f>IFERROR(100/'Skjema total MA'!I112*K112,0)</f>
        <v>6.0866973839864986</v>
      </c>
    </row>
    <row r="113" spans="1:14" x14ac:dyDescent="0.2">
      <c r="A113" s="21" t="s">
        <v>10</v>
      </c>
      <c r="B113" s="234">
        <v>202.16847000000001</v>
      </c>
      <c r="C113" s="145">
        <v>0</v>
      </c>
      <c r="D113" s="166">
        <f t="shared" si="26"/>
        <v>-100</v>
      </c>
      <c r="E113" s="27">
        <f>IFERROR(100/'Skjema total MA'!C113*C113,0)</f>
        <v>0</v>
      </c>
      <c r="F113" s="234">
        <v>4274666.1332900003</v>
      </c>
      <c r="G113" s="145">
        <v>2535230.0770800002</v>
      </c>
      <c r="H113" s="166">
        <f t="shared" ref="H113:H125" si="29">IF(F113=0, "    ---- ", IF(ABS(ROUND(100/F113*G113-100,1))&lt;999,ROUND(100/F113*G113-100,1),IF(ROUND(100/F113*G113-100,1)&gt;999,999,-999)))</f>
        <v>-40.700000000000003</v>
      </c>
      <c r="I113" s="27">
        <f>IFERROR(100/'Skjema total MA'!F113*G113,0)</f>
        <v>11.998728416225388</v>
      </c>
      <c r="J113" s="292">
        <f t="shared" si="27"/>
        <v>4274868.3017600002</v>
      </c>
      <c r="K113" s="44">
        <f t="shared" si="27"/>
        <v>2535230.0770800002</v>
      </c>
      <c r="L113" s="259">
        <f t="shared" si="28"/>
        <v>-40.700000000000003</v>
      </c>
      <c r="M113" s="27">
        <f>IFERROR(100/'Skjema total MA'!I113*K113,0)</f>
        <v>11.998625652666513</v>
      </c>
    </row>
    <row r="114" spans="1:14" x14ac:dyDescent="0.2">
      <c r="A114" s="21" t="s">
        <v>26</v>
      </c>
      <c r="B114" s="234">
        <v>11020.739390000001</v>
      </c>
      <c r="C114" s="145">
        <v>7777.8436099999999</v>
      </c>
      <c r="D114" s="166">
        <f t="shared" si="26"/>
        <v>-29.4</v>
      </c>
      <c r="E114" s="27">
        <f>IFERROR(100/'Skjema total MA'!C114*C114,0)</f>
        <v>3.1312671000390186</v>
      </c>
      <c r="F114" s="234"/>
      <c r="G114" s="145"/>
      <c r="H114" s="166"/>
      <c r="I114" s="27"/>
      <c r="J114" s="292">
        <f t="shared" si="27"/>
        <v>11020.739390000001</v>
      </c>
      <c r="K114" s="44">
        <f t="shared" si="27"/>
        <v>7777.8436099999999</v>
      </c>
      <c r="L114" s="259">
        <f t="shared" si="28"/>
        <v>-29.4</v>
      </c>
      <c r="M114" s="27">
        <f>IFERROR(100/'Skjema total MA'!I114*K114,0)</f>
        <v>3.1179556446057632</v>
      </c>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v>3391.6977900000002</v>
      </c>
      <c r="C116" s="234">
        <v>16509.530839999999</v>
      </c>
      <c r="D116" s="166">
        <f t="shared" si="26"/>
        <v>386.8</v>
      </c>
      <c r="E116" s="27">
        <f>IFERROR(100/'Skjema total MA'!C116*C116,0)</f>
        <v>20.341673524071304</v>
      </c>
      <c r="F116" s="234"/>
      <c r="G116" s="234"/>
      <c r="H116" s="166"/>
      <c r="I116" s="27"/>
      <c r="J116" s="292">
        <f t="shared" si="27"/>
        <v>3391.6977900000002</v>
      </c>
      <c r="K116" s="44">
        <f t="shared" si="27"/>
        <v>16509.530839999999</v>
      </c>
      <c r="L116" s="259">
        <f t="shared" si="28"/>
        <v>386.8</v>
      </c>
      <c r="M116" s="27">
        <f>IFERROR(100/'Skjema total MA'!I116*K116,0)</f>
        <v>20.15059239267152</v>
      </c>
    </row>
    <row r="117" spans="1:14" ht="15.75" x14ac:dyDescent="0.2">
      <c r="A117" s="38" t="s">
        <v>417</v>
      </c>
      <c r="B117" s="234"/>
      <c r="C117" s="234"/>
      <c r="D117" s="166"/>
      <c r="E117" s="27"/>
      <c r="F117" s="234">
        <v>273896.73242000001</v>
      </c>
      <c r="G117" s="234">
        <v>1560618.5322400001</v>
      </c>
      <c r="H117" s="166">
        <f t="shared" si="29"/>
        <v>469.8</v>
      </c>
      <c r="I117" s="27">
        <f>IFERROR(100/'Skjema total MA'!F117*G117,0)</f>
        <v>13.701215917835723</v>
      </c>
      <c r="J117" s="292">
        <f t="shared" si="27"/>
        <v>273896.73242000001</v>
      </c>
      <c r="K117" s="44">
        <f t="shared" si="27"/>
        <v>1560618.5322400001</v>
      </c>
      <c r="L117" s="259">
        <f t="shared" si="28"/>
        <v>469.8</v>
      </c>
      <c r="M117" s="27">
        <f>IFERROR(100/'Skjema total MA'!I117*K117,0)</f>
        <v>13.700998244943053</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19277.394649999998</v>
      </c>
      <c r="C119" s="159">
        <v>229016.37663000001</v>
      </c>
      <c r="D119" s="171">
        <f t="shared" si="26"/>
        <v>999</v>
      </c>
      <c r="E119" s="11">
        <f>IFERROR(100/'Skjema total MA'!C119*C119,0)</f>
        <v>48.245567495045108</v>
      </c>
      <c r="F119" s="310">
        <v>3329171.4213800002</v>
      </c>
      <c r="G119" s="159">
        <v>2847616.45787</v>
      </c>
      <c r="H119" s="171">
        <f t="shared" si="29"/>
        <v>-14.5</v>
      </c>
      <c r="I119" s="11">
        <f>IFERROR(100/'Skjema total MA'!F119*G119,0)</f>
        <v>12.664435328755911</v>
      </c>
      <c r="J119" s="311">
        <f t="shared" si="27"/>
        <v>3348448.8160300003</v>
      </c>
      <c r="K119" s="236">
        <f t="shared" si="27"/>
        <v>3076632.8344999999</v>
      </c>
      <c r="L119" s="425">
        <f t="shared" si="28"/>
        <v>-8.1</v>
      </c>
      <c r="M119" s="11">
        <f>IFERROR(100/'Skjema total MA'!I119*K119,0)</f>
        <v>13.400066575998459</v>
      </c>
    </row>
    <row r="120" spans="1:14" x14ac:dyDescent="0.2">
      <c r="A120" s="21" t="s">
        <v>9</v>
      </c>
      <c r="B120" s="234">
        <v>49.346490000000003</v>
      </c>
      <c r="C120" s="145">
        <v>613.90552000000002</v>
      </c>
      <c r="D120" s="166">
        <f t="shared" si="26"/>
        <v>999</v>
      </c>
      <c r="E120" s="27">
        <f>IFERROR(100/'Skjema total MA'!C120*C120,0)</f>
        <v>0.38089942018567219</v>
      </c>
      <c r="F120" s="234"/>
      <c r="G120" s="145"/>
      <c r="H120" s="166"/>
      <c r="I120" s="27"/>
      <c r="J120" s="292">
        <f t="shared" si="27"/>
        <v>49.346490000000003</v>
      </c>
      <c r="K120" s="44">
        <f t="shared" si="27"/>
        <v>613.90552000000002</v>
      </c>
      <c r="L120" s="259">
        <f t="shared" si="28"/>
        <v>999</v>
      </c>
      <c r="M120" s="27">
        <f>IFERROR(100/'Skjema total MA'!I120*K120,0)</f>
        <v>0.38089942018567219</v>
      </c>
    </row>
    <row r="121" spans="1:14" x14ac:dyDescent="0.2">
      <c r="A121" s="21" t="s">
        <v>10</v>
      </c>
      <c r="B121" s="234">
        <v>6625.8154999999997</v>
      </c>
      <c r="C121" s="145">
        <v>5577.9977500000005</v>
      </c>
      <c r="D121" s="166">
        <f t="shared" si="26"/>
        <v>-15.8</v>
      </c>
      <c r="E121" s="27">
        <f>IFERROR(100/'Skjema total MA'!C121*C121,0)</f>
        <v>100</v>
      </c>
      <c r="F121" s="234">
        <v>3329171.4213800002</v>
      </c>
      <c r="G121" s="145">
        <v>2847616.45787</v>
      </c>
      <c r="H121" s="166">
        <f t="shared" si="29"/>
        <v>-14.5</v>
      </c>
      <c r="I121" s="27">
        <f>IFERROR(100/'Skjema total MA'!F121*G121,0)</f>
        <v>12.664435328755911</v>
      </c>
      <c r="J121" s="292">
        <f t="shared" si="27"/>
        <v>3335797.2368800002</v>
      </c>
      <c r="K121" s="44">
        <f t="shared" si="27"/>
        <v>2853194.4556200001</v>
      </c>
      <c r="L121" s="259">
        <f t="shared" si="28"/>
        <v>-14.5</v>
      </c>
      <c r="M121" s="27">
        <f>IFERROR(100/'Skjema total MA'!I121*K121,0)</f>
        <v>12.686095709155635</v>
      </c>
    </row>
    <row r="122" spans="1:14" x14ac:dyDescent="0.2">
      <c r="A122" s="21" t="s">
        <v>26</v>
      </c>
      <c r="B122" s="234">
        <v>12602.23266</v>
      </c>
      <c r="C122" s="145">
        <v>222824.47336</v>
      </c>
      <c r="D122" s="166">
        <f t="shared" si="26"/>
        <v>999</v>
      </c>
      <c r="E122" s="27">
        <f>IFERROR(100/'Skjema total MA'!C122*C122,0)</f>
        <v>72.360093324234953</v>
      </c>
      <c r="F122" s="234"/>
      <c r="G122" s="145"/>
      <c r="H122" s="166"/>
      <c r="I122" s="27"/>
      <c r="J122" s="292">
        <f t="shared" si="27"/>
        <v>12602.23266</v>
      </c>
      <c r="K122" s="44">
        <f t="shared" si="27"/>
        <v>222824.47336</v>
      </c>
      <c r="L122" s="259">
        <f t="shared" si="28"/>
        <v>999</v>
      </c>
      <c r="M122" s="27">
        <f>IFERROR(100/'Skjema total MA'!I122*K122,0)</f>
        <v>72.360093324234953</v>
      </c>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v>1675.7295899999999</v>
      </c>
      <c r="C125" s="234">
        <v>477.85473999999999</v>
      </c>
      <c r="D125" s="166">
        <f t="shared" si="26"/>
        <v>-71.5</v>
      </c>
      <c r="E125" s="27">
        <f>IFERROR(100/'Skjema total MA'!C125*C125,0)</f>
        <v>100</v>
      </c>
      <c r="F125" s="234">
        <v>1678463.01349</v>
      </c>
      <c r="G125" s="234">
        <v>1198677.44487</v>
      </c>
      <c r="H125" s="166">
        <f t="shared" si="29"/>
        <v>-28.6</v>
      </c>
      <c r="I125" s="27">
        <f>IFERROR(100/'Skjema total MA'!F125*G125,0)</f>
        <v>10.725574967914262</v>
      </c>
      <c r="J125" s="292">
        <f t="shared" si="27"/>
        <v>1680138.7430799999</v>
      </c>
      <c r="K125" s="44">
        <f t="shared" si="27"/>
        <v>1199155.2996100001</v>
      </c>
      <c r="L125" s="259">
        <f t="shared" si="28"/>
        <v>-28.6</v>
      </c>
      <c r="M125" s="27">
        <f>IFERROR(100/'Skjema total MA'!I125*K125,0)</f>
        <v>10.729391972137208</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34" priority="76">
      <formula>kvartal &lt; 4</formula>
    </cfRule>
  </conditionalFormatting>
  <conditionalFormatting sqref="C115">
    <cfRule type="expression" dxfId="333" priority="75">
      <formula>kvartal &lt; 4</formula>
    </cfRule>
  </conditionalFormatting>
  <conditionalFormatting sqref="B123">
    <cfRule type="expression" dxfId="332" priority="74">
      <formula>kvartal &lt; 4</formula>
    </cfRule>
  </conditionalFormatting>
  <conditionalFormatting sqref="C123">
    <cfRule type="expression" dxfId="331" priority="73">
      <formula>kvartal &lt; 4</formula>
    </cfRule>
  </conditionalFormatting>
  <conditionalFormatting sqref="F115">
    <cfRule type="expression" dxfId="330" priority="58">
      <formula>kvartal &lt; 4</formula>
    </cfRule>
  </conditionalFormatting>
  <conditionalFormatting sqref="G115">
    <cfRule type="expression" dxfId="329" priority="57">
      <formula>kvartal &lt; 4</formula>
    </cfRule>
  </conditionalFormatting>
  <conditionalFormatting sqref="F123:G123">
    <cfRule type="expression" dxfId="328" priority="56">
      <formula>kvartal &lt; 4</formula>
    </cfRule>
  </conditionalFormatting>
  <conditionalFormatting sqref="J115:K115">
    <cfRule type="expression" dxfId="327" priority="32">
      <formula>kvartal &lt; 4</formula>
    </cfRule>
  </conditionalFormatting>
  <conditionalFormatting sqref="J123:K123">
    <cfRule type="expression" dxfId="326" priority="31">
      <formula>kvartal &lt; 4</formula>
    </cfRule>
  </conditionalFormatting>
  <conditionalFormatting sqref="A50:A52">
    <cfRule type="expression" dxfId="325" priority="12">
      <formula>kvartal &lt; 4</formula>
    </cfRule>
  </conditionalFormatting>
  <conditionalFormatting sqref="A69:A74">
    <cfRule type="expression" dxfId="324" priority="10">
      <formula>kvartal &lt; 4</formula>
    </cfRule>
  </conditionalFormatting>
  <conditionalFormatting sqref="A80:A85">
    <cfRule type="expression" dxfId="323" priority="9">
      <formula>kvartal &lt; 4</formula>
    </cfRule>
  </conditionalFormatting>
  <conditionalFormatting sqref="A90:A95">
    <cfRule type="expression" dxfId="322" priority="6">
      <formula>kvartal &lt; 4</formula>
    </cfRule>
  </conditionalFormatting>
  <conditionalFormatting sqref="A101:A106">
    <cfRule type="expression" dxfId="321" priority="5">
      <formula>kvartal &lt; 4</formula>
    </cfRule>
  </conditionalFormatting>
  <conditionalFormatting sqref="A115">
    <cfRule type="expression" dxfId="320" priority="4">
      <formula>kvartal &lt; 4</formula>
    </cfRule>
  </conditionalFormatting>
  <conditionalFormatting sqref="A123">
    <cfRule type="expression" dxfId="319" priority="3">
      <formula>kvartal &lt; 4</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4"/>
  <sheetViews>
    <sheetView showGridLines="0" zoomScaleNormal="100" workbookViewId="0">
      <selection activeCell="G122" sqref="G122"/>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502" t="s">
        <v>95</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392964.43599999999</v>
      </c>
      <c r="C7" s="309">
        <v>435317.31699999998</v>
      </c>
      <c r="D7" s="351">
        <f>IF(B7=0, "    ---- ", IF(ABS(ROUND(100/B7*C7-100,1))&lt;999,ROUND(100/B7*C7-100,1),IF(ROUND(100/B7*C7-100,1)&gt;999,999,-999)))</f>
        <v>10.8</v>
      </c>
      <c r="E7" s="11">
        <f>IFERROR(100/'Skjema total MA'!C7*C7,0)</f>
        <v>15.098503156952273</v>
      </c>
      <c r="F7" s="308">
        <v>893332.14599999995</v>
      </c>
      <c r="G7" s="309">
        <v>603199.17599999998</v>
      </c>
      <c r="H7" s="351">
        <f>IF(F7=0, "    ---- ", IF(ABS(ROUND(100/F7*G7-100,1))&lt;999,ROUND(100/F7*G7-100,1),IF(ROUND(100/F7*G7-100,1)&gt;999,999,-999)))</f>
        <v>-32.5</v>
      </c>
      <c r="I7" s="160">
        <f>IFERROR(100/'Skjema total MA'!F7*G7,0)</f>
        <v>10.418290341205518</v>
      </c>
      <c r="J7" s="310">
        <f t="shared" ref="J7:K12" si="0">SUM(B7,F7)</f>
        <v>1286296.5819999999</v>
      </c>
      <c r="K7" s="311">
        <f t="shared" si="0"/>
        <v>1038516.493</v>
      </c>
      <c r="L7" s="424">
        <f>IF(J7=0, "    ---- ", IF(ABS(ROUND(100/J7*K7-100,1))&lt;999,ROUND(100/J7*K7-100,1),IF(ROUND(100/J7*K7-100,1)&gt;999,999,-999)))</f>
        <v>-19.3</v>
      </c>
      <c r="M7" s="11">
        <f>IFERROR(100/'Skjema total MA'!I7*K7,0)</f>
        <v>11.974143935027184</v>
      </c>
    </row>
    <row r="8" spans="1:14" ht="15.75" x14ac:dyDescent="0.2">
      <c r="A8" s="21" t="s">
        <v>25</v>
      </c>
      <c r="B8" s="286">
        <v>155311.93400000001</v>
      </c>
      <c r="C8" s="287">
        <v>147631.50599999999</v>
      </c>
      <c r="D8" s="166">
        <f t="shared" ref="D8:D10" si="1">IF(B8=0, "    ---- ", IF(ABS(ROUND(100/B8*C8-100,1))&lt;999,ROUND(100/B8*C8-100,1),IF(ROUND(100/B8*C8-100,1)&gt;999,999,-999)))</f>
        <v>-4.9000000000000004</v>
      </c>
      <c r="E8" s="27">
        <f>IFERROR(100/'Skjema total MA'!C8*C8,0)</f>
        <v>7.7950844758595537</v>
      </c>
      <c r="F8" s="290"/>
      <c r="G8" s="291"/>
      <c r="H8" s="166"/>
      <c r="I8" s="176"/>
      <c r="J8" s="234">
        <f t="shared" si="0"/>
        <v>155311.93400000001</v>
      </c>
      <c r="K8" s="292">
        <f t="shared" si="0"/>
        <v>147631.50599999999</v>
      </c>
      <c r="L8" s="166">
        <f t="shared" ref="L8:L9" si="2">IF(J8=0, "    ---- ", IF(ABS(ROUND(100/J8*K8-100,1))&lt;999,ROUND(100/J8*K8-100,1),IF(ROUND(100/J8*K8-100,1)&gt;999,999,-999)))</f>
        <v>-4.9000000000000004</v>
      </c>
      <c r="M8" s="27">
        <f>IFERROR(100/'Skjema total MA'!I8*K8,0)</f>
        <v>7.7950844758595537</v>
      </c>
    </row>
    <row r="9" spans="1:14" ht="15.75" x14ac:dyDescent="0.2">
      <c r="A9" s="21" t="s">
        <v>24</v>
      </c>
      <c r="B9" s="286">
        <v>28670.451000000001</v>
      </c>
      <c r="C9" s="287">
        <v>22678.624</v>
      </c>
      <c r="D9" s="166">
        <f t="shared" si="1"/>
        <v>-20.9</v>
      </c>
      <c r="E9" s="27">
        <f>IFERROR(100/'Skjema total MA'!C9*C9,0)</f>
        <v>3.9073422461138994</v>
      </c>
      <c r="F9" s="290"/>
      <c r="G9" s="291"/>
      <c r="H9" s="166"/>
      <c r="I9" s="176"/>
      <c r="J9" s="234">
        <f t="shared" si="0"/>
        <v>28670.451000000001</v>
      </c>
      <c r="K9" s="292">
        <f t="shared" si="0"/>
        <v>22678.624</v>
      </c>
      <c r="L9" s="166">
        <f t="shared" si="2"/>
        <v>-20.9</v>
      </c>
      <c r="M9" s="27">
        <f>IFERROR(100/'Skjema total MA'!I9*K9,0)</f>
        <v>3.9073422461138994</v>
      </c>
    </row>
    <row r="10" spans="1:14" ht="15.75" x14ac:dyDescent="0.2">
      <c r="A10" s="13" t="s">
        <v>351</v>
      </c>
      <c r="B10" s="312">
        <v>4116035.0279999999</v>
      </c>
      <c r="C10" s="313">
        <v>4214708.5180000002</v>
      </c>
      <c r="D10" s="171">
        <f t="shared" si="1"/>
        <v>2.4</v>
      </c>
      <c r="E10" s="11">
        <f>IFERROR(100/'Skjema total MA'!C10*C10,0)</f>
        <v>26.234193018848675</v>
      </c>
      <c r="F10" s="312">
        <v>10239637.924000001</v>
      </c>
      <c r="G10" s="313">
        <v>10137517.668</v>
      </c>
      <c r="H10" s="171">
        <f t="shared" ref="H10:H12" si="3">IF(F10=0, "    ---- ", IF(ABS(ROUND(100/F10*G10-100,1))&lt;999,ROUND(100/F10*G10-100,1),IF(ROUND(100/F10*G10-100,1)&gt;999,999,-999)))</f>
        <v>-1</v>
      </c>
      <c r="I10" s="160">
        <f>IFERROR(100/'Skjema total MA'!F10*G10,0)</f>
        <v>14.342127844726352</v>
      </c>
      <c r="J10" s="310">
        <f t="shared" si="0"/>
        <v>14355672.952</v>
      </c>
      <c r="K10" s="311">
        <f t="shared" si="0"/>
        <v>14352226.186000001</v>
      </c>
      <c r="L10" s="425">
        <f t="shared" ref="L10:L12" si="4">IF(J10=0, "    ---- ", IF(ABS(ROUND(100/J10*K10-100,1))&lt;999,ROUND(100/J10*K10-100,1),IF(ROUND(100/J10*K10-100,1)&gt;999,999,-999)))</f>
        <v>0</v>
      </c>
      <c r="M10" s="11">
        <f>IFERROR(100/'Skjema total MA'!I10*K10,0)</f>
        <v>16.544504592313217</v>
      </c>
    </row>
    <row r="11" spans="1:14" s="43" customFormat="1" ht="15.75" x14ac:dyDescent="0.2">
      <c r="A11" s="13" t="s">
        <v>352</v>
      </c>
      <c r="B11" s="312"/>
      <c r="C11" s="313"/>
      <c r="D11" s="171"/>
      <c r="E11" s="11"/>
      <c r="F11" s="312">
        <v>5677.1620000000003</v>
      </c>
      <c r="G11" s="313">
        <v>18031.163</v>
      </c>
      <c r="H11" s="171">
        <f t="shared" si="3"/>
        <v>217.6</v>
      </c>
      <c r="I11" s="160">
        <f>IFERROR(100/'Skjema total MA'!F11*G11,0)</f>
        <v>13.380945627652281</v>
      </c>
      <c r="J11" s="310">
        <f t="shared" si="0"/>
        <v>5677.1620000000003</v>
      </c>
      <c r="K11" s="311">
        <f t="shared" si="0"/>
        <v>18031.163</v>
      </c>
      <c r="L11" s="425">
        <f t="shared" si="4"/>
        <v>217.6</v>
      </c>
      <c r="M11" s="11">
        <f>IFERROR(100/'Skjema total MA'!I11*K11,0)</f>
        <v>11.619849341774811</v>
      </c>
      <c r="N11" s="143"/>
    </row>
    <row r="12" spans="1:14" s="43" customFormat="1" ht="15.75" x14ac:dyDescent="0.2">
      <c r="A12" s="41" t="s">
        <v>353</v>
      </c>
      <c r="B12" s="314"/>
      <c r="C12" s="315"/>
      <c r="D12" s="169"/>
      <c r="E12" s="36"/>
      <c r="F12" s="314">
        <v>15828.346</v>
      </c>
      <c r="G12" s="315">
        <v>9548.35</v>
      </c>
      <c r="H12" s="169">
        <f t="shared" si="3"/>
        <v>-39.700000000000003</v>
      </c>
      <c r="I12" s="169">
        <f>IFERROR(100/'Skjema total MA'!F12*G12,0)</f>
        <v>9.5615050226660436</v>
      </c>
      <c r="J12" s="316">
        <f t="shared" si="0"/>
        <v>15828.346</v>
      </c>
      <c r="K12" s="317">
        <f t="shared" si="0"/>
        <v>9548.35</v>
      </c>
      <c r="L12" s="426">
        <f t="shared" si="4"/>
        <v>-39.700000000000003</v>
      </c>
      <c r="M12" s="36">
        <f>IFERROR(100/'Skjema total MA'!I12*K12,0)</f>
        <v>9.2968319448372405</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v>3574.029</v>
      </c>
      <c r="C22" s="312">
        <v>3250.855</v>
      </c>
      <c r="D22" s="351">
        <f t="shared" ref="D22:D37" si="5">IF(B22=0, "    ---- ", IF(ABS(ROUND(100/B22*C22-100,1))&lt;999,ROUND(100/B22*C22-100,1),IF(ROUND(100/B22*C22-100,1)&gt;999,999,-999)))</f>
        <v>-9</v>
      </c>
      <c r="E22" s="11">
        <f>IFERROR(100/'Skjema total MA'!C22*C22,0)</f>
        <v>0.26082532966220812</v>
      </c>
      <c r="F22" s="320">
        <v>250278.443</v>
      </c>
      <c r="G22" s="320">
        <v>135163.636</v>
      </c>
      <c r="H22" s="351">
        <f t="shared" ref="H22:H35" si="6">IF(F22=0, "    ---- ", IF(ABS(ROUND(100/F22*G22-100,1))&lt;999,ROUND(100/F22*G22-100,1),IF(ROUND(100/F22*G22-100,1)&gt;999,999,-999)))</f>
        <v>-46</v>
      </c>
      <c r="I22" s="11">
        <f>IFERROR(100/'Skjema total MA'!F22*G22,0)</f>
        <v>28.174681676144921</v>
      </c>
      <c r="J22" s="318">
        <f t="shared" ref="J22:K35" si="7">SUM(B22,F22)</f>
        <v>253852.47200000001</v>
      </c>
      <c r="K22" s="318">
        <f t="shared" si="7"/>
        <v>138414.49100000001</v>
      </c>
      <c r="L22" s="424">
        <f t="shared" ref="L22:L35" si="8">IF(J22=0, "    ---- ", IF(ABS(ROUND(100/J22*K22-100,1))&lt;999,ROUND(100/J22*K22-100,1),IF(ROUND(100/J22*K22-100,1)&gt;999,999,-999)))</f>
        <v>-45.5</v>
      </c>
      <c r="M22" s="24">
        <f>IFERROR(100/'Skjema total MA'!I22*K22,0)</f>
        <v>8.01888328921458</v>
      </c>
    </row>
    <row r="23" spans="1:14" ht="15.75" x14ac:dyDescent="0.2">
      <c r="A23" s="503" t="s">
        <v>354</v>
      </c>
      <c r="B23" s="286">
        <v>516.03099999999995</v>
      </c>
      <c r="C23" s="286">
        <v>453.93400000000003</v>
      </c>
      <c r="D23" s="166">
        <f t="shared" si="5"/>
        <v>-12</v>
      </c>
      <c r="E23" s="11">
        <f>IFERROR(100/'Skjema total MA'!C23*C23,0)</f>
        <v>8.7128602432966981E-2</v>
      </c>
      <c r="F23" s="295">
        <v>44893.302000000003</v>
      </c>
      <c r="G23" s="295">
        <v>17091.462</v>
      </c>
      <c r="H23" s="166">
        <f t="shared" si="6"/>
        <v>-61.9</v>
      </c>
      <c r="I23" s="414">
        <f>IFERROR(100/'Skjema total MA'!F23*G23,0)</f>
        <v>53.100516935171008</v>
      </c>
      <c r="J23" s="295">
        <f t="shared" ref="J23:J26" si="9">SUM(B23,F23)</f>
        <v>45409.333000000006</v>
      </c>
      <c r="K23" s="295">
        <f t="shared" ref="K23:K26" si="10">SUM(C23,G23)</f>
        <v>17545.396000000001</v>
      </c>
      <c r="L23" s="166">
        <f t="shared" si="8"/>
        <v>-61.4</v>
      </c>
      <c r="M23" s="23">
        <f>IFERROR(100/'Skjema total MA'!I23*K23,0)</f>
        <v>3.1717330992929109</v>
      </c>
    </row>
    <row r="24" spans="1:14" ht="15.75" x14ac:dyDescent="0.2">
      <c r="A24" s="503" t="s">
        <v>355</v>
      </c>
      <c r="B24" s="286">
        <v>3057.998</v>
      </c>
      <c r="C24" s="286">
        <v>2796.9209999999998</v>
      </c>
      <c r="D24" s="166">
        <f t="shared" si="5"/>
        <v>-8.5</v>
      </c>
      <c r="E24" s="11">
        <f>IFERROR(100/'Skjema total MA'!C24*C24,0)</f>
        <v>41.747039512838143</v>
      </c>
      <c r="F24" s="295"/>
      <c r="G24" s="295"/>
      <c r="H24" s="166"/>
      <c r="I24" s="414"/>
      <c r="J24" s="295">
        <f t="shared" si="9"/>
        <v>3057.998</v>
      </c>
      <c r="K24" s="295">
        <f t="shared" si="10"/>
        <v>2796.9209999999998</v>
      </c>
      <c r="L24" s="166">
        <f t="shared" si="8"/>
        <v>-8.5</v>
      </c>
      <c r="M24" s="23">
        <f>IFERROR(100/'Skjema total MA'!I24*K24,0)</f>
        <v>39.875313032187222</v>
      </c>
    </row>
    <row r="25" spans="1:14" ht="15.75" x14ac:dyDescent="0.2">
      <c r="A25" s="503" t="s">
        <v>356</v>
      </c>
      <c r="B25" s="286"/>
      <c r="C25" s="286"/>
      <c r="D25" s="166"/>
      <c r="E25" s="11"/>
      <c r="F25" s="295">
        <v>149.041</v>
      </c>
      <c r="G25" s="295">
        <v>101.1</v>
      </c>
      <c r="H25" s="166">
        <f t="shared" si="6"/>
        <v>-32.200000000000003</v>
      </c>
      <c r="I25" s="414">
        <f>IFERROR(100/'Skjema total MA'!F25*G25,0)</f>
        <v>1.1257604490955293</v>
      </c>
      <c r="J25" s="295">
        <f t="shared" si="9"/>
        <v>149.041</v>
      </c>
      <c r="K25" s="295">
        <f t="shared" si="10"/>
        <v>101.1</v>
      </c>
      <c r="L25" s="166">
        <f t="shared" si="8"/>
        <v>-32.200000000000003</v>
      </c>
      <c r="M25" s="23">
        <f>IFERROR(100/'Skjema total MA'!I25*K25,0)</f>
        <v>0.60773295315242915</v>
      </c>
    </row>
    <row r="26" spans="1:14" ht="15.75" x14ac:dyDescent="0.2">
      <c r="A26" s="503" t="s">
        <v>357</v>
      </c>
      <c r="B26" s="286"/>
      <c r="C26" s="286"/>
      <c r="D26" s="166"/>
      <c r="E26" s="11"/>
      <c r="F26" s="295">
        <v>205236.1</v>
      </c>
      <c r="G26" s="295">
        <v>117971.07399999999</v>
      </c>
      <c r="H26" s="166">
        <f t="shared" si="6"/>
        <v>-42.5</v>
      </c>
      <c r="I26" s="414">
        <f>IFERROR(100/'Skjema total MA'!F26*G26,0)</f>
        <v>26.918528608049197</v>
      </c>
      <c r="J26" s="295">
        <f t="shared" si="9"/>
        <v>205236.1</v>
      </c>
      <c r="K26" s="295">
        <f t="shared" si="10"/>
        <v>117971.07399999999</v>
      </c>
      <c r="L26" s="166">
        <f t="shared" si="8"/>
        <v>-42.5</v>
      </c>
      <c r="M26" s="23">
        <f>IFERROR(100/'Skjema total MA'!I26*K26,0)</f>
        <v>26.918528608049197</v>
      </c>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v>115533.094</v>
      </c>
      <c r="C28" s="292">
        <v>116891.016</v>
      </c>
      <c r="D28" s="166">
        <f t="shared" si="5"/>
        <v>1.2</v>
      </c>
      <c r="E28" s="11">
        <f>IFERROR(100/'Skjema total MA'!C28*C28,0)</f>
        <v>8.6551760398028144</v>
      </c>
      <c r="F28" s="234"/>
      <c r="G28" s="292"/>
      <c r="H28" s="166"/>
      <c r="I28" s="27"/>
      <c r="J28" s="44">
        <f t="shared" si="7"/>
        <v>115533.094</v>
      </c>
      <c r="K28" s="44">
        <f t="shared" si="7"/>
        <v>116891.016</v>
      </c>
      <c r="L28" s="259">
        <f t="shared" si="8"/>
        <v>1.2</v>
      </c>
      <c r="M28" s="23">
        <f>IFERROR(100/'Skjema total MA'!I28*K28,0)</f>
        <v>8.6551760398028144</v>
      </c>
    </row>
    <row r="29" spans="1:14" s="3" customFormat="1" ht="15.75" x14ac:dyDescent="0.2">
      <c r="A29" s="13" t="s">
        <v>351</v>
      </c>
      <c r="B29" s="236">
        <v>8697574.0120000001</v>
      </c>
      <c r="C29" s="236">
        <v>8041735.4730000002</v>
      </c>
      <c r="D29" s="171">
        <f t="shared" si="5"/>
        <v>-7.5</v>
      </c>
      <c r="E29" s="11">
        <f>IFERROR(100/'Skjema total MA'!C29*C29,0)</f>
        <v>17.869613878588158</v>
      </c>
      <c r="F29" s="310">
        <v>6350237.8420000002</v>
      </c>
      <c r="G29" s="310">
        <v>6117588.6299999999</v>
      </c>
      <c r="H29" s="171">
        <f t="shared" si="6"/>
        <v>-3.7</v>
      </c>
      <c r="I29" s="11">
        <f>IFERROR(100/'Skjema total MA'!F29*G29,0)</f>
        <v>25.840008896289952</v>
      </c>
      <c r="J29" s="236">
        <f t="shared" si="7"/>
        <v>15047811.854</v>
      </c>
      <c r="K29" s="236">
        <f t="shared" si="7"/>
        <v>14159324.103</v>
      </c>
      <c r="L29" s="425">
        <f t="shared" si="8"/>
        <v>-5.9</v>
      </c>
      <c r="M29" s="24">
        <f>IFERROR(100/'Skjema total MA'!I29*K29,0)</f>
        <v>20.617224117951011</v>
      </c>
      <c r="N29" s="148"/>
    </row>
    <row r="30" spans="1:14" s="3" customFormat="1" ht="15.75" x14ac:dyDescent="0.2">
      <c r="A30" s="503" t="s">
        <v>354</v>
      </c>
      <c r="B30" s="286">
        <v>1255790.274</v>
      </c>
      <c r="C30" s="286">
        <v>1122909.75</v>
      </c>
      <c r="D30" s="166">
        <f t="shared" si="5"/>
        <v>-10.6</v>
      </c>
      <c r="E30" s="11">
        <f>IFERROR(100/'Skjema total MA'!C30*C30,0)</f>
        <v>11.586959370565886</v>
      </c>
      <c r="F30" s="295">
        <v>567163.00199999998</v>
      </c>
      <c r="G30" s="295">
        <v>513931.679</v>
      </c>
      <c r="H30" s="166">
        <f t="shared" si="6"/>
        <v>-9.4</v>
      </c>
      <c r="I30" s="414">
        <f>IFERROR(100/'Skjema total MA'!F30*G30,0)</f>
        <v>14.382636367207617</v>
      </c>
      <c r="J30" s="295">
        <f t="shared" ref="J30:J33" si="11">SUM(B30,F30)</f>
        <v>1822953.2760000001</v>
      </c>
      <c r="K30" s="295">
        <f t="shared" ref="K30:K33" si="12">SUM(C30,G30)</f>
        <v>1636841.429</v>
      </c>
      <c r="L30" s="166">
        <f t="shared" si="8"/>
        <v>-10.199999999999999</v>
      </c>
      <c r="M30" s="23">
        <f>IFERROR(100/'Skjema total MA'!I30*K30,0)</f>
        <v>12.340081299903366</v>
      </c>
      <c r="N30" s="148"/>
    </row>
    <row r="31" spans="1:14" s="3" customFormat="1" ht="15.75" x14ac:dyDescent="0.2">
      <c r="A31" s="503" t="s">
        <v>355</v>
      </c>
      <c r="B31" s="286">
        <v>7441783.7379999999</v>
      </c>
      <c r="C31" s="286">
        <v>6918825.7230000002</v>
      </c>
      <c r="D31" s="166">
        <f t="shared" si="5"/>
        <v>-7</v>
      </c>
      <c r="E31" s="11">
        <f>IFERROR(100/'Skjema total MA'!C31*C31,0)</f>
        <v>26.39047764383697</v>
      </c>
      <c r="F31" s="295">
        <v>1799070.9410000001</v>
      </c>
      <c r="G31" s="295">
        <v>1458193.2779999999</v>
      </c>
      <c r="H31" s="166">
        <f t="shared" si="6"/>
        <v>-18.899999999999999</v>
      </c>
      <c r="I31" s="414">
        <f>IFERROR(100/'Skjema total MA'!F31*G31,0)</f>
        <v>18.443173367333085</v>
      </c>
      <c r="J31" s="295">
        <f t="shared" si="11"/>
        <v>9240854.6789999995</v>
      </c>
      <c r="K31" s="295">
        <f t="shared" si="12"/>
        <v>8377019.0010000002</v>
      </c>
      <c r="L31" s="166">
        <f t="shared" si="8"/>
        <v>-9.3000000000000007</v>
      </c>
      <c r="M31" s="23">
        <f>IFERROR(100/'Skjema total MA'!I31*K31,0)</f>
        <v>24.549090168722305</v>
      </c>
      <c r="N31" s="148"/>
    </row>
    <row r="32" spans="1:14" ht="15.75" x14ac:dyDescent="0.2">
      <c r="A32" s="503" t="s">
        <v>356</v>
      </c>
      <c r="B32" s="286"/>
      <c r="C32" s="286"/>
      <c r="D32" s="166"/>
      <c r="E32" s="11"/>
      <c r="F32" s="295">
        <v>1938375.28</v>
      </c>
      <c r="G32" s="295">
        <v>1881070.925</v>
      </c>
      <c r="H32" s="166">
        <f t="shared" si="6"/>
        <v>-3</v>
      </c>
      <c r="I32" s="414">
        <f>IFERROR(100/'Skjema total MA'!F32*G32,0)</f>
        <v>35.586236625189343</v>
      </c>
      <c r="J32" s="295">
        <f t="shared" si="11"/>
        <v>1938375.28</v>
      </c>
      <c r="K32" s="295">
        <f t="shared" si="12"/>
        <v>1881070.925</v>
      </c>
      <c r="L32" s="166">
        <f t="shared" si="8"/>
        <v>-3</v>
      </c>
      <c r="M32" s="23">
        <f>IFERROR(100/'Skjema total MA'!I32*K32,0)</f>
        <v>25.587669442348719</v>
      </c>
    </row>
    <row r="33" spans="1:14" ht="15.75" x14ac:dyDescent="0.2">
      <c r="A33" s="503" t="s">
        <v>357</v>
      </c>
      <c r="B33" s="286"/>
      <c r="C33" s="286"/>
      <c r="D33" s="166"/>
      <c r="E33" s="11"/>
      <c r="F33" s="295">
        <v>2045628.6189999999</v>
      </c>
      <c r="G33" s="295">
        <v>2264392.7480000001</v>
      </c>
      <c r="H33" s="166">
        <f t="shared" si="6"/>
        <v>10.7</v>
      </c>
      <c r="I33" s="414">
        <f>IFERROR(100/'Skjema total MA'!F33*G33,0)</f>
        <v>32.773450364275334</v>
      </c>
      <c r="J33" s="295">
        <f t="shared" si="11"/>
        <v>2045628.6189999999</v>
      </c>
      <c r="K33" s="295">
        <f t="shared" si="12"/>
        <v>2264392.7480000001</v>
      </c>
      <c r="L33" s="166">
        <f t="shared" si="8"/>
        <v>10.7</v>
      </c>
      <c r="M33" s="23">
        <f>IFERROR(100/'Skjema total MA'!I33*K33,0)</f>
        <v>32.773450364275334</v>
      </c>
    </row>
    <row r="34" spans="1:14" ht="15.75" x14ac:dyDescent="0.2">
      <c r="A34" s="13" t="s">
        <v>352</v>
      </c>
      <c r="B34" s="236">
        <v>7358.3959999999997</v>
      </c>
      <c r="C34" s="311">
        <v>3929.0819999999999</v>
      </c>
      <c r="D34" s="171">
        <f t="shared" si="5"/>
        <v>-46.6</v>
      </c>
      <c r="E34" s="11">
        <f>IFERROR(100/'Skjema total MA'!C34*C34,0)</f>
        <v>28.281937582271755</v>
      </c>
      <c r="F34" s="310">
        <v>12554.053</v>
      </c>
      <c r="G34" s="311">
        <v>6546.3059999999996</v>
      </c>
      <c r="H34" s="171">
        <f t="shared" si="6"/>
        <v>-47.9</v>
      </c>
      <c r="I34" s="11">
        <f>IFERROR(100/'Skjema total MA'!F34*G34,0)</f>
        <v>10.958698834326619</v>
      </c>
      <c r="J34" s="236">
        <f t="shared" si="7"/>
        <v>19912.449000000001</v>
      </c>
      <c r="K34" s="236">
        <f t="shared" si="7"/>
        <v>10475.387999999999</v>
      </c>
      <c r="L34" s="425">
        <f t="shared" si="8"/>
        <v>-47.4</v>
      </c>
      <c r="M34" s="24">
        <f>IFERROR(100/'Skjema total MA'!I34*K34,0)</f>
        <v>14.227314306421517</v>
      </c>
    </row>
    <row r="35" spans="1:14" ht="15.75" x14ac:dyDescent="0.2">
      <c r="A35" s="13" t="s">
        <v>353</v>
      </c>
      <c r="B35" s="236">
        <v>335.67</v>
      </c>
      <c r="C35" s="311">
        <v>0</v>
      </c>
      <c r="D35" s="171">
        <f t="shared" si="5"/>
        <v>-100</v>
      </c>
      <c r="E35" s="11">
        <f>IFERROR(100/'Skjema total MA'!C35*C35,0)</f>
        <v>0</v>
      </c>
      <c r="F35" s="310">
        <v>24924.803</v>
      </c>
      <c r="G35" s="311">
        <v>9428.3799999999992</v>
      </c>
      <c r="H35" s="171">
        <f t="shared" si="6"/>
        <v>-62.2</v>
      </c>
      <c r="I35" s="11">
        <f>IFERROR(100/'Skjema total MA'!F35*G35,0)</f>
        <v>16.117906606574401</v>
      </c>
      <c r="J35" s="236">
        <f t="shared" si="7"/>
        <v>25260.472999999998</v>
      </c>
      <c r="K35" s="236">
        <f t="shared" si="7"/>
        <v>9428.3799999999992</v>
      </c>
      <c r="L35" s="425">
        <f t="shared" si="8"/>
        <v>-62.7</v>
      </c>
      <c r="M35" s="24">
        <f>IFERROR(100/'Skjema total MA'!I35*K35,0)</f>
        <v>20.062884905845138</v>
      </c>
    </row>
    <row r="36" spans="1:14" ht="15.75" x14ac:dyDescent="0.2">
      <c r="A36" s="12" t="s">
        <v>280</v>
      </c>
      <c r="B36" s="236">
        <v>41.26</v>
      </c>
      <c r="C36" s="311">
        <v>35.026000000000003</v>
      </c>
      <c r="D36" s="171">
        <f t="shared" si="5"/>
        <v>-15.1</v>
      </c>
      <c r="E36" s="11">
        <f>100/'Skjema total MA'!C36*C36</f>
        <v>2.175492818128403</v>
      </c>
      <c r="F36" s="321"/>
      <c r="G36" s="322"/>
      <c r="H36" s="171"/>
      <c r="I36" s="431"/>
      <c r="J36" s="236">
        <f t="shared" ref="J36:J37" si="13">SUM(B36,F36)</f>
        <v>41.26</v>
      </c>
      <c r="K36" s="236">
        <f t="shared" ref="K36:K37" si="14">SUM(C36,G36)</f>
        <v>35.026000000000003</v>
      </c>
      <c r="L36" s="425"/>
      <c r="M36" s="24">
        <f>IFERROR(100/'Skjema total MA'!I36*K36,0)</f>
        <v>2.175492818128403</v>
      </c>
    </row>
    <row r="37" spans="1:14" ht="15.75" x14ac:dyDescent="0.2">
      <c r="A37" s="12" t="s">
        <v>359</v>
      </c>
      <c r="B37" s="236">
        <v>450942.09</v>
      </c>
      <c r="C37" s="311">
        <v>433563.19900000002</v>
      </c>
      <c r="D37" s="171">
        <f t="shared" si="5"/>
        <v>-3.9</v>
      </c>
      <c r="E37" s="11">
        <f>100/'Skjema total MA'!C37*C37</f>
        <v>14.246219326625724</v>
      </c>
      <c r="F37" s="321"/>
      <c r="G37" s="323"/>
      <c r="H37" s="171"/>
      <c r="I37" s="431"/>
      <c r="J37" s="236">
        <f t="shared" si="13"/>
        <v>450942.09</v>
      </c>
      <c r="K37" s="236">
        <f t="shared" si="14"/>
        <v>433563.19900000002</v>
      </c>
      <c r="L37" s="425"/>
      <c r="M37" s="24">
        <f>IFERROR(100/'Skjema total MA'!I37*K37,0)</f>
        <v>14.246219326625724</v>
      </c>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641988.44900000002</v>
      </c>
      <c r="C47" s="313">
        <v>747159.17099999997</v>
      </c>
      <c r="D47" s="424">
        <f t="shared" ref="D47:D57" si="15">IF(B47=0, "    ---- ", IF(ABS(ROUND(100/B47*C47-100,1))&lt;999,ROUND(100/B47*C47-100,1),IF(ROUND(100/B47*C47-100,1)&gt;999,999,-999)))</f>
        <v>16.399999999999999</v>
      </c>
      <c r="E47" s="11">
        <f>IFERROR(100/'Skjema total MA'!C47*C47,0)</f>
        <v>17.167494422315176</v>
      </c>
      <c r="F47" s="145"/>
      <c r="G47" s="33"/>
      <c r="H47" s="159"/>
      <c r="I47" s="159"/>
      <c r="J47" s="37"/>
      <c r="K47" s="37"/>
      <c r="L47" s="159"/>
      <c r="M47" s="159"/>
      <c r="N47" s="148"/>
    </row>
    <row r="48" spans="1:14" s="3" customFormat="1" ht="15.75" x14ac:dyDescent="0.2">
      <c r="A48" s="38" t="s">
        <v>362</v>
      </c>
      <c r="B48" s="286">
        <v>208312.85200000001</v>
      </c>
      <c r="C48" s="287">
        <v>243860.63099999999</v>
      </c>
      <c r="D48" s="259">
        <f t="shared" si="15"/>
        <v>17.100000000000001</v>
      </c>
      <c r="E48" s="27">
        <f>IFERROR(100/'Skjema total MA'!C48*C48,0)</f>
        <v>9.8928924936731768</v>
      </c>
      <c r="F48" s="145"/>
      <c r="G48" s="33"/>
      <c r="H48" s="145"/>
      <c r="I48" s="145"/>
      <c r="J48" s="33"/>
      <c r="K48" s="33"/>
      <c r="L48" s="159"/>
      <c r="M48" s="159"/>
      <c r="N48" s="148"/>
    </row>
    <row r="49" spans="1:14" s="3" customFormat="1" ht="15.75" x14ac:dyDescent="0.2">
      <c r="A49" s="38" t="s">
        <v>363</v>
      </c>
      <c r="B49" s="44">
        <v>433675.59700000001</v>
      </c>
      <c r="C49" s="292">
        <v>503298.54</v>
      </c>
      <c r="D49" s="259">
        <f>IF(B49=0, "    ---- ", IF(ABS(ROUND(100/B49*C49-100,1))&lt;999,ROUND(100/B49*C49-100,1),IF(ROUND(100/B49*C49-100,1)&gt;999,999,-999)))</f>
        <v>16.100000000000001</v>
      </c>
      <c r="E49" s="27">
        <f>IFERROR(100/'Skjema total MA'!C49*C49,0)</f>
        <v>26.669552990529411</v>
      </c>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15993.745999999999</v>
      </c>
      <c r="C53" s="313">
        <v>9456.7199999999993</v>
      </c>
      <c r="D53" s="425">
        <f t="shared" si="15"/>
        <v>-40.9</v>
      </c>
      <c r="E53" s="11">
        <f>IFERROR(100/'Skjema total MA'!C53*C53,0)</f>
        <v>8.6957931427581165</v>
      </c>
      <c r="F53" s="145"/>
      <c r="G53" s="33"/>
      <c r="H53" s="145"/>
      <c r="I53" s="145"/>
      <c r="J53" s="33"/>
      <c r="K53" s="33"/>
      <c r="L53" s="159"/>
      <c r="M53" s="159"/>
      <c r="N53" s="148"/>
    </row>
    <row r="54" spans="1:14" s="3" customFormat="1" ht="15.75" x14ac:dyDescent="0.2">
      <c r="A54" s="38" t="s">
        <v>362</v>
      </c>
      <c r="B54" s="286">
        <v>11074.482</v>
      </c>
      <c r="C54" s="287">
        <v>9456.7199999999993</v>
      </c>
      <c r="D54" s="259">
        <f t="shared" si="15"/>
        <v>-14.6</v>
      </c>
      <c r="E54" s="27">
        <f>IFERROR(100/'Skjema total MA'!C54*C54,0)</f>
        <v>8.7723440849167265</v>
      </c>
      <c r="F54" s="145"/>
      <c r="G54" s="33"/>
      <c r="H54" s="145"/>
      <c r="I54" s="145"/>
      <c r="J54" s="33"/>
      <c r="K54" s="33"/>
      <c r="L54" s="159"/>
      <c r="M54" s="159"/>
      <c r="N54" s="148"/>
    </row>
    <row r="55" spans="1:14" s="3" customFormat="1" ht="15.75" x14ac:dyDescent="0.2">
      <c r="A55" s="38" t="s">
        <v>363</v>
      </c>
      <c r="B55" s="286">
        <v>4919.2640000000001</v>
      </c>
      <c r="C55" s="287">
        <v>0</v>
      </c>
      <c r="D55" s="259">
        <f t="shared" si="15"/>
        <v>-100</v>
      </c>
      <c r="E55" s="27">
        <f>IFERROR(100/'Skjema total MA'!C55*C55,0)</f>
        <v>0</v>
      </c>
      <c r="F55" s="145"/>
      <c r="G55" s="33"/>
      <c r="H55" s="145"/>
      <c r="I55" s="145"/>
      <c r="J55" s="33"/>
      <c r="K55" s="33"/>
      <c r="L55" s="159"/>
      <c r="M55" s="159"/>
      <c r="N55" s="148"/>
    </row>
    <row r="56" spans="1:14" s="3" customFormat="1" ht="15.75" x14ac:dyDescent="0.2">
      <c r="A56" s="39" t="s">
        <v>365</v>
      </c>
      <c r="B56" s="312">
        <v>23227.008999999998</v>
      </c>
      <c r="C56" s="313">
        <v>184.16800000000001</v>
      </c>
      <c r="D56" s="425">
        <f t="shared" si="15"/>
        <v>-99.2</v>
      </c>
      <c r="E56" s="11">
        <f>IFERROR(100/'Skjema total MA'!C56*C56,0)</f>
        <v>0.22331977539488204</v>
      </c>
      <c r="F56" s="145"/>
      <c r="G56" s="33"/>
      <c r="H56" s="145"/>
      <c r="I56" s="145"/>
      <c r="J56" s="33"/>
      <c r="K56" s="33"/>
      <c r="L56" s="159"/>
      <c r="M56" s="159"/>
      <c r="N56" s="148"/>
    </row>
    <row r="57" spans="1:14" s="3" customFormat="1" ht="15.75" x14ac:dyDescent="0.2">
      <c r="A57" s="38" t="s">
        <v>362</v>
      </c>
      <c r="B57" s="286">
        <v>23227.008999999998</v>
      </c>
      <c r="C57" s="287">
        <v>184.16800000000001</v>
      </c>
      <c r="D57" s="259">
        <f t="shared" si="15"/>
        <v>-99.2</v>
      </c>
      <c r="E57" s="27">
        <f>IFERROR(100/'Skjema total MA'!C57*C57,0)</f>
        <v>0.22331977539488204</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v>2337659.1339999996</v>
      </c>
      <c r="C66" s="354">
        <v>2030076.1</v>
      </c>
      <c r="D66" s="351">
        <f t="shared" ref="D66:D111" si="16">IF(B66=0, "    ---- ", IF(ABS(ROUND(100/B66*C66-100,1))&lt;999,ROUND(100/B66*C66-100,1),IF(ROUND(100/B66*C66-100,1)&gt;999,999,-999)))</f>
        <v>-13.2</v>
      </c>
      <c r="E66" s="11">
        <f>IFERROR(100/'Skjema total MA'!C66*C66,0)</f>
        <v>46.465906236408273</v>
      </c>
      <c r="F66" s="353">
        <v>5431347.6979999999</v>
      </c>
      <c r="G66" s="353">
        <v>5691411.4160000002</v>
      </c>
      <c r="H66" s="351">
        <f t="shared" ref="H66:H111" si="17">IF(F66=0, "    ---- ", IF(ABS(ROUND(100/F66*G66-100,1))&lt;999,ROUND(100/F66*G66-100,1),IF(ROUND(100/F66*G66-100,1)&gt;999,999,-999)))</f>
        <v>4.8</v>
      </c>
      <c r="I66" s="11">
        <f>IFERROR(100/'Skjema total MA'!F66*G66,0)</f>
        <v>28.177179940477817</v>
      </c>
      <c r="J66" s="311">
        <f t="shared" ref="J66:K86" si="18">SUM(B66,F66)</f>
        <v>7769006.8319999995</v>
      </c>
      <c r="K66" s="318">
        <f t="shared" si="18"/>
        <v>7721487.5160000008</v>
      </c>
      <c r="L66" s="425">
        <f t="shared" ref="L66:L111" si="19">IF(J66=0, "    ---- ", IF(ABS(ROUND(100/J66*K66-100,1))&lt;999,ROUND(100/J66*K66-100,1),IF(ROUND(100/J66*K66-100,1)&gt;999,999,-999)))</f>
        <v>-0.6</v>
      </c>
      <c r="M66" s="11">
        <f>IFERROR(100/'Skjema total MA'!I66*K66,0)</f>
        <v>31.429538321548229</v>
      </c>
    </row>
    <row r="67" spans="1:14" x14ac:dyDescent="0.2">
      <c r="A67" s="416" t="s">
        <v>9</v>
      </c>
      <c r="B67" s="44">
        <v>1642065.0859999999</v>
      </c>
      <c r="C67" s="145">
        <v>1237959.33</v>
      </c>
      <c r="D67" s="166">
        <f t="shared" si="16"/>
        <v>-24.6</v>
      </c>
      <c r="E67" s="27">
        <f>IFERROR(100/'Skjema total MA'!C67*C67,0)</f>
        <v>42.313912079518076</v>
      </c>
      <c r="F67" s="234"/>
      <c r="G67" s="145"/>
      <c r="H67" s="166"/>
      <c r="I67" s="27"/>
      <c r="J67" s="292">
        <f t="shared" si="18"/>
        <v>1642065.0859999999</v>
      </c>
      <c r="K67" s="44">
        <f t="shared" si="18"/>
        <v>1237959.33</v>
      </c>
      <c r="L67" s="259">
        <f t="shared" si="19"/>
        <v>-24.6</v>
      </c>
      <c r="M67" s="27">
        <f>IFERROR(100/'Skjema total MA'!I67*K67,0)</f>
        <v>42.313912079518076</v>
      </c>
    </row>
    <row r="68" spans="1:14" x14ac:dyDescent="0.2">
      <c r="A68" s="21" t="s">
        <v>10</v>
      </c>
      <c r="B68" s="296"/>
      <c r="C68" s="297"/>
      <c r="D68" s="166"/>
      <c r="E68" s="27"/>
      <c r="F68" s="296">
        <v>4852256.483</v>
      </c>
      <c r="G68" s="297">
        <v>5060108.8020000001</v>
      </c>
      <c r="H68" s="166">
        <f t="shared" si="17"/>
        <v>4.3</v>
      </c>
      <c r="I68" s="27">
        <f>IFERROR(100/'Skjema total MA'!F68*G68,0)</f>
        <v>26.079935445490158</v>
      </c>
      <c r="J68" s="292">
        <f t="shared" si="18"/>
        <v>4852256.483</v>
      </c>
      <c r="K68" s="44">
        <f t="shared" si="18"/>
        <v>5060108.8020000001</v>
      </c>
      <c r="L68" s="259">
        <f t="shared" si="19"/>
        <v>4.3</v>
      </c>
      <c r="M68" s="27">
        <f>IFERROR(100/'Skjema total MA'!I68*K68,0)</f>
        <v>26.049266192734084</v>
      </c>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v>97100.888999999996</v>
      </c>
      <c r="C75" s="145">
        <v>147766.247</v>
      </c>
      <c r="D75" s="166">
        <f t="shared" si="16"/>
        <v>52.2</v>
      </c>
      <c r="E75" s="27">
        <f>IFERROR(100/'Skjema total MA'!C75*C75,0)</f>
        <v>44.14511573406724</v>
      </c>
      <c r="F75" s="234">
        <v>579091.21499999997</v>
      </c>
      <c r="G75" s="145">
        <v>631302.61399999994</v>
      </c>
      <c r="H75" s="166">
        <f t="shared" si="17"/>
        <v>9</v>
      </c>
      <c r="I75" s="27">
        <f>IFERROR(100/'Skjema total MA'!F75*G75,0)</f>
        <v>79.274568556966656</v>
      </c>
      <c r="J75" s="292">
        <f t="shared" si="18"/>
        <v>676192.10399999993</v>
      </c>
      <c r="K75" s="44">
        <f t="shared" si="18"/>
        <v>779068.86099999992</v>
      </c>
      <c r="L75" s="259">
        <f t="shared" si="19"/>
        <v>15.2</v>
      </c>
      <c r="M75" s="27">
        <f>IFERROR(100/'Skjema total MA'!I75*K75,0)</f>
        <v>68.878444500030028</v>
      </c>
      <c r="N75" s="148"/>
    </row>
    <row r="76" spans="1:14" s="3" customFormat="1" x14ac:dyDescent="0.2">
      <c r="A76" s="21" t="s">
        <v>337</v>
      </c>
      <c r="B76" s="234">
        <v>598493.15899999999</v>
      </c>
      <c r="C76" s="145">
        <v>644350.52300000004</v>
      </c>
      <c r="D76" s="166">
        <f t="shared" ref="D76" si="20">IF(B76=0, "    ---- ", IF(ABS(ROUND(100/B76*C76-100,1))&lt;999,ROUND(100/B76*C76-100,1),IF(ROUND(100/B76*C76-100,1)&gt;999,999,-999)))</f>
        <v>7.7</v>
      </c>
      <c r="E76" s="27">
        <f>IFERROR(100/'Skjema total MA'!C77*C76,0)</f>
        <v>22.368148433846699</v>
      </c>
      <c r="F76" s="234"/>
      <c r="G76" s="145"/>
      <c r="H76" s="166"/>
      <c r="I76" s="27"/>
      <c r="J76" s="292">
        <f t="shared" ref="J76" si="21">SUM(B76,F76)</f>
        <v>598493.15899999999</v>
      </c>
      <c r="K76" s="44">
        <f t="shared" ref="K76" si="22">SUM(C76,G76)</f>
        <v>644350.52300000004</v>
      </c>
      <c r="L76" s="259">
        <f t="shared" ref="L76" si="23">IF(J76=0, "    ---- ", IF(ABS(ROUND(100/J76*K76-100,1))&lt;999,ROUND(100/J76*K76-100,1),IF(ROUND(100/J76*K76-100,1)&gt;999,999,-999)))</f>
        <v>7.7</v>
      </c>
      <c r="M76" s="27">
        <f>IFERROR(100/'Skjema total MA'!I77*K76,0)</f>
        <v>2.892554912192379</v>
      </c>
      <c r="N76" s="148"/>
    </row>
    <row r="77" spans="1:14" ht="15.75" x14ac:dyDescent="0.2">
      <c r="A77" s="21" t="s">
        <v>368</v>
      </c>
      <c r="B77" s="234">
        <v>1582146.334</v>
      </c>
      <c r="C77" s="234">
        <v>1191865.956</v>
      </c>
      <c r="D77" s="166">
        <f t="shared" si="16"/>
        <v>-24.7</v>
      </c>
      <c r="E77" s="27">
        <f>IFERROR(100/'Skjema total MA'!C77*C77,0)</f>
        <v>41.374738850109686</v>
      </c>
      <c r="F77" s="234">
        <v>4852256.483</v>
      </c>
      <c r="G77" s="145">
        <v>5060108.8020000001</v>
      </c>
      <c r="H77" s="166">
        <f t="shared" si="17"/>
        <v>4.3</v>
      </c>
      <c r="I77" s="27">
        <f>IFERROR(100/'Skjema total MA'!F77*G77,0)</f>
        <v>26.089071101870726</v>
      </c>
      <c r="J77" s="292">
        <f t="shared" si="18"/>
        <v>6434402.8169999998</v>
      </c>
      <c r="K77" s="44">
        <f t="shared" si="18"/>
        <v>6251974.7580000004</v>
      </c>
      <c r="L77" s="259">
        <f t="shared" si="19"/>
        <v>-2.8</v>
      </c>
      <c r="M77" s="27">
        <f>IFERROR(100/'Skjema total MA'!I77*K77,0)</f>
        <v>28.065749388948131</v>
      </c>
    </row>
    <row r="78" spans="1:14" x14ac:dyDescent="0.2">
      <c r="A78" s="21" t="s">
        <v>9</v>
      </c>
      <c r="B78" s="234">
        <v>1582146.334</v>
      </c>
      <c r="C78" s="145">
        <v>1191865.956</v>
      </c>
      <c r="D78" s="166">
        <f t="shared" si="16"/>
        <v>-24.7</v>
      </c>
      <c r="E78" s="27">
        <f>IFERROR(100/'Skjema total MA'!C78*C78,0)</f>
        <v>41.683399638049231</v>
      </c>
      <c r="F78" s="234"/>
      <c r="G78" s="145"/>
      <c r="H78" s="166"/>
      <c r="I78" s="27"/>
      <c r="J78" s="292">
        <f t="shared" si="18"/>
        <v>1582146.334</v>
      </c>
      <c r="K78" s="44">
        <f t="shared" si="18"/>
        <v>1191865.956</v>
      </c>
      <c r="L78" s="259">
        <f t="shared" si="19"/>
        <v>-24.7</v>
      </c>
      <c r="M78" s="27">
        <f>IFERROR(100/'Skjema total MA'!I78*K78,0)</f>
        <v>41.683399638049231</v>
      </c>
    </row>
    <row r="79" spans="1:14" x14ac:dyDescent="0.2">
      <c r="A79" s="38" t="s">
        <v>403</v>
      </c>
      <c r="B79" s="296"/>
      <c r="C79" s="297"/>
      <c r="D79" s="166"/>
      <c r="E79" s="27"/>
      <c r="F79" s="296">
        <v>4852256.483</v>
      </c>
      <c r="G79" s="297">
        <v>5060108.8020000001</v>
      </c>
      <c r="H79" s="166">
        <f t="shared" si="17"/>
        <v>4.3</v>
      </c>
      <c r="I79" s="27">
        <f>IFERROR(100/'Skjema total MA'!F79*G79,0)</f>
        <v>26.089071101870726</v>
      </c>
      <c r="J79" s="292">
        <f t="shared" si="18"/>
        <v>4852256.483</v>
      </c>
      <c r="K79" s="44">
        <f t="shared" si="18"/>
        <v>5060108.8020000001</v>
      </c>
      <c r="L79" s="259">
        <f t="shared" si="19"/>
        <v>4.3</v>
      </c>
      <c r="M79" s="27">
        <f>IFERROR(100/'Skjema total MA'!I79*K79,0)</f>
        <v>26.06041015819746</v>
      </c>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v>59918.752</v>
      </c>
      <c r="C86" s="145">
        <v>46093.374000000003</v>
      </c>
      <c r="D86" s="166">
        <f t="shared" si="16"/>
        <v>-23.1</v>
      </c>
      <c r="E86" s="27">
        <f>IFERROR(100/'Skjema total MA'!C86*C86,0)</f>
        <v>67.946225435235291</v>
      </c>
      <c r="F86" s="234"/>
      <c r="G86" s="145"/>
      <c r="H86" s="166"/>
      <c r="I86" s="27"/>
      <c r="J86" s="292">
        <f t="shared" si="18"/>
        <v>59918.752</v>
      </c>
      <c r="K86" s="44">
        <f t="shared" si="18"/>
        <v>46093.374000000003</v>
      </c>
      <c r="L86" s="259">
        <f t="shared" si="19"/>
        <v>-23.1</v>
      </c>
      <c r="M86" s="27">
        <f>IFERROR(100/'Skjema total MA'!I86*K86,0)</f>
        <v>61.760739721944319</v>
      </c>
    </row>
    <row r="87" spans="1:13" ht="15.75" x14ac:dyDescent="0.2">
      <c r="A87" s="13" t="s">
        <v>351</v>
      </c>
      <c r="B87" s="354">
        <v>170768472.42100003</v>
      </c>
      <c r="C87" s="354">
        <v>171328994.604</v>
      </c>
      <c r="D87" s="171">
        <f t="shared" si="16"/>
        <v>0.3</v>
      </c>
      <c r="E87" s="11">
        <f>IFERROR(100/'Skjema total MA'!C87*C87,0)</f>
        <v>42.483598455620957</v>
      </c>
      <c r="F87" s="353">
        <v>134118047.925</v>
      </c>
      <c r="G87" s="353">
        <v>129657019.32099999</v>
      </c>
      <c r="H87" s="171">
        <f t="shared" si="17"/>
        <v>-3.3</v>
      </c>
      <c r="I87" s="11">
        <f>IFERROR(100/'Skjema total MA'!F87*G87,0)</f>
        <v>31.016143359024522</v>
      </c>
      <c r="J87" s="311">
        <f t="shared" ref="J87:K111" si="24">SUM(B87,F87)</f>
        <v>304886520.34600002</v>
      </c>
      <c r="K87" s="236">
        <f t="shared" si="24"/>
        <v>300986013.92500001</v>
      </c>
      <c r="L87" s="425">
        <f t="shared" si="19"/>
        <v>-1.3</v>
      </c>
      <c r="M87" s="11">
        <f>IFERROR(100/'Skjema total MA'!I87*K87,0)</f>
        <v>36.646912089147449</v>
      </c>
    </row>
    <row r="88" spans="1:13" x14ac:dyDescent="0.2">
      <c r="A88" s="21" t="s">
        <v>9</v>
      </c>
      <c r="B88" s="234">
        <v>164180106.93700001</v>
      </c>
      <c r="C88" s="145">
        <v>163516733.30158001</v>
      </c>
      <c r="D88" s="166">
        <f t="shared" si="16"/>
        <v>-0.4</v>
      </c>
      <c r="E88" s="27">
        <f>IFERROR(100/'Skjema total MA'!C88*C88,0)</f>
        <v>42.102028778116384</v>
      </c>
      <c r="F88" s="234"/>
      <c r="G88" s="145"/>
      <c r="H88" s="166"/>
      <c r="I88" s="27"/>
      <c r="J88" s="292">
        <f t="shared" si="24"/>
        <v>164180106.93700001</v>
      </c>
      <c r="K88" s="44">
        <f t="shared" si="24"/>
        <v>163516733.30158001</v>
      </c>
      <c r="L88" s="259">
        <f t="shared" si="19"/>
        <v>-0.4</v>
      </c>
      <c r="M88" s="27">
        <f>IFERROR(100/'Skjema total MA'!I88*K88,0)</f>
        <v>42.102028778116384</v>
      </c>
    </row>
    <row r="89" spans="1:13" x14ac:dyDescent="0.2">
      <c r="A89" s="21" t="s">
        <v>10</v>
      </c>
      <c r="B89" s="234">
        <v>48631.02</v>
      </c>
      <c r="C89" s="145">
        <v>48878.973420000002</v>
      </c>
      <c r="D89" s="166">
        <f t="shared" si="16"/>
        <v>0.5</v>
      </c>
      <c r="E89" s="27">
        <f>IFERROR(100/'Skjema total MA'!C89*C89,0)</f>
        <v>1.466508437686797</v>
      </c>
      <c r="F89" s="234">
        <v>131564807.656</v>
      </c>
      <c r="G89" s="145">
        <v>126412510.382</v>
      </c>
      <c r="H89" s="166">
        <f t="shared" si="17"/>
        <v>-3.9</v>
      </c>
      <c r="I89" s="27">
        <f>IFERROR(100/'Skjema total MA'!F89*G89,0)</f>
        <v>30.595609427239133</v>
      </c>
      <c r="J89" s="292">
        <f t="shared" si="24"/>
        <v>131613438.676</v>
      </c>
      <c r="K89" s="44">
        <f t="shared" si="24"/>
        <v>126461389.35541999</v>
      </c>
      <c r="L89" s="259">
        <f t="shared" si="19"/>
        <v>-3.9</v>
      </c>
      <c r="M89" s="27">
        <f>IFERROR(100/'Skjema total MA'!I89*K89,0)</f>
        <v>30.362508345166702</v>
      </c>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v>476900.38799999998</v>
      </c>
      <c r="C96" s="145">
        <v>1090031.8319999999</v>
      </c>
      <c r="D96" s="166">
        <f t="shared" si="16"/>
        <v>128.6</v>
      </c>
      <c r="E96" s="27">
        <f>IFERROR(100/'Skjema total MA'!C96*C96,0)</f>
        <v>33.107692299982574</v>
      </c>
      <c r="F96" s="234">
        <v>2553240.2689999999</v>
      </c>
      <c r="G96" s="145">
        <v>3244508.9389999998</v>
      </c>
      <c r="H96" s="166">
        <f t="shared" si="17"/>
        <v>27.1</v>
      </c>
      <c r="I96" s="27">
        <f>IFERROR(100/'Skjema total MA'!F96*G96,0)</f>
        <v>66.777355777224997</v>
      </c>
      <c r="J96" s="292">
        <f t="shared" si="24"/>
        <v>3030140.6569999997</v>
      </c>
      <c r="K96" s="44">
        <f t="shared" si="24"/>
        <v>4334540.7709999997</v>
      </c>
      <c r="L96" s="259">
        <f t="shared" si="19"/>
        <v>43</v>
      </c>
      <c r="M96" s="27">
        <f>IFERROR(100/'Skjema total MA'!I96*K96,0)</f>
        <v>53.177510789369094</v>
      </c>
    </row>
    <row r="97" spans="1:15" x14ac:dyDescent="0.2">
      <c r="A97" s="21" t="s">
        <v>335</v>
      </c>
      <c r="B97" s="234">
        <v>6062834.0760000004</v>
      </c>
      <c r="C97" s="145">
        <v>6673350.4970000004</v>
      </c>
      <c r="D97" s="166">
        <f t="shared" ref="D97" si="25">IF(B97=0, "    ---- ", IF(ABS(ROUND(100/B97*C97-100,1))&lt;999,ROUND(100/B97*C97-100,1),IF(ROUND(100/B97*C97-100,1)&gt;999,999,-999)))</f>
        <v>10.1</v>
      </c>
      <c r="E97" s="27">
        <f>IFERROR(100/'Skjema total MA'!C98*C97,0)</f>
        <v>1.723235234860071</v>
      </c>
      <c r="F97" s="234"/>
      <c r="G97" s="145"/>
      <c r="H97" s="166"/>
      <c r="I97" s="27"/>
      <c r="J97" s="292">
        <f t="shared" ref="J97" si="26">SUM(B97,F97)</f>
        <v>6062834.0760000004</v>
      </c>
      <c r="K97" s="44">
        <f t="shared" ref="K97" si="27">SUM(C97,G97)</f>
        <v>6673350.4970000004</v>
      </c>
      <c r="L97" s="259">
        <f t="shared" ref="L97" si="28">IF(J97=0, "    ---- ", IF(ABS(ROUND(100/J97*K97-100,1))&lt;999,ROUND(100/J97*K97-100,1),IF(ROUND(100/J97*K97-100,1)&gt;999,999,-999)))</f>
        <v>10.1</v>
      </c>
      <c r="M97" s="27">
        <f>IFERROR(100/'Skjema total MA'!I98*K97,0)</f>
        <v>0.83457627509862153</v>
      </c>
    </row>
    <row r="98" spans="1:15" ht="15.75" x14ac:dyDescent="0.2">
      <c r="A98" s="21" t="s">
        <v>368</v>
      </c>
      <c r="B98" s="234">
        <v>160973394.12200001</v>
      </c>
      <c r="C98" s="234">
        <v>160245062.17300001</v>
      </c>
      <c r="D98" s="166">
        <f t="shared" si="16"/>
        <v>-0.5</v>
      </c>
      <c r="E98" s="27">
        <f>IFERROR(100/'Skjema total MA'!C98*C98,0)</f>
        <v>41.379504564160811</v>
      </c>
      <c r="F98" s="296">
        <v>131564807.656</v>
      </c>
      <c r="G98" s="296">
        <v>126412510.382</v>
      </c>
      <c r="H98" s="166">
        <f t="shared" si="17"/>
        <v>-3.9</v>
      </c>
      <c r="I98" s="27">
        <f>IFERROR(100/'Skjema total MA'!F98*G98,0)</f>
        <v>30.656431284243936</v>
      </c>
      <c r="J98" s="292">
        <f t="shared" si="24"/>
        <v>292538201.778</v>
      </c>
      <c r="K98" s="44">
        <f t="shared" si="24"/>
        <v>286657572.55500001</v>
      </c>
      <c r="L98" s="259">
        <f t="shared" si="19"/>
        <v>-2</v>
      </c>
      <c r="M98" s="27">
        <f>IFERROR(100/'Skjema total MA'!I98*K98,0)</f>
        <v>35.849699373547637</v>
      </c>
    </row>
    <row r="99" spans="1:15" x14ac:dyDescent="0.2">
      <c r="A99" s="21" t="s">
        <v>9</v>
      </c>
      <c r="B99" s="296">
        <v>160924763.102</v>
      </c>
      <c r="C99" s="297">
        <v>160196183.19958001</v>
      </c>
      <c r="D99" s="166">
        <f t="shared" si="16"/>
        <v>-0.5</v>
      </c>
      <c r="E99" s="27">
        <f>IFERROR(100/'Skjema total MA'!C99*C99,0)</f>
        <v>41.726007169030574</v>
      </c>
      <c r="F99" s="234"/>
      <c r="G99" s="145"/>
      <c r="H99" s="166"/>
      <c r="I99" s="27"/>
      <c r="J99" s="292">
        <f t="shared" si="24"/>
        <v>160924763.102</v>
      </c>
      <c r="K99" s="44">
        <f t="shared" si="24"/>
        <v>160196183.19958001</v>
      </c>
      <c r="L99" s="259">
        <f t="shared" si="19"/>
        <v>-0.5</v>
      </c>
      <c r="M99" s="27">
        <f>IFERROR(100/'Skjema total MA'!I99*K99,0)</f>
        <v>41.726007169030574</v>
      </c>
    </row>
    <row r="100" spans="1:15" x14ac:dyDescent="0.2">
      <c r="A100" s="38" t="s">
        <v>403</v>
      </c>
      <c r="B100" s="296">
        <v>48631.02</v>
      </c>
      <c r="C100" s="297">
        <v>48878.973420000002</v>
      </c>
      <c r="D100" s="166">
        <f t="shared" si="16"/>
        <v>0.5</v>
      </c>
      <c r="E100" s="27">
        <f>IFERROR(100/'Skjema total MA'!C100*C100,0)</f>
        <v>1.466508437686797</v>
      </c>
      <c r="F100" s="234">
        <v>131564807.656</v>
      </c>
      <c r="G100" s="234">
        <v>126412510.382</v>
      </c>
      <c r="H100" s="166">
        <f t="shared" si="17"/>
        <v>-3.9</v>
      </c>
      <c r="I100" s="27">
        <f>IFERROR(100/'Skjema total MA'!F100*G100,0)</f>
        <v>30.656431284243936</v>
      </c>
      <c r="J100" s="292">
        <f t="shared" si="24"/>
        <v>131613438.676</v>
      </c>
      <c r="K100" s="44">
        <f t="shared" si="24"/>
        <v>126461389.35541999</v>
      </c>
      <c r="L100" s="259">
        <f t="shared" si="19"/>
        <v>-3.9</v>
      </c>
      <c r="M100" s="27">
        <f>IFERROR(100/'Skjema total MA'!I100*K100,0)</f>
        <v>30.422382852381507</v>
      </c>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v>3255343.835</v>
      </c>
      <c r="C107" s="145">
        <v>3320550.102</v>
      </c>
      <c r="D107" s="166">
        <f t="shared" si="16"/>
        <v>2</v>
      </c>
      <c r="E107" s="27">
        <f>IFERROR(100/'Skjema total MA'!C107*C107,0)</f>
        <v>74.485030394496661</v>
      </c>
      <c r="F107" s="234"/>
      <c r="G107" s="145"/>
      <c r="H107" s="166"/>
      <c r="I107" s="27"/>
      <c r="J107" s="292">
        <f t="shared" si="24"/>
        <v>3255343.835</v>
      </c>
      <c r="K107" s="44">
        <f t="shared" si="24"/>
        <v>3320550.102</v>
      </c>
      <c r="L107" s="259">
        <f t="shared" si="19"/>
        <v>2</v>
      </c>
      <c r="M107" s="27">
        <f>IFERROR(100/'Skjema total MA'!I107*K107,0)</f>
        <v>62.916177086644311</v>
      </c>
    </row>
    <row r="108" spans="1:15" ht="15.75" x14ac:dyDescent="0.2">
      <c r="A108" s="21" t="s">
        <v>370</v>
      </c>
      <c r="B108" s="234">
        <v>142554723.264</v>
      </c>
      <c r="C108" s="234">
        <v>143292797.243</v>
      </c>
      <c r="D108" s="166">
        <f t="shared" si="16"/>
        <v>0.5</v>
      </c>
      <c r="E108" s="27">
        <f>IFERROR(100/'Skjema total MA'!C108*C108,0)</f>
        <v>42.87644543501311</v>
      </c>
      <c r="F108" s="234">
        <v>19175629.094000001</v>
      </c>
      <c r="G108" s="234">
        <v>18023026.484999999</v>
      </c>
      <c r="H108" s="166">
        <f t="shared" si="17"/>
        <v>-6</v>
      </c>
      <c r="I108" s="27">
        <f>IFERROR(100/'Skjema total MA'!F108*G108,0)</f>
        <v>94.332202615961847</v>
      </c>
      <c r="J108" s="292">
        <f t="shared" si="24"/>
        <v>161730352.35800001</v>
      </c>
      <c r="K108" s="44">
        <f t="shared" si="24"/>
        <v>161315823.72799999</v>
      </c>
      <c r="L108" s="259">
        <f t="shared" si="19"/>
        <v>-0.3</v>
      </c>
      <c r="M108" s="27">
        <f>IFERROR(100/'Skjema total MA'!I108*K108,0)</f>
        <v>45.659050865283717</v>
      </c>
    </row>
    <row r="109" spans="1:15" ht="15.75" x14ac:dyDescent="0.2">
      <c r="A109" s="38" t="s">
        <v>417</v>
      </c>
      <c r="B109" s="234">
        <v>333822.28700000001</v>
      </c>
      <c r="C109" s="234">
        <v>394978.52799999999</v>
      </c>
      <c r="D109" s="166">
        <f t="shared" si="16"/>
        <v>18.3</v>
      </c>
      <c r="E109" s="27">
        <f>IFERROR(100/'Skjema total MA'!C109*C109,0)</f>
        <v>21.448543506466837</v>
      </c>
      <c r="F109" s="234">
        <v>41578350</v>
      </c>
      <c r="G109" s="234">
        <v>38500937.177000001</v>
      </c>
      <c r="H109" s="166">
        <f t="shared" si="17"/>
        <v>-7.4</v>
      </c>
      <c r="I109" s="27">
        <f>IFERROR(100/'Skjema total MA'!F109*G109,0)</f>
        <v>25.213218317777034</v>
      </c>
      <c r="J109" s="292">
        <f t="shared" si="24"/>
        <v>41912172.287</v>
      </c>
      <c r="K109" s="44">
        <f t="shared" si="24"/>
        <v>38895915.704999998</v>
      </c>
      <c r="L109" s="259">
        <f t="shared" si="19"/>
        <v>-7.2</v>
      </c>
      <c r="M109" s="27">
        <f>IFERROR(100/'Skjema total MA'!I109*K109,0)</f>
        <v>25.168358857264849</v>
      </c>
      <c r="O109" s="3"/>
    </row>
    <row r="110" spans="1:15" ht="15.75" x14ac:dyDescent="0.2">
      <c r="A110" s="21" t="s">
        <v>371</v>
      </c>
      <c r="B110" s="234">
        <v>197629.552</v>
      </c>
      <c r="C110" s="234">
        <v>462519.82500000001</v>
      </c>
      <c r="D110" s="166">
        <f t="shared" si="16"/>
        <v>134</v>
      </c>
      <c r="E110" s="27">
        <f>IFERROR(100/'Skjema total MA'!C110*C110,0)</f>
        <v>40.497057005186328</v>
      </c>
      <c r="F110" s="234"/>
      <c r="G110" s="234"/>
      <c r="H110" s="166"/>
      <c r="I110" s="27"/>
      <c r="J110" s="292">
        <f t="shared" si="24"/>
        <v>197629.552</v>
      </c>
      <c r="K110" s="44">
        <f t="shared" si="24"/>
        <v>462519.82500000001</v>
      </c>
      <c r="L110" s="259">
        <f t="shared" si="19"/>
        <v>134</v>
      </c>
      <c r="M110" s="27">
        <f>IFERROR(100/'Skjema total MA'!I110*K110,0)</f>
        <v>40.497057005186328</v>
      </c>
    </row>
    <row r="111" spans="1:15" ht="15.75" x14ac:dyDescent="0.2">
      <c r="A111" s="13" t="s">
        <v>352</v>
      </c>
      <c r="B111" s="310">
        <v>85306.709000000003</v>
      </c>
      <c r="C111" s="159">
        <v>247769.60500000001</v>
      </c>
      <c r="D111" s="171">
        <f t="shared" si="16"/>
        <v>190.4</v>
      </c>
      <c r="E111" s="11">
        <f>IFERROR(100/'Skjema total MA'!C111*C111,0)</f>
        <v>47.275034738194805</v>
      </c>
      <c r="F111" s="310">
        <v>4008591.8789999997</v>
      </c>
      <c r="G111" s="159">
        <v>2696919.9230000004</v>
      </c>
      <c r="H111" s="171">
        <f t="shared" si="17"/>
        <v>-32.700000000000003</v>
      </c>
      <c r="I111" s="11">
        <f>IFERROR(100/'Skjema total MA'!F111*G111,0)</f>
        <v>12.762868132333713</v>
      </c>
      <c r="J111" s="311">
        <f t="shared" si="24"/>
        <v>4093898.5879999995</v>
      </c>
      <c r="K111" s="236">
        <f t="shared" si="24"/>
        <v>2944689.5280000004</v>
      </c>
      <c r="L111" s="425">
        <f t="shared" si="19"/>
        <v>-28.1</v>
      </c>
      <c r="M111" s="11">
        <f>IFERROR(100/'Skjema total MA'!I111*K111,0)</f>
        <v>13.598141102377785</v>
      </c>
    </row>
    <row r="112" spans="1:15" x14ac:dyDescent="0.2">
      <c r="A112" s="21" t="s">
        <v>9</v>
      </c>
      <c r="B112" s="234">
        <v>3058.9960000000001</v>
      </c>
      <c r="C112" s="145">
        <v>7154.598</v>
      </c>
      <c r="D112" s="166">
        <f t="shared" ref="D112:D125" si="29">IF(B112=0, "    ---- ", IF(ABS(ROUND(100/B112*C112-100,1))&lt;999,ROUND(100/B112*C112-100,1),IF(ROUND(100/B112*C112-100,1)&gt;999,999,-999)))</f>
        <v>133.9</v>
      </c>
      <c r="E112" s="27">
        <f>IFERROR(100/'Skjema total MA'!C112*C112,0)</f>
        <v>2.5966805699606637</v>
      </c>
      <c r="F112" s="234">
        <v>10574.945</v>
      </c>
      <c r="G112" s="145">
        <v>769.62300000000005</v>
      </c>
      <c r="H112" s="166">
        <f t="shared" ref="H112:H125" si="30">IF(F112=0, "    ---- ", IF(ABS(ROUND(100/F112*G112-100,1))&lt;999,ROUND(100/F112*G112-100,1),IF(ROUND(100/F112*G112-100,1)&gt;999,999,-999)))</f>
        <v>-92.7</v>
      </c>
      <c r="I112" s="27">
        <f>IFERROR(100/'Skjema total MA'!F112*G112,0)</f>
        <v>100.00000000000001</v>
      </c>
      <c r="J112" s="292">
        <f t="shared" ref="J112:K125" si="31">SUM(B112,F112)</f>
        <v>13633.940999999999</v>
      </c>
      <c r="K112" s="44">
        <f t="shared" si="31"/>
        <v>7924.2209999999995</v>
      </c>
      <c r="L112" s="259">
        <f t="shared" ref="L112:L125" si="32">IF(J112=0, "    ---- ", IF(ABS(ROUND(100/J112*K112-100,1))&lt;999,ROUND(100/J112*K112-100,1),IF(ROUND(100/J112*K112-100,1)&gt;999,999,-999)))</f>
        <v>-41.9</v>
      </c>
      <c r="M112" s="27">
        <f>IFERROR(100/'Skjema total MA'!I112*K112,0)</f>
        <v>2.8679954924185878</v>
      </c>
    </row>
    <row r="113" spans="1:14" x14ac:dyDescent="0.2">
      <c r="A113" s="21" t="s">
        <v>10</v>
      </c>
      <c r="B113" s="234"/>
      <c r="C113" s="145"/>
      <c r="D113" s="166"/>
      <c r="E113" s="27"/>
      <c r="F113" s="234">
        <v>3998016.9339999999</v>
      </c>
      <c r="G113" s="145">
        <v>2695089.8390000002</v>
      </c>
      <c r="H113" s="166">
        <f t="shared" si="30"/>
        <v>-32.6</v>
      </c>
      <c r="I113" s="27">
        <f>IFERROR(100/'Skjema total MA'!F113*G113,0)</f>
        <v>12.755312161938026</v>
      </c>
      <c r="J113" s="292">
        <f t="shared" si="31"/>
        <v>3998016.9339999999</v>
      </c>
      <c r="K113" s="44">
        <f t="shared" si="31"/>
        <v>2695089.8390000002</v>
      </c>
      <c r="L113" s="259">
        <f t="shared" si="32"/>
        <v>-32.6</v>
      </c>
      <c r="M113" s="27">
        <f>IFERROR(100/'Skjema total MA'!I113*K113,0)</f>
        <v>12.755202918589328</v>
      </c>
    </row>
    <row r="114" spans="1:14" x14ac:dyDescent="0.2">
      <c r="A114" s="21" t="s">
        <v>26</v>
      </c>
      <c r="B114" s="234">
        <v>82247.713000000003</v>
      </c>
      <c r="C114" s="145">
        <v>240615.00700000001</v>
      </c>
      <c r="D114" s="166">
        <f t="shared" si="29"/>
        <v>192.5</v>
      </c>
      <c r="E114" s="27">
        <f>IFERROR(100/'Skjema total MA'!C114*C114,0)</f>
        <v>96.868732899960975</v>
      </c>
      <c r="F114" s="234">
        <v>0</v>
      </c>
      <c r="G114" s="145">
        <v>1060.461</v>
      </c>
      <c r="H114" s="166" t="str">
        <f t="shared" si="30"/>
        <v xml:space="preserve">    ---- </v>
      </c>
      <c r="I114" s="27">
        <f>IFERROR(100/'Skjema total MA'!F114*G114,0)</f>
        <v>100</v>
      </c>
      <c r="J114" s="292">
        <f t="shared" si="31"/>
        <v>82247.713000000003</v>
      </c>
      <c r="K114" s="44">
        <f t="shared" si="31"/>
        <v>241675.46800000002</v>
      </c>
      <c r="L114" s="259">
        <f t="shared" si="32"/>
        <v>193.8</v>
      </c>
      <c r="M114" s="27">
        <f>IFERROR(100/'Skjema total MA'!I114*K114,0)</f>
        <v>96.882044355394228</v>
      </c>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v>318.40499999999997</v>
      </c>
      <c r="C116" s="234">
        <v>3122.5929999999998</v>
      </c>
      <c r="D116" s="166">
        <f t="shared" si="29"/>
        <v>880.7</v>
      </c>
      <c r="E116" s="27">
        <f>IFERROR(100/'Skjema total MA'!C116*C116,0)</f>
        <v>3.8473999031307651</v>
      </c>
      <c r="F116" s="234">
        <v>10574.945</v>
      </c>
      <c r="G116" s="234">
        <v>769.62300000000005</v>
      </c>
      <c r="H116" s="166">
        <f t="shared" si="30"/>
        <v>-92.7</v>
      </c>
      <c r="I116" s="27">
        <f>IFERROR(100/'Skjema total MA'!F116*G116,0)</f>
        <v>100.00000000000001</v>
      </c>
      <c r="J116" s="292">
        <f t="shared" si="31"/>
        <v>10893.35</v>
      </c>
      <c r="K116" s="44">
        <f t="shared" si="31"/>
        <v>3892.2159999999999</v>
      </c>
      <c r="L116" s="259">
        <f t="shared" si="32"/>
        <v>-64.3</v>
      </c>
      <c r="M116" s="27">
        <f>IFERROR(100/'Skjema total MA'!I116*K116,0)</f>
        <v>4.7506170151249654</v>
      </c>
    </row>
    <row r="117" spans="1:14" ht="15.75" x14ac:dyDescent="0.2">
      <c r="A117" s="38" t="s">
        <v>417</v>
      </c>
      <c r="B117" s="234"/>
      <c r="C117" s="234"/>
      <c r="D117" s="166"/>
      <c r="E117" s="27"/>
      <c r="F117" s="234">
        <v>215275.17199999999</v>
      </c>
      <c r="G117" s="572">
        <v>190375</v>
      </c>
      <c r="H117" s="166">
        <f t="shared" si="30"/>
        <v>-11.6</v>
      </c>
      <c r="I117" s="27">
        <f>IFERROR(100/'Skjema total MA'!F117*G117,0)</f>
        <v>1.6713687082865214</v>
      </c>
      <c r="J117" s="292">
        <f t="shared" si="31"/>
        <v>215275.17199999999</v>
      </c>
      <c r="K117" s="44">
        <f t="shared" si="31"/>
        <v>190375</v>
      </c>
      <c r="L117" s="259">
        <f t="shared" si="32"/>
        <v>-11.6</v>
      </c>
      <c r="M117" s="27">
        <f>IFERROR(100/'Skjema total MA'!I117*K117,0)</f>
        <v>1.6713421550474779</v>
      </c>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v>217677.92300000001</v>
      </c>
      <c r="C119" s="159">
        <v>92370.493000000002</v>
      </c>
      <c r="D119" s="171">
        <f t="shared" si="29"/>
        <v>-57.6</v>
      </c>
      <c r="E119" s="11">
        <f>IFERROR(100/'Skjema total MA'!C119*C119,0)</f>
        <v>19.459162354061611</v>
      </c>
      <c r="F119" s="310">
        <v>7893357.79</v>
      </c>
      <c r="G119" s="159">
        <v>5196743.5949999997</v>
      </c>
      <c r="H119" s="171">
        <f t="shared" si="30"/>
        <v>-34.200000000000003</v>
      </c>
      <c r="I119" s="11">
        <f>IFERROR(100/'Skjema total MA'!F119*G119,0)</f>
        <v>23.111898723970832</v>
      </c>
      <c r="J119" s="311">
        <f t="shared" si="31"/>
        <v>8111035.7130000005</v>
      </c>
      <c r="K119" s="236">
        <f t="shared" si="31"/>
        <v>5289114.0879999995</v>
      </c>
      <c r="L119" s="425">
        <f t="shared" si="32"/>
        <v>-34.799999999999997</v>
      </c>
      <c r="M119" s="11">
        <f>IFERROR(100/'Skjema total MA'!I119*K119,0)</f>
        <v>23.036379288583376</v>
      </c>
    </row>
    <row r="120" spans="1:14" x14ac:dyDescent="0.2">
      <c r="A120" s="21" t="s">
        <v>9</v>
      </c>
      <c r="B120" s="234">
        <v>136922.364</v>
      </c>
      <c r="C120" s="145">
        <v>7256.6220000000003</v>
      </c>
      <c r="D120" s="166">
        <f t="shared" si="29"/>
        <v>-94.7</v>
      </c>
      <c r="E120" s="27">
        <f>IFERROR(100/'Skjema total MA'!C120*C120,0)</f>
        <v>4.5023916909992803</v>
      </c>
      <c r="F120" s="234"/>
      <c r="G120" s="145"/>
      <c r="H120" s="166"/>
      <c r="I120" s="27"/>
      <c r="J120" s="292">
        <f t="shared" si="31"/>
        <v>136922.364</v>
      </c>
      <c r="K120" s="44">
        <f t="shared" si="31"/>
        <v>7256.6220000000003</v>
      </c>
      <c r="L120" s="259">
        <f t="shared" si="32"/>
        <v>-94.7</v>
      </c>
      <c r="M120" s="27">
        <f>IFERROR(100/'Skjema total MA'!I120*K120,0)</f>
        <v>4.5023916909992803</v>
      </c>
    </row>
    <row r="121" spans="1:14" x14ac:dyDescent="0.2">
      <c r="A121" s="21" t="s">
        <v>10</v>
      </c>
      <c r="B121" s="234"/>
      <c r="C121" s="145"/>
      <c r="D121" s="166"/>
      <c r="E121" s="27"/>
      <c r="F121" s="234">
        <v>7893357.79</v>
      </c>
      <c r="G121" s="145">
        <v>5196743.5949999997</v>
      </c>
      <c r="H121" s="166">
        <f t="shared" si="30"/>
        <v>-34.200000000000003</v>
      </c>
      <c r="I121" s="27">
        <f>IFERROR(100/'Skjema total MA'!F121*G121,0)</f>
        <v>23.111898723970832</v>
      </c>
      <c r="J121" s="292">
        <f t="shared" si="31"/>
        <v>7893357.79</v>
      </c>
      <c r="K121" s="44">
        <f t="shared" si="31"/>
        <v>5196743.5949999997</v>
      </c>
      <c r="L121" s="259">
        <f t="shared" si="32"/>
        <v>-34.200000000000003</v>
      </c>
      <c r="M121" s="27">
        <f>IFERROR(100/'Skjema total MA'!I121*K121,0)</f>
        <v>23.106166666017057</v>
      </c>
    </row>
    <row r="122" spans="1:14" x14ac:dyDescent="0.2">
      <c r="A122" s="21" t="s">
        <v>26</v>
      </c>
      <c r="B122" s="234">
        <v>80755.558999999994</v>
      </c>
      <c r="C122" s="145">
        <v>85113.870999999999</v>
      </c>
      <c r="D122" s="166">
        <f t="shared" si="29"/>
        <v>5.4</v>
      </c>
      <c r="E122" s="27">
        <f>IFERROR(100/'Skjema total MA'!C122*C122,0)</f>
        <v>27.639906675765047</v>
      </c>
      <c r="F122" s="234"/>
      <c r="G122" s="145"/>
      <c r="H122" s="166"/>
      <c r="I122" s="27"/>
      <c r="J122" s="292">
        <f t="shared" si="31"/>
        <v>80755.558999999994</v>
      </c>
      <c r="K122" s="44">
        <f t="shared" si="31"/>
        <v>85113.870999999999</v>
      </c>
      <c r="L122" s="259">
        <f t="shared" si="32"/>
        <v>5.4</v>
      </c>
      <c r="M122" s="27">
        <f>IFERROR(100/'Skjema total MA'!I122*K122,0)</f>
        <v>27.639906675765047</v>
      </c>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v>4556.6719999999996</v>
      </c>
      <c r="C124" s="234">
        <v>1101.5150000000001</v>
      </c>
      <c r="D124" s="166">
        <f t="shared" si="29"/>
        <v>-75.8</v>
      </c>
      <c r="E124" s="27">
        <f>IFERROR(100/'Skjema total MA'!C124*C124,0)</f>
        <v>2.015635740513718</v>
      </c>
      <c r="F124" s="234">
        <v>28627.687000000002</v>
      </c>
      <c r="G124" s="234">
        <v>7852.62</v>
      </c>
      <c r="H124" s="166">
        <f t="shared" si="30"/>
        <v>-72.599999999999994</v>
      </c>
      <c r="I124" s="27">
        <f>IFERROR(100/'Skjema total MA'!F124*G124,0)</f>
        <v>100</v>
      </c>
      <c r="J124" s="292">
        <f t="shared" si="31"/>
        <v>33184.359000000004</v>
      </c>
      <c r="K124" s="44">
        <f t="shared" si="31"/>
        <v>8954.1350000000002</v>
      </c>
      <c r="L124" s="259">
        <f t="shared" si="32"/>
        <v>-73</v>
      </c>
      <c r="M124" s="27">
        <f>IFERROR(100/'Skjema total MA'!I124*K124,0)</f>
        <v>14.326355833378067</v>
      </c>
    </row>
    <row r="125" spans="1:14" ht="15.75" x14ac:dyDescent="0.2">
      <c r="A125" s="38" t="s">
        <v>417</v>
      </c>
      <c r="B125" s="234">
        <v>277.18599999999998</v>
      </c>
      <c r="C125" s="234">
        <v>0</v>
      </c>
      <c r="D125" s="166">
        <f t="shared" si="29"/>
        <v>-100</v>
      </c>
      <c r="E125" s="27">
        <f>IFERROR(100/'Skjema total MA'!C125*C125,0)</f>
        <v>0</v>
      </c>
      <c r="F125" s="234">
        <v>5094378.42</v>
      </c>
      <c r="G125" s="572">
        <v>417914</v>
      </c>
      <c r="H125" s="166">
        <f t="shared" si="30"/>
        <v>-91.8</v>
      </c>
      <c r="I125" s="27">
        <f>IFERROR(100/'Skjema total MA'!F125*G125,0)</f>
        <v>3.7394279472965697</v>
      </c>
      <c r="J125" s="292">
        <f t="shared" si="31"/>
        <v>5094655.6059999997</v>
      </c>
      <c r="K125" s="44">
        <f t="shared" si="31"/>
        <v>417914</v>
      </c>
      <c r="L125" s="259">
        <f t="shared" si="32"/>
        <v>-91.8</v>
      </c>
      <c r="M125" s="27">
        <f>IFERROR(100/'Skjema total MA'!I125*K125,0)</f>
        <v>3.7392680648637109</v>
      </c>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v>280882.87300000002</v>
      </c>
      <c r="C134" s="311">
        <v>607555.31900000002</v>
      </c>
      <c r="D134" s="351">
        <f t="shared" ref="D134:D137" si="33">IF(B134=0, "    ---- ", IF(ABS(ROUND(100/B134*C134-100,1))&lt;999,ROUND(100/B134*C134-100,1),IF(ROUND(100/B134*C134-100,1)&gt;999,999,-999)))</f>
        <v>116.3</v>
      </c>
      <c r="E134" s="11">
        <f>IFERROR(100/'Skjema total MA'!C134*C134,0)</f>
        <v>1.5774621151172499</v>
      </c>
      <c r="F134" s="318"/>
      <c r="G134" s="319"/>
      <c r="H134" s="428"/>
      <c r="I134" s="24"/>
      <c r="J134" s="320">
        <f t="shared" ref="J134:K137" si="34">SUM(B134,F134)</f>
        <v>280882.87300000002</v>
      </c>
      <c r="K134" s="320">
        <f t="shared" si="34"/>
        <v>607555.31900000002</v>
      </c>
      <c r="L134" s="424">
        <f t="shared" ref="L134:L137" si="35">IF(J134=0, "    ---- ", IF(ABS(ROUND(100/J134*K134-100,1))&lt;999,ROUND(100/J134*K134-100,1),IF(ROUND(100/J134*K134-100,1)&gt;999,999,-999)))</f>
        <v>116.3</v>
      </c>
      <c r="M134" s="11">
        <f>IFERROR(100/'Skjema total MA'!I134*K134,0)</f>
        <v>1.5732427959245467</v>
      </c>
      <c r="N134" s="148"/>
    </row>
    <row r="135" spans="1:14" s="3" customFormat="1" ht="15.75" x14ac:dyDescent="0.2">
      <c r="A135" s="13" t="s">
        <v>378</v>
      </c>
      <c r="B135" s="236">
        <v>11146209.711999999</v>
      </c>
      <c r="C135" s="311">
        <v>16320751.378</v>
      </c>
      <c r="D135" s="171">
        <f t="shared" si="33"/>
        <v>46.4</v>
      </c>
      <c r="E135" s="11">
        <f>IFERROR(100/'Skjema total MA'!C135*C135,0)</f>
        <v>2.0970956362101774</v>
      </c>
      <c r="F135" s="236"/>
      <c r="G135" s="311"/>
      <c r="H135" s="429"/>
      <c r="I135" s="24"/>
      <c r="J135" s="310">
        <f t="shared" si="34"/>
        <v>11146209.711999999</v>
      </c>
      <c r="K135" s="310">
        <f t="shared" si="34"/>
        <v>16320751.378</v>
      </c>
      <c r="L135" s="425">
        <f t="shared" si="35"/>
        <v>46.4</v>
      </c>
      <c r="M135" s="11">
        <f>IFERROR(100/'Skjema total MA'!I135*K135,0)</f>
        <v>2.090141863125103</v>
      </c>
      <c r="N135" s="148"/>
    </row>
    <row r="136" spans="1:14" s="3" customFormat="1" ht="15.75" x14ac:dyDescent="0.2">
      <c r="A136" s="13" t="s">
        <v>375</v>
      </c>
      <c r="B136" s="236">
        <v>7120946.7209999999</v>
      </c>
      <c r="C136" s="311">
        <v>3267388.497</v>
      </c>
      <c r="D136" s="171">
        <f t="shared" si="33"/>
        <v>-54.1</v>
      </c>
      <c r="E136" s="11">
        <f>IFERROR(100/'Skjema total MA'!C136*C136,0)</f>
        <v>99.719502950333819</v>
      </c>
      <c r="F136" s="236"/>
      <c r="G136" s="311"/>
      <c r="H136" s="429"/>
      <c r="I136" s="24"/>
      <c r="J136" s="310">
        <f t="shared" si="34"/>
        <v>7120946.7209999999</v>
      </c>
      <c r="K136" s="310">
        <f t="shared" si="34"/>
        <v>3267388.497</v>
      </c>
      <c r="L136" s="425">
        <f t="shared" si="35"/>
        <v>-54.1</v>
      </c>
      <c r="M136" s="11">
        <f>IFERROR(100/'Skjema total MA'!I136*K136,0)</f>
        <v>89.443494284720444</v>
      </c>
      <c r="N136" s="148"/>
    </row>
    <row r="137" spans="1:14" s="3" customFormat="1" ht="15.75" x14ac:dyDescent="0.2">
      <c r="A137" s="41" t="s">
        <v>376</v>
      </c>
      <c r="B137" s="281">
        <v>0</v>
      </c>
      <c r="C137" s="317">
        <v>10433.835999999999</v>
      </c>
      <c r="D137" s="169" t="str">
        <f t="shared" si="33"/>
        <v xml:space="preserve">    ---- </v>
      </c>
      <c r="E137" s="9">
        <f>IFERROR(100/'Skjema total MA'!C137*C137,0)</f>
        <v>0.23850378268510389</v>
      </c>
      <c r="F137" s="281"/>
      <c r="G137" s="317"/>
      <c r="H137" s="430"/>
      <c r="I137" s="36"/>
      <c r="J137" s="316">
        <f t="shared" si="34"/>
        <v>0</v>
      </c>
      <c r="K137" s="316">
        <f t="shared" si="34"/>
        <v>10433.835999999999</v>
      </c>
      <c r="L137" s="426" t="str">
        <f t="shared" si="35"/>
        <v xml:space="preserve">    ---- </v>
      </c>
      <c r="M137" s="36">
        <f>IFERROR(100/'Skjema total MA'!I137*K137,0)</f>
        <v>0.23850378268510389</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18" priority="76">
      <formula>kvartal &lt; 4</formula>
    </cfRule>
  </conditionalFormatting>
  <conditionalFormatting sqref="C115">
    <cfRule type="expression" dxfId="317" priority="75">
      <formula>kvartal &lt; 4</formula>
    </cfRule>
  </conditionalFormatting>
  <conditionalFormatting sqref="B123">
    <cfRule type="expression" dxfId="316" priority="74">
      <formula>kvartal &lt; 4</formula>
    </cfRule>
  </conditionalFormatting>
  <conditionalFormatting sqref="C123">
    <cfRule type="expression" dxfId="315" priority="73">
      <formula>kvartal &lt; 4</formula>
    </cfRule>
  </conditionalFormatting>
  <conditionalFormatting sqref="F115">
    <cfRule type="expression" dxfId="314" priority="58">
      <formula>kvartal &lt; 4</formula>
    </cfRule>
  </conditionalFormatting>
  <conditionalFormatting sqref="G115">
    <cfRule type="expression" dxfId="313" priority="57">
      <formula>kvartal &lt; 4</formula>
    </cfRule>
  </conditionalFormatting>
  <conditionalFormatting sqref="F123:G123">
    <cfRule type="expression" dxfId="312" priority="56">
      <formula>kvartal &lt; 4</formula>
    </cfRule>
  </conditionalFormatting>
  <conditionalFormatting sqref="J115:K115">
    <cfRule type="expression" dxfId="311" priority="32">
      <formula>kvartal &lt; 4</formula>
    </cfRule>
  </conditionalFormatting>
  <conditionalFormatting sqref="J123:K123">
    <cfRule type="expression" dxfId="310" priority="31">
      <formula>kvartal &lt; 4</formula>
    </cfRule>
  </conditionalFormatting>
  <conditionalFormatting sqref="A50:A52">
    <cfRule type="expression" dxfId="309" priority="12">
      <formula>kvartal &lt; 4</formula>
    </cfRule>
  </conditionalFormatting>
  <conditionalFormatting sqref="A69:A74">
    <cfRule type="expression" dxfId="308" priority="10">
      <formula>kvartal &lt; 4</formula>
    </cfRule>
  </conditionalFormatting>
  <conditionalFormatting sqref="A80:A85">
    <cfRule type="expression" dxfId="307" priority="9">
      <formula>kvartal &lt; 4</formula>
    </cfRule>
  </conditionalFormatting>
  <conditionalFormatting sqref="A90:A95">
    <cfRule type="expression" dxfId="306" priority="6">
      <formula>kvartal &lt; 4</formula>
    </cfRule>
  </conditionalFormatting>
  <conditionalFormatting sqref="A101:A106">
    <cfRule type="expression" dxfId="305" priority="5">
      <formula>kvartal &lt; 4</formula>
    </cfRule>
  </conditionalFormatting>
  <conditionalFormatting sqref="A115">
    <cfRule type="expression" dxfId="304" priority="4">
      <formula>kvartal &lt; 4</formula>
    </cfRule>
  </conditionalFormatting>
  <conditionalFormatting sqref="A123">
    <cfRule type="expression" dxfId="303" priority="3">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131</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425"/>
      <c r="M8" s="27"/>
    </row>
    <row r="9" spans="1:14" ht="15.75" x14ac:dyDescent="0.2">
      <c r="A9" s="21" t="s">
        <v>24</v>
      </c>
      <c r="B9" s="286"/>
      <c r="C9" s="287"/>
      <c r="D9" s="166"/>
      <c r="E9" s="27"/>
      <c r="F9" s="290"/>
      <c r="G9" s="291"/>
      <c r="H9" s="166"/>
      <c r="I9" s="176"/>
      <c r="J9" s="234"/>
      <c r="K9" s="292"/>
      <c r="L9" s="425"/>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171"/>
      <c r="E38" s="24"/>
      <c r="F38" s="321"/>
      <c r="G38" s="322"/>
      <c r="H38" s="171"/>
      <c r="I38" s="431"/>
      <c r="J38" s="236"/>
      <c r="K38" s="236"/>
      <c r="L38" s="425"/>
      <c r="M38" s="24"/>
    </row>
    <row r="39" spans="1:14" ht="15.75" x14ac:dyDescent="0.2">
      <c r="A39" s="18" t="s">
        <v>361</v>
      </c>
      <c r="B39" s="281"/>
      <c r="C39" s="317"/>
      <c r="D39" s="169"/>
      <c r="E39" s="36"/>
      <c r="F39" s="324"/>
      <c r="G39" s="325"/>
      <c r="H39" s="169"/>
      <c r="I39" s="36"/>
      <c r="J39" s="236"/>
      <c r="K39" s="236"/>
      <c r="L39" s="426"/>
      <c r="M39" s="36"/>
    </row>
    <row r="40" spans="1:14" ht="15.75" x14ac:dyDescent="0.25">
      <c r="A40" s="47"/>
      <c r="B40" s="258"/>
      <c r="C40" s="258"/>
      <c r="D40" s="705"/>
      <c r="E40" s="705"/>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686</v>
      </c>
      <c r="C47" s="313">
        <v>7890</v>
      </c>
      <c r="D47" s="424">
        <f t="shared" ref="D47:D48" si="0">IF(B47=0, "    ---- ", IF(ABS(ROUND(100/B47*C47-100,1))&lt;999,ROUND(100/B47*C47-100,1),IF(ROUND(100/B47*C47-100,1)&gt;999,999,-999)))</f>
        <v>999</v>
      </c>
      <c r="E47" s="11">
        <f>IFERROR(100/'Skjema total MA'!C47*C47,0)</f>
        <v>0.18128872166660021</v>
      </c>
      <c r="F47" s="145"/>
      <c r="G47" s="33"/>
      <c r="H47" s="159"/>
      <c r="I47" s="159"/>
      <c r="J47" s="37"/>
      <c r="K47" s="37"/>
      <c r="L47" s="159"/>
      <c r="M47" s="159"/>
      <c r="N47" s="148"/>
    </row>
    <row r="48" spans="1:14" s="3" customFormat="1" ht="15.75" x14ac:dyDescent="0.2">
      <c r="A48" s="38" t="s">
        <v>362</v>
      </c>
      <c r="B48" s="286">
        <v>686</v>
      </c>
      <c r="C48" s="287">
        <v>7890</v>
      </c>
      <c r="D48" s="259">
        <f t="shared" si="0"/>
        <v>999</v>
      </c>
      <c r="E48" s="27">
        <f>IFERROR(100/'Skjema total MA'!C48*C48,0)</f>
        <v>0.32008004512660093</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02" priority="76">
      <formula>kvartal &lt; 4</formula>
    </cfRule>
  </conditionalFormatting>
  <conditionalFormatting sqref="C115">
    <cfRule type="expression" dxfId="301" priority="75">
      <formula>kvartal &lt; 4</formula>
    </cfRule>
  </conditionalFormatting>
  <conditionalFormatting sqref="B123">
    <cfRule type="expression" dxfId="300" priority="74">
      <formula>kvartal &lt; 4</formula>
    </cfRule>
  </conditionalFormatting>
  <conditionalFormatting sqref="C123">
    <cfRule type="expression" dxfId="299" priority="73">
      <formula>kvartal &lt; 4</formula>
    </cfRule>
  </conditionalFormatting>
  <conditionalFormatting sqref="F115">
    <cfRule type="expression" dxfId="298" priority="58">
      <formula>kvartal &lt; 4</formula>
    </cfRule>
  </conditionalFormatting>
  <conditionalFormatting sqref="G115">
    <cfRule type="expression" dxfId="297" priority="57">
      <formula>kvartal &lt; 4</formula>
    </cfRule>
  </conditionalFormatting>
  <conditionalFormatting sqref="F123:G123">
    <cfRule type="expression" dxfId="296" priority="56">
      <formula>kvartal &lt; 4</formula>
    </cfRule>
  </conditionalFormatting>
  <conditionalFormatting sqref="J115:K115">
    <cfRule type="expression" dxfId="295" priority="32">
      <formula>kvartal &lt; 4</formula>
    </cfRule>
  </conditionalFormatting>
  <conditionalFormatting sqref="J123:K123">
    <cfRule type="expression" dxfId="294" priority="31">
      <formula>kvartal &lt; 4</formula>
    </cfRule>
  </conditionalFormatting>
  <conditionalFormatting sqref="A50:A52">
    <cfRule type="expression" dxfId="293" priority="12">
      <formula>kvartal &lt; 4</formula>
    </cfRule>
  </conditionalFormatting>
  <conditionalFormatting sqref="A69:A74">
    <cfRule type="expression" dxfId="292" priority="10">
      <formula>kvartal &lt; 4</formula>
    </cfRule>
  </conditionalFormatting>
  <conditionalFormatting sqref="A80:A85">
    <cfRule type="expression" dxfId="291" priority="9">
      <formula>kvartal &lt; 4</formula>
    </cfRule>
  </conditionalFormatting>
  <conditionalFormatting sqref="A90:A95">
    <cfRule type="expression" dxfId="290" priority="6">
      <formula>kvartal &lt; 4</formula>
    </cfRule>
  </conditionalFormatting>
  <conditionalFormatting sqref="A101:A106">
    <cfRule type="expression" dxfId="289" priority="5">
      <formula>kvartal &lt; 4</formula>
    </cfRule>
  </conditionalFormatting>
  <conditionalFormatting sqref="A115">
    <cfRule type="expression" dxfId="288" priority="4">
      <formula>kvartal &lt; 4</formula>
    </cfRule>
  </conditionalFormatting>
  <conditionalFormatting sqref="A123">
    <cfRule type="expression" dxfId="287"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O144"/>
  <sheetViews>
    <sheetView showGridLines="0" zoomScaleNormal="10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97</v>
      </c>
      <c r="D1" s="26"/>
      <c r="E1" s="26"/>
      <c r="F1" s="26"/>
      <c r="G1" s="26"/>
      <c r="H1" s="26"/>
      <c r="I1" s="26"/>
      <c r="J1" s="26"/>
      <c r="K1" s="26"/>
      <c r="L1" s="26"/>
      <c r="M1" s="26"/>
    </row>
    <row r="2" spans="1:14" ht="15.75" x14ac:dyDescent="0.25">
      <c r="A2" s="165" t="s">
        <v>28</v>
      </c>
      <c r="B2" s="706"/>
      <c r="C2" s="706"/>
      <c r="D2" s="706"/>
      <c r="E2" s="301"/>
      <c r="F2" s="706"/>
      <c r="G2" s="706"/>
      <c r="H2" s="706"/>
      <c r="I2" s="301"/>
      <c r="J2" s="706"/>
      <c r="K2" s="706"/>
      <c r="L2" s="706"/>
      <c r="M2" s="301"/>
    </row>
    <row r="3" spans="1:14" ht="15.75" x14ac:dyDescent="0.25">
      <c r="A3" s="163"/>
      <c r="B3" s="301"/>
      <c r="C3" s="301"/>
      <c r="D3" s="301"/>
      <c r="E3" s="301"/>
      <c r="F3" s="301"/>
      <c r="G3" s="301"/>
      <c r="H3" s="301"/>
      <c r="I3" s="301"/>
      <c r="J3" s="301"/>
      <c r="K3" s="301"/>
      <c r="L3" s="301"/>
      <c r="M3" s="301"/>
    </row>
    <row r="4" spans="1:14" x14ac:dyDescent="0.2">
      <c r="A4" s="144"/>
      <c r="B4" s="702" t="s">
        <v>0</v>
      </c>
      <c r="C4" s="703"/>
      <c r="D4" s="703"/>
      <c r="E4" s="303"/>
      <c r="F4" s="702" t="s">
        <v>1</v>
      </c>
      <c r="G4" s="703"/>
      <c r="H4" s="703"/>
      <c r="I4" s="306"/>
      <c r="J4" s="702" t="s">
        <v>2</v>
      </c>
      <c r="K4" s="703"/>
      <c r="L4" s="703"/>
      <c r="M4" s="30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c r="D7" s="351"/>
      <c r="E7" s="11"/>
      <c r="F7" s="308"/>
      <c r="G7" s="309"/>
      <c r="H7" s="351"/>
      <c r="I7" s="160"/>
      <c r="J7" s="310"/>
      <c r="K7" s="311"/>
      <c r="L7" s="424"/>
      <c r="M7" s="11"/>
    </row>
    <row r="8" spans="1:14" ht="15.75" x14ac:dyDescent="0.2">
      <c r="A8" s="21" t="s">
        <v>25</v>
      </c>
      <c r="B8" s="286"/>
      <c r="C8" s="287"/>
      <c r="D8" s="166"/>
      <c r="E8" s="27"/>
      <c r="F8" s="290"/>
      <c r="G8" s="291"/>
      <c r="H8" s="166"/>
      <c r="I8" s="176"/>
      <c r="J8" s="234"/>
      <c r="K8" s="292"/>
      <c r="L8" s="259"/>
      <c r="M8" s="27"/>
    </row>
    <row r="9" spans="1:14" ht="15.75" x14ac:dyDescent="0.2">
      <c r="A9" s="21" t="s">
        <v>24</v>
      </c>
      <c r="B9" s="286"/>
      <c r="C9" s="287"/>
      <c r="D9" s="166"/>
      <c r="E9" s="27"/>
      <c r="F9" s="290"/>
      <c r="G9" s="291"/>
      <c r="H9" s="166"/>
      <c r="I9" s="176"/>
      <c r="J9" s="234"/>
      <c r="K9" s="292"/>
      <c r="L9" s="259"/>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301"/>
      <c r="F18" s="701"/>
      <c r="G18" s="701"/>
      <c r="H18" s="701"/>
      <c r="I18" s="301"/>
      <c r="J18" s="701"/>
      <c r="K18" s="701"/>
      <c r="L18" s="701"/>
      <c r="M18" s="301"/>
    </row>
    <row r="19" spans="1:14" x14ac:dyDescent="0.2">
      <c r="A19" s="144"/>
      <c r="B19" s="702" t="s">
        <v>0</v>
      </c>
      <c r="C19" s="703"/>
      <c r="D19" s="703"/>
      <c r="E19" s="303"/>
      <c r="F19" s="702" t="s">
        <v>1</v>
      </c>
      <c r="G19" s="703"/>
      <c r="H19" s="703"/>
      <c r="I19" s="306"/>
      <c r="J19" s="702" t="s">
        <v>2</v>
      </c>
      <c r="K19" s="703"/>
      <c r="L19" s="703"/>
      <c r="M19" s="30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429"/>
      <c r="E38" s="24"/>
      <c r="F38" s="321"/>
      <c r="G38" s="322"/>
      <c r="H38" s="171"/>
      <c r="I38" s="431"/>
      <c r="J38" s="236"/>
      <c r="K38" s="236"/>
      <c r="L38" s="425"/>
      <c r="M38" s="24"/>
    </row>
    <row r="39" spans="1:14" ht="15.75" x14ac:dyDescent="0.2">
      <c r="A39" s="18" t="s">
        <v>361</v>
      </c>
      <c r="B39" s="281"/>
      <c r="C39" s="317"/>
      <c r="D39" s="430"/>
      <c r="E39" s="36"/>
      <c r="F39" s="324"/>
      <c r="G39" s="325"/>
      <c r="H39" s="169"/>
      <c r="I39" s="36"/>
      <c r="J39" s="236"/>
      <c r="K39" s="236"/>
      <c r="L39" s="426"/>
      <c r="M39" s="36"/>
    </row>
    <row r="40" spans="1:14" ht="15.75" x14ac:dyDescent="0.25">
      <c r="A40" s="47"/>
      <c r="B40" s="258"/>
      <c r="C40" s="258"/>
      <c r="D40" s="705"/>
      <c r="E40" s="707"/>
      <c r="F40" s="705"/>
      <c r="G40" s="705"/>
      <c r="H40" s="705"/>
      <c r="I40" s="705"/>
      <c r="J40" s="705"/>
      <c r="K40" s="705"/>
      <c r="L40" s="705"/>
      <c r="M40" s="304"/>
    </row>
    <row r="41" spans="1:14" x14ac:dyDescent="0.2">
      <c r="A41" s="155"/>
    </row>
    <row r="42" spans="1:14" ht="15.75" x14ac:dyDescent="0.25">
      <c r="A42" s="147" t="s">
        <v>269</v>
      </c>
      <c r="B42" s="706"/>
      <c r="C42" s="706"/>
      <c r="D42" s="706"/>
      <c r="E42" s="301"/>
      <c r="F42" s="707"/>
      <c r="G42" s="707"/>
      <c r="H42" s="707"/>
      <c r="I42" s="304"/>
      <c r="J42" s="707"/>
      <c r="K42" s="707"/>
      <c r="L42" s="707"/>
      <c r="M42" s="304"/>
    </row>
    <row r="43" spans="1:14" ht="15.75" x14ac:dyDescent="0.25">
      <c r="A43" s="163"/>
      <c r="B43" s="305"/>
      <c r="C43" s="305"/>
      <c r="D43" s="305"/>
      <c r="E43" s="305"/>
      <c r="F43" s="304"/>
      <c r="G43" s="304"/>
      <c r="H43" s="304"/>
      <c r="I43" s="304"/>
      <c r="J43" s="304"/>
      <c r="K43" s="304"/>
      <c r="L43" s="304"/>
      <c r="M43" s="304"/>
    </row>
    <row r="44" spans="1:14" ht="15.75" x14ac:dyDescent="0.25">
      <c r="A44" s="249"/>
      <c r="B44" s="702" t="s">
        <v>0</v>
      </c>
      <c r="C44" s="703"/>
      <c r="D44" s="703"/>
      <c r="E44" s="244"/>
      <c r="F44" s="304"/>
      <c r="G44" s="304"/>
      <c r="H44" s="304"/>
      <c r="I44" s="304"/>
      <c r="J44" s="304"/>
      <c r="K44" s="304"/>
      <c r="L44" s="304"/>
      <c r="M44" s="30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545103.80000000005</v>
      </c>
      <c r="C47" s="313">
        <v>611540</v>
      </c>
      <c r="D47" s="424">
        <f t="shared" ref="D47:D57" si="0">IF(B47=0, "    ---- ", IF(ABS(ROUND(100/B47*C47-100,1))&lt;999,ROUND(100/B47*C47-100,1),IF(ROUND(100/B47*C47-100,1)&gt;999,999,-999)))</f>
        <v>12.2</v>
      </c>
      <c r="E47" s="11">
        <f>IFERROR(100/'Skjema total MA'!C47*C47,0)</f>
        <v>14.051369435740519</v>
      </c>
      <c r="F47" s="145"/>
      <c r="G47" s="33"/>
      <c r="H47" s="159"/>
      <c r="I47" s="159"/>
      <c r="J47" s="37"/>
      <c r="K47" s="37"/>
      <c r="L47" s="159"/>
      <c r="M47" s="159"/>
      <c r="N47" s="148"/>
    </row>
    <row r="48" spans="1:14" s="3" customFormat="1" ht="15.75" x14ac:dyDescent="0.2">
      <c r="A48" s="38" t="s">
        <v>362</v>
      </c>
      <c r="B48" s="286">
        <v>123303.5</v>
      </c>
      <c r="C48" s="287">
        <v>142315</v>
      </c>
      <c r="D48" s="259">
        <f t="shared" si="0"/>
        <v>15.4</v>
      </c>
      <c r="E48" s="27">
        <f>IFERROR(100/'Skjema total MA'!C48*C48,0)</f>
        <v>5.7734083171346269</v>
      </c>
      <c r="F48" s="145"/>
      <c r="G48" s="33"/>
      <c r="H48" s="145"/>
      <c r="I48" s="145"/>
      <c r="J48" s="33"/>
      <c r="K48" s="33"/>
      <c r="L48" s="159"/>
      <c r="M48" s="159"/>
      <c r="N48" s="148"/>
    </row>
    <row r="49" spans="1:14" s="3" customFormat="1" ht="15.75" x14ac:dyDescent="0.2">
      <c r="A49" s="38" t="s">
        <v>363</v>
      </c>
      <c r="B49" s="44">
        <v>421800.3</v>
      </c>
      <c r="C49" s="292">
        <v>469225</v>
      </c>
      <c r="D49" s="259">
        <f>IF(B49=0, "    ---- ", IF(ABS(ROUND(100/B49*C49-100,1))&lt;999,ROUND(100/B49*C49-100,1),IF(ROUND(100/B49*C49-100,1)&gt;999,999,-999)))</f>
        <v>11.2</v>
      </c>
      <c r="E49" s="27">
        <f>IFERROR(100/'Skjema total MA'!C49*C49,0)</f>
        <v>24.864012126840588</v>
      </c>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v>2065.1999999999998</v>
      </c>
      <c r="C53" s="313">
        <v>2772</v>
      </c>
      <c r="D53" s="425">
        <f t="shared" si="0"/>
        <v>34.200000000000003</v>
      </c>
      <c r="E53" s="11">
        <f>IFERROR(100/'Skjema total MA'!C53*C53,0)</f>
        <v>2.548953399458322</v>
      </c>
      <c r="F53" s="145"/>
      <c r="G53" s="33"/>
      <c r="H53" s="145"/>
      <c r="I53" s="145"/>
      <c r="J53" s="33"/>
      <c r="K53" s="33"/>
      <c r="L53" s="159"/>
      <c r="M53" s="159"/>
      <c r="N53" s="148"/>
    </row>
    <row r="54" spans="1:14" s="3" customFormat="1" ht="15.75" x14ac:dyDescent="0.2">
      <c r="A54" s="38" t="s">
        <v>362</v>
      </c>
      <c r="B54" s="286">
        <v>2065.1999999999998</v>
      </c>
      <c r="C54" s="287">
        <v>2772</v>
      </c>
      <c r="D54" s="259">
        <f t="shared" si="0"/>
        <v>34.200000000000003</v>
      </c>
      <c r="E54" s="27">
        <f>IFERROR(100/'Skjema total MA'!C54*C54,0)</f>
        <v>2.5713923858789483</v>
      </c>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v>13264.3</v>
      </c>
      <c r="C56" s="313">
        <v>17478</v>
      </c>
      <c r="D56" s="425">
        <f t="shared" si="0"/>
        <v>31.8</v>
      </c>
      <c r="E56" s="11">
        <f>IFERROR(100/'Skjema total MA'!C56*C56,0)</f>
        <v>21.193600594846817</v>
      </c>
      <c r="F56" s="145"/>
      <c r="G56" s="33"/>
      <c r="H56" s="145"/>
      <c r="I56" s="145"/>
      <c r="J56" s="33"/>
      <c r="K56" s="33"/>
      <c r="L56" s="159"/>
      <c r="M56" s="159"/>
      <c r="N56" s="148"/>
    </row>
    <row r="57" spans="1:14" s="3" customFormat="1" ht="15.75" x14ac:dyDescent="0.2">
      <c r="A57" s="38" t="s">
        <v>362</v>
      </c>
      <c r="B57" s="286">
        <v>13264.3</v>
      </c>
      <c r="C57" s="287">
        <v>17478</v>
      </c>
      <c r="D57" s="259">
        <f t="shared" si="0"/>
        <v>31.8</v>
      </c>
      <c r="E57" s="27">
        <f>IFERROR(100/'Skjema total MA'!C57*C57,0)</f>
        <v>21.193600594846817</v>
      </c>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301"/>
      <c r="F62" s="701"/>
      <c r="G62" s="701"/>
      <c r="H62" s="701"/>
      <c r="I62" s="301"/>
      <c r="J62" s="701"/>
      <c r="K62" s="701"/>
      <c r="L62" s="701"/>
      <c r="M62" s="301"/>
    </row>
    <row r="63" spans="1:14" x14ac:dyDescent="0.2">
      <c r="A63" s="144"/>
      <c r="B63" s="702" t="s">
        <v>0</v>
      </c>
      <c r="C63" s="703"/>
      <c r="D63" s="704"/>
      <c r="E63" s="302"/>
      <c r="F63" s="703" t="s">
        <v>1</v>
      </c>
      <c r="G63" s="703"/>
      <c r="H63" s="703"/>
      <c r="I63" s="306"/>
      <c r="J63" s="702" t="s">
        <v>2</v>
      </c>
      <c r="K63" s="703"/>
      <c r="L63" s="703"/>
      <c r="M63" s="30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234"/>
      <c r="C109" s="234"/>
      <c r="D109" s="166"/>
      <c r="E109" s="27"/>
      <c r="F109" s="234"/>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301"/>
      <c r="F130" s="701"/>
      <c r="G130" s="701"/>
      <c r="H130" s="701"/>
      <c r="I130" s="301"/>
      <c r="J130" s="701"/>
      <c r="K130" s="701"/>
      <c r="L130" s="701"/>
      <c r="M130" s="301"/>
    </row>
    <row r="131" spans="1:14" s="3" customFormat="1" x14ac:dyDescent="0.2">
      <c r="A131" s="144"/>
      <c r="B131" s="702" t="s">
        <v>0</v>
      </c>
      <c r="C131" s="703"/>
      <c r="D131" s="703"/>
      <c r="E131" s="303"/>
      <c r="F131" s="702" t="s">
        <v>1</v>
      </c>
      <c r="G131" s="703"/>
      <c r="H131" s="703"/>
      <c r="I131" s="306"/>
      <c r="J131" s="702" t="s">
        <v>2</v>
      </c>
      <c r="K131" s="703"/>
      <c r="L131" s="703"/>
      <c r="M131" s="30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86" priority="61">
      <formula>kvartal &lt; 4</formula>
    </cfRule>
  </conditionalFormatting>
  <conditionalFormatting sqref="C115">
    <cfRule type="expression" dxfId="285" priority="60">
      <formula>kvartal &lt; 4</formula>
    </cfRule>
  </conditionalFormatting>
  <conditionalFormatting sqref="B123">
    <cfRule type="expression" dxfId="284" priority="59">
      <formula>kvartal &lt; 4</formula>
    </cfRule>
  </conditionalFormatting>
  <conditionalFormatting sqref="C123">
    <cfRule type="expression" dxfId="283" priority="58">
      <formula>kvartal &lt; 4</formula>
    </cfRule>
  </conditionalFormatting>
  <conditionalFormatting sqref="F115">
    <cfRule type="expression" dxfId="282" priority="43">
      <formula>kvartal &lt; 4</formula>
    </cfRule>
  </conditionalFormatting>
  <conditionalFormatting sqref="G115">
    <cfRule type="expression" dxfId="281" priority="42">
      <formula>kvartal &lt; 4</formula>
    </cfRule>
  </conditionalFormatting>
  <conditionalFormatting sqref="F123:G123">
    <cfRule type="expression" dxfId="280" priority="41">
      <formula>kvartal &lt; 4</formula>
    </cfRule>
  </conditionalFormatting>
  <conditionalFormatting sqref="J115:K115">
    <cfRule type="expression" dxfId="279" priority="17">
      <formula>kvartal &lt; 4</formula>
    </cfRule>
  </conditionalFormatting>
  <conditionalFormatting sqref="J123:K123">
    <cfRule type="expression" dxfId="278" priority="16">
      <formula>kvartal &lt; 4</formula>
    </cfRule>
  </conditionalFormatting>
  <conditionalFormatting sqref="A50:A52">
    <cfRule type="expression" dxfId="277" priority="12">
      <formula>kvartal &lt; 4</formula>
    </cfRule>
  </conditionalFormatting>
  <conditionalFormatting sqref="A69:A74">
    <cfRule type="expression" dxfId="276" priority="10">
      <formula>kvartal &lt; 4</formula>
    </cfRule>
  </conditionalFormatting>
  <conditionalFormatting sqref="A80:A85">
    <cfRule type="expression" dxfId="275" priority="9">
      <formula>kvartal &lt; 4</formula>
    </cfRule>
  </conditionalFormatting>
  <conditionalFormatting sqref="A90:A95">
    <cfRule type="expression" dxfId="274" priority="6">
      <formula>kvartal &lt; 4</formula>
    </cfRule>
  </conditionalFormatting>
  <conditionalFormatting sqref="A101:A106">
    <cfRule type="expression" dxfId="273" priority="5">
      <formula>kvartal &lt; 4</formula>
    </cfRule>
  </conditionalFormatting>
  <conditionalFormatting sqref="A115">
    <cfRule type="expression" dxfId="272" priority="4">
      <formula>kvartal &lt; 4</formula>
    </cfRule>
  </conditionalFormatting>
  <conditionalFormatting sqref="A123">
    <cfRule type="expression" dxfId="271"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385</v>
      </c>
      <c r="D1" s="26"/>
      <c r="E1" s="26"/>
      <c r="F1" s="26"/>
      <c r="G1" s="26"/>
      <c r="H1" s="26"/>
      <c r="I1" s="26"/>
      <c r="J1" s="26"/>
      <c r="K1" s="26"/>
      <c r="L1" s="26"/>
      <c r="M1" s="26"/>
    </row>
    <row r="2" spans="1:14" ht="15.75" x14ac:dyDescent="0.25">
      <c r="A2" s="165" t="s">
        <v>28</v>
      </c>
      <c r="B2" s="706"/>
      <c r="C2" s="706"/>
      <c r="D2" s="706"/>
      <c r="E2" s="523"/>
      <c r="F2" s="706"/>
      <c r="G2" s="706"/>
      <c r="H2" s="706"/>
      <c r="I2" s="523"/>
      <c r="J2" s="706"/>
      <c r="K2" s="706"/>
      <c r="L2" s="706"/>
      <c r="M2" s="523"/>
    </row>
    <row r="3" spans="1:14" ht="15.75" x14ac:dyDescent="0.25">
      <c r="A3" s="163"/>
      <c r="B3" s="523"/>
      <c r="C3" s="523"/>
      <c r="D3" s="523"/>
      <c r="E3" s="523"/>
      <c r="F3" s="523"/>
      <c r="G3" s="523"/>
      <c r="H3" s="523"/>
      <c r="I3" s="523"/>
      <c r="J3" s="523"/>
      <c r="K3" s="523"/>
      <c r="L3" s="523"/>
      <c r="M3" s="523"/>
    </row>
    <row r="4" spans="1:14" x14ac:dyDescent="0.2">
      <c r="A4" s="144"/>
      <c r="B4" s="702" t="s">
        <v>0</v>
      </c>
      <c r="C4" s="703"/>
      <c r="D4" s="703"/>
      <c r="E4" s="520"/>
      <c r="F4" s="702" t="s">
        <v>1</v>
      </c>
      <c r="G4" s="703"/>
      <c r="H4" s="703"/>
      <c r="I4" s="521"/>
      <c r="J4" s="702" t="s">
        <v>2</v>
      </c>
      <c r="K4" s="703"/>
      <c r="L4" s="703"/>
      <c r="M4" s="521"/>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v>1194</v>
      </c>
      <c r="C7" s="309">
        <v>1552</v>
      </c>
      <c r="D7" s="351">
        <f>IF(B7=0, "    ---- ", IF(ABS(ROUND(100/B7*C7-100,1))&lt;999,ROUND(100/B7*C7-100,1),IF(ROUND(100/B7*C7-100,1)&gt;999,999,-999)))</f>
        <v>30</v>
      </c>
      <c r="E7" s="11">
        <f>IFERROR(100/'Skjema total MA'!C7*C7,0)</f>
        <v>5.382941588696305E-2</v>
      </c>
      <c r="F7" s="308"/>
      <c r="G7" s="309"/>
      <c r="H7" s="351"/>
      <c r="I7" s="160"/>
      <c r="J7" s="310">
        <f t="shared" ref="J7:K8" si="0">SUM(B7,F7)</f>
        <v>1194</v>
      </c>
      <c r="K7" s="311">
        <f t="shared" si="0"/>
        <v>1552</v>
      </c>
      <c r="L7" s="424">
        <f>IF(J7=0, "    ---- ", IF(ABS(ROUND(100/J7*K7-100,1))&lt;999,ROUND(100/J7*K7-100,1),IF(ROUND(100/J7*K7-100,1)&gt;999,999,-999)))</f>
        <v>30</v>
      </c>
      <c r="M7" s="11">
        <f>IFERROR(100/'Skjema total MA'!I7*K7,0)</f>
        <v>1.7894632884912873E-2</v>
      </c>
    </row>
    <row r="8" spans="1:14" ht="15.75" x14ac:dyDescent="0.2">
      <c r="A8" s="21" t="s">
        <v>25</v>
      </c>
      <c r="B8" s="286">
        <v>1194</v>
      </c>
      <c r="C8" s="287">
        <v>1552</v>
      </c>
      <c r="D8" s="166">
        <f t="shared" ref="D8" si="1">IF(B8=0, "    ---- ", IF(ABS(ROUND(100/B8*C8-100,1))&lt;999,ROUND(100/B8*C8-100,1),IF(ROUND(100/B8*C8-100,1)&gt;999,999,-999)))</f>
        <v>30</v>
      </c>
      <c r="E8" s="27">
        <f>IFERROR(100/'Skjema total MA'!C8*C8,0)</f>
        <v>8.1947081854831363E-2</v>
      </c>
      <c r="F8" s="290"/>
      <c r="G8" s="291"/>
      <c r="H8" s="166"/>
      <c r="I8" s="176"/>
      <c r="J8" s="234">
        <f t="shared" si="0"/>
        <v>1194</v>
      </c>
      <c r="K8" s="292">
        <f t="shared" si="0"/>
        <v>1552</v>
      </c>
      <c r="L8" s="166">
        <f t="shared" ref="L8" si="2">IF(J8=0, "    ---- ", IF(ABS(ROUND(100/J8*K8-100,1))&lt;999,ROUND(100/J8*K8-100,1),IF(ROUND(100/J8*K8-100,1)&gt;999,999,-999)))</f>
        <v>30</v>
      </c>
      <c r="M8" s="27">
        <f>IFERROR(100/'Skjema total MA'!I8*K8,0)</f>
        <v>8.1947081854831363E-2</v>
      </c>
    </row>
    <row r="9" spans="1:14" ht="15.75" x14ac:dyDescent="0.2">
      <c r="A9" s="21" t="s">
        <v>24</v>
      </c>
      <c r="B9" s="286"/>
      <c r="C9" s="287"/>
      <c r="D9" s="166"/>
      <c r="E9" s="27"/>
      <c r="F9" s="290"/>
      <c r="G9" s="291"/>
      <c r="H9" s="166"/>
      <c r="I9" s="176"/>
      <c r="J9" s="234"/>
      <c r="K9" s="292"/>
      <c r="L9" s="166"/>
      <c r="M9" s="27"/>
    </row>
    <row r="10" spans="1:14" ht="15.75" x14ac:dyDescent="0.2">
      <c r="A10" s="13" t="s">
        <v>351</v>
      </c>
      <c r="B10" s="312"/>
      <c r="C10" s="313"/>
      <c r="D10" s="171"/>
      <c r="E10" s="11"/>
      <c r="F10" s="312"/>
      <c r="G10" s="313"/>
      <c r="H10" s="171"/>
      <c r="I10" s="160"/>
      <c r="J10" s="310"/>
      <c r="K10" s="311"/>
      <c r="L10" s="425"/>
      <c r="M10" s="11"/>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523"/>
      <c r="F18" s="701"/>
      <c r="G18" s="701"/>
      <c r="H18" s="701"/>
      <c r="I18" s="523"/>
      <c r="J18" s="701"/>
      <c r="K18" s="701"/>
      <c r="L18" s="701"/>
      <c r="M18" s="523"/>
    </row>
    <row r="19" spans="1:14" x14ac:dyDescent="0.2">
      <c r="A19" s="144"/>
      <c r="B19" s="702" t="s">
        <v>0</v>
      </c>
      <c r="C19" s="703"/>
      <c r="D19" s="703"/>
      <c r="E19" s="520"/>
      <c r="F19" s="702" t="s">
        <v>1</v>
      </c>
      <c r="G19" s="703"/>
      <c r="H19" s="703"/>
      <c r="I19" s="521"/>
      <c r="J19" s="702" t="s">
        <v>2</v>
      </c>
      <c r="K19" s="703"/>
      <c r="L19" s="703"/>
      <c r="M19" s="521"/>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429"/>
      <c r="E38" s="24"/>
      <c r="F38" s="321"/>
      <c r="G38" s="322"/>
      <c r="H38" s="171"/>
      <c r="I38" s="431"/>
      <c r="J38" s="236"/>
      <c r="K38" s="236"/>
      <c r="L38" s="425"/>
      <c r="M38" s="24"/>
    </row>
    <row r="39" spans="1:14" ht="15.75" x14ac:dyDescent="0.2">
      <c r="A39" s="18" t="s">
        <v>361</v>
      </c>
      <c r="B39" s="281"/>
      <c r="C39" s="317"/>
      <c r="D39" s="430"/>
      <c r="E39" s="36"/>
      <c r="F39" s="324"/>
      <c r="G39" s="325"/>
      <c r="H39" s="169"/>
      <c r="I39" s="36"/>
      <c r="J39" s="236"/>
      <c r="K39" s="236"/>
      <c r="L39" s="426"/>
      <c r="M39" s="36"/>
    </row>
    <row r="40" spans="1:14" ht="15.75" x14ac:dyDescent="0.25">
      <c r="A40" s="47"/>
      <c r="B40" s="258"/>
      <c r="C40" s="258"/>
      <c r="D40" s="705"/>
      <c r="E40" s="707"/>
      <c r="F40" s="705"/>
      <c r="G40" s="705"/>
      <c r="H40" s="705"/>
      <c r="I40" s="705"/>
      <c r="J40" s="705"/>
      <c r="K40" s="705"/>
      <c r="L40" s="705"/>
      <c r="M40" s="524"/>
    </row>
    <row r="41" spans="1:14" x14ac:dyDescent="0.2">
      <c r="A41" s="155"/>
    </row>
    <row r="42" spans="1:14" ht="15.75" x14ac:dyDescent="0.25">
      <c r="A42" s="147" t="s">
        <v>269</v>
      </c>
      <c r="B42" s="706"/>
      <c r="C42" s="706"/>
      <c r="D42" s="706"/>
      <c r="E42" s="523"/>
      <c r="F42" s="707"/>
      <c r="G42" s="707"/>
      <c r="H42" s="707"/>
      <c r="I42" s="524"/>
      <c r="J42" s="707"/>
      <c r="K42" s="707"/>
      <c r="L42" s="707"/>
      <c r="M42" s="524"/>
    </row>
    <row r="43" spans="1:14" ht="15.75" x14ac:dyDescent="0.25">
      <c r="A43" s="163"/>
      <c r="B43" s="522"/>
      <c r="C43" s="522"/>
      <c r="D43" s="522"/>
      <c r="E43" s="522"/>
      <c r="F43" s="524"/>
      <c r="G43" s="524"/>
      <c r="H43" s="524"/>
      <c r="I43" s="524"/>
      <c r="J43" s="524"/>
      <c r="K43" s="524"/>
      <c r="L43" s="524"/>
      <c r="M43" s="524"/>
    </row>
    <row r="44" spans="1:14" ht="15.75" x14ac:dyDescent="0.25">
      <c r="A44" s="249"/>
      <c r="B44" s="702" t="s">
        <v>0</v>
      </c>
      <c r="C44" s="703"/>
      <c r="D44" s="703"/>
      <c r="E44" s="244"/>
      <c r="F44" s="524"/>
      <c r="G44" s="524"/>
      <c r="H44" s="524"/>
      <c r="I44" s="524"/>
      <c r="J44" s="524"/>
      <c r="K44" s="524"/>
      <c r="L44" s="524"/>
      <c r="M44" s="524"/>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v>490</v>
      </c>
      <c r="C47" s="313">
        <v>568</v>
      </c>
      <c r="D47" s="424">
        <f t="shared" ref="D47:D48" si="3">IF(B47=0, "    ---- ", IF(ABS(ROUND(100/B47*C47-100,1))&lt;999,ROUND(100/B47*C47-100,1),IF(ROUND(100/B47*C47-100,1)&gt;999,999,-999)))</f>
        <v>15.9</v>
      </c>
      <c r="E47" s="11">
        <f>IFERROR(100/'Skjema total MA'!C47*C47,0)</f>
        <v>1.3050949798051829E-2</v>
      </c>
      <c r="F47" s="145"/>
      <c r="G47" s="33"/>
      <c r="H47" s="159"/>
      <c r="I47" s="159"/>
      <c r="J47" s="37"/>
      <c r="K47" s="37"/>
      <c r="L47" s="159"/>
      <c r="M47" s="159"/>
      <c r="N47" s="148"/>
    </row>
    <row r="48" spans="1:14" s="3" customFormat="1" ht="15.75" x14ac:dyDescent="0.2">
      <c r="A48" s="38" t="s">
        <v>362</v>
      </c>
      <c r="B48" s="286">
        <v>490</v>
      </c>
      <c r="C48" s="287">
        <v>568</v>
      </c>
      <c r="D48" s="259">
        <f t="shared" si="3"/>
        <v>15.9</v>
      </c>
      <c r="E48" s="27">
        <f>IFERROR(100/'Skjema total MA'!C48*C48,0)</f>
        <v>2.3042517824069624E-2</v>
      </c>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523"/>
      <c r="F62" s="701"/>
      <c r="G62" s="701"/>
      <c r="H62" s="701"/>
      <c r="I62" s="523"/>
      <c r="J62" s="701"/>
      <c r="K62" s="701"/>
      <c r="L62" s="701"/>
      <c r="M62" s="523"/>
    </row>
    <row r="63" spans="1:14" x14ac:dyDescent="0.2">
      <c r="A63" s="144"/>
      <c r="B63" s="702" t="s">
        <v>0</v>
      </c>
      <c r="C63" s="703"/>
      <c r="D63" s="704"/>
      <c r="E63" s="519"/>
      <c r="F63" s="703" t="s">
        <v>1</v>
      </c>
      <c r="G63" s="703"/>
      <c r="H63" s="703"/>
      <c r="I63" s="521"/>
      <c r="J63" s="702" t="s">
        <v>2</v>
      </c>
      <c r="K63" s="703"/>
      <c r="L63" s="703"/>
      <c r="M63" s="521"/>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572"/>
      <c r="C109" s="234"/>
      <c r="D109" s="166"/>
      <c r="E109" s="27"/>
      <c r="F109" s="572"/>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523"/>
      <c r="F130" s="701"/>
      <c r="G130" s="701"/>
      <c r="H130" s="701"/>
      <c r="I130" s="523"/>
      <c r="J130" s="701"/>
      <c r="K130" s="701"/>
      <c r="L130" s="701"/>
      <c r="M130" s="523"/>
    </row>
    <row r="131" spans="1:14" s="3" customFormat="1" x14ac:dyDescent="0.2">
      <c r="A131" s="144"/>
      <c r="B131" s="702" t="s">
        <v>0</v>
      </c>
      <c r="C131" s="703"/>
      <c r="D131" s="703"/>
      <c r="E131" s="520"/>
      <c r="F131" s="702" t="s">
        <v>1</v>
      </c>
      <c r="G131" s="703"/>
      <c r="H131" s="703"/>
      <c r="I131" s="521"/>
      <c r="J131" s="702" t="s">
        <v>2</v>
      </c>
      <c r="K131" s="703"/>
      <c r="L131" s="703"/>
      <c r="M131" s="521"/>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270" priority="42">
      <formula>kvartal &lt; 4</formula>
    </cfRule>
  </conditionalFormatting>
  <conditionalFormatting sqref="C115">
    <cfRule type="expression" dxfId="269" priority="41">
      <formula>kvartal &lt; 4</formula>
    </cfRule>
  </conditionalFormatting>
  <conditionalFormatting sqref="B123">
    <cfRule type="expression" dxfId="268" priority="40">
      <formula>kvartal &lt; 4</formula>
    </cfRule>
  </conditionalFormatting>
  <conditionalFormatting sqref="C123">
    <cfRule type="expression" dxfId="267" priority="39">
      <formula>kvartal &lt; 4</formula>
    </cfRule>
  </conditionalFormatting>
  <conditionalFormatting sqref="F115">
    <cfRule type="expression" dxfId="266" priority="28">
      <formula>kvartal &lt; 4</formula>
    </cfRule>
  </conditionalFormatting>
  <conditionalFormatting sqref="G115">
    <cfRule type="expression" dxfId="265" priority="27">
      <formula>kvartal &lt; 4</formula>
    </cfRule>
  </conditionalFormatting>
  <conditionalFormatting sqref="F123:G123">
    <cfRule type="expression" dxfId="264" priority="26">
      <formula>kvartal &lt; 4</formula>
    </cfRule>
  </conditionalFormatting>
  <conditionalFormatting sqref="J115:K115">
    <cfRule type="expression" dxfId="263" priority="9">
      <formula>kvartal &lt; 4</formula>
    </cfRule>
  </conditionalFormatting>
  <conditionalFormatting sqref="J123:K123">
    <cfRule type="expression" dxfId="262" priority="8">
      <formula>kvartal &lt; 4</formula>
    </cfRule>
  </conditionalFormatting>
  <conditionalFormatting sqref="A50:A52">
    <cfRule type="expression" dxfId="261" priority="7">
      <formula>kvartal &lt; 4</formula>
    </cfRule>
  </conditionalFormatting>
  <conditionalFormatting sqref="A69:A74">
    <cfRule type="expression" dxfId="260" priority="6">
      <formula>kvartal &lt; 4</formula>
    </cfRule>
  </conditionalFormatting>
  <conditionalFormatting sqref="A80:A85">
    <cfRule type="expression" dxfId="259" priority="5">
      <formula>kvartal &lt; 4</formula>
    </cfRule>
  </conditionalFormatting>
  <conditionalFormatting sqref="A90:A95">
    <cfRule type="expression" dxfId="258" priority="4">
      <formula>kvartal &lt; 4</formula>
    </cfRule>
  </conditionalFormatting>
  <conditionalFormatting sqref="A101:A106">
    <cfRule type="expression" dxfId="257" priority="3">
      <formula>kvartal &lt; 4</formula>
    </cfRule>
  </conditionalFormatting>
  <conditionalFormatting sqref="A115">
    <cfRule type="expression" dxfId="256" priority="2">
      <formula>kvartal &lt; 4</formula>
    </cfRule>
  </conditionalFormatting>
  <conditionalFormatting sqref="A123">
    <cfRule type="expression" dxfId="255" priority="1">
      <formula>kvartal &lt; 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election activeCell="A3" sqref="A3"/>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134</v>
      </c>
      <c r="B1" s="661"/>
      <c r="C1" s="250" t="s">
        <v>407</v>
      </c>
      <c r="D1" s="26"/>
      <c r="E1" s="26"/>
      <c r="F1" s="26"/>
      <c r="G1" s="26"/>
      <c r="H1" s="26"/>
      <c r="I1" s="26"/>
      <c r="J1" s="26"/>
      <c r="K1" s="26"/>
      <c r="L1" s="26"/>
      <c r="M1" s="26"/>
    </row>
    <row r="2" spans="1:14" ht="15.75" x14ac:dyDescent="0.25">
      <c r="A2" s="165" t="s">
        <v>28</v>
      </c>
      <c r="B2" s="706"/>
      <c r="C2" s="706"/>
      <c r="D2" s="706"/>
      <c r="E2" s="577"/>
      <c r="F2" s="706"/>
      <c r="G2" s="706"/>
      <c r="H2" s="706"/>
      <c r="I2" s="577"/>
      <c r="J2" s="706"/>
      <c r="K2" s="706"/>
      <c r="L2" s="706"/>
      <c r="M2" s="577"/>
    </row>
    <row r="3" spans="1:14" ht="15.75" x14ac:dyDescent="0.25">
      <c r="A3" s="163"/>
      <c r="B3" s="577"/>
      <c r="C3" s="577"/>
      <c r="D3" s="577"/>
      <c r="E3" s="577"/>
      <c r="F3" s="577"/>
      <c r="G3" s="577"/>
      <c r="H3" s="577"/>
      <c r="I3" s="577"/>
      <c r="J3" s="577"/>
      <c r="K3" s="577"/>
      <c r="L3" s="577"/>
      <c r="M3" s="577"/>
    </row>
    <row r="4" spans="1:14" x14ac:dyDescent="0.2">
      <c r="A4" s="144"/>
      <c r="B4" s="702" t="s">
        <v>0</v>
      </c>
      <c r="C4" s="703"/>
      <c r="D4" s="703"/>
      <c r="E4" s="575"/>
      <c r="F4" s="702" t="s">
        <v>1</v>
      </c>
      <c r="G4" s="703"/>
      <c r="H4" s="703"/>
      <c r="I4" s="576"/>
      <c r="J4" s="702" t="s">
        <v>2</v>
      </c>
      <c r="K4" s="703"/>
      <c r="L4" s="703"/>
      <c r="M4" s="576"/>
    </row>
    <row r="5" spans="1:14" x14ac:dyDescent="0.2">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
      <c r="A6" s="662"/>
      <c r="B6" s="156"/>
      <c r="C6" s="156"/>
      <c r="D6" s="248" t="s">
        <v>4</v>
      </c>
      <c r="E6" s="156" t="s">
        <v>30</v>
      </c>
      <c r="F6" s="161"/>
      <c r="G6" s="161"/>
      <c r="H6" s="246" t="s">
        <v>4</v>
      </c>
      <c r="I6" s="156" t="s">
        <v>30</v>
      </c>
      <c r="J6" s="161"/>
      <c r="K6" s="161"/>
      <c r="L6" s="246" t="s">
        <v>4</v>
      </c>
      <c r="M6" s="156" t="s">
        <v>30</v>
      </c>
    </row>
    <row r="7" spans="1:14" ht="15.75" x14ac:dyDescent="0.2">
      <c r="A7" s="14" t="s">
        <v>23</v>
      </c>
      <c r="B7" s="308"/>
      <c r="C7" s="309">
        <v>1993</v>
      </c>
      <c r="D7" s="351" t="str">
        <f>IF(B7=0, "    ---- ", IF(ABS(ROUND(100/B7*C7-100,1))&lt;999,ROUND(100/B7*C7-100,1),IF(ROUND(100/B7*C7-100,1)&gt;999,999,-999)))</f>
        <v xml:space="preserve">    ---- </v>
      </c>
      <c r="E7" s="11">
        <f>IFERROR(100/'Skjema total MA'!C7*C7,0)</f>
        <v>6.9125016664122005E-2</v>
      </c>
      <c r="F7" s="308"/>
      <c r="G7" s="309"/>
      <c r="H7" s="351"/>
      <c r="I7" s="160"/>
      <c r="J7" s="310"/>
      <c r="K7" s="311">
        <f t="shared" ref="K7:K10" si="0">SUM(C7,G7)</f>
        <v>1993</v>
      </c>
      <c r="L7" s="424" t="str">
        <f>IF(J7=0, "    ---- ", IF(ABS(ROUND(100/J7*K7-100,1))&lt;999,ROUND(100/J7*K7-100,1),IF(ROUND(100/J7*K7-100,1)&gt;999,999,-999)))</f>
        <v xml:space="preserve">    ---- </v>
      </c>
      <c r="M7" s="11">
        <f>IFERROR(100/'Skjema total MA'!I7*K7,0)</f>
        <v>2.2979383595123297E-2</v>
      </c>
    </row>
    <row r="8" spans="1:14" ht="15.75" x14ac:dyDescent="0.2">
      <c r="A8" s="21" t="s">
        <v>25</v>
      </c>
      <c r="B8" s="286"/>
      <c r="C8" s="287">
        <v>395</v>
      </c>
      <c r="D8" s="166" t="str">
        <f t="shared" ref="D8:D10" si="1">IF(B8=0, "    ---- ", IF(ABS(ROUND(100/B8*C8-100,1))&lt;999,ROUND(100/B8*C8-100,1),IF(ROUND(100/B8*C8-100,1)&gt;999,999,-999)))</f>
        <v xml:space="preserve">    ---- </v>
      </c>
      <c r="E8" s="27">
        <f>IFERROR(100/'Skjema total MA'!C8*C8,0)</f>
        <v>2.0856377147331434E-2</v>
      </c>
      <c r="F8" s="290"/>
      <c r="G8" s="291"/>
      <c r="H8" s="166"/>
      <c r="I8" s="176"/>
      <c r="J8" s="234"/>
      <c r="K8" s="292">
        <f t="shared" si="0"/>
        <v>395</v>
      </c>
      <c r="L8" s="166" t="str">
        <f t="shared" ref="L8:L10" si="2">IF(J8=0, "    ---- ", IF(ABS(ROUND(100/J8*K8-100,1))&lt;999,ROUND(100/J8*K8-100,1),IF(ROUND(100/J8*K8-100,1)&gt;999,999,-999)))</f>
        <v xml:space="preserve">    ---- </v>
      </c>
      <c r="M8" s="27">
        <f>IFERROR(100/'Skjema total MA'!I8*K8,0)</f>
        <v>2.0856377147331434E-2</v>
      </c>
    </row>
    <row r="9" spans="1:14" ht="15.75" x14ac:dyDescent="0.2">
      <c r="A9" s="21" t="s">
        <v>24</v>
      </c>
      <c r="B9" s="286"/>
      <c r="C9" s="287">
        <v>243</v>
      </c>
      <c r="D9" s="166" t="str">
        <f t="shared" si="1"/>
        <v xml:space="preserve">    ---- </v>
      </c>
      <c r="E9" s="27">
        <f>IFERROR(100/'Skjema total MA'!C9*C9,0)</f>
        <v>4.1866921282599751E-2</v>
      </c>
      <c r="F9" s="290"/>
      <c r="G9" s="291"/>
      <c r="H9" s="166"/>
      <c r="I9" s="176"/>
      <c r="J9" s="234"/>
      <c r="K9" s="292">
        <f t="shared" si="0"/>
        <v>243</v>
      </c>
      <c r="L9" s="166" t="str">
        <f t="shared" si="2"/>
        <v xml:space="preserve">    ---- </v>
      </c>
      <c r="M9" s="27">
        <f>IFERROR(100/'Skjema total MA'!I9*K9,0)</f>
        <v>4.1866921282599751E-2</v>
      </c>
    </row>
    <row r="10" spans="1:14" ht="15.75" x14ac:dyDescent="0.2">
      <c r="A10" s="13" t="s">
        <v>351</v>
      </c>
      <c r="B10" s="312"/>
      <c r="C10" s="313">
        <v>1794</v>
      </c>
      <c r="D10" s="171" t="str">
        <f t="shared" si="1"/>
        <v xml:space="preserve">    ---- </v>
      </c>
      <c r="E10" s="11">
        <f>IFERROR(100/'Skjema total MA'!C10*C10,0)</f>
        <v>1.1166642265963343E-2</v>
      </c>
      <c r="F10" s="312"/>
      <c r="G10" s="313"/>
      <c r="H10" s="171"/>
      <c r="I10" s="160"/>
      <c r="J10" s="310"/>
      <c r="K10" s="311">
        <f t="shared" si="0"/>
        <v>1794</v>
      </c>
      <c r="L10" s="425" t="str">
        <f t="shared" si="2"/>
        <v xml:space="preserve">    ---- </v>
      </c>
      <c r="M10" s="11">
        <f>IFERROR(100/'Skjema total MA'!I10*K10,0)</f>
        <v>2.0680304820977764E-3</v>
      </c>
    </row>
    <row r="11" spans="1:14" s="43" customFormat="1" ht="15.75" x14ac:dyDescent="0.2">
      <c r="A11" s="13" t="s">
        <v>352</v>
      </c>
      <c r="B11" s="312"/>
      <c r="C11" s="313"/>
      <c r="D11" s="171"/>
      <c r="E11" s="11"/>
      <c r="F11" s="312"/>
      <c r="G11" s="313"/>
      <c r="H11" s="171"/>
      <c r="I11" s="160"/>
      <c r="J11" s="310"/>
      <c r="K11" s="311"/>
      <c r="L11" s="425"/>
      <c r="M11" s="11"/>
      <c r="N11" s="143"/>
    </row>
    <row r="12" spans="1:14" s="43" customFormat="1" ht="15.75" x14ac:dyDescent="0.2">
      <c r="A12" s="41" t="s">
        <v>353</v>
      </c>
      <c r="B12" s="314"/>
      <c r="C12" s="315"/>
      <c r="D12" s="169"/>
      <c r="E12" s="36"/>
      <c r="F12" s="314"/>
      <c r="G12" s="315"/>
      <c r="H12" s="169"/>
      <c r="I12" s="169"/>
      <c r="J12" s="316"/>
      <c r="K12" s="317"/>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701"/>
      <c r="C18" s="701"/>
      <c r="D18" s="701"/>
      <c r="E18" s="577"/>
      <c r="F18" s="701"/>
      <c r="G18" s="701"/>
      <c r="H18" s="701"/>
      <c r="I18" s="577"/>
      <c r="J18" s="701"/>
      <c r="K18" s="701"/>
      <c r="L18" s="701"/>
      <c r="M18" s="577"/>
    </row>
    <row r="19" spans="1:14" x14ac:dyDescent="0.2">
      <c r="A19" s="144"/>
      <c r="B19" s="702" t="s">
        <v>0</v>
      </c>
      <c r="C19" s="703"/>
      <c r="D19" s="703"/>
      <c r="E19" s="575"/>
      <c r="F19" s="702" t="s">
        <v>1</v>
      </c>
      <c r="G19" s="703"/>
      <c r="H19" s="703"/>
      <c r="I19" s="576"/>
      <c r="J19" s="702" t="s">
        <v>2</v>
      </c>
      <c r="K19" s="703"/>
      <c r="L19" s="703"/>
      <c r="M19" s="576"/>
    </row>
    <row r="20" spans="1:14" x14ac:dyDescent="0.2">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
      <c r="A21" s="663"/>
      <c r="B21" s="156"/>
      <c r="C21" s="156"/>
      <c r="D21" s="248" t="s">
        <v>4</v>
      </c>
      <c r="E21" s="156" t="s">
        <v>30</v>
      </c>
      <c r="F21" s="161"/>
      <c r="G21" s="161"/>
      <c r="H21" s="246"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4"/>
      <c r="M22" s="24"/>
    </row>
    <row r="23" spans="1:14" ht="15.75" x14ac:dyDescent="0.2">
      <c r="A23" s="503" t="s">
        <v>354</v>
      </c>
      <c r="B23" s="286"/>
      <c r="C23" s="286"/>
      <c r="D23" s="166"/>
      <c r="E23" s="11"/>
      <c r="F23" s="295"/>
      <c r="G23" s="295"/>
      <c r="H23" s="166"/>
      <c r="I23" s="414"/>
      <c r="J23" s="295"/>
      <c r="K23" s="295"/>
      <c r="L23" s="166"/>
      <c r="M23" s="23"/>
    </row>
    <row r="24" spans="1:14" ht="15.75" x14ac:dyDescent="0.2">
      <c r="A24" s="503" t="s">
        <v>355</v>
      </c>
      <c r="B24" s="286"/>
      <c r="C24" s="286"/>
      <c r="D24" s="166"/>
      <c r="E24" s="11"/>
      <c r="F24" s="295"/>
      <c r="G24" s="295"/>
      <c r="H24" s="166"/>
      <c r="I24" s="414"/>
      <c r="J24" s="295"/>
      <c r="K24" s="295"/>
      <c r="L24" s="166"/>
      <c r="M24" s="23"/>
    </row>
    <row r="25" spans="1:14" ht="15.75" x14ac:dyDescent="0.2">
      <c r="A25" s="503" t="s">
        <v>356</v>
      </c>
      <c r="B25" s="286"/>
      <c r="C25" s="286"/>
      <c r="D25" s="166"/>
      <c r="E25" s="11"/>
      <c r="F25" s="295"/>
      <c r="G25" s="295"/>
      <c r="H25" s="166"/>
      <c r="I25" s="414"/>
      <c r="J25" s="295"/>
      <c r="K25" s="295"/>
      <c r="L25" s="166"/>
      <c r="M25" s="23"/>
    </row>
    <row r="26" spans="1:14" ht="15.75" x14ac:dyDescent="0.2">
      <c r="A26" s="503" t="s">
        <v>357</v>
      </c>
      <c r="B26" s="286"/>
      <c r="C26" s="286"/>
      <c r="D26" s="166"/>
      <c r="E26" s="11"/>
      <c r="F26" s="295"/>
      <c r="G26" s="295"/>
      <c r="H26" s="166"/>
      <c r="I26" s="414"/>
      <c r="J26" s="295"/>
      <c r="K26" s="295"/>
      <c r="L26" s="166"/>
      <c r="M26" s="23"/>
    </row>
    <row r="27" spans="1:14" x14ac:dyDescent="0.2">
      <c r="A27" s="503" t="s">
        <v>11</v>
      </c>
      <c r="B27" s="286"/>
      <c r="C27" s="286"/>
      <c r="D27" s="166"/>
      <c r="E27" s="11"/>
      <c r="F27" s="295"/>
      <c r="G27" s="295"/>
      <c r="H27" s="166"/>
      <c r="I27" s="414"/>
      <c r="J27" s="295"/>
      <c r="K27" s="295"/>
      <c r="L27" s="166"/>
      <c r="M27" s="23"/>
    </row>
    <row r="28" spans="1:14" ht="15.75" x14ac:dyDescent="0.2">
      <c r="A28" s="49" t="s">
        <v>272</v>
      </c>
      <c r="B28" s="44"/>
      <c r="C28" s="292"/>
      <c r="D28" s="166"/>
      <c r="E28" s="11"/>
      <c r="F28" s="234"/>
      <c r="G28" s="292"/>
      <c r="H28" s="166"/>
      <c r="I28" s="27"/>
      <c r="J28" s="44"/>
      <c r="K28" s="44"/>
      <c r="L28" s="259"/>
      <c r="M28" s="23"/>
    </row>
    <row r="29" spans="1:14" s="3" customFormat="1" ht="15.75" x14ac:dyDescent="0.2">
      <c r="A29" s="13" t="s">
        <v>351</v>
      </c>
      <c r="B29" s="236"/>
      <c r="C29" s="236"/>
      <c r="D29" s="171"/>
      <c r="E29" s="11"/>
      <c r="F29" s="310"/>
      <c r="G29" s="310"/>
      <c r="H29" s="171"/>
      <c r="I29" s="11"/>
      <c r="J29" s="236"/>
      <c r="K29" s="236"/>
      <c r="L29" s="425"/>
      <c r="M29" s="24"/>
      <c r="N29" s="148"/>
    </row>
    <row r="30" spans="1:14" s="3" customFormat="1" ht="15.75" x14ac:dyDescent="0.2">
      <c r="A30" s="503" t="s">
        <v>354</v>
      </c>
      <c r="B30" s="286"/>
      <c r="C30" s="286"/>
      <c r="D30" s="166"/>
      <c r="E30" s="11"/>
      <c r="F30" s="295"/>
      <c r="G30" s="295"/>
      <c r="H30" s="166"/>
      <c r="I30" s="414"/>
      <c r="J30" s="295"/>
      <c r="K30" s="295"/>
      <c r="L30" s="166"/>
      <c r="M30" s="23"/>
      <c r="N30" s="148"/>
    </row>
    <row r="31" spans="1:14" s="3" customFormat="1" ht="15.75" x14ac:dyDescent="0.2">
      <c r="A31" s="503" t="s">
        <v>355</v>
      </c>
      <c r="B31" s="286"/>
      <c r="C31" s="286"/>
      <c r="D31" s="166"/>
      <c r="E31" s="11"/>
      <c r="F31" s="295"/>
      <c r="G31" s="295"/>
      <c r="H31" s="166"/>
      <c r="I31" s="414"/>
      <c r="J31" s="295"/>
      <c r="K31" s="295"/>
      <c r="L31" s="166"/>
      <c r="M31" s="23"/>
      <c r="N31" s="148"/>
    </row>
    <row r="32" spans="1:14" ht="15.75" x14ac:dyDescent="0.2">
      <c r="A32" s="503" t="s">
        <v>356</v>
      </c>
      <c r="B32" s="286"/>
      <c r="C32" s="286"/>
      <c r="D32" s="166"/>
      <c r="E32" s="11"/>
      <c r="F32" s="295"/>
      <c r="G32" s="295"/>
      <c r="H32" s="166"/>
      <c r="I32" s="414"/>
      <c r="J32" s="295"/>
      <c r="K32" s="295"/>
      <c r="L32" s="166"/>
      <c r="M32" s="23"/>
    </row>
    <row r="33" spans="1:14" ht="15.75" x14ac:dyDescent="0.2">
      <c r="A33" s="503" t="s">
        <v>357</v>
      </c>
      <c r="B33" s="286"/>
      <c r="C33" s="286"/>
      <c r="D33" s="166"/>
      <c r="E33" s="11"/>
      <c r="F33" s="295"/>
      <c r="G33" s="295"/>
      <c r="H33" s="166"/>
      <c r="I33" s="414"/>
      <c r="J33" s="295"/>
      <c r="K33" s="295"/>
      <c r="L33" s="166"/>
      <c r="M33" s="23"/>
    </row>
    <row r="34" spans="1:14" ht="15.75" x14ac:dyDescent="0.2">
      <c r="A34" s="13" t="s">
        <v>352</v>
      </c>
      <c r="B34" s="236"/>
      <c r="C34" s="311"/>
      <c r="D34" s="171"/>
      <c r="E34" s="11"/>
      <c r="F34" s="310"/>
      <c r="G34" s="311"/>
      <c r="H34" s="171"/>
      <c r="I34" s="11"/>
      <c r="J34" s="236"/>
      <c r="K34" s="236"/>
      <c r="L34" s="425"/>
      <c r="M34" s="24"/>
    </row>
    <row r="35" spans="1:14" ht="15.75" x14ac:dyDescent="0.2">
      <c r="A35" s="13" t="s">
        <v>353</v>
      </c>
      <c r="B35" s="236"/>
      <c r="C35" s="311"/>
      <c r="D35" s="171"/>
      <c r="E35" s="11"/>
      <c r="F35" s="310"/>
      <c r="G35" s="311"/>
      <c r="H35" s="171"/>
      <c r="I35" s="11"/>
      <c r="J35" s="236"/>
      <c r="K35" s="236"/>
      <c r="L35" s="425"/>
      <c r="M35" s="24"/>
    </row>
    <row r="36" spans="1:14" ht="15.75" x14ac:dyDescent="0.2">
      <c r="A36" s="12" t="s">
        <v>280</v>
      </c>
      <c r="B36" s="236"/>
      <c r="C36" s="311"/>
      <c r="D36" s="171"/>
      <c r="E36" s="11"/>
      <c r="F36" s="321"/>
      <c r="G36" s="322"/>
      <c r="H36" s="171"/>
      <c r="I36" s="431"/>
      <c r="J36" s="236"/>
      <c r="K36" s="236"/>
      <c r="L36" s="425"/>
      <c r="M36" s="24"/>
    </row>
    <row r="37" spans="1:14" ht="15.75" x14ac:dyDescent="0.2">
      <c r="A37" s="12" t="s">
        <v>359</v>
      </c>
      <c r="B37" s="236"/>
      <c r="C37" s="311"/>
      <c r="D37" s="171"/>
      <c r="E37" s="11"/>
      <c r="F37" s="321"/>
      <c r="G37" s="323"/>
      <c r="H37" s="171"/>
      <c r="I37" s="431"/>
      <c r="J37" s="236"/>
      <c r="K37" s="236"/>
      <c r="L37" s="425"/>
      <c r="M37" s="24"/>
    </row>
    <row r="38" spans="1:14" ht="15.75" x14ac:dyDescent="0.2">
      <c r="A38" s="12" t="s">
        <v>360</v>
      </c>
      <c r="B38" s="236"/>
      <c r="C38" s="311"/>
      <c r="D38" s="429"/>
      <c r="E38" s="24"/>
      <c r="F38" s="321"/>
      <c r="G38" s="322"/>
      <c r="H38" s="171"/>
      <c r="I38" s="431"/>
      <c r="J38" s="236"/>
      <c r="K38" s="236"/>
      <c r="L38" s="425"/>
      <c r="M38" s="24"/>
    </row>
    <row r="39" spans="1:14" ht="15.75" x14ac:dyDescent="0.2">
      <c r="A39" s="18" t="s">
        <v>361</v>
      </c>
      <c r="B39" s="281"/>
      <c r="C39" s="317"/>
      <c r="D39" s="430"/>
      <c r="E39" s="36"/>
      <c r="F39" s="324"/>
      <c r="G39" s="325"/>
      <c r="H39" s="169"/>
      <c r="I39" s="36"/>
      <c r="J39" s="236"/>
      <c r="K39" s="236"/>
      <c r="L39" s="426"/>
      <c r="M39" s="36"/>
    </row>
    <row r="40" spans="1:14" ht="15.75" x14ac:dyDescent="0.25">
      <c r="A40" s="47"/>
      <c r="B40" s="258"/>
      <c r="C40" s="258"/>
      <c r="D40" s="705"/>
      <c r="E40" s="707"/>
      <c r="F40" s="705"/>
      <c r="G40" s="705"/>
      <c r="H40" s="705"/>
      <c r="I40" s="705"/>
      <c r="J40" s="705"/>
      <c r="K40" s="705"/>
      <c r="L40" s="705"/>
      <c r="M40" s="578"/>
    </row>
    <row r="41" spans="1:14" x14ac:dyDescent="0.2">
      <c r="A41" s="155"/>
    </row>
    <row r="42" spans="1:14" ht="15.75" x14ac:dyDescent="0.25">
      <c r="A42" s="147" t="s">
        <v>269</v>
      </c>
      <c r="B42" s="706"/>
      <c r="C42" s="706"/>
      <c r="D42" s="706"/>
      <c r="E42" s="577"/>
      <c r="F42" s="707"/>
      <c r="G42" s="707"/>
      <c r="H42" s="707"/>
      <c r="I42" s="578"/>
      <c r="J42" s="707"/>
      <c r="K42" s="707"/>
      <c r="L42" s="707"/>
      <c r="M42" s="578"/>
    </row>
    <row r="43" spans="1:14" ht="15.75" x14ac:dyDescent="0.25">
      <c r="A43" s="163"/>
      <c r="B43" s="573"/>
      <c r="C43" s="573"/>
      <c r="D43" s="573"/>
      <c r="E43" s="573"/>
      <c r="F43" s="578"/>
      <c r="G43" s="578"/>
      <c r="H43" s="578"/>
      <c r="I43" s="578"/>
      <c r="J43" s="578"/>
      <c r="K43" s="578"/>
      <c r="L43" s="578"/>
      <c r="M43" s="578"/>
    </row>
    <row r="44" spans="1:14" ht="15.75" x14ac:dyDescent="0.25">
      <c r="A44" s="249"/>
      <c r="B44" s="702" t="s">
        <v>0</v>
      </c>
      <c r="C44" s="703"/>
      <c r="D44" s="703"/>
      <c r="E44" s="244"/>
      <c r="F44" s="578"/>
      <c r="G44" s="578"/>
      <c r="H44" s="578"/>
      <c r="I44" s="578"/>
      <c r="J44" s="578"/>
      <c r="K44" s="578"/>
      <c r="L44" s="578"/>
      <c r="M44" s="578"/>
    </row>
    <row r="45" spans="1:14" s="3" customFormat="1" x14ac:dyDescent="0.2">
      <c r="A45" s="140"/>
      <c r="B45" s="173" t="s">
        <v>435</v>
      </c>
      <c r="C45" s="173" t="s">
        <v>436</v>
      </c>
      <c r="D45" s="162" t="s">
        <v>3</v>
      </c>
      <c r="E45" s="162" t="s">
        <v>29</v>
      </c>
      <c r="F45" s="175"/>
      <c r="G45" s="175"/>
      <c r="H45" s="174"/>
      <c r="I45" s="174"/>
      <c r="J45" s="175"/>
      <c r="K45" s="175"/>
      <c r="L45" s="174"/>
      <c r="M45" s="174"/>
      <c r="N45" s="148"/>
    </row>
    <row r="46" spans="1:14" s="3" customFormat="1" x14ac:dyDescent="0.2">
      <c r="A46" s="663"/>
      <c r="B46" s="245"/>
      <c r="C46" s="245"/>
      <c r="D46" s="246" t="s">
        <v>4</v>
      </c>
      <c r="E46" s="156" t="s">
        <v>30</v>
      </c>
      <c r="F46" s="174"/>
      <c r="G46" s="174"/>
      <c r="H46" s="174"/>
      <c r="I46" s="174"/>
      <c r="J46" s="174"/>
      <c r="K46" s="174"/>
      <c r="L46" s="174"/>
      <c r="M46" s="174"/>
      <c r="N46" s="148"/>
    </row>
    <row r="47" spans="1:14" s="3" customFormat="1" ht="15.75" x14ac:dyDescent="0.2">
      <c r="A47" s="14" t="s">
        <v>23</v>
      </c>
      <c r="B47" s="312"/>
      <c r="C47" s="313"/>
      <c r="D47" s="424"/>
      <c r="E47" s="11"/>
      <c r="F47" s="145"/>
      <c r="G47" s="33"/>
      <c r="H47" s="159"/>
      <c r="I47" s="159"/>
      <c r="J47" s="37"/>
      <c r="K47" s="37"/>
      <c r="L47" s="159"/>
      <c r="M47" s="159"/>
      <c r="N47" s="148"/>
    </row>
    <row r="48" spans="1:14" s="3" customFormat="1" ht="15.75" x14ac:dyDescent="0.2">
      <c r="A48" s="38" t="s">
        <v>362</v>
      </c>
      <c r="B48" s="286"/>
      <c r="C48" s="287"/>
      <c r="D48" s="259"/>
      <c r="E48" s="27"/>
      <c r="F48" s="145"/>
      <c r="G48" s="33"/>
      <c r="H48" s="145"/>
      <c r="I48" s="145"/>
      <c r="J48" s="33"/>
      <c r="K48" s="33"/>
      <c r="L48" s="159"/>
      <c r="M48" s="159"/>
      <c r="N48" s="148"/>
    </row>
    <row r="49" spans="1:14" s="3" customFormat="1" ht="15.75" x14ac:dyDescent="0.2">
      <c r="A49" s="38" t="s">
        <v>363</v>
      </c>
      <c r="B49" s="44"/>
      <c r="C49" s="292"/>
      <c r="D49" s="259"/>
      <c r="E49" s="27"/>
      <c r="F49" s="145"/>
      <c r="G49" s="33"/>
      <c r="H49" s="145"/>
      <c r="I49" s="145"/>
      <c r="J49" s="37"/>
      <c r="K49" s="37"/>
      <c r="L49" s="159"/>
      <c r="M49" s="159"/>
      <c r="N49" s="148"/>
    </row>
    <row r="50" spans="1:14" s="3" customFormat="1" x14ac:dyDescent="0.2">
      <c r="A50" s="298" t="s">
        <v>6</v>
      </c>
      <c r="B50" s="321"/>
      <c r="C50" s="321"/>
      <c r="D50" s="259"/>
      <c r="E50" s="23"/>
      <c r="F50" s="145"/>
      <c r="G50" s="33"/>
      <c r="H50" s="145"/>
      <c r="I50" s="145"/>
      <c r="J50" s="33"/>
      <c r="K50" s="33"/>
      <c r="L50" s="159"/>
      <c r="M50" s="159"/>
      <c r="N50" s="148"/>
    </row>
    <row r="51" spans="1:14" s="3" customFormat="1" x14ac:dyDescent="0.2">
      <c r="A51" s="298" t="s">
        <v>7</v>
      </c>
      <c r="B51" s="321"/>
      <c r="C51" s="321"/>
      <c r="D51" s="259"/>
      <c r="E51" s="23"/>
      <c r="F51" s="145"/>
      <c r="G51" s="33"/>
      <c r="H51" s="145"/>
      <c r="I51" s="145"/>
      <c r="J51" s="33"/>
      <c r="K51" s="33"/>
      <c r="L51" s="159"/>
      <c r="M51" s="159"/>
      <c r="N51" s="148"/>
    </row>
    <row r="52" spans="1:14" s="3" customFormat="1" x14ac:dyDescent="0.2">
      <c r="A52" s="298" t="s">
        <v>8</v>
      </c>
      <c r="B52" s="321"/>
      <c r="C52" s="321"/>
      <c r="D52" s="259"/>
      <c r="E52" s="23"/>
      <c r="F52" s="145"/>
      <c r="G52" s="33"/>
      <c r="H52" s="145"/>
      <c r="I52" s="145"/>
      <c r="J52" s="33"/>
      <c r="K52" s="33"/>
      <c r="L52" s="159"/>
      <c r="M52" s="159"/>
      <c r="N52" s="148"/>
    </row>
    <row r="53" spans="1:14" s="3" customFormat="1" ht="15.75" x14ac:dyDescent="0.2">
      <c r="A53" s="39" t="s">
        <v>364</v>
      </c>
      <c r="B53" s="312"/>
      <c r="C53" s="313"/>
      <c r="D53" s="425"/>
      <c r="E53" s="11"/>
      <c r="F53" s="145"/>
      <c r="G53" s="33"/>
      <c r="H53" s="145"/>
      <c r="I53" s="145"/>
      <c r="J53" s="33"/>
      <c r="K53" s="33"/>
      <c r="L53" s="159"/>
      <c r="M53" s="159"/>
      <c r="N53" s="148"/>
    </row>
    <row r="54" spans="1:14" s="3" customFormat="1" ht="15.75" x14ac:dyDescent="0.2">
      <c r="A54" s="38" t="s">
        <v>362</v>
      </c>
      <c r="B54" s="286"/>
      <c r="C54" s="287"/>
      <c r="D54" s="259"/>
      <c r="E54" s="27"/>
      <c r="F54" s="145"/>
      <c r="G54" s="33"/>
      <c r="H54" s="145"/>
      <c r="I54" s="145"/>
      <c r="J54" s="33"/>
      <c r="K54" s="33"/>
      <c r="L54" s="159"/>
      <c r="M54" s="159"/>
      <c r="N54" s="148"/>
    </row>
    <row r="55" spans="1:14" s="3" customFormat="1" ht="15.75" x14ac:dyDescent="0.2">
      <c r="A55" s="38" t="s">
        <v>363</v>
      </c>
      <c r="B55" s="286"/>
      <c r="C55" s="287"/>
      <c r="D55" s="259"/>
      <c r="E55" s="27"/>
      <c r="F55" s="145"/>
      <c r="G55" s="33"/>
      <c r="H55" s="145"/>
      <c r="I55" s="145"/>
      <c r="J55" s="33"/>
      <c r="K55" s="33"/>
      <c r="L55" s="159"/>
      <c r="M55" s="159"/>
      <c r="N55" s="148"/>
    </row>
    <row r="56" spans="1:14" s="3" customFormat="1" ht="15.75" x14ac:dyDescent="0.2">
      <c r="A56" s="39" t="s">
        <v>365</v>
      </c>
      <c r="B56" s="312"/>
      <c r="C56" s="313"/>
      <c r="D56" s="425"/>
      <c r="E56" s="11"/>
      <c r="F56" s="145"/>
      <c r="G56" s="33"/>
      <c r="H56" s="145"/>
      <c r="I56" s="145"/>
      <c r="J56" s="33"/>
      <c r="K56" s="33"/>
      <c r="L56" s="159"/>
      <c r="M56" s="159"/>
      <c r="N56" s="148"/>
    </row>
    <row r="57" spans="1:14" s="3" customFormat="1" ht="15.75" x14ac:dyDescent="0.2">
      <c r="A57" s="38" t="s">
        <v>362</v>
      </c>
      <c r="B57" s="286"/>
      <c r="C57" s="287"/>
      <c r="D57" s="259"/>
      <c r="E57" s="27"/>
      <c r="F57" s="145"/>
      <c r="G57" s="33"/>
      <c r="H57" s="145"/>
      <c r="I57" s="145"/>
      <c r="J57" s="33"/>
      <c r="K57" s="33"/>
      <c r="L57" s="159"/>
      <c r="M57" s="159"/>
      <c r="N57" s="148"/>
    </row>
    <row r="58" spans="1:14" s="3" customFormat="1" ht="15.75" x14ac:dyDescent="0.2">
      <c r="A58" s="46" t="s">
        <v>363</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701"/>
      <c r="C62" s="701"/>
      <c r="D62" s="701"/>
      <c r="E62" s="577"/>
      <c r="F62" s="701"/>
      <c r="G62" s="701"/>
      <c r="H62" s="701"/>
      <c r="I62" s="577"/>
      <c r="J62" s="701"/>
      <c r="K62" s="701"/>
      <c r="L62" s="701"/>
      <c r="M62" s="577"/>
    </row>
    <row r="63" spans="1:14" x14ac:dyDescent="0.2">
      <c r="A63" s="144"/>
      <c r="B63" s="702" t="s">
        <v>0</v>
      </c>
      <c r="C63" s="703"/>
      <c r="D63" s="704"/>
      <c r="E63" s="574"/>
      <c r="F63" s="703" t="s">
        <v>1</v>
      </c>
      <c r="G63" s="703"/>
      <c r="H63" s="703"/>
      <c r="I63" s="576"/>
      <c r="J63" s="702" t="s">
        <v>2</v>
      </c>
      <c r="K63" s="703"/>
      <c r="L63" s="703"/>
      <c r="M63" s="576"/>
    </row>
    <row r="64" spans="1:14" x14ac:dyDescent="0.2">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
      <c r="A65" s="663"/>
      <c r="B65" s="156"/>
      <c r="C65" s="156"/>
      <c r="D65" s="248" t="s">
        <v>4</v>
      </c>
      <c r="E65" s="156" t="s">
        <v>30</v>
      </c>
      <c r="F65" s="161"/>
      <c r="G65" s="161"/>
      <c r="H65" s="246"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8" t="s">
        <v>366</v>
      </c>
      <c r="B69" s="321"/>
      <c r="C69" s="321"/>
      <c r="D69" s="166"/>
      <c r="E69" s="23"/>
      <c r="F69" s="321"/>
      <c r="G69" s="321"/>
      <c r="H69" s="166"/>
      <c r="I69" s="23"/>
      <c r="J69" s="321"/>
      <c r="K69" s="321"/>
      <c r="L69" s="166"/>
      <c r="M69" s="23"/>
    </row>
    <row r="70" spans="1:14" x14ac:dyDescent="0.2">
      <c r="A70" s="298" t="s">
        <v>12</v>
      </c>
      <c r="B70" s="321"/>
      <c r="C70" s="321"/>
      <c r="D70" s="166"/>
      <c r="E70" s="23"/>
      <c r="F70" s="321"/>
      <c r="G70" s="321"/>
      <c r="H70" s="166"/>
      <c r="I70" s="23"/>
      <c r="J70" s="321"/>
      <c r="K70" s="321"/>
      <c r="L70" s="166"/>
      <c r="M70" s="23"/>
    </row>
    <row r="71" spans="1:14" x14ac:dyDescent="0.2">
      <c r="A71" s="298" t="s">
        <v>13</v>
      </c>
      <c r="B71" s="321"/>
      <c r="C71" s="321"/>
      <c r="D71" s="166"/>
      <c r="E71" s="23"/>
      <c r="F71" s="321"/>
      <c r="G71" s="321"/>
      <c r="H71" s="166"/>
      <c r="I71" s="23"/>
      <c r="J71" s="321"/>
      <c r="K71" s="321"/>
      <c r="L71" s="166"/>
      <c r="M71" s="23"/>
    </row>
    <row r="72" spans="1:14" ht="15.75" x14ac:dyDescent="0.2">
      <c r="A72" s="298" t="s">
        <v>367</v>
      </c>
      <c r="B72" s="321"/>
      <c r="C72" s="321"/>
      <c r="D72" s="166"/>
      <c r="E72" s="23"/>
      <c r="F72" s="321"/>
      <c r="G72" s="321"/>
      <c r="H72" s="166"/>
      <c r="I72" s="23"/>
      <c r="J72" s="321"/>
      <c r="K72" s="321"/>
      <c r="L72" s="166"/>
      <c r="M72" s="23"/>
    </row>
    <row r="73" spans="1:14" x14ac:dyDescent="0.2">
      <c r="A73" s="298" t="s">
        <v>12</v>
      </c>
      <c r="B73" s="235"/>
      <c r="C73" s="294"/>
      <c r="D73" s="166"/>
      <c r="E73" s="23"/>
      <c r="F73" s="321"/>
      <c r="G73" s="321"/>
      <c r="H73" s="166"/>
      <c r="I73" s="23"/>
      <c r="J73" s="321"/>
      <c r="K73" s="321"/>
      <c r="L73" s="166"/>
      <c r="M73" s="23"/>
    </row>
    <row r="74" spans="1:14" s="3" customFormat="1" x14ac:dyDescent="0.2">
      <c r="A74" s="298" t="s">
        <v>13</v>
      </c>
      <c r="B74" s="235"/>
      <c r="C74" s="294"/>
      <c r="D74" s="166"/>
      <c r="E74" s="23"/>
      <c r="F74" s="321"/>
      <c r="G74" s="321"/>
      <c r="H74" s="166"/>
      <c r="I74" s="23"/>
      <c r="J74" s="321"/>
      <c r="K74" s="321"/>
      <c r="L74" s="166"/>
      <c r="M74" s="23"/>
      <c r="N74" s="148"/>
    </row>
    <row r="75" spans="1:14" s="3" customFormat="1" x14ac:dyDescent="0.2">
      <c r="A75" s="21" t="s">
        <v>338</v>
      </c>
      <c r="B75" s="234"/>
      <c r="C75" s="145"/>
      <c r="D75" s="166"/>
      <c r="E75" s="27"/>
      <c r="F75" s="234"/>
      <c r="G75" s="145"/>
      <c r="H75" s="166"/>
      <c r="I75" s="27"/>
      <c r="J75" s="292"/>
      <c r="K75" s="44"/>
      <c r="L75" s="259"/>
      <c r="M75" s="27"/>
      <c r="N75" s="148"/>
    </row>
    <row r="76" spans="1:14" s="3" customFormat="1" x14ac:dyDescent="0.2">
      <c r="A76" s="21" t="s">
        <v>337</v>
      </c>
      <c r="B76" s="234"/>
      <c r="C76" s="145"/>
      <c r="D76" s="166"/>
      <c r="E76" s="27"/>
      <c r="F76" s="234"/>
      <c r="G76" s="145"/>
      <c r="H76" s="166"/>
      <c r="I76" s="27"/>
      <c r="J76" s="292"/>
      <c r="K76" s="44"/>
      <c r="L76" s="259"/>
      <c r="M76" s="27"/>
      <c r="N76" s="148"/>
    </row>
    <row r="77" spans="1:14" ht="15.75" x14ac:dyDescent="0.2">
      <c r="A77" s="21" t="s">
        <v>368</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403</v>
      </c>
      <c r="B79" s="296"/>
      <c r="C79" s="297"/>
      <c r="D79" s="166"/>
      <c r="E79" s="27"/>
      <c r="F79" s="296"/>
      <c r="G79" s="297"/>
      <c r="H79" s="166"/>
      <c r="I79" s="27"/>
      <c r="J79" s="292"/>
      <c r="K79" s="44"/>
      <c r="L79" s="259"/>
      <c r="M79" s="27"/>
    </row>
    <row r="80" spans="1:14" ht="15.75" x14ac:dyDescent="0.2">
      <c r="A80" s="298" t="s">
        <v>366</v>
      </c>
      <c r="B80" s="321"/>
      <c r="C80" s="321"/>
      <c r="D80" s="166"/>
      <c r="E80" s="23"/>
      <c r="F80" s="321"/>
      <c r="G80" s="321"/>
      <c r="H80" s="166"/>
      <c r="I80" s="23"/>
      <c r="J80" s="321"/>
      <c r="K80" s="321"/>
      <c r="L80" s="166"/>
      <c r="M80" s="23"/>
    </row>
    <row r="81" spans="1:13" x14ac:dyDescent="0.2">
      <c r="A81" s="298" t="s">
        <v>12</v>
      </c>
      <c r="B81" s="321"/>
      <c r="C81" s="321"/>
      <c r="D81" s="166"/>
      <c r="E81" s="23"/>
      <c r="F81" s="321"/>
      <c r="G81" s="321"/>
      <c r="H81" s="166"/>
      <c r="I81" s="23"/>
      <c r="J81" s="321"/>
      <c r="K81" s="321"/>
      <c r="L81" s="166"/>
      <c r="M81" s="23"/>
    </row>
    <row r="82" spans="1:13" x14ac:dyDescent="0.2">
      <c r="A82" s="298" t="s">
        <v>13</v>
      </c>
      <c r="B82" s="321"/>
      <c r="C82" s="321"/>
      <c r="D82" s="166"/>
      <c r="E82" s="23"/>
      <c r="F82" s="321"/>
      <c r="G82" s="321"/>
      <c r="H82" s="166"/>
      <c r="I82" s="23"/>
      <c r="J82" s="321"/>
      <c r="K82" s="321"/>
      <c r="L82" s="166"/>
      <c r="M82" s="23"/>
    </row>
    <row r="83" spans="1:13" ht="15.75" x14ac:dyDescent="0.2">
      <c r="A83" s="298" t="s">
        <v>367</v>
      </c>
      <c r="B83" s="321"/>
      <c r="C83" s="321"/>
      <c r="D83" s="166"/>
      <c r="E83" s="23"/>
      <c r="F83" s="321"/>
      <c r="G83" s="321"/>
      <c r="H83" s="166"/>
      <c r="I83" s="23"/>
      <c r="J83" s="321"/>
      <c r="K83" s="321"/>
      <c r="L83" s="166"/>
      <c r="M83" s="23"/>
    </row>
    <row r="84" spans="1:13" x14ac:dyDescent="0.2">
      <c r="A84" s="298" t="s">
        <v>12</v>
      </c>
      <c r="B84" s="235"/>
      <c r="C84" s="294"/>
      <c r="D84" s="166"/>
      <c r="E84" s="23"/>
      <c r="F84" s="321"/>
      <c r="G84" s="321"/>
      <c r="H84" s="166"/>
      <c r="I84" s="23"/>
      <c r="J84" s="321"/>
      <c r="K84" s="321"/>
      <c r="L84" s="166"/>
      <c r="M84" s="23"/>
    </row>
    <row r="85" spans="1:13" x14ac:dyDescent="0.2">
      <c r="A85" s="298" t="s">
        <v>13</v>
      </c>
      <c r="B85" s="235"/>
      <c r="C85" s="294"/>
      <c r="D85" s="166"/>
      <c r="E85" s="23"/>
      <c r="F85" s="321"/>
      <c r="G85" s="321"/>
      <c r="H85" s="166"/>
      <c r="I85" s="23"/>
      <c r="J85" s="321"/>
      <c r="K85" s="321"/>
      <c r="L85" s="166"/>
      <c r="M85" s="23"/>
    </row>
    <row r="86" spans="1:13" ht="15.75" x14ac:dyDescent="0.2">
      <c r="A86" s="21" t="s">
        <v>369</v>
      </c>
      <c r="B86" s="234"/>
      <c r="C86" s="145"/>
      <c r="D86" s="166"/>
      <c r="E86" s="27"/>
      <c r="F86" s="234"/>
      <c r="G86" s="145"/>
      <c r="H86" s="166"/>
      <c r="I86" s="27"/>
      <c r="J86" s="292"/>
      <c r="K86" s="44"/>
      <c r="L86" s="259"/>
      <c r="M86" s="27"/>
    </row>
    <row r="87" spans="1:13" ht="15.75" x14ac:dyDescent="0.2">
      <c r="A87" s="13" t="s">
        <v>351</v>
      </c>
      <c r="B87" s="354"/>
      <c r="C87" s="354"/>
      <c r="D87" s="171"/>
      <c r="E87" s="11"/>
      <c r="F87" s="353"/>
      <c r="G87" s="353"/>
      <c r="H87" s="171"/>
      <c r="I87" s="11"/>
      <c r="J87" s="311"/>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8" t="s">
        <v>366</v>
      </c>
      <c r="B90" s="321"/>
      <c r="C90" s="321"/>
      <c r="D90" s="166"/>
      <c r="E90" s="23"/>
      <c r="F90" s="321"/>
      <c r="G90" s="321"/>
      <c r="H90" s="166"/>
      <c r="I90" s="23"/>
      <c r="J90" s="321"/>
      <c r="K90" s="321"/>
      <c r="L90" s="166"/>
      <c r="M90" s="23"/>
    </row>
    <row r="91" spans="1:13" x14ac:dyDescent="0.2">
      <c r="A91" s="298" t="s">
        <v>12</v>
      </c>
      <c r="B91" s="321"/>
      <c r="C91" s="321"/>
      <c r="D91" s="166"/>
      <c r="E91" s="23"/>
      <c r="F91" s="321"/>
      <c r="G91" s="321"/>
      <c r="H91" s="166"/>
      <c r="I91" s="23"/>
      <c r="J91" s="321"/>
      <c r="K91" s="321"/>
      <c r="L91" s="166"/>
      <c r="M91" s="23"/>
    </row>
    <row r="92" spans="1:13" x14ac:dyDescent="0.2">
      <c r="A92" s="298" t="s">
        <v>13</v>
      </c>
      <c r="B92" s="321"/>
      <c r="C92" s="321"/>
      <c r="D92" s="166"/>
      <c r="E92" s="23"/>
      <c r="F92" s="321"/>
      <c r="G92" s="321"/>
      <c r="H92" s="166"/>
      <c r="I92" s="23"/>
      <c r="J92" s="321"/>
      <c r="K92" s="321"/>
      <c r="L92" s="166"/>
      <c r="M92" s="23"/>
    </row>
    <row r="93" spans="1:13" ht="15.75" x14ac:dyDescent="0.2">
      <c r="A93" s="298" t="s">
        <v>367</v>
      </c>
      <c r="B93" s="321"/>
      <c r="C93" s="321"/>
      <c r="D93" s="166"/>
      <c r="E93" s="23"/>
      <c r="F93" s="321"/>
      <c r="G93" s="321"/>
      <c r="H93" s="166"/>
      <c r="I93" s="23"/>
      <c r="J93" s="321"/>
      <c r="K93" s="321"/>
      <c r="L93" s="166"/>
      <c r="M93" s="23"/>
    </row>
    <row r="94" spans="1:13" x14ac:dyDescent="0.2">
      <c r="A94" s="298" t="s">
        <v>12</v>
      </c>
      <c r="B94" s="235"/>
      <c r="C94" s="294"/>
      <c r="D94" s="166"/>
      <c r="E94" s="23"/>
      <c r="F94" s="321"/>
      <c r="G94" s="321"/>
      <c r="H94" s="166"/>
      <c r="I94" s="23"/>
      <c r="J94" s="321"/>
      <c r="K94" s="321"/>
      <c r="L94" s="166"/>
      <c r="M94" s="23"/>
    </row>
    <row r="95" spans="1:13" x14ac:dyDescent="0.2">
      <c r="A95" s="298" t="s">
        <v>13</v>
      </c>
      <c r="B95" s="235"/>
      <c r="C95" s="294"/>
      <c r="D95" s="166"/>
      <c r="E95" s="23"/>
      <c r="F95" s="321"/>
      <c r="G95" s="321"/>
      <c r="H95" s="166"/>
      <c r="I95" s="23"/>
      <c r="J95" s="321"/>
      <c r="K95" s="321"/>
      <c r="L95" s="166"/>
      <c r="M95" s="23"/>
    </row>
    <row r="96" spans="1:13" x14ac:dyDescent="0.2">
      <c r="A96" s="21" t="s">
        <v>336</v>
      </c>
      <c r="B96" s="234"/>
      <c r="C96" s="145"/>
      <c r="D96" s="166"/>
      <c r="E96" s="27"/>
      <c r="F96" s="234"/>
      <c r="G96" s="145"/>
      <c r="H96" s="166"/>
      <c r="I96" s="27"/>
      <c r="J96" s="292"/>
      <c r="K96" s="44"/>
      <c r="L96" s="259"/>
      <c r="M96" s="27"/>
    </row>
    <row r="97" spans="1:15" x14ac:dyDescent="0.2">
      <c r="A97" s="21" t="s">
        <v>335</v>
      </c>
      <c r="B97" s="234"/>
      <c r="C97" s="145"/>
      <c r="D97" s="166"/>
      <c r="E97" s="27"/>
      <c r="F97" s="234"/>
      <c r="G97" s="145"/>
      <c r="H97" s="166"/>
      <c r="I97" s="27"/>
      <c r="J97" s="292"/>
      <c r="K97" s="44"/>
      <c r="L97" s="259"/>
      <c r="M97" s="27"/>
    </row>
    <row r="98" spans="1:15" ht="15.75" x14ac:dyDescent="0.2">
      <c r="A98" s="21" t="s">
        <v>368</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403</v>
      </c>
      <c r="B100" s="296"/>
      <c r="C100" s="297"/>
      <c r="D100" s="166"/>
      <c r="E100" s="27"/>
      <c r="F100" s="234"/>
      <c r="G100" s="234"/>
      <c r="H100" s="166"/>
      <c r="I100" s="27"/>
      <c r="J100" s="292"/>
      <c r="K100" s="44"/>
      <c r="L100" s="259"/>
      <c r="M100" s="27"/>
    </row>
    <row r="101" spans="1:15" ht="15.75" x14ac:dyDescent="0.2">
      <c r="A101" s="298" t="s">
        <v>366</v>
      </c>
      <c r="B101" s="321"/>
      <c r="C101" s="321"/>
      <c r="D101" s="166"/>
      <c r="E101" s="23"/>
      <c r="F101" s="321"/>
      <c r="G101" s="321"/>
      <c r="H101" s="166"/>
      <c r="I101" s="23"/>
      <c r="J101" s="321"/>
      <c r="K101" s="321"/>
      <c r="L101" s="166"/>
      <c r="M101" s="23"/>
    </row>
    <row r="102" spans="1:15" x14ac:dyDescent="0.2">
      <c r="A102" s="298" t="s">
        <v>12</v>
      </c>
      <c r="B102" s="321"/>
      <c r="C102" s="321"/>
      <c r="D102" s="166"/>
      <c r="E102" s="23"/>
      <c r="F102" s="321"/>
      <c r="G102" s="321"/>
      <c r="H102" s="166"/>
      <c r="I102" s="23"/>
      <c r="J102" s="321"/>
      <c r="K102" s="321"/>
      <c r="L102" s="166"/>
      <c r="M102" s="23"/>
    </row>
    <row r="103" spans="1:15" x14ac:dyDescent="0.2">
      <c r="A103" s="298" t="s">
        <v>13</v>
      </c>
      <c r="B103" s="321"/>
      <c r="C103" s="321"/>
      <c r="D103" s="166"/>
      <c r="E103" s="23"/>
      <c r="F103" s="321"/>
      <c r="G103" s="321"/>
      <c r="H103" s="166"/>
      <c r="I103" s="23"/>
      <c r="J103" s="321"/>
      <c r="K103" s="321"/>
      <c r="L103" s="166"/>
      <c r="M103" s="23"/>
    </row>
    <row r="104" spans="1:15" ht="15.75" x14ac:dyDescent="0.2">
      <c r="A104" s="298" t="s">
        <v>367</v>
      </c>
      <c r="B104" s="321"/>
      <c r="C104" s="321"/>
      <c r="D104" s="166"/>
      <c r="E104" s="23"/>
      <c r="F104" s="321"/>
      <c r="G104" s="321"/>
      <c r="H104" s="166"/>
      <c r="I104" s="23"/>
      <c r="J104" s="321"/>
      <c r="K104" s="321"/>
      <c r="L104" s="166"/>
      <c r="M104" s="23"/>
    </row>
    <row r="105" spans="1:15" x14ac:dyDescent="0.2">
      <c r="A105" s="298" t="s">
        <v>12</v>
      </c>
      <c r="B105" s="235"/>
      <c r="C105" s="294"/>
      <c r="D105" s="166"/>
      <c r="E105" s="23"/>
      <c r="F105" s="321"/>
      <c r="G105" s="321"/>
      <c r="H105" s="166"/>
      <c r="I105" s="23"/>
      <c r="J105" s="321"/>
      <c r="K105" s="321"/>
      <c r="L105" s="166"/>
      <c r="M105" s="23"/>
    </row>
    <row r="106" spans="1:15" x14ac:dyDescent="0.2">
      <c r="A106" s="298" t="s">
        <v>13</v>
      </c>
      <c r="B106" s="235"/>
      <c r="C106" s="294"/>
      <c r="D106" s="166"/>
      <c r="E106" s="23"/>
      <c r="F106" s="321"/>
      <c r="G106" s="321"/>
      <c r="H106" s="166"/>
      <c r="I106" s="23"/>
      <c r="J106" s="321"/>
      <c r="K106" s="321"/>
      <c r="L106" s="166"/>
      <c r="M106" s="23"/>
    </row>
    <row r="107" spans="1:15" ht="15.75" x14ac:dyDescent="0.2">
      <c r="A107" s="21" t="s">
        <v>369</v>
      </c>
      <c r="B107" s="234"/>
      <c r="C107" s="145"/>
      <c r="D107" s="166"/>
      <c r="E107" s="27"/>
      <c r="F107" s="234"/>
      <c r="G107" s="145"/>
      <c r="H107" s="166"/>
      <c r="I107" s="27"/>
      <c r="J107" s="292"/>
      <c r="K107" s="44"/>
      <c r="L107" s="259"/>
      <c r="M107" s="27"/>
    </row>
    <row r="108" spans="1:15" ht="15.75" x14ac:dyDescent="0.2">
      <c r="A108" s="21" t="s">
        <v>370</v>
      </c>
      <c r="B108" s="234"/>
      <c r="C108" s="234"/>
      <c r="D108" s="166"/>
      <c r="E108" s="27"/>
      <c r="F108" s="234"/>
      <c r="G108" s="234"/>
      <c r="H108" s="166"/>
      <c r="I108" s="27"/>
      <c r="J108" s="292"/>
      <c r="K108" s="44"/>
      <c r="L108" s="259"/>
      <c r="M108" s="27"/>
    </row>
    <row r="109" spans="1:15" ht="15.75" x14ac:dyDescent="0.2">
      <c r="A109" s="38" t="s">
        <v>417</v>
      </c>
      <c r="B109" s="572"/>
      <c r="C109" s="234"/>
      <c r="D109" s="166"/>
      <c r="E109" s="27"/>
      <c r="F109" s="572"/>
      <c r="G109" s="234"/>
      <c r="H109" s="166"/>
      <c r="I109" s="27"/>
      <c r="J109" s="292"/>
      <c r="K109" s="44"/>
      <c r="L109" s="259"/>
      <c r="M109" s="27"/>
      <c r="O109" s="3"/>
    </row>
    <row r="110" spans="1:15" ht="15.75" x14ac:dyDescent="0.2">
      <c r="A110" s="21" t="s">
        <v>371</v>
      </c>
      <c r="B110" s="234"/>
      <c r="C110" s="234"/>
      <c r="D110" s="166"/>
      <c r="E110" s="27"/>
      <c r="F110" s="234"/>
      <c r="G110" s="234"/>
      <c r="H110" s="166"/>
      <c r="I110" s="27"/>
      <c r="J110" s="292"/>
      <c r="K110" s="44"/>
      <c r="L110" s="259"/>
      <c r="M110" s="27"/>
    </row>
    <row r="111" spans="1:15" ht="15.75" x14ac:dyDescent="0.2">
      <c r="A111" s="13" t="s">
        <v>352</v>
      </c>
      <c r="B111" s="310"/>
      <c r="C111" s="159"/>
      <c r="D111" s="171"/>
      <c r="E111" s="11"/>
      <c r="F111" s="310"/>
      <c r="G111" s="159"/>
      <c r="H111" s="171"/>
      <c r="I111" s="11"/>
      <c r="J111" s="311"/>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8" t="s">
        <v>15</v>
      </c>
      <c r="B115" s="286"/>
      <c r="C115" s="286"/>
      <c r="D115" s="166"/>
      <c r="E115" s="414"/>
      <c r="F115" s="286"/>
      <c r="G115" s="286"/>
      <c r="H115" s="166"/>
      <c r="I115" s="414"/>
      <c r="J115" s="295"/>
      <c r="K115" s="295"/>
      <c r="L115" s="166"/>
      <c r="M115" s="23"/>
    </row>
    <row r="116" spans="1:14" ht="15.75" x14ac:dyDescent="0.2">
      <c r="A116" s="21" t="s">
        <v>372</v>
      </c>
      <c r="B116" s="234"/>
      <c r="C116" s="234"/>
      <c r="D116" s="166"/>
      <c r="E116" s="27"/>
      <c r="F116" s="234"/>
      <c r="G116" s="234"/>
      <c r="H116" s="166"/>
      <c r="I116" s="27"/>
      <c r="J116" s="292"/>
      <c r="K116" s="44"/>
      <c r="L116" s="259"/>
      <c r="M116" s="27"/>
    </row>
    <row r="117" spans="1:14" ht="15.75" x14ac:dyDescent="0.2">
      <c r="A117" s="38" t="s">
        <v>417</v>
      </c>
      <c r="B117" s="234"/>
      <c r="C117" s="234"/>
      <c r="D117" s="166"/>
      <c r="E117" s="27"/>
      <c r="F117" s="234"/>
      <c r="G117" s="234"/>
      <c r="H117" s="166"/>
      <c r="I117" s="27"/>
      <c r="J117" s="292"/>
      <c r="K117" s="44"/>
      <c r="L117" s="259"/>
      <c r="M117" s="27"/>
    </row>
    <row r="118" spans="1:14" ht="15.75" x14ac:dyDescent="0.2">
      <c r="A118" s="21" t="s">
        <v>371</v>
      </c>
      <c r="B118" s="234"/>
      <c r="C118" s="234"/>
      <c r="D118" s="166"/>
      <c r="E118" s="27"/>
      <c r="F118" s="234"/>
      <c r="G118" s="234"/>
      <c r="H118" s="166"/>
      <c r="I118" s="27"/>
      <c r="J118" s="292"/>
      <c r="K118" s="44"/>
      <c r="L118" s="259"/>
      <c r="M118" s="27"/>
    </row>
    <row r="119" spans="1:14" ht="15.75" x14ac:dyDescent="0.2">
      <c r="A119" s="13" t="s">
        <v>353</v>
      </c>
      <c r="B119" s="310"/>
      <c r="C119" s="159"/>
      <c r="D119" s="171"/>
      <c r="E119" s="11"/>
      <c r="F119" s="310"/>
      <c r="G119" s="159"/>
      <c r="H119" s="171"/>
      <c r="I119" s="11"/>
      <c r="J119" s="311"/>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8" t="s">
        <v>14</v>
      </c>
      <c r="B123" s="286"/>
      <c r="C123" s="286"/>
      <c r="D123" s="166"/>
      <c r="E123" s="414"/>
      <c r="F123" s="286"/>
      <c r="G123" s="286"/>
      <c r="H123" s="166"/>
      <c r="I123" s="414"/>
      <c r="J123" s="295"/>
      <c r="K123" s="295"/>
      <c r="L123" s="166"/>
      <c r="M123" s="23"/>
    </row>
    <row r="124" spans="1:14" ht="15.75" x14ac:dyDescent="0.2">
      <c r="A124" s="21" t="s">
        <v>377</v>
      </c>
      <c r="B124" s="234"/>
      <c r="C124" s="234"/>
      <c r="D124" s="166"/>
      <c r="E124" s="27"/>
      <c r="F124" s="234"/>
      <c r="G124" s="234"/>
      <c r="H124" s="166"/>
      <c r="I124" s="27"/>
      <c r="J124" s="292"/>
      <c r="K124" s="44"/>
      <c r="L124" s="259"/>
      <c r="M124" s="27"/>
    </row>
    <row r="125" spans="1:14" ht="15.75" x14ac:dyDescent="0.2">
      <c r="A125" s="38" t="s">
        <v>417</v>
      </c>
      <c r="B125" s="234"/>
      <c r="C125" s="234"/>
      <c r="D125" s="166"/>
      <c r="E125" s="27"/>
      <c r="F125" s="234"/>
      <c r="G125" s="234"/>
      <c r="H125" s="166"/>
      <c r="I125" s="27"/>
      <c r="J125" s="292"/>
      <c r="K125" s="44"/>
      <c r="L125" s="259"/>
      <c r="M125" s="27"/>
    </row>
    <row r="126" spans="1:14" ht="15.75" x14ac:dyDescent="0.2">
      <c r="A126" s="10" t="s">
        <v>371</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01"/>
      <c r="C130" s="701"/>
      <c r="D130" s="701"/>
      <c r="E130" s="577"/>
      <c r="F130" s="701"/>
      <c r="G130" s="701"/>
      <c r="H130" s="701"/>
      <c r="I130" s="577"/>
      <c r="J130" s="701"/>
      <c r="K130" s="701"/>
      <c r="L130" s="701"/>
      <c r="M130" s="577"/>
    </row>
    <row r="131" spans="1:14" s="3" customFormat="1" x14ac:dyDescent="0.2">
      <c r="A131" s="144"/>
      <c r="B131" s="702" t="s">
        <v>0</v>
      </c>
      <c r="C131" s="703"/>
      <c r="D131" s="703"/>
      <c r="E131" s="575"/>
      <c r="F131" s="702" t="s">
        <v>1</v>
      </c>
      <c r="G131" s="703"/>
      <c r="H131" s="703"/>
      <c r="I131" s="576"/>
      <c r="J131" s="702" t="s">
        <v>2</v>
      </c>
      <c r="K131" s="703"/>
      <c r="L131" s="703"/>
      <c r="M131" s="576"/>
      <c r="N131" s="148"/>
    </row>
    <row r="132" spans="1:14" s="3" customFormat="1" x14ac:dyDescent="0.2">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
      <c r="A133" s="663"/>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373</v>
      </c>
      <c r="B134" s="236"/>
      <c r="C134" s="311"/>
      <c r="D134" s="351"/>
      <c r="E134" s="11"/>
      <c r="F134" s="318"/>
      <c r="G134" s="319"/>
      <c r="H134" s="428"/>
      <c r="I134" s="24"/>
      <c r="J134" s="320"/>
      <c r="K134" s="320"/>
      <c r="L134" s="424"/>
      <c r="M134" s="11"/>
      <c r="N134" s="148"/>
    </row>
    <row r="135" spans="1:14" s="3" customFormat="1" ht="15.75" x14ac:dyDescent="0.2">
      <c r="A135" s="13" t="s">
        <v>378</v>
      </c>
      <c r="B135" s="236"/>
      <c r="C135" s="311"/>
      <c r="D135" s="171"/>
      <c r="E135" s="11"/>
      <c r="F135" s="236"/>
      <c r="G135" s="311"/>
      <c r="H135" s="429"/>
      <c r="I135" s="24"/>
      <c r="J135" s="310"/>
      <c r="K135" s="310"/>
      <c r="L135" s="425"/>
      <c r="M135" s="11"/>
      <c r="N135" s="148"/>
    </row>
    <row r="136" spans="1:14" s="3" customFormat="1" ht="15.75" x14ac:dyDescent="0.2">
      <c r="A136" s="13" t="s">
        <v>375</v>
      </c>
      <c r="B136" s="236"/>
      <c r="C136" s="311"/>
      <c r="D136" s="171"/>
      <c r="E136" s="11"/>
      <c r="F136" s="236"/>
      <c r="G136" s="311"/>
      <c r="H136" s="429"/>
      <c r="I136" s="24"/>
      <c r="J136" s="310"/>
      <c r="K136" s="310"/>
      <c r="L136" s="425"/>
      <c r="M136" s="11"/>
      <c r="N136" s="148"/>
    </row>
    <row r="137" spans="1:14" s="3" customFormat="1" ht="15.75" x14ac:dyDescent="0.2">
      <c r="A137" s="41" t="s">
        <v>376</v>
      </c>
      <c r="B137" s="281"/>
      <c r="C137" s="317"/>
      <c r="D137" s="169"/>
      <c r="E137" s="9"/>
      <c r="F137" s="281"/>
      <c r="G137" s="317"/>
      <c r="H137" s="430"/>
      <c r="I137" s="36"/>
      <c r="J137" s="316"/>
      <c r="K137" s="316"/>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254" priority="42">
      <formula>kvartal &lt; 4</formula>
    </cfRule>
  </conditionalFormatting>
  <conditionalFormatting sqref="C115">
    <cfRule type="expression" dxfId="253" priority="41">
      <formula>kvartal &lt; 4</formula>
    </cfRule>
  </conditionalFormatting>
  <conditionalFormatting sqref="B123">
    <cfRule type="expression" dxfId="252" priority="40">
      <formula>kvartal &lt; 4</formula>
    </cfRule>
  </conditionalFormatting>
  <conditionalFormatting sqref="C123">
    <cfRule type="expression" dxfId="251" priority="39">
      <formula>kvartal &lt; 4</formula>
    </cfRule>
  </conditionalFormatting>
  <conditionalFormatting sqref="F115">
    <cfRule type="expression" dxfId="250" priority="28">
      <formula>kvartal &lt; 4</formula>
    </cfRule>
  </conditionalFormatting>
  <conditionalFormatting sqref="G115">
    <cfRule type="expression" dxfId="249" priority="27">
      <formula>kvartal &lt; 4</formula>
    </cfRule>
  </conditionalFormatting>
  <conditionalFormatting sqref="F123:G123">
    <cfRule type="expression" dxfId="248" priority="26">
      <formula>kvartal &lt; 4</formula>
    </cfRule>
  </conditionalFormatting>
  <conditionalFormatting sqref="J115:K115">
    <cfRule type="expression" dxfId="247" priority="9">
      <formula>kvartal &lt; 4</formula>
    </cfRule>
  </conditionalFormatting>
  <conditionalFormatting sqref="J123:K123">
    <cfRule type="expression" dxfId="246" priority="8">
      <formula>kvartal &lt; 4</formula>
    </cfRule>
  </conditionalFormatting>
  <conditionalFormatting sqref="A50:A52">
    <cfRule type="expression" dxfId="245" priority="7">
      <formula>kvartal &lt; 4</formula>
    </cfRule>
  </conditionalFormatting>
  <conditionalFormatting sqref="A69:A74">
    <cfRule type="expression" dxfId="244" priority="6">
      <formula>kvartal &lt; 4</formula>
    </cfRule>
  </conditionalFormatting>
  <conditionalFormatting sqref="A80:A85">
    <cfRule type="expression" dxfId="243" priority="5">
      <formula>kvartal &lt; 4</formula>
    </cfRule>
  </conditionalFormatting>
  <conditionalFormatting sqref="A90:A95">
    <cfRule type="expression" dxfId="242" priority="4">
      <formula>kvartal &lt; 4</formula>
    </cfRule>
  </conditionalFormatting>
  <conditionalFormatting sqref="A101:A106">
    <cfRule type="expression" dxfId="241" priority="3">
      <formula>kvartal &lt; 4</formula>
    </cfRule>
  </conditionalFormatting>
  <conditionalFormatting sqref="A115">
    <cfRule type="expression" dxfId="240" priority="2">
      <formula>kvartal &lt; 4</formula>
    </cfRule>
  </conditionalFormatting>
  <conditionalFormatting sqref="A123">
    <cfRule type="expression" dxfId="239"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4"/>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74" customWidth="1"/>
    <col min="2" max="46" width="11.7109375" style="474" customWidth="1"/>
    <col min="47" max="16384" width="11.42578125" style="474"/>
  </cols>
  <sheetData>
    <row r="1" spans="1:46" ht="20.25" x14ac:dyDescent="0.3">
      <c r="A1" s="472" t="s">
        <v>281</v>
      </c>
      <c r="B1" s="451" t="s">
        <v>52</v>
      </c>
      <c r="C1" s="473"/>
      <c r="D1" s="473"/>
      <c r="E1" s="473"/>
      <c r="F1" s="473"/>
      <c r="G1" s="473"/>
      <c r="H1" s="473"/>
      <c r="I1" s="473"/>
      <c r="J1" s="473"/>
      <c r="K1" s="473"/>
      <c r="L1" s="473"/>
      <c r="M1" s="473"/>
    </row>
    <row r="2" spans="1:46" ht="20.25" x14ac:dyDescent="0.3">
      <c r="A2" s="472" t="s">
        <v>252</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row>
    <row r="3" spans="1:46" ht="18.75" x14ac:dyDescent="0.3">
      <c r="A3" s="476" t="s">
        <v>282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row>
    <row r="4" spans="1:46" ht="18.75" customHeight="1" x14ac:dyDescent="0.25">
      <c r="A4" s="455" t="s">
        <v>437</v>
      </c>
      <c r="B4" s="478"/>
      <c r="C4" s="478"/>
      <c r="D4" s="479"/>
      <c r="E4" s="480"/>
      <c r="F4" s="478"/>
      <c r="G4" s="479"/>
      <c r="H4" s="480"/>
      <c r="I4" s="478"/>
      <c r="J4" s="479"/>
      <c r="K4" s="480"/>
      <c r="L4" s="478"/>
      <c r="M4" s="479"/>
      <c r="N4" s="481"/>
      <c r="O4" s="481"/>
      <c r="P4" s="481"/>
      <c r="Q4" s="482"/>
      <c r="R4" s="481"/>
      <c r="S4" s="483"/>
      <c r="T4" s="482"/>
      <c r="U4" s="481"/>
      <c r="V4" s="483"/>
      <c r="W4" s="482"/>
      <c r="X4" s="481"/>
      <c r="Y4" s="483"/>
      <c r="Z4" s="482"/>
      <c r="AA4" s="481"/>
      <c r="AB4" s="483"/>
      <c r="AC4" s="482"/>
      <c r="AD4" s="481"/>
      <c r="AE4" s="483"/>
      <c r="AF4" s="482"/>
      <c r="AG4" s="481"/>
      <c r="AH4" s="483"/>
      <c r="AI4" s="482"/>
      <c r="AJ4" s="481"/>
      <c r="AK4" s="483"/>
      <c r="AL4" s="482"/>
      <c r="AM4" s="481"/>
      <c r="AN4" s="483"/>
      <c r="AO4" s="484"/>
      <c r="AP4" s="485"/>
      <c r="AQ4" s="486"/>
      <c r="AR4" s="482"/>
      <c r="AS4" s="481"/>
      <c r="AT4" s="487"/>
    </row>
    <row r="5" spans="1:46" s="447" customFormat="1" ht="18.75" customHeight="1" x14ac:dyDescent="0.3">
      <c r="A5" s="582" t="s">
        <v>100</v>
      </c>
      <c r="B5" s="717" t="s">
        <v>173</v>
      </c>
      <c r="C5" s="718"/>
      <c r="D5" s="719"/>
      <c r="E5" s="717" t="s">
        <v>174</v>
      </c>
      <c r="F5" s="718"/>
      <c r="G5" s="719"/>
      <c r="H5" s="717"/>
      <c r="I5" s="718"/>
      <c r="J5" s="719"/>
      <c r="K5" s="717" t="s">
        <v>175</v>
      </c>
      <c r="L5" s="718"/>
      <c r="M5" s="719"/>
      <c r="N5" s="717" t="s">
        <v>176</v>
      </c>
      <c r="O5" s="718"/>
      <c r="P5" s="719"/>
      <c r="Q5" s="717" t="s">
        <v>177</v>
      </c>
      <c r="R5" s="718"/>
      <c r="S5" s="719"/>
      <c r="T5" s="717"/>
      <c r="U5" s="718"/>
      <c r="V5" s="719"/>
      <c r="W5" s="644"/>
      <c r="X5" s="645"/>
      <c r="Y5" s="646"/>
      <c r="Z5" s="717" t="s">
        <v>178</v>
      </c>
      <c r="AA5" s="718"/>
      <c r="AB5" s="719"/>
      <c r="AC5" s="644"/>
      <c r="AD5" s="645"/>
      <c r="AE5" s="646"/>
      <c r="AF5" s="717" t="s">
        <v>67</v>
      </c>
      <c r="AG5" s="718"/>
      <c r="AH5" s="719"/>
      <c r="AI5" s="717" t="s">
        <v>72</v>
      </c>
      <c r="AJ5" s="718"/>
      <c r="AK5" s="719"/>
      <c r="AL5" s="717" t="s">
        <v>408</v>
      </c>
      <c r="AM5" s="718"/>
      <c r="AN5" s="719"/>
      <c r="AO5" s="708" t="s">
        <v>2</v>
      </c>
      <c r="AP5" s="709"/>
      <c r="AQ5" s="710"/>
      <c r="AR5" s="708" t="s">
        <v>283</v>
      </c>
      <c r="AS5" s="709"/>
      <c r="AT5" s="710"/>
    </row>
    <row r="6" spans="1:46" s="447" customFormat="1" ht="21" customHeight="1" x14ac:dyDescent="0.3">
      <c r="A6" s="583"/>
      <c r="B6" s="714" t="s">
        <v>179</v>
      </c>
      <c r="C6" s="715"/>
      <c r="D6" s="716"/>
      <c r="E6" s="714" t="s">
        <v>180</v>
      </c>
      <c r="F6" s="715"/>
      <c r="G6" s="716"/>
      <c r="H6" s="714" t="s">
        <v>389</v>
      </c>
      <c r="I6" s="715"/>
      <c r="J6" s="716"/>
      <c r="K6" s="714" t="s">
        <v>180</v>
      </c>
      <c r="L6" s="715"/>
      <c r="M6" s="716"/>
      <c r="N6" s="714" t="s">
        <v>181</v>
      </c>
      <c r="O6" s="715"/>
      <c r="P6" s="716"/>
      <c r="Q6" s="714" t="s">
        <v>90</v>
      </c>
      <c r="R6" s="715"/>
      <c r="S6" s="716"/>
      <c r="T6" s="714" t="s">
        <v>63</v>
      </c>
      <c r="U6" s="715"/>
      <c r="V6" s="716"/>
      <c r="W6" s="714" t="s">
        <v>65</v>
      </c>
      <c r="X6" s="715"/>
      <c r="Y6" s="716"/>
      <c r="Z6" s="714" t="s">
        <v>179</v>
      </c>
      <c r="AA6" s="715"/>
      <c r="AB6" s="716"/>
      <c r="AC6" s="714" t="s">
        <v>71</v>
      </c>
      <c r="AD6" s="715"/>
      <c r="AE6" s="716"/>
      <c r="AF6" s="714" t="s">
        <v>404</v>
      </c>
      <c r="AG6" s="715"/>
      <c r="AH6" s="716"/>
      <c r="AI6" s="714" t="s">
        <v>180</v>
      </c>
      <c r="AJ6" s="715"/>
      <c r="AK6" s="716"/>
      <c r="AL6" s="714" t="s">
        <v>180</v>
      </c>
      <c r="AM6" s="715"/>
      <c r="AN6" s="716"/>
      <c r="AO6" s="711" t="s">
        <v>284</v>
      </c>
      <c r="AP6" s="712"/>
      <c r="AQ6" s="713"/>
      <c r="AR6" s="711" t="s">
        <v>285</v>
      </c>
      <c r="AS6" s="712"/>
      <c r="AT6" s="713"/>
    </row>
    <row r="7" spans="1:46" s="447" customFormat="1" ht="18.75" customHeight="1" x14ac:dyDescent="0.3">
      <c r="A7" s="583"/>
      <c r="B7" s="583"/>
      <c r="C7" s="583"/>
      <c r="D7" s="584" t="s">
        <v>80</v>
      </c>
      <c r="E7" s="583"/>
      <c r="F7" s="583"/>
      <c r="G7" s="584" t="s">
        <v>80</v>
      </c>
      <c r="H7" s="583"/>
      <c r="I7" s="583"/>
      <c r="J7" s="584" t="s">
        <v>80</v>
      </c>
      <c r="K7" s="583"/>
      <c r="L7" s="583"/>
      <c r="M7" s="584" t="s">
        <v>80</v>
      </c>
      <c r="N7" s="583"/>
      <c r="O7" s="583"/>
      <c r="P7" s="584" t="s">
        <v>80</v>
      </c>
      <c r="Q7" s="583"/>
      <c r="R7" s="583"/>
      <c r="S7" s="584" t="s">
        <v>80</v>
      </c>
      <c r="T7" s="583"/>
      <c r="U7" s="583"/>
      <c r="V7" s="584" t="s">
        <v>80</v>
      </c>
      <c r="W7" s="583"/>
      <c r="X7" s="583"/>
      <c r="Y7" s="584" t="s">
        <v>80</v>
      </c>
      <c r="Z7" s="583"/>
      <c r="AA7" s="583"/>
      <c r="AB7" s="584" t="s">
        <v>80</v>
      </c>
      <c r="AC7" s="583"/>
      <c r="AD7" s="583"/>
      <c r="AE7" s="584" t="s">
        <v>80</v>
      </c>
      <c r="AF7" s="583"/>
      <c r="AG7" s="583"/>
      <c r="AH7" s="584" t="s">
        <v>80</v>
      </c>
      <c r="AI7" s="583"/>
      <c r="AJ7" s="583"/>
      <c r="AK7" s="584" t="s">
        <v>80</v>
      </c>
      <c r="AL7" s="583"/>
      <c r="AM7" s="583"/>
      <c r="AN7" s="584" t="s">
        <v>80</v>
      </c>
      <c r="AO7" s="583"/>
      <c r="AP7" s="583"/>
      <c r="AQ7" s="584" t="s">
        <v>80</v>
      </c>
      <c r="AR7" s="583"/>
      <c r="AS7" s="583"/>
      <c r="AT7" s="584" t="s">
        <v>80</v>
      </c>
    </row>
    <row r="8" spans="1:46" s="447" customFormat="1" ht="18.75" customHeight="1" x14ac:dyDescent="0.25">
      <c r="A8" s="585" t="s">
        <v>286</v>
      </c>
      <c r="B8" s="551">
        <v>2021</v>
      </c>
      <c r="C8" s="551">
        <v>2022</v>
      </c>
      <c r="D8" s="586" t="s">
        <v>82</v>
      </c>
      <c r="E8" s="551">
        <v>2021</v>
      </c>
      <c r="F8" s="551">
        <v>2022</v>
      </c>
      <c r="G8" s="586" t="s">
        <v>82</v>
      </c>
      <c r="H8" s="551">
        <v>2021</v>
      </c>
      <c r="I8" s="551">
        <v>2022</v>
      </c>
      <c r="J8" s="586" t="s">
        <v>82</v>
      </c>
      <c r="K8" s="551">
        <v>2021</v>
      </c>
      <c r="L8" s="551">
        <v>2022</v>
      </c>
      <c r="M8" s="586" t="s">
        <v>82</v>
      </c>
      <c r="N8" s="551">
        <v>2021</v>
      </c>
      <c r="O8" s="551">
        <v>2022</v>
      </c>
      <c r="P8" s="586" t="s">
        <v>82</v>
      </c>
      <c r="Q8" s="551">
        <v>2021</v>
      </c>
      <c r="R8" s="551">
        <v>2022</v>
      </c>
      <c r="S8" s="586" t="s">
        <v>82</v>
      </c>
      <c r="T8" s="551">
        <v>2021</v>
      </c>
      <c r="U8" s="551">
        <v>2022</v>
      </c>
      <c r="V8" s="586" t="s">
        <v>82</v>
      </c>
      <c r="W8" s="551">
        <v>2021</v>
      </c>
      <c r="X8" s="551">
        <v>2022</v>
      </c>
      <c r="Y8" s="586" t="s">
        <v>82</v>
      </c>
      <c r="Z8" s="551">
        <v>2021</v>
      </c>
      <c r="AA8" s="551">
        <v>2022</v>
      </c>
      <c r="AB8" s="586" t="s">
        <v>82</v>
      </c>
      <c r="AC8" s="551">
        <v>2021</v>
      </c>
      <c r="AD8" s="551">
        <v>2022</v>
      </c>
      <c r="AE8" s="586" t="s">
        <v>82</v>
      </c>
      <c r="AF8" s="551">
        <v>2021</v>
      </c>
      <c r="AG8" s="551">
        <v>2022</v>
      </c>
      <c r="AH8" s="586" t="s">
        <v>82</v>
      </c>
      <c r="AI8" s="551">
        <v>2021</v>
      </c>
      <c r="AJ8" s="551">
        <v>2022</v>
      </c>
      <c r="AK8" s="586" t="s">
        <v>82</v>
      </c>
      <c r="AL8" s="551">
        <v>2021</v>
      </c>
      <c r="AM8" s="551">
        <v>2022</v>
      </c>
      <c r="AN8" s="586" t="s">
        <v>82</v>
      </c>
      <c r="AO8" s="551">
        <v>2021</v>
      </c>
      <c r="AP8" s="551">
        <v>2022</v>
      </c>
      <c r="AQ8" s="586" t="s">
        <v>82</v>
      </c>
      <c r="AR8" s="551">
        <v>2021</v>
      </c>
      <c r="AS8" s="551">
        <v>2022</v>
      </c>
      <c r="AT8" s="586" t="s">
        <v>82</v>
      </c>
    </row>
    <row r="9" spans="1:46" s="447" customFormat="1" ht="18.75" customHeight="1" x14ac:dyDescent="0.3">
      <c r="A9" s="583" t="s">
        <v>287</v>
      </c>
      <c r="B9" s="587"/>
      <c r="C9" s="510"/>
      <c r="D9" s="512"/>
      <c r="E9" s="587"/>
      <c r="F9" s="510"/>
      <c r="G9" s="512"/>
      <c r="H9" s="587"/>
      <c r="I9" s="510"/>
      <c r="J9" s="512"/>
      <c r="K9" s="587"/>
      <c r="L9" s="510"/>
      <c r="M9" s="512"/>
      <c r="N9" s="587"/>
      <c r="O9" s="510"/>
      <c r="P9" s="510"/>
      <c r="Q9" s="588"/>
      <c r="R9" s="650"/>
      <c r="S9" s="512"/>
      <c r="T9" s="587"/>
      <c r="U9" s="512"/>
      <c r="V9" s="512"/>
      <c r="W9" s="587"/>
      <c r="X9" s="510"/>
      <c r="Y9" s="512"/>
      <c r="Z9" s="589"/>
      <c r="AA9" s="512"/>
      <c r="AB9" s="512"/>
      <c r="AC9" s="587"/>
      <c r="AD9" s="657"/>
      <c r="AE9" s="512"/>
      <c r="AF9" s="587"/>
      <c r="AG9" s="510"/>
      <c r="AH9" s="512"/>
      <c r="AI9" s="587"/>
      <c r="AJ9" s="510"/>
      <c r="AK9" s="512"/>
      <c r="AL9" s="510"/>
      <c r="AM9" s="510"/>
      <c r="AN9" s="512"/>
      <c r="AO9" s="512"/>
      <c r="AP9" s="512"/>
      <c r="AQ9" s="512"/>
      <c r="AR9" s="590"/>
      <c r="AS9" s="590"/>
      <c r="AT9" s="590"/>
    </row>
    <row r="10" spans="1:46" s="448" customFormat="1" ht="18.75" customHeight="1" x14ac:dyDescent="0.3">
      <c r="A10" s="581" t="s">
        <v>438</v>
      </c>
      <c r="B10" s="591"/>
      <c r="C10" s="434"/>
      <c r="D10" s="339"/>
      <c r="E10" s="591"/>
      <c r="F10" s="434"/>
      <c r="G10" s="339"/>
      <c r="H10" s="591"/>
      <c r="I10" s="434"/>
      <c r="J10" s="339"/>
      <c r="K10" s="591"/>
      <c r="L10" s="434"/>
      <c r="M10" s="339"/>
      <c r="N10" s="591"/>
      <c r="O10" s="434"/>
      <c r="P10" s="434"/>
      <c r="Q10" s="592"/>
      <c r="R10" s="651"/>
      <c r="S10" s="339"/>
      <c r="T10" s="591"/>
      <c r="U10" s="339"/>
      <c r="V10" s="339"/>
      <c r="W10" s="591"/>
      <c r="X10" s="434"/>
      <c r="Y10" s="339"/>
      <c r="Z10" s="593"/>
      <c r="AA10" s="339"/>
      <c r="AB10" s="339"/>
      <c r="AC10" s="591"/>
      <c r="AD10" s="525"/>
      <c r="AE10" s="339"/>
      <c r="AF10" s="591"/>
      <c r="AG10" s="434"/>
      <c r="AH10" s="339"/>
      <c r="AI10" s="591"/>
      <c r="AJ10" s="434"/>
      <c r="AK10" s="339"/>
      <c r="AL10" s="434"/>
      <c r="AM10" s="434"/>
      <c r="AN10" s="339"/>
      <c r="AO10" s="339"/>
      <c r="AP10" s="339"/>
      <c r="AQ10" s="339"/>
      <c r="AR10" s="594"/>
      <c r="AS10" s="594"/>
      <c r="AT10" s="594"/>
    </row>
    <row r="11" spans="1:46" s="448" customFormat="1" ht="18.75" customHeight="1" x14ac:dyDescent="0.3">
      <c r="A11" s="581" t="s">
        <v>288</v>
      </c>
      <c r="B11" s="593">
        <f>1385.969-5.779</f>
        <v>1380.19</v>
      </c>
      <c r="C11" s="339">
        <v>1390.5419999999999</v>
      </c>
      <c r="D11" s="339">
        <f t="shared" ref="D11:D16" si="0">IF(B11=0, "    ---- ", IF(ABS(ROUND(100/B11*C11-100,1))&lt;999,ROUND(100/B11*C11-100,1),IF(ROUND(100/B11*C11-100,1)&gt;999,999,-999)))</f>
        <v>0.8</v>
      </c>
      <c r="E11" s="593">
        <v>8342.0002736700008</v>
      </c>
      <c r="F11" s="339">
        <v>8940.8906041999999</v>
      </c>
      <c r="G11" s="339">
        <f t="shared" ref="G11:G17" si="1">IF(E11=0, "    ---- ", IF(ABS(ROUND(100/E11*F11-100,1))&lt;999,ROUND(100/E11*F11-100,1),IF(ROUND(100/E11*F11-100,1)&gt;999,999,-999)))</f>
        <v>7.2</v>
      </c>
      <c r="H11" s="593">
        <v>1797.52670947</v>
      </c>
      <c r="I11" s="339">
        <v>1935.7962601200002</v>
      </c>
      <c r="J11" s="339">
        <f t="shared" ref="J11:J17" si="2">IF(H11=0, "    ---- ", IF(ABS(ROUND(100/H11*I11-100,1))&lt;999,ROUND(100/H11*I11-100,1),IF(ROUND(100/H11*I11-100,1)&gt;999,999,-999)))</f>
        <v>7.7</v>
      </c>
      <c r="K11" s="593">
        <v>563.99099999999999</v>
      </c>
      <c r="L11" s="339">
        <v>623.68979200000001</v>
      </c>
      <c r="M11" s="339">
        <f t="shared" ref="M11:M17" si="3">IF(K11=0, "    ---- ", IF(ABS(ROUND(100/K11*L11-100,1))&lt;999,ROUND(100/K11*L11-100,1),IF(ROUND(100/K11*L11-100,1)&gt;999,999,-999)))</f>
        <v>10.6</v>
      </c>
      <c r="N11" s="593">
        <v>2209</v>
      </c>
      <c r="O11" s="339">
        <v>2462</v>
      </c>
      <c r="P11" s="339">
        <f t="shared" ref="P11:P16" si="4">IF(N11=0, "    ---- ", IF(ABS(ROUND(100/N11*O11-100,1))&lt;999,ROUND(100/N11*O11-100,1),IF(ROUND(100/N11*O11-100,1)&gt;999,999,-999)))</f>
        <v>11.5</v>
      </c>
      <c r="Q11" s="593">
        <v>17.481722049999998</v>
      </c>
      <c r="R11" s="652">
        <f>17047520.56/1000000</f>
        <v>17.047520559999999</v>
      </c>
      <c r="S11" s="339">
        <f>IF(Q11=0, "    ---- ", IF(ABS(ROUND(100/Q11*R11-100,1))&lt;999,ROUND(100/Q11*R11-100,1),IF(ROUND(100/Q11*R11-100,1)&gt;999,999,-999)))</f>
        <v>-2.5</v>
      </c>
      <c r="T11" s="593">
        <v>33633.640321949999</v>
      </c>
      <c r="U11" s="339">
        <v>32695.471171830002</v>
      </c>
      <c r="V11" s="339">
        <f t="shared" ref="V11:V17" si="5">IF(T11=0, "    ---- ", IF(ABS(ROUND(100/T11*U11-100,1))&lt;999,ROUND(100/T11*U11-100,1),IF(ROUND(100/T11*U11-100,1)&gt;999,999,-999)))</f>
        <v>-2.8</v>
      </c>
      <c r="W11" s="593">
        <v>10187.92</v>
      </c>
      <c r="X11" s="339">
        <v>8751.6023000000005</v>
      </c>
      <c r="Y11" s="339">
        <f t="shared" ref="Y11:Y17" si="6">IF(W11=0, "    ---- ", IF(ABS(ROUND(100/W11*X11-100,1))&lt;999,ROUND(100/W11*X11-100,1),IF(ROUND(100/W11*X11-100,1)&gt;999,999,-999)))</f>
        <v>-14.1</v>
      </c>
      <c r="Z11" s="593">
        <v>2128</v>
      </c>
      <c r="AA11" s="339">
        <v>5331</v>
      </c>
      <c r="AB11" s="339">
        <f t="shared" ref="AB11:AB17" si="7">IF(Z11=0, "    ---- ", IF(ABS(ROUND(100/Z11*AA11-100,1))&lt;999,ROUND(100/Z11*AA11-100,1),IF(ROUND(100/Z11*AA11-100,1)&gt;999,999,-999)))</f>
        <v>150.5</v>
      </c>
      <c r="AC11" s="593">
        <v>83.074449900000005</v>
      </c>
      <c r="AD11" s="438">
        <v>57.8867403</v>
      </c>
      <c r="AE11" s="339">
        <f t="shared" ref="AE11:AE16" si="8">IF(AC11=0, "    ---- ", IF(ABS(ROUND(100/AC11*AD11-100,1))&lt;999,ROUND(100/AC11*AD11-100,1),IF(ROUND(100/AC11*AD11-100,1)&gt;999,999,-999)))</f>
        <v>-30.3</v>
      </c>
      <c r="AF11" s="593">
        <v>3136.00519102</v>
      </c>
      <c r="AG11" s="339">
        <v>3436.1715132200006</v>
      </c>
      <c r="AH11" s="339">
        <f t="shared" ref="AH11:AH17" si="9">IF(AF11=0, "    ---- ", IF(ABS(ROUND(100/AF11*AG11-100,1))&lt;999,ROUND(100/AF11*AG11-100,1),IF(ROUND(100/AF11*AG11-100,1)&gt;999,999,-999)))</f>
        <v>9.6</v>
      </c>
      <c r="AI11" s="593">
        <v>10446</v>
      </c>
      <c r="AJ11" s="339">
        <v>10487</v>
      </c>
      <c r="AK11" s="339">
        <f t="shared" ref="AK11:AK17" si="10">IF(AI11=0, "    ---- ", IF(ABS(ROUND(100/AI11*AJ11-100,1))&lt;999,ROUND(100/AI11*AJ11-100,1),IF(ROUND(100/AI11*AJ11-100,1)&gt;999,999,-999)))</f>
        <v>0.4</v>
      </c>
      <c r="AL11" s="339"/>
      <c r="AM11" s="339">
        <v>1</v>
      </c>
      <c r="AN11" s="339" t="str">
        <f t="shared" ref="AN11:AN17" si="11">IF(AL11=0, "    ---- ", IF(ABS(ROUND(100/AL11*AM11-100,1))&lt;999,ROUND(100/AL11*AM11-100,1),IF(ROUND(100/AL11*AM11-100,1)&gt;999,999,-999)))</f>
        <v xml:space="preserve">    ---- </v>
      </c>
      <c r="AO11" s="339">
        <f>B11+E11+H11+K11+N11+T11+W11+Z11+AF11+AI11</f>
        <v>73824.273496109992</v>
      </c>
      <c r="AP11" s="339">
        <f>C11+F11+I11+L11+O11+U11+X11+AA11+AG11+AJ11</f>
        <v>76054.163641370003</v>
      </c>
      <c r="AQ11" s="339">
        <f t="shared" ref="AQ11:AQ46" si="12">IF(AO11=0, "    ---- ", IF(ABS(ROUND(100/AO11*AP11-100,1))&lt;999,ROUND(100/AO11*AP11-100,1),IF(ROUND(100/AO11*AP11-100,1)&gt;999,999,-999)))</f>
        <v>3</v>
      </c>
      <c r="AR11" s="438">
        <f>+B11+E11+H11+K11+N11+Q11+T11+W11+Z11+AC11+AF11+AI11+AL11</f>
        <v>73924.829668060003</v>
      </c>
      <c r="AS11" s="438">
        <f>+C11+F11+I11+L11+O11+R11+U11+X11+AA11+AD11+AG11+AJ11+AM11</f>
        <v>76130.097902230002</v>
      </c>
      <c r="AT11" s="339">
        <f t="shared" ref="AT11:AT17" si="13">IF(AR11=0, "    ---- ", IF(ABS(ROUND(100/AR11*AS11-100,1))&lt;999,ROUND(100/AR11*AS11-100,1),IF(ROUND(100/AR11*AS11-100,1)&gt;999,999,-999)))</f>
        <v>3</v>
      </c>
    </row>
    <row r="12" spans="1:46" s="448" customFormat="1" ht="18.75" customHeight="1" x14ac:dyDescent="0.3">
      <c r="A12" s="581" t="s">
        <v>289</v>
      </c>
      <c r="B12" s="593">
        <v>-60.652999999999999</v>
      </c>
      <c r="C12" s="339">
        <v>-53.975999999999999</v>
      </c>
      <c r="D12" s="339">
        <f t="shared" si="0"/>
        <v>-11</v>
      </c>
      <c r="E12" s="593">
        <v>-200.44635252</v>
      </c>
      <c r="F12" s="339">
        <v>-243.98205369999999</v>
      </c>
      <c r="G12" s="339">
        <f t="shared" si="1"/>
        <v>21.7</v>
      </c>
      <c r="H12" s="593">
        <v>-85.070087299999997</v>
      </c>
      <c r="I12" s="339">
        <v>-80.977461250000005</v>
      </c>
      <c r="J12" s="339">
        <f t="shared" si="2"/>
        <v>-4.8</v>
      </c>
      <c r="K12" s="593">
        <v>-12.396000000000001</v>
      </c>
      <c r="L12" s="339">
        <v>-15.316148</v>
      </c>
      <c r="M12" s="339">
        <f t="shared" si="3"/>
        <v>23.6</v>
      </c>
      <c r="N12" s="593">
        <v>-43</v>
      </c>
      <c r="O12" s="339">
        <v>-49</v>
      </c>
      <c r="P12" s="339">
        <f t="shared" si="4"/>
        <v>14</v>
      </c>
      <c r="Q12" s="593"/>
      <c r="R12" s="652"/>
      <c r="S12" s="339"/>
      <c r="T12" s="593">
        <v>0</v>
      </c>
      <c r="U12" s="339">
        <v>0</v>
      </c>
      <c r="V12" s="339" t="str">
        <f t="shared" si="5"/>
        <v xml:space="preserve">    ---- </v>
      </c>
      <c r="W12" s="593">
        <v>-45</v>
      </c>
      <c r="X12" s="339">
        <v>-45.6</v>
      </c>
      <c r="Y12" s="339">
        <f t="shared" si="6"/>
        <v>1.3</v>
      </c>
      <c r="Z12" s="593">
        <v>-1</v>
      </c>
      <c r="AA12" s="339">
        <v>-1</v>
      </c>
      <c r="AB12" s="339"/>
      <c r="AC12" s="593"/>
      <c r="AD12" s="438"/>
      <c r="AE12" s="339"/>
      <c r="AF12" s="593">
        <v>-2.883</v>
      </c>
      <c r="AG12" s="339">
        <v>-3.2010000000000001</v>
      </c>
      <c r="AH12" s="339">
        <f t="shared" si="9"/>
        <v>11</v>
      </c>
      <c r="AI12" s="593">
        <v>-6</v>
      </c>
      <c r="AJ12" s="339">
        <v>-7</v>
      </c>
      <c r="AK12" s="339">
        <f t="shared" si="10"/>
        <v>16.7</v>
      </c>
      <c r="AL12" s="339"/>
      <c r="AM12" s="339"/>
      <c r="AN12" s="339" t="str">
        <f t="shared" si="11"/>
        <v xml:space="preserve">    ---- </v>
      </c>
      <c r="AO12" s="339">
        <f t="shared" ref="AO12:AP46" si="14">B12+E12+H12+K12+N12+T12+W12+Z12+AF12+AI12</f>
        <v>-456.44843982000003</v>
      </c>
      <c r="AP12" s="339">
        <f t="shared" si="14"/>
        <v>-500.05266295000001</v>
      </c>
      <c r="AQ12" s="339">
        <f t="shared" si="12"/>
        <v>9.6</v>
      </c>
      <c r="AR12" s="438">
        <f t="shared" ref="AR12:AS17" si="15">+B12+E12+H12+K12+N12+Q12+T12+W12+Z12+AC12+AF12+AI12+AL12</f>
        <v>-456.44843982000003</v>
      </c>
      <c r="AS12" s="438">
        <f t="shared" si="15"/>
        <v>-500.05266295000001</v>
      </c>
      <c r="AT12" s="339">
        <f t="shared" si="13"/>
        <v>9.6</v>
      </c>
    </row>
    <row r="13" spans="1:46" s="448" customFormat="1" ht="18.75" customHeight="1" x14ac:dyDescent="0.3">
      <c r="A13" s="581" t="s">
        <v>418</v>
      </c>
      <c r="B13" s="593">
        <v>2028.5930000000001</v>
      </c>
      <c r="C13" s="339">
        <v>1422.0119999999999</v>
      </c>
      <c r="D13" s="339">
        <f t="shared" si="0"/>
        <v>-29.9</v>
      </c>
      <c r="E13" s="593">
        <v>10636.012669539999</v>
      </c>
      <c r="F13" s="339">
        <v>7167.55509076</v>
      </c>
      <c r="G13" s="339">
        <f t="shared" si="1"/>
        <v>-32.6</v>
      </c>
      <c r="H13" s="593"/>
      <c r="I13" s="339"/>
      <c r="J13" s="339" t="str">
        <f t="shared" si="2"/>
        <v xml:space="preserve">    ---- </v>
      </c>
      <c r="K13" s="593"/>
      <c r="L13" s="339"/>
      <c r="M13" s="339" t="str">
        <f t="shared" si="3"/>
        <v xml:space="preserve">    ---- </v>
      </c>
      <c r="N13" s="593">
        <v>3582</v>
      </c>
      <c r="O13" s="339">
        <v>3768</v>
      </c>
      <c r="P13" s="339">
        <f t="shared" si="4"/>
        <v>5.2</v>
      </c>
      <c r="Q13" s="593"/>
      <c r="R13" s="652"/>
      <c r="S13" s="339"/>
      <c r="T13" s="593">
        <v>0</v>
      </c>
      <c r="U13" s="339">
        <v>385.631237</v>
      </c>
      <c r="V13" s="339" t="str">
        <f t="shared" si="5"/>
        <v xml:space="preserve">    ---- </v>
      </c>
      <c r="W13" s="593">
        <v>5046</v>
      </c>
      <c r="X13" s="339">
        <v>3910.92</v>
      </c>
      <c r="Y13" s="339">
        <f t="shared" si="6"/>
        <v>-22.5</v>
      </c>
      <c r="Z13" s="593">
        <v>14</v>
      </c>
      <c r="AA13" s="339">
        <v>0</v>
      </c>
      <c r="AB13" s="339"/>
      <c r="AC13" s="593">
        <v>62.222109000000003</v>
      </c>
      <c r="AD13" s="438">
        <v>25.648233999999999</v>
      </c>
      <c r="AE13" s="339">
        <f t="shared" si="8"/>
        <v>-58.8</v>
      </c>
      <c r="AF13" s="593">
        <v>4318.7586514899995</v>
      </c>
      <c r="AG13" s="339">
        <v>2606.8377030600004</v>
      </c>
      <c r="AH13" s="339">
        <f t="shared" si="9"/>
        <v>-39.6</v>
      </c>
      <c r="AI13" s="593">
        <v>9991</v>
      </c>
      <c r="AJ13" s="339">
        <v>6255</v>
      </c>
      <c r="AK13" s="339">
        <f t="shared" si="10"/>
        <v>-37.4</v>
      </c>
      <c r="AL13" s="339"/>
      <c r="AM13" s="339"/>
      <c r="AN13" s="339" t="str">
        <f t="shared" si="11"/>
        <v xml:space="preserve">    ---- </v>
      </c>
      <c r="AO13" s="339">
        <f t="shared" si="14"/>
        <v>35616.36432103</v>
      </c>
      <c r="AP13" s="339">
        <f t="shared" si="14"/>
        <v>25515.956030820002</v>
      </c>
      <c r="AQ13" s="339">
        <f t="shared" si="12"/>
        <v>-28.4</v>
      </c>
      <c r="AR13" s="438">
        <f t="shared" si="15"/>
        <v>35678.586430030002</v>
      </c>
      <c r="AS13" s="438">
        <f t="shared" si="15"/>
        <v>25541.604264820002</v>
      </c>
      <c r="AT13" s="339">
        <f t="shared" si="13"/>
        <v>-28.4</v>
      </c>
    </row>
    <row r="14" spans="1:46" s="448" customFormat="1" ht="18.75" customHeight="1" x14ac:dyDescent="0.3">
      <c r="A14" s="581" t="s">
        <v>290</v>
      </c>
      <c r="B14" s="595">
        <f>SUM(B11:B13)</f>
        <v>3348.13</v>
      </c>
      <c r="C14" s="552">
        <f>SUM(C11:C13)</f>
        <v>2758.5779999999995</v>
      </c>
      <c r="D14" s="339">
        <f t="shared" si="0"/>
        <v>-17.600000000000001</v>
      </c>
      <c r="E14" s="591">
        <f>SUM(E11:E13)</f>
        <v>18777.566590689999</v>
      </c>
      <c r="F14" s="434">
        <f>SUM(F11:F13)</f>
        <v>15864.463641260001</v>
      </c>
      <c r="G14" s="339">
        <f t="shared" si="1"/>
        <v>-15.5</v>
      </c>
      <c r="H14" s="591">
        <f>SUM(H11:H13)</f>
        <v>1712.4566221699999</v>
      </c>
      <c r="I14" s="434">
        <f>SUM(I11:I13)</f>
        <v>1854.8187988700001</v>
      </c>
      <c r="J14" s="339">
        <f t="shared" si="2"/>
        <v>8.3000000000000007</v>
      </c>
      <c r="K14" s="591">
        <f>SUM(K11:K13)</f>
        <v>551.59500000000003</v>
      </c>
      <c r="L14" s="434">
        <f>SUM(L11:L13)</f>
        <v>608.37364400000001</v>
      </c>
      <c r="M14" s="339">
        <f t="shared" si="3"/>
        <v>10.3</v>
      </c>
      <c r="N14" s="591">
        <f>SUM(N11:N13)</f>
        <v>5748</v>
      </c>
      <c r="O14" s="434">
        <f>SUM(O11:O13)</f>
        <v>6181</v>
      </c>
      <c r="P14" s="339">
        <f t="shared" si="4"/>
        <v>7.5</v>
      </c>
      <c r="Q14" s="591">
        <f>SUM(Q11:Q13)</f>
        <v>17.481722049999998</v>
      </c>
      <c r="R14" s="653">
        <f>SUM(R11:R13)</f>
        <v>17.047520559999999</v>
      </c>
      <c r="S14" s="339">
        <f>IF(Q14=0, "    ---- ", IF(ABS(ROUND(100/Q14*R14-100,1))&lt;999,ROUND(100/Q14*R14-100,1),IF(ROUND(100/Q14*R14-100,1)&gt;999,999,-999)))</f>
        <v>-2.5</v>
      </c>
      <c r="T14" s="591">
        <v>33633.640321949999</v>
      </c>
      <c r="U14" s="434">
        <v>33081.102408830004</v>
      </c>
      <c r="V14" s="339">
        <f t="shared" si="5"/>
        <v>-1.6</v>
      </c>
      <c r="W14" s="591">
        <f>SUM(W11:W13)</f>
        <v>15188.92</v>
      </c>
      <c r="X14" s="434">
        <f>SUM(X11:X13)</f>
        <v>12616.9223</v>
      </c>
      <c r="Y14" s="339">
        <f t="shared" si="6"/>
        <v>-16.899999999999999</v>
      </c>
      <c r="Z14" s="591">
        <f>SUM(Z11:Z13)</f>
        <v>2141</v>
      </c>
      <c r="AA14" s="434">
        <f>SUM(AA11:AA13)</f>
        <v>5330</v>
      </c>
      <c r="AB14" s="339">
        <f t="shared" si="7"/>
        <v>148.9</v>
      </c>
      <c r="AC14" s="104">
        <f>SUM(AC11:AC13)</f>
        <v>145.29655890000001</v>
      </c>
      <c r="AD14" s="525">
        <f>SUM(AD11:AD13)</f>
        <v>83.534974300000002</v>
      </c>
      <c r="AE14" s="339">
        <f t="shared" si="8"/>
        <v>-42.5</v>
      </c>
      <c r="AF14" s="591">
        <f>SUM(AF11:AF13)</f>
        <v>7451.8808425099996</v>
      </c>
      <c r="AG14" s="434">
        <f>SUM(AG11:AG13)</f>
        <v>6039.808216280001</v>
      </c>
      <c r="AH14" s="339">
        <f t="shared" si="9"/>
        <v>-18.899999999999999</v>
      </c>
      <c r="AI14" s="591">
        <f>SUM(AI11:AI13)</f>
        <v>20431</v>
      </c>
      <c r="AJ14" s="434">
        <f>SUM(AJ11:AJ13)</f>
        <v>16735</v>
      </c>
      <c r="AK14" s="339">
        <f t="shared" si="10"/>
        <v>-18.100000000000001</v>
      </c>
      <c r="AL14" s="434"/>
      <c r="AM14" s="434">
        <f>SUM(AM11:AM13)</f>
        <v>1</v>
      </c>
      <c r="AN14" s="339" t="str">
        <f t="shared" si="11"/>
        <v xml:space="preserve">    ---- </v>
      </c>
      <c r="AO14" s="339">
        <f t="shared" si="14"/>
        <v>108984.18937732</v>
      </c>
      <c r="AP14" s="339">
        <f t="shared" si="14"/>
        <v>101070.06700924001</v>
      </c>
      <c r="AQ14" s="339">
        <f t="shared" si="12"/>
        <v>-7.3</v>
      </c>
      <c r="AR14" s="438">
        <f t="shared" si="15"/>
        <v>109146.96765826999</v>
      </c>
      <c r="AS14" s="438">
        <f t="shared" si="15"/>
        <v>101171.6495041</v>
      </c>
      <c r="AT14" s="339">
        <f t="shared" si="13"/>
        <v>-7.3</v>
      </c>
    </row>
    <row r="15" spans="1:46" s="448" customFormat="1" ht="18.75" customHeight="1" x14ac:dyDescent="0.3">
      <c r="A15" s="581" t="s">
        <v>291</v>
      </c>
      <c r="B15" s="196">
        <v>6.3520000000000003</v>
      </c>
      <c r="C15" s="438">
        <v>-70.105000000000004</v>
      </c>
      <c r="D15" s="339">
        <f t="shared" si="0"/>
        <v>-999</v>
      </c>
      <c r="E15" s="196">
        <v>4304.0444400499991</v>
      </c>
      <c r="F15" s="438">
        <v>-1434.7032614599998</v>
      </c>
      <c r="G15" s="339">
        <f t="shared" si="1"/>
        <v>-133.30000000000001</v>
      </c>
      <c r="H15" s="596">
        <v>49.402295670000001</v>
      </c>
      <c r="I15" s="513">
        <v>-160.94196818000003</v>
      </c>
      <c r="J15" s="339">
        <f t="shared" si="2"/>
        <v>-425.8</v>
      </c>
      <c r="K15" s="596">
        <v>34.645000000000003</v>
      </c>
      <c r="L15" s="513">
        <v>-36.320697000000003</v>
      </c>
      <c r="M15" s="339">
        <f t="shared" si="3"/>
        <v>-204.8</v>
      </c>
      <c r="N15" s="196">
        <v>145</v>
      </c>
      <c r="O15" s="438">
        <v>91</v>
      </c>
      <c r="P15" s="339">
        <f t="shared" si="4"/>
        <v>-37.200000000000003</v>
      </c>
      <c r="Q15" s="597"/>
      <c r="R15" s="654"/>
      <c r="S15" s="339"/>
      <c r="T15" s="196">
        <v>26258.92207103</v>
      </c>
      <c r="U15" s="438">
        <v>-13664.179574760001</v>
      </c>
      <c r="V15" s="339">
        <f t="shared" si="5"/>
        <v>-152</v>
      </c>
      <c r="W15" s="196">
        <v>2313.12</v>
      </c>
      <c r="X15" s="438">
        <v>235.04759999999999</v>
      </c>
      <c r="Y15" s="339">
        <f t="shared" si="6"/>
        <v>-89.8</v>
      </c>
      <c r="Z15" s="196">
        <v>6310</v>
      </c>
      <c r="AA15" s="438">
        <v>-2874</v>
      </c>
      <c r="AB15" s="339">
        <f t="shared" si="7"/>
        <v>-145.5</v>
      </c>
      <c r="AC15" s="597"/>
      <c r="AD15" s="511"/>
      <c r="AE15" s="339"/>
      <c r="AF15" s="598">
        <v>899.80529314999967</v>
      </c>
      <c r="AG15" s="490">
        <v>-550.63614672999961</v>
      </c>
      <c r="AH15" s="339">
        <f t="shared" si="9"/>
        <v>-161.19999999999999</v>
      </c>
      <c r="AI15" s="196">
        <v>3739</v>
      </c>
      <c r="AJ15" s="438">
        <v>-4668</v>
      </c>
      <c r="AK15" s="339">
        <f t="shared" si="10"/>
        <v>-224.8</v>
      </c>
      <c r="AL15" s="438"/>
      <c r="AM15" s="438"/>
      <c r="AN15" s="339" t="str">
        <f t="shared" si="11"/>
        <v xml:space="preserve">    ---- </v>
      </c>
      <c r="AO15" s="339">
        <f t="shared" si="14"/>
        <v>44060.291099900001</v>
      </c>
      <c r="AP15" s="339">
        <f t="shared" si="14"/>
        <v>-23132.839048130001</v>
      </c>
      <c r="AQ15" s="339">
        <f t="shared" si="12"/>
        <v>-152.5</v>
      </c>
      <c r="AR15" s="438">
        <f t="shared" si="15"/>
        <v>44060.291099900001</v>
      </c>
      <c r="AS15" s="438">
        <f t="shared" si="15"/>
        <v>-23132.839048130001</v>
      </c>
      <c r="AT15" s="339">
        <f t="shared" si="13"/>
        <v>-152.5</v>
      </c>
    </row>
    <row r="16" spans="1:46" s="448" customFormat="1" ht="18.75" customHeight="1" x14ac:dyDescent="0.3">
      <c r="A16" s="581" t="s">
        <v>292</v>
      </c>
      <c r="B16" s="196">
        <v>1863.248</v>
      </c>
      <c r="C16" s="438">
        <v>-3456.5050000000001</v>
      </c>
      <c r="D16" s="339">
        <f t="shared" si="0"/>
        <v>-285.5</v>
      </c>
      <c r="E16" s="196">
        <v>10126.777253290002</v>
      </c>
      <c r="F16" s="438">
        <v>-13706.289303559997</v>
      </c>
      <c r="G16" s="339">
        <f t="shared" si="1"/>
        <v>-235.3</v>
      </c>
      <c r="H16" s="596"/>
      <c r="I16" s="513"/>
      <c r="J16" s="339" t="str">
        <f t="shared" si="2"/>
        <v xml:space="preserve">    ---- </v>
      </c>
      <c r="K16" s="596"/>
      <c r="L16" s="513"/>
      <c r="M16" s="339" t="str">
        <f t="shared" si="3"/>
        <v xml:space="preserve">    ---- </v>
      </c>
      <c r="N16" s="196">
        <v>2792</v>
      </c>
      <c r="O16" s="438">
        <v>-5309</v>
      </c>
      <c r="P16" s="434">
        <f t="shared" si="4"/>
        <v>-290.2</v>
      </c>
      <c r="Q16" s="597"/>
      <c r="R16" s="654"/>
      <c r="S16" s="599"/>
      <c r="T16" s="196">
        <v>102.25999252</v>
      </c>
      <c r="U16" s="438">
        <v>-85.851325810000006</v>
      </c>
      <c r="V16" s="599">
        <f t="shared" si="5"/>
        <v>-184</v>
      </c>
      <c r="W16" s="196">
        <v>8249.2000000000007</v>
      </c>
      <c r="X16" s="438">
        <v>-14979.681699999999</v>
      </c>
      <c r="Y16" s="339">
        <f t="shared" si="6"/>
        <v>-281.60000000000002</v>
      </c>
      <c r="Z16" s="196"/>
      <c r="AA16" s="438"/>
      <c r="AB16" s="339"/>
      <c r="AC16" s="658">
        <v>306.74204885</v>
      </c>
      <c r="AD16" s="659">
        <v>-383.95267626999998</v>
      </c>
      <c r="AE16" s="339">
        <f t="shared" si="8"/>
        <v>-225.2</v>
      </c>
      <c r="AF16" s="598">
        <v>4187.0494846000011</v>
      </c>
      <c r="AG16" s="490">
        <v>-6351.1611566099991</v>
      </c>
      <c r="AH16" s="339">
        <f t="shared" si="9"/>
        <v>-251.7</v>
      </c>
      <c r="AI16" s="196">
        <v>12076</v>
      </c>
      <c r="AJ16" s="438">
        <v>-14370</v>
      </c>
      <c r="AK16" s="339">
        <f t="shared" si="10"/>
        <v>-219</v>
      </c>
      <c r="AL16" s="438"/>
      <c r="AM16" s="438"/>
      <c r="AN16" s="339" t="str">
        <f t="shared" si="11"/>
        <v xml:space="preserve">    ---- </v>
      </c>
      <c r="AO16" s="339">
        <f t="shared" si="14"/>
        <v>39396.53473041</v>
      </c>
      <c r="AP16" s="339">
        <f t="shared" si="14"/>
        <v>-58258.488485979993</v>
      </c>
      <c r="AQ16" s="339">
        <f t="shared" si="12"/>
        <v>-247.9</v>
      </c>
      <c r="AR16" s="438">
        <f t="shared" si="15"/>
        <v>39703.276779259999</v>
      </c>
      <c r="AS16" s="438">
        <f t="shared" si="15"/>
        <v>-58642.44116224999</v>
      </c>
      <c r="AT16" s="339">
        <f t="shared" si="13"/>
        <v>-247.7</v>
      </c>
    </row>
    <row r="17" spans="1:46" s="448" customFormat="1" ht="18.75" customHeight="1" x14ac:dyDescent="0.3">
      <c r="A17" s="581" t="s">
        <v>293</v>
      </c>
      <c r="B17" s="196"/>
      <c r="C17" s="438"/>
      <c r="D17" s="339"/>
      <c r="E17" s="196">
        <v>21.465635219999999</v>
      </c>
      <c r="F17" s="438">
        <v>23.031188800000002</v>
      </c>
      <c r="G17" s="339">
        <f t="shared" si="1"/>
        <v>7.3</v>
      </c>
      <c r="H17" s="596">
        <v>3.6125157699999701</v>
      </c>
      <c r="I17" s="513">
        <v>3.5454758799999997</v>
      </c>
      <c r="J17" s="339">
        <f t="shared" si="2"/>
        <v>-1.9</v>
      </c>
      <c r="K17" s="596">
        <v>3.4000000000000002E-2</v>
      </c>
      <c r="L17" s="513"/>
      <c r="M17" s="339">
        <f t="shared" si="3"/>
        <v>-100</v>
      </c>
      <c r="N17" s="196">
        <v>109</v>
      </c>
      <c r="O17" s="438">
        <v>109</v>
      </c>
      <c r="P17" s="339"/>
      <c r="Q17" s="597"/>
      <c r="R17" s="654"/>
      <c r="S17" s="339"/>
      <c r="T17" s="196">
        <v>614.16579400000001</v>
      </c>
      <c r="U17" s="438">
        <v>664.25985900000001</v>
      </c>
      <c r="V17" s="339">
        <f t="shared" si="5"/>
        <v>8.1999999999999993</v>
      </c>
      <c r="W17" s="196">
        <v>179.78</v>
      </c>
      <c r="X17" s="438">
        <v>130.0822</v>
      </c>
      <c r="Y17" s="339">
        <f t="shared" si="6"/>
        <v>-27.6</v>
      </c>
      <c r="Z17" s="196">
        <v>7</v>
      </c>
      <c r="AA17" s="438">
        <v>15</v>
      </c>
      <c r="AB17" s="339">
        <f t="shared" si="7"/>
        <v>114.3</v>
      </c>
      <c r="AC17" s="597"/>
      <c r="AD17" s="511"/>
      <c r="AE17" s="339"/>
      <c r="AF17" s="598">
        <v>165.42150764000002</v>
      </c>
      <c r="AG17" s="490">
        <v>162.92723223000002</v>
      </c>
      <c r="AH17" s="339">
        <f t="shared" si="9"/>
        <v>-1.5</v>
      </c>
      <c r="AI17" s="196">
        <v>413</v>
      </c>
      <c r="AJ17" s="438">
        <v>403</v>
      </c>
      <c r="AK17" s="339">
        <f t="shared" si="10"/>
        <v>-2.4</v>
      </c>
      <c r="AL17" s="438"/>
      <c r="AM17" s="438"/>
      <c r="AN17" s="339" t="str">
        <f t="shared" si="11"/>
        <v xml:space="preserve">    ---- </v>
      </c>
      <c r="AO17" s="339">
        <f t="shared" si="14"/>
        <v>1513.47945263</v>
      </c>
      <c r="AP17" s="339">
        <f t="shared" si="14"/>
        <v>1510.8459559100002</v>
      </c>
      <c r="AQ17" s="339">
        <f t="shared" si="12"/>
        <v>-0.2</v>
      </c>
      <c r="AR17" s="438">
        <f t="shared" si="15"/>
        <v>1513.47945263</v>
      </c>
      <c r="AS17" s="438">
        <f t="shared" si="15"/>
        <v>1510.8459559100002</v>
      </c>
      <c r="AT17" s="339">
        <f t="shared" si="13"/>
        <v>-0.2</v>
      </c>
    </row>
    <row r="18" spans="1:46" s="448" customFormat="1" ht="18.75" customHeight="1" x14ac:dyDescent="0.3">
      <c r="A18" s="581" t="s">
        <v>294</v>
      </c>
      <c r="B18" s="196"/>
      <c r="C18" s="438"/>
      <c r="D18" s="339"/>
      <c r="E18" s="196"/>
      <c r="F18" s="438"/>
      <c r="G18" s="339"/>
      <c r="H18" s="596"/>
      <c r="I18" s="513"/>
      <c r="J18" s="339"/>
      <c r="K18" s="596"/>
      <c r="L18" s="513"/>
      <c r="M18" s="339"/>
      <c r="N18" s="196"/>
      <c r="O18" s="438"/>
      <c r="P18" s="434"/>
      <c r="Q18" s="597"/>
      <c r="R18" s="654"/>
      <c r="S18" s="339"/>
      <c r="T18" s="196"/>
      <c r="U18" s="438"/>
      <c r="V18" s="339"/>
      <c r="W18" s="600"/>
      <c r="X18" s="491"/>
      <c r="Y18" s="339"/>
      <c r="Z18" s="196"/>
      <c r="AA18" s="438"/>
      <c r="AB18" s="339"/>
      <c r="AC18" s="597"/>
      <c r="AD18" s="511"/>
      <c r="AE18" s="339"/>
      <c r="AF18" s="598"/>
      <c r="AG18" s="490"/>
      <c r="AH18" s="339"/>
      <c r="AI18" s="196"/>
      <c r="AJ18" s="438"/>
      <c r="AK18" s="339"/>
      <c r="AL18" s="438"/>
      <c r="AM18" s="438"/>
      <c r="AN18" s="339"/>
      <c r="AO18" s="339"/>
      <c r="AP18" s="339"/>
      <c r="AQ18" s="339"/>
      <c r="AR18" s="511"/>
      <c r="AS18" s="511"/>
      <c r="AT18" s="594"/>
    </row>
    <row r="19" spans="1:46" s="448" customFormat="1" ht="18.75" customHeight="1" x14ac:dyDescent="0.3">
      <c r="A19" s="581" t="s">
        <v>295</v>
      </c>
      <c r="B19" s="591">
        <f>-376.934+27.392</f>
        <v>-349.54200000000003</v>
      </c>
      <c r="C19" s="434">
        <v>-400.22699999999998</v>
      </c>
      <c r="D19" s="339">
        <f>IF(B19=0, "    ---- ", IF(ABS(ROUND(100/B19*C19-100,1))&lt;999,ROUND(100/B19*C19-100,1),IF(ROUND(100/B19*C19-100,1)&gt;999,999,-999)))</f>
        <v>14.5</v>
      </c>
      <c r="E19" s="591">
        <v>-7189.9717912300011</v>
      </c>
      <c r="F19" s="434">
        <v>-7394.6732062999999</v>
      </c>
      <c r="G19" s="339">
        <f>IF(E19=0, "    ---- ", IF(ABS(ROUND(100/E19*F19-100,1))&lt;999,ROUND(100/E19*F19-100,1),IF(ROUND(100/E19*F19-100,1)&gt;999,999,-999)))</f>
        <v>2.8</v>
      </c>
      <c r="H19" s="591">
        <v>-706.58488940999996</v>
      </c>
      <c r="I19" s="434">
        <v>-831.84746202999997</v>
      </c>
      <c r="J19" s="339">
        <f>IF(H19=0, "    ---- ", IF(ABS(ROUND(100/H19*I19-100,1))&lt;999,ROUND(100/H19*I19-100,1),IF(ROUND(100/H19*I19-100,1)&gt;999,999,-999)))</f>
        <v>17.7</v>
      </c>
      <c r="K19" s="591">
        <v>-60.947000000000003</v>
      </c>
      <c r="L19" s="434">
        <v>-91.113652999999999</v>
      </c>
      <c r="M19" s="339">
        <f>IF(K19=0, "    ---- ", IF(ABS(ROUND(100/K19*L19-100,1))&lt;999,ROUND(100/K19*L19-100,1),IF(ROUND(100/K19*L19-100,1)&gt;999,999,-999)))</f>
        <v>49.5</v>
      </c>
      <c r="N19" s="591">
        <v>-366</v>
      </c>
      <c r="O19" s="434">
        <v>-414</v>
      </c>
      <c r="P19" s="339">
        <f>IF(N19=0, "    ---- ", IF(ABS(ROUND(100/N19*O19-100,1))&lt;999,ROUND(100/N19*O19-100,1),IF(ROUND(100/N19*O19-100,1)&gt;999,999,-999)))</f>
        <v>13.1</v>
      </c>
      <c r="Q19" s="591">
        <v>-8.0804240000000007</v>
      </c>
      <c r="R19" s="653">
        <f>-8948771/1000000</f>
        <v>-8.9487710000000007</v>
      </c>
      <c r="S19" s="339">
        <f>IF(Q19=0, "    ---- ", IF(ABS(ROUND(100/Q19*R19-100,1))&lt;999,ROUND(100/Q19*R19-100,1),IF(ROUND(100/Q19*R19-100,1)&gt;999,999,-999)))</f>
        <v>10.7</v>
      </c>
      <c r="T19" s="591">
        <v>-10753.423612000001</v>
      </c>
      <c r="U19" s="434">
        <v>-11709.08541541</v>
      </c>
      <c r="V19" s="339">
        <f>IF(T19=0, "    ---- ", IF(ABS(ROUND(100/T19*U19-100,1))&lt;999,ROUND(100/T19*U19-100,1),IF(ROUND(100/T19*U19-100,1)&gt;999,999,-999)))</f>
        <v>8.9</v>
      </c>
      <c r="W19" s="591">
        <v>-3041.22</v>
      </c>
      <c r="X19" s="434">
        <v>-5169.9922999999999</v>
      </c>
      <c r="Y19" s="339">
        <f>IF(W19=0, "    ---- ", IF(ABS(ROUND(100/W19*X19-100,1))&lt;999,ROUND(100/W19*X19-100,1),IF(ROUND(100/W19*X19-100,1)&gt;999,999,-999)))</f>
        <v>70</v>
      </c>
      <c r="Z19" s="591">
        <v>-1501</v>
      </c>
      <c r="AA19" s="434">
        <v>-1649</v>
      </c>
      <c r="AB19" s="339">
        <f>IF(Z19=0, "    ---- ", IF(ABS(ROUND(100/Z19*AA19-100,1))&lt;999,ROUND(100/Z19*AA19-100,1),IF(ROUND(100/Z19*AA19-100,1)&gt;999,999,-999)))</f>
        <v>9.9</v>
      </c>
      <c r="AC19" s="104">
        <v>-78.93904234</v>
      </c>
      <c r="AD19" s="525">
        <v>-89.670718820000005</v>
      </c>
      <c r="AE19" s="339">
        <f>IF(AC19=0, "    ---- ", IF(ABS(ROUND(100/AC19*AD19-100,1))&lt;999,ROUND(100/AC19*AD19-100,1),IF(ROUND(100/AC19*AD19-100,1)&gt;999,999,-999)))</f>
        <v>13.6</v>
      </c>
      <c r="AF19" s="601">
        <v>-802.75139572</v>
      </c>
      <c r="AG19" s="492">
        <v>-901.64600917000007</v>
      </c>
      <c r="AH19" s="339">
        <f>IF(AF19=0, "    ---- ", IF(ABS(ROUND(100/AF19*AG19-100,1))&lt;999,ROUND(100/AF19*AG19-100,1),IF(ROUND(100/AF19*AG19-100,1)&gt;999,999,-999)))</f>
        <v>12.3</v>
      </c>
      <c r="AI19" s="591">
        <f>-6230+7</f>
        <v>-6223</v>
      </c>
      <c r="AJ19" s="434">
        <f>-6730+2</f>
        <v>-6728</v>
      </c>
      <c r="AK19" s="339">
        <f>IF(AI19=0, "    ---- ", IF(ABS(ROUND(100/AI19*AJ19-100,1))&lt;999,ROUND(100/AI19*AJ19-100,1),IF(ROUND(100/AI19*AJ19-100,1)&gt;999,999,-999)))</f>
        <v>8.1</v>
      </c>
      <c r="AL19" s="434"/>
      <c r="AM19" s="434"/>
      <c r="AN19" s="339" t="str">
        <f>IF(AL19=0, "    ---- ", IF(ABS(ROUND(100/AL19*AM19-100,1))&lt;999,ROUND(100/AL19*AM19-100,1),IF(ROUND(100/AL19*AM19-100,1)&gt;999,999,-999)))</f>
        <v xml:space="preserve">    ---- </v>
      </c>
      <c r="AO19" s="339">
        <f t="shared" si="14"/>
        <v>-30994.440688360002</v>
      </c>
      <c r="AP19" s="339">
        <f t="shared" si="14"/>
        <v>-35289.585045909997</v>
      </c>
      <c r="AQ19" s="339">
        <f t="shared" si="12"/>
        <v>13.9</v>
      </c>
      <c r="AR19" s="438">
        <f t="shared" ref="AR19:AS21" si="16">+B19+E19+H19+K19+N19+Q19+T19+W19+Z19+AC19+AF19+AI19+AL19</f>
        <v>-31081.460154700002</v>
      </c>
      <c r="AS19" s="438">
        <f t="shared" si="16"/>
        <v>-35388.204535730001</v>
      </c>
      <c r="AT19" s="339">
        <f>IF(AR19=0, "    ---- ", IF(ABS(ROUND(100/AR19*AS19-100,1))&lt;999,ROUND(100/AR19*AS19-100,1),IF(ROUND(100/AR19*AS19-100,1)&gt;999,999,-999)))</f>
        <v>13.9</v>
      </c>
    </row>
    <row r="20" spans="1:46" s="448" customFormat="1" ht="18.75" customHeight="1" x14ac:dyDescent="0.3">
      <c r="A20" s="581" t="s">
        <v>419</v>
      </c>
      <c r="B20" s="593">
        <v>-2000.0050000000001</v>
      </c>
      <c r="C20" s="339">
        <v>-1635.751</v>
      </c>
      <c r="D20" s="339">
        <f>IF(B20=0, "    ---- ", IF(ABS(ROUND(100/B20*C20-100,1))&lt;999,ROUND(100/B20*C20-100,1),IF(ROUND(100/B20*C20-100,1)&gt;999,999,-999)))</f>
        <v>-18.2</v>
      </c>
      <c r="E20" s="593">
        <v>-11738.444416849999</v>
      </c>
      <c r="F20" s="339">
        <v>-7270.8884885999996</v>
      </c>
      <c r="G20" s="339">
        <f>IF(E20=0, "    ---- ", IF(ABS(ROUND(100/E20*F20-100,1))&lt;999,ROUND(100/E20*F20-100,1),IF(ROUND(100/E20*F20-100,1)&gt;999,999,-999)))</f>
        <v>-38.1</v>
      </c>
      <c r="H20" s="593">
        <v>69.219940859999994</v>
      </c>
      <c r="I20" s="339">
        <v>67.580757169999998</v>
      </c>
      <c r="J20" s="339">
        <f>IF(H20=0, "    ---- ", IF(ABS(ROUND(100/H20*I20-100,1))&lt;999,ROUND(100/H20*I20-100,1),IF(ROUND(100/H20*I20-100,1)&gt;999,999,-999)))</f>
        <v>-2.4</v>
      </c>
      <c r="K20" s="593"/>
      <c r="L20" s="339"/>
      <c r="M20" s="339" t="str">
        <f>IF(K20=0, "    ---- ", IF(ABS(ROUND(100/K20*L20-100,1))&lt;999,ROUND(100/K20*L20-100,1),IF(ROUND(100/K20*L20-100,1)&gt;999,999,-999)))</f>
        <v xml:space="preserve">    ---- </v>
      </c>
      <c r="N20" s="593">
        <v>-3929</v>
      </c>
      <c r="O20" s="339">
        <v>-2478</v>
      </c>
      <c r="P20" s="339">
        <f>IF(N20=0, "    ---- ", IF(ABS(ROUND(100/N20*O20-100,1))&lt;999,ROUND(100/N20*O20-100,1),IF(ROUND(100/N20*O20-100,1)&gt;999,999,-999)))</f>
        <v>-36.9</v>
      </c>
      <c r="Q20" s="593"/>
      <c r="R20" s="652"/>
      <c r="S20" s="339"/>
      <c r="T20" s="593">
        <v>-8346.1223590000009</v>
      </c>
      <c r="U20" s="339">
        <v>-4657.5259349999997</v>
      </c>
      <c r="V20" s="339">
        <f>IF(T20=0, "    ---- ", IF(ABS(ROUND(100/T20*U20-100,1))&lt;999,ROUND(100/T20*U20-100,1),IF(ROUND(100/T20*U20-100,1)&gt;999,999,-999)))</f>
        <v>-44.2</v>
      </c>
      <c r="W20" s="602">
        <v>-5033</v>
      </c>
      <c r="X20" s="493">
        <v>-3289</v>
      </c>
      <c r="Y20" s="339">
        <f>IF(W20=0, "    ---- ", IF(ABS(ROUND(100/W20*X20-100,1))&lt;999,ROUND(100/W20*X20-100,1),IF(ROUND(100/W20*X20-100,1)&gt;999,999,-999)))</f>
        <v>-34.700000000000003</v>
      </c>
      <c r="Z20" s="602"/>
      <c r="AA20" s="493"/>
      <c r="AB20" s="339"/>
      <c r="AC20" s="196">
        <v>-70.127128600000006</v>
      </c>
      <c r="AD20" s="438">
        <v>-41.08409442</v>
      </c>
      <c r="AE20" s="339">
        <f>IF(AC20=0, "    ---- ", IF(ABS(ROUND(100/AC20*AD20-100,1))&lt;999,ROUND(100/AC20*AD20-100,1),IF(ROUND(100/AC20*AD20-100,1)&gt;999,999,-999)))</f>
        <v>-41.4</v>
      </c>
      <c r="AF20" s="602">
        <v>-3363.5469635099998</v>
      </c>
      <c r="AG20" s="493">
        <v>-3085.9422927300002</v>
      </c>
      <c r="AH20" s="339">
        <f>IF(AF20=0, "    ---- ", IF(ABS(ROUND(100/AF20*AG20-100,1))&lt;999,ROUND(100/AF20*AG20-100,1),IF(ROUND(100/AF20*AG20-100,1)&gt;999,999,-999)))</f>
        <v>-8.3000000000000007</v>
      </c>
      <c r="AI20" s="593">
        <v>-8162</v>
      </c>
      <c r="AJ20" s="339">
        <v>-5319</v>
      </c>
      <c r="AK20" s="339">
        <f>IF(AI20=0, "    ---- ", IF(ABS(ROUND(100/AI20*AJ20-100,1))&lt;999,ROUND(100/AI20*AJ20-100,1),IF(ROUND(100/AI20*AJ20-100,1)&gt;999,999,-999)))</f>
        <v>-34.799999999999997</v>
      </c>
      <c r="AL20" s="339"/>
      <c r="AM20" s="339"/>
      <c r="AN20" s="339" t="str">
        <f>IF(AL20=0, "    ---- ", IF(ABS(ROUND(100/AL20*AM20-100,1))&lt;999,ROUND(100/AL20*AM20-100,1),IF(ROUND(100/AL20*AM20-100,1)&gt;999,999,-999)))</f>
        <v xml:space="preserve">    ---- </v>
      </c>
      <c r="AO20" s="339">
        <f t="shared" si="14"/>
        <v>-42502.898798499999</v>
      </c>
      <c r="AP20" s="339">
        <f t="shared" si="14"/>
        <v>-27668.526959159997</v>
      </c>
      <c r="AQ20" s="339">
        <f t="shared" si="12"/>
        <v>-34.9</v>
      </c>
      <c r="AR20" s="438">
        <f t="shared" si="16"/>
        <v>-42573.025927099996</v>
      </c>
      <c r="AS20" s="438">
        <f t="shared" si="16"/>
        <v>-27709.611053579996</v>
      </c>
      <c r="AT20" s="339">
        <f>IF(AR20=0, "    ---- ", IF(ABS(ROUND(100/AR20*AS20-100,1))&lt;999,ROUND(100/AR20*AS20-100,1),IF(ROUND(100/AR20*AS20-100,1)&gt;999,999,-999)))</f>
        <v>-34.9</v>
      </c>
    </row>
    <row r="21" spans="1:46" s="448" customFormat="1" ht="18.75" customHeight="1" x14ac:dyDescent="0.3">
      <c r="A21" s="581" t="s">
        <v>296</v>
      </c>
      <c r="B21" s="591">
        <f>SUM(B19:B20)</f>
        <v>-2349.547</v>
      </c>
      <c r="C21" s="434">
        <f>SUM(C19:C20)</f>
        <v>-2035.9780000000001</v>
      </c>
      <c r="D21" s="339">
        <f>IF(B21=0, "    ---- ", IF(ABS(ROUND(100/B21*C21-100,1))&lt;999,ROUND(100/B21*C21-100,1),IF(ROUND(100/B21*C21-100,1)&gt;999,999,-999)))</f>
        <v>-13.3</v>
      </c>
      <c r="E21" s="591">
        <f>SUM(E19:E20)</f>
        <v>-18928.416208080002</v>
      </c>
      <c r="F21" s="434">
        <f>SUM(F19:F20)</f>
        <v>-14665.5616949</v>
      </c>
      <c r="G21" s="339">
        <f>IF(E21=0, "    ---- ", IF(ABS(ROUND(100/E21*F21-100,1))&lt;999,ROUND(100/E21*F21-100,1),IF(ROUND(100/E21*F21-100,1)&gt;999,999,-999)))</f>
        <v>-22.5</v>
      </c>
      <c r="H21" s="591">
        <v>-637.36494855000001</v>
      </c>
      <c r="I21" s="434">
        <f>SUM(I19:I20)</f>
        <v>-764.26670486</v>
      </c>
      <c r="J21" s="339">
        <f>IF(H21=0, "    ---- ", IF(ABS(ROUND(100/H21*I21-100,1))&lt;999,ROUND(100/H21*I21-100,1),IF(ROUND(100/H21*I21-100,1)&gt;999,999,-999)))</f>
        <v>19.899999999999999</v>
      </c>
      <c r="K21" s="591">
        <f>SUM(K19:K20)</f>
        <v>-60.947000000000003</v>
      </c>
      <c r="L21" s="434">
        <f>SUM(L19:L20)</f>
        <v>-91.113652999999999</v>
      </c>
      <c r="M21" s="339">
        <f>IF(K21=0, "    ---- ", IF(ABS(ROUND(100/K21*L21-100,1))&lt;999,ROUND(100/K21*L21-100,1),IF(ROUND(100/K21*L21-100,1)&gt;999,999,-999)))</f>
        <v>49.5</v>
      </c>
      <c r="N21" s="591">
        <f>SUM(N19:N20)</f>
        <v>-4295</v>
      </c>
      <c r="O21" s="434">
        <f>SUM(O19:O20)</f>
        <v>-2892</v>
      </c>
      <c r="P21" s="339">
        <f>IF(N21=0, "    ---- ", IF(ABS(ROUND(100/N21*O21-100,1))&lt;999,ROUND(100/N21*O21-100,1),IF(ROUND(100/N21*O21-100,1)&gt;999,999,-999)))</f>
        <v>-32.700000000000003</v>
      </c>
      <c r="Q21" s="591">
        <f>SUM(Q19:Q20)</f>
        <v>-8.0804240000000007</v>
      </c>
      <c r="R21" s="653">
        <f>SUM(R19:R20)</f>
        <v>-8.9487710000000007</v>
      </c>
      <c r="S21" s="339">
        <f>IF(Q21=0, "    ---- ", IF(ABS(ROUND(100/Q21*R21-100,1))&lt;999,ROUND(100/Q21*R21-100,1),IF(ROUND(100/Q21*R21-100,1)&gt;999,999,-999)))</f>
        <v>10.7</v>
      </c>
      <c r="T21" s="591">
        <v>-19099.545971</v>
      </c>
      <c r="U21" s="434">
        <v>-16366.611350409999</v>
      </c>
      <c r="V21" s="339">
        <f>IF(T21=0, "    ---- ", IF(ABS(ROUND(100/T21*U21-100,1))&lt;999,ROUND(100/T21*U21-100,1),IF(ROUND(100/T21*U21-100,1)&gt;999,999,-999)))</f>
        <v>-14.3</v>
      </c>
      <c r="W21" s="591">
        <f>SUM(W19:W20)</f>
        <v>-8074.2199999999993</v>
      </c>
      <c r="X21" s="434">
        <f>SUM(X19:X20)</f>
        <v>-8458.9922999999999</v>
      </c>
      <c r="Y21" s="339">
        <f>IF(W21=0, "    ---- ", IF(ABS(ROUND(100/W21*X21-100,1))&lt;999,ROUND(100/W21*X21-100,1),IF(ROUND(100/W21*X21-100,1)&gt;999,999,-999)))</f>
        <v>4.8</v>
      </c>
      <c r="Z21" s="591">
        <f>SUM(Z19:Z20)</f>
        <v>-1501</v>
      </c>
      <c r="AA21" s="434">
        <f>SUM(AA19:AA20)</f>
        <v>-1649</v>
      </c>
      <c r="AB21" s="339">
        <f>IF(Z21=0, "    ---- ", IF(ABS(ROUND(100/Z21*AA21-100,1))&lt;999,ROUND(100/Z21*AA21-100,1),IF(ROUND(100/Z21*AA21-100,1)&gt;999,999,-999)))</f>
        <v>9.9</v>
      </c>
      <c r="AC21" s="104">
        <f>SUM(AC19:AC20)</f>
        <v>-149.06617094000001</v>
      </c>
      <c r="AD21" s="525">
        <f>SUM(AD19:AD20)</f>
        <v>-130.75481324</v>
      </c>
      <c r="AE21" s="339">
        <f>IF(AC21=0, "    ---- ", IF(ABS(ROUND(100/AC21*AD21-100,1))&lt;999,ROUND(100/AC21*AD21-100,1),IF(ROUND(100/AC21*AD21-100,1)&gt;999,999,-999)))</f>
        <v>-12.3</v>
      </c>
      <c r="AF21" s="591">
        <f>SUM(AF19:AF20)</f>
        <v>-4166.2983592299997</v>
      </c>
      <c r="AG21" s="434">
        <f>SUM(AG19:AG20)</f>
        <v>-3987.5883019000003</v>
      </c>
      <c r="AH21" s="339">
        <f>IF(AF21=0, "    ---- ", IF(ABS(ROUND(100/AF21*AG21-100,1))&lt;999,ROUND(100/AF21*AG21-100,1),IF(ROUND(100/AF21*AG21-100,1)&gt;999,999,-999)))</f>
        <v>-4.3</v>
      </c>
      <c r="AI21" s="591">
        <f>SUM(AI19:AI20)</f>
        <v>-14385</v>
      </c>
      <c r="AJ21" s="434">
        <f>SUM(AJ19:AJ20)</f>
        <v>-12047</v>
      </c>
      <c r="AK21" s="339">
        <f>IF(AI21=0, "    ---- ", IF(ABS(ROUND(100/AI21*AJ21-100,1))&lt;999,ROUND(100/AI21*AJ21-100,1),IF(ROUND(100/AI21*AJ21-100,1)&gt;999,999,-999)))</f>
        <v>-16.3</v>
      </c>
      <c r="AL21" s="434"/>
      <c r="AM21" s="434">
        <f>SUM(AM19:AM20)</f>
        <v>0</v>
      </c>
      <c r="AN21" s="339" t="str">
        <f>IF(AL21=0, "    ---- ", IF(ABS(ROUND(100/AL21*AM21-100,1))&lt;999,ROUND(100/AL21*AM21-100,1),IF(ROUND(100/AL21*AM21-100,1)&gt;999,999,-999)))</f>
        <v xml:space="preserve">    ---- </v>
      </c>
      <c r="AO21" s="339">
        <f t="shared" si="14"/>
        <v>-73497.339486860001</v>
      </c>
      <c r="AP21" s="339">
        <f t="shared" si="14"/>
        <v>-62958.112005069997</v>
      </c>
      <c r="AQ21" s="339">
        <f t="shared" si="12"/>
        <v>-14.3</v>
      </c>
      <c r="AR21" s="438">
        <f t="shared" si="16"/>
        <v>-73654.486081800002</v>
      </c>
      <c r="AS21" s="438">
        <f t="shared" si="16"/>
        <v>-63097.815589309997</v>
      </c>
      <c r="AT21" s="339">
        <f>IF(AR21=0, "    ---- ", IF(ABS(ROUND(100/AR21*AS21-100,1))&lt;999,ROUND(100/AR21*AS21-100,1),IF(ROUND(100/AR21*AS21-100,1)&gt;999,999,-999)))</f>
        <v>-14.3</v>
      </c>
    </row>
    <row r="22" spans="1:46" s="448" customFormat="1" ht="18.75" customHeight="1" x14ac:dyDescent="0.3">
      <c r="A22" s="581" t="s">
        <v>297</v>
      </c>
      <c r="B22" s="196"/>
      <c r="C22" s="438"/>
      <c r="D22" s="339"/>
      <c r="E22" s="196"/>
      <c r="F22" s="438"/>
      <c r="G22" s="339"/>
      <c r="H22" s="597"/>
      <c r="I22" s="511"/>
      <c r="J22" s="339"/>
      <c r="K22" s="597"/>
      <c r="L22" s="511"/>
      <c r="M22" s="339"/>
      <c r="N22" s="196"/>
      <c r="O22" s="438"/>
      <c r="P22" s="339"/>
      <c r="Q22" s="597"/>
      <c r="R22" s="654"/>
      <c r="S22" s="339"/>
      <c r="T22" s="196"/>
      <c r="U22" s="438"/>
      <c r="V22" s="339"/>
      <c r="W22" s="597"/>
      <c r="X22" s="511"/>
      <c r="Y22" s="339"/>
      <c r="Z22" s="597"/>
      <c r="AA22" s="511"/>
      <c r="AB22" s="339"/>
      <c r="AC22" s="597"/>
      <c r="AD22" s="511"/>
      <c r="AE22" s="339"/>
      <c r="AF22" s="597"/>
      <c r="AG22" s="511"/>
      <c r="AH22" s="339"/>
      <c r="AI22" s="196"/>
      <c r="AJ22" s="438"/>
      <c r="AK22" s="339"/>
      <c r="AL22" s="438"/>
      <c r="AM22" s="438"/>
      <c r="AN22" s="339"/>
      <c r="AO22" s="339">
        <f t="shared" si="14"/>
        <v>0</v>
      </c>
      <c r="AP22" s="339">
        <f t="shared" si="14"/>
        <v>0</v>
      </c>
      <c r="AQ22" s="339"/>
      <c r="AR22" s="339"/>
      <c r="AS22" s="339"/>
      <c r="AT22" s="339"/>
    </row>
    <row r="23" spans="1:46" s="448" customFormat="1" ht="18.75" customHeight="1" x14ac:dyDescent="0.3">
      <c r="A23" s="581" t="s">
        <v>420</v>
      </c>
      <c r="B23" s="593">
        <f>-41.973+22.897</f>
        <v>-19.076000000000001</v>
      </c>
      <c r="C23" s="339">
        <v>-35.056000000000004</v>
      </c>
      <c r="D23" s="339">
        <f t="shared" ref="D23:D30" si="17">IF(B23=0, "    ---- ", IF(ABS(ROUND(100/B23*C23-100,1))&lt;999,ROUND(100/B23*C23-100,1),IF(ROUND(100/B23*C23-100,1)&gt;999,999,-999)))</f>
        <v>83.8</v>
      </c>
      <c r="E23" s="593">
        <v>1903.4160139100002</v>
      </c>
      <c r="F23" s="339">
        <v>2258.7117916999996</v>
      </c>
      <c r="G23" s="339">
        <f t="shared" ref="G23:G30" si="18">IF(E23=0, "    ---- ", IF(ABS(ROUND(100/E23*F23-100,1))&lt;999,ROUND(100/E23*F23-100,1),IF(ROUND(100/E23*F23-100,1)&gt;999,999,-999)))</f>
        <v>18.7</v>
      </c>
      <c r="H23" s="593">
        <v>-264.12609701999963</v>
      </c>
      <c r="I23" s="339">
        <v>-373.06946654000018</v>
      </c>
      <c r="J23" s="339">
        <f>IF(H23=0, "    ---- ", IF(ABS(ROUND(100/H23*I23-100,1))&lt;999,ROUND(100/H23*I23-100,1),IF(ROUND(100/H23*I23-100,1)&gt;999,999,-999)))</f>
        <v>41.2</v>
      </c>
      <c r="K23" s="593">
        <v>-363.79500000000002</v>
      </c>
      <c r="L23" s="339">
        <v>-365.56116800000001</v>
      </c>
      <c r="M23" s="339">
        <f>IF(K23=0, "    ---- ", IF(ABS(ROUND(100/K23*L23-100,1))&lt;999,ROUND(100/K23*L23-100,1),IF(ROUND(100/K23*L23-100,1)&gt;999,999,-999)))</f>
        <v>0.5</v>
      </c>
      <c r="N23" s="593">
        <v>-254</v>
      </c>
      <c r="O23" s="339">
        <v>-331</v>
      </c>
      <c r="P23" s="339">
        <f t="shared" ref="P23:P32" si="19">IF(N23=0, "    ---- ", IF(ABS(ROUND(100/N23*O23-100,1))&lt;999,ROUND(100/N23*O23-100,1),IF(ROUND(100/N23*O23-100,1)&gt;999,999,-999)))</f>
        <v>30.3</v>
      </c>
      <c r="Q23" s="593">
        <v>4.4641909999999996</v>
      </c>
      <c r="R23" s="652">
        <f>-314334/1000000</f>
        <v>-0.314334</v>
      </c>
      <c r="S23" s="339"/>
      <c r="T23" s="593">
        <v>-20154.715421000001</v>
      </c>
      <c r="U23" s="339">
        <v>-21363.882392490003</v>
      </c>
      <c r="V23" s="339">
        <f t="shared" ref="V23:V31" si="20">IF(T23=0, "    ---- ", IF(ABS(ROUND(100/T23*U23-100,1))&lt;999,ROUND(100/T23*U23-100,1),IF(ROUND(100/T23*U23-100,1)&gt;999,999,-999)))</f>
        <v>6</v>
      </c>
      <c r="W23" s="593">
        <v>-311.90999999999997</v>
      </c>
      <c r="X23" s="339">
        <v>-146.2413</v>
      </c>
      <c r="Y23" s="339">
        <f t="shared" ref="Y23:Y30" si="21">IF(W23=0, "    ---- ", IF(ABS(ROUND(100/W23*X23-100,1))&lt;999,ROUND(100/W23*X23-100,1),IF(ROUND(100/W23*X23-100,1)&gt;999,999,-999)))</f>
        <v>-53.1</v>
      </c>
      <c r="Z23" s="593">
        <v>-1140</v>
      </c>
      <c r="AA23" s="339">
        <v>-4116</v>
      </c>
      <c r="AB23" s="339">
        <f t="shared" ref="AB23:AB30" si="22">IF(Z23=0, "    ---- ", IF(ABS(ROUND(100/Z23*AA23-100,1))&lt;999,ROUND(100/Z23*AA23-100,1),IF(ROUND(100/Z23*AA23-100,1)&gt;999,999,-999)))</f>
        <v>261.10000000000002</v>
      </c>
      <c r="AC23" s="196"/>
      <c r="AD23" s="438"/>
      <c r="AE23" s="339"/>
      <c r="AF23" s="593">
        <v>-182.39668214</v>
      </c>
      <c r="AG23" s="339">
        <v>81.101108129999872</v>
      </c>
      <c r="AH23" s="339">
        <f t="shared" ref="AH23:AH30" si="23">IF(AF23=0, "    ---- ", IF(ABS(ROUND(100/AF23*AG23-100,1))&lt;999,ROUND(100/AF23*AG23-100,1),IF(ROUND(100/AF23*AG23-100,1)&gt;999,999,-999)))</f>
        <v>-144.5</v>
      </c>
      <c r="AI23" s="593">
        <v>-6288</v>
      </c>
      <c r="AJ23" s="339">
        <v>-3854</v>
      </c>
      <c r="AK23" s="339">
        <f t="shared" ref="AK23:AK30" si="24">IF(AI23=0, "    ---- ", IF(ABS(ROUND(100/AI23*AJ23-100,1))&lt;999,ROUND(100/AI23*AJ23-100,1),IF(ROUND(100/AI23*AJ23-100,1)&gt;999,999,-999)))</f>
        <v>-38.700000000000003</v>
      </c>
      <c r="AL23" s="339"/>
      <c r="AM23" s="339">
        <v>-1</v>
      </c>
      <c r="AN23" s="339" t="str">
        <f t="shared" ref="AN23:AN30" si="25">IF(AL23=0, "    ---- ", IF(ABS(ROUND(100/AL23*AM23-100,1))&lt;999,ROUND(100/AL23*AM23-100,1),IF(ROUND(100/AL23*AM23-100,1)&gt;999,999,-999)))</f>
        <v xml:space="preserve">    ---- </v>
      </c>
      <c r="AO23" s="339">
        <f t="shared" si="14"/>
        <v>-27074.603186249999</v>
      </c>
      <c r="AP23" s="339">
        <f t="shared" si="14"/>
        <v>-28244.997427200007</v>
      </c>
      <c r="AQ23" s="339">
        <f t="shared" si="12"/>
        <v>4.3</v>
      </c>
      <c r="AR23" s="339"/>
      <c r="AS23" s="339"/>
      <c r="AT23" s="339"/>
    </row>
    <row r="24" spans="1:46" s="448" customFormat="1" ht="18.75" customHeight="1" x14ac:dyDescent="0.3">
      <c r="A24" s="581" t="s">
        <v>298</v>
      </c>
      <c r="B24" s="593"/>
      <c r="C24" s="339"/>
      <c r="D24" s="339"/>
      <c r="E24" s="593">
        <v>14.086759599999999</v>
      </c>
      <c r="F24" s="339">
        <v>-1.14390294</v>
      </c>
      <c r="G24" s="339">
        <f t="shared" si="18"/>
        <v>-108.1</v>
      </c>
      <c r="H24" s="593"/>
      <c r="I24" s="339"/>
      <c r="J24" s="339" t="str">
        <f>IF(H24=0, "    ---- ", IF(ABS(ROUND(100/H24*I24-100,1))&lt;999,ROUND(100/H24*I24-100,1),IF(ROUND(100/H24*I24-100,1)&gt;999,999,-999)))</f>
        <v xml:space="preserve">    ---- </v>
      </c>
      <c r="K24" s="593"/>
      <c r="L24" s="339"/>
      <c r="M24" s="339" t="str">
        <f>IF(K24=0, "    ---- ", IF(ABS(ROUND(100/K24*L24-100,1))&lt;999,ROUND(100/K24*L24-100,1),IF(ROUND(100/K24*L24-100,1)&gt;999,999,-999)))</f>
        <v xml:space="preserve">    ---- </v>
      </c>
      <c r="N24" s="593"/>
      <c r="O24" s="339">
        <v>-2</v>
      </c>
      <c r="P24" s="339" t="str">
        <f t="shared" si="19"/>
        <v xml:space="preserve">    ---- </v>
      </c>
      <c r="Q24" s="593"/>
      <c r="R24" s="652"/>
      <c r="S24" s="339"/>
      <c r="T24" s="593">
        <v>611.07972500000005</v>
      </c>
      <c r="U24" s="339">
        <v>0</v>
      </c>
      <c r="V24" s="339">
        <f t="shared" si="20"/>
        <v>-100</v>
      </c>
      <c r="W24" s="593">
        <v>55</v>
      </c>
      <c r="X24" s="339">
        <v>65</v>
      </c>
      <c r="Y24" s="339">
        <f t="shared" si="21"/>
        <v>18.2</v>
      </c>
      <c r="Z24" s="593"/>
      <c r="AA24" s="339"/>
      <c r="AB24" s="339" t="str">
        <f t="shared" si="22"/>
        <v xml:space="preserve">    ---- </v>
      </c>
      <c r="AC24" s="196"/>
      <c r="AD24" s="438"/>
      <c r="AE24" s="339"/>
      <c r="AF24" s="593">
        <v>45.266348870000002</v>
      </c>
      <c r="AG24" s="339">
        <v>38.433517629999976</v>
      </c>
      <c r="AH24" s="339">
        <f t="shared" si="23"/>
        <v>-15.1</v>
      </c>
      <c r="AI24" s="593">
        <v>-1203</v>
      </c>
      <c r="AJ24" s="339">
        <v>44</v>
      </c>
      <c r="AK24" s="339">
        <f t="shared" si="24"/>
        <v>-103.7</v>
      </c>
      <c r="AL24" s="339"/>
      <c r="AM24" s="339"/>
      <c r="AN24" s="339" t="str">
        <f t="shared" si="25"/>
        <v xml:space="preserve">    ---- </v>
      </c>
      <c r="AO24" s="339">
        <f t="shared" si="14"/>
        <v>-477.56716652999989</v>
      </c>
      <c r="AP24" s="339">
        <f t="shared" si="14"/>
        <v>144.28961468999998</v>
      </c>
      <c r="AQ24" s="339">
        <f t="shared" si="12"/>
        <v>-130.19999999999999</v>
      </c>
      <c r="AR24" s="339"/>
      <c r="AS24" s="339"/>
      <c r="AT24" s="339"/>
    </row>
    <row r="25" spans="1:46" s="448" customFormat="1" ht="18.75" customHeight="1" x14ac:dyDescent="0.3">
      <c r="A25" s="581" t="s">
        <v>299</v>
      </c>
      <c r="B25" s="593">
        <v>3.8380000000000001</v>
      </c>
      <c r="C25" s="339">
        <v>53.637</v>
      </c>
      <c r="D25" s="339">
        <f t="shared" si="17"/>
        <v>999</v>
      </c>
      <c r="E25" s="593">
        <v>1191.22968756</v>
      </c>
      <c r="F25" s="339">
        <v>3204.3463927899998</v>
      </c>
      <c r="G25" s="339">
        <f t="shared" si="18"/>
        <v>169</v>
      </c>
      <c r="H25" s="593">
        <v>46.184984679999999</v>
      </c>
      <c r="I25" s="339">
        <v>5.9795832400000002</v>
      </c>
      <c r="J25" s="339"/>
      <c r="K25" s="593"/>
      <c r="L25" s="339"/>
      <c r="M25" s="339"/>
      <c r="N25" s="593">
        <v>-9</v>
      </c>
      <c r="O25" s="339">
        <v>12</v>
      </c>
      <c r="P25" s="339">
        <f t="shared" si="19"/>
        <v>-233.3</v>
      </c>
      <c r="Q25" s="593"/>
      <c r="R25" s="652"/>
      <c r="S25" s="339"/>
      <c r="T25" s="593">
        <v>-12571.50597151</v>
      </c>
      <c r="U25" s="339">
        <v>0</v>
      </c>
      <c r="V25" s="339">
        <f t="shared" si="20"/>
        <v>-100</v>
      </c>
      <c r="W25" s="593">
        <v>-263</v>
      </c>
      <c r="X25" s="339">
        <v>1152</v>
      </c>
      <c r="Y25" s="339">
        <f t="shared" si="21"/>
        <v>-538</v>
      </c>
      <c r="Z25" s="593">
        <v>-765</v>
      </c>
      <c r="AA25" s="339">
        <v>0</v>
      </c>
      <c r="AB25" s="339">
        <f t="shared" si="22"/>
        <v>-100</v>
      </c>
      <c r="AC25" s="196"/>
      <c r="AD25" s="438"/>
      <c r="AE25" s="339"/>
      <c r="AF25" s="593">
        <v>-126.72927481999999</v>
      </c>
      <c r="AG25" s="339">
        <v>928.83535414999994</v>
      </c>
      <c r="AH25" s="339">
        <f t="shared" si="23"/>
        <v>-832.9</v>
      </c>
      <c r="AI25" s="593">
        <v>350</v>
      </c>
      <c r="AJ25" s="339">
        <v>4962</v>
      </c>
      <c r="AK25" s="339">
        <f t="shared" si="24"/>
        <v>999</v>
      </c>
      <c r="AL25" s="339"/>
      <c r="AM25" s="339"/>
      <c r="AN25" s="339" t="str">
        <f t="shared" si="25"/>
        <v xml:space="preserve">    ---- </v>
      </c>
      <c r="AO25" s="339">
        <f t="shared" si="14"/>
        <v>-12143.98257409</v>
      </c>
      <c r="AP25" s="339">
        <f t="shared" si="14"/>
        <v>10318.79833018</v>
      </c>
      <c r="AQ25" s="339">
        <f t="shared" si="12"/>
        <v>-185</v>
      </c>
      <c r="AR25" s="339"/>
      <c r="AS25" s="339"/>
      <c r="AT25" s="339"/>
    </row>
    <row r="26" spans="1:46" s="448" customFormat="1" ht="18.75" customHeight="1" x14ac:dyDescent="0.3">
      <c r="A26" s="581" t="s">
        <v>421</v>
      </c>
      <c r="B26" s="593"/>
      <c r="C26" s="339"/>
      <c r="D26" s="339" t="str">
        <f t="shared" si="17"/>
        <v xml:space="preserve">    ---- </v>
      </c>
      <c r="E26" s="593"/>
      <c r="F26" s="339"/>
      <c r="G26" s="339" t="str">
        <f t="shared" si="18"/>
        <v xml:space="preserve">    ---- </v>
      </c>
      <c r="H26" s="593"/>
      <c r="I26" s="339"/>
      <c r="J26" s="339" t="str">
        <f t="shared" ref="J26" si="26">IF(H26=0, "    ---- ", IF(ABS(ROUND(100/H26*I26-100,1))&lt;999,ROUND(100/H26*I26-100,1),IF(ROUND(100/H26*I26-100,1)&gt;999,999,-999)))</f>
        <v xml:space="preserve">    ---- </v>
      </c>
      <c r="K26" s="593"/>
      <c r="L26" s="339"/>
      <c r="M26" s="339" t="str">
        <f t="shared" ref="M26" si="27">IF(K26=0, "    ---- ", IF(ABS(ROUND(100/K26*L26-100,1))&lt;999,ROUND(100/K26*L26-100,1),IF(ROUND(100/K26*L26-100,1)&gt;999,999,-999)))</f>
        <v xml:space="preserve">    ---- </v>
      </c>
      <c r="N26" s="593"/>
      <c r="O26" s="339"/>
      <c r="P26" s="339" t="str">
        <f t="shared" si="19"/>
        <v xml:space="preserve">    ---- </v>
      </c>
      <c r="Q26" s="593"/>
      <c r="R26" s="652"/>
      <c r="S26" s="339" t="str">
        <f t="shared" ref="S26" si="28">IF(Q26=0, "    ---- ", IF(ABS(ROUND(100/Q26*R26-100,1))&lt;999,ROUND(100/Q26*R26-100,1),IF(ROUND(100/Q26*R26-100,1)&gt;999,999,-999)))</f>
        <v xml:space="preserve">    ---- </v>
      </c>
      <c r="T26" s="593"/>
      <c r="U26" s="339"/>
      <c r="V26" s="339" t="str">
        <f t="shared" si="20"/>
        <v xml:space="preserve">    ---- </v>
      </c>
      <c r="W26" s="593"/>
      <c r="X26" s="339"/>
      <c r="Y26" s="339" t="str">
        <f t="shared" si="21"/>
        <v xml:space="preserve">    ---- </v>
      </c>
      <c r="Z26" s="593"/>
      <c r="AA26" s="339">
        <v>3755</v>
      </c>
      <c r="AB26" s="339" t="str">
        <f t="shared" si="22"/>
        <v xml:space="preserve">    ---- </v>
      </c>
      <c r="AC26" s="196"/>
      <c r="AD26" s="438"/>
      <c r="AE26" s="339" t="str">
        <f t="shared" ref="AE26" si="29">IF(AC26=0, "    ---- ", IF(ABS(ROUND(100/AC26*AD26-100,1))&lt;999,ROUND(100/AC26*AD26-100,1),IF(ROUND(100/AC26*AD26-100,1)&gt;999,999,-999)))</f>
        <v xml:space="preserve">    ---- </v>
      </c>
      <c r="AF26" s="593"/>
      <c r="AG26" s="339"/>
      <c r="AH26" s="339" t="str">
        <f t="shared" si="23"/>
        <v xml:space="preserve">    ---- </v>
      </c>
      <c r="AI26" s="593"/>
      <c r="AJ26" s="339">
        <v>338</v>
      </c>
      <c r="AK26" s="339" t="str">
        <f t="shared" si="24"/>
        <v xml:space="preserve">    ---- </v>
      </c>
      <c r="AL26" s="339"/>
      <c r="AM26" s="339"/>
      <c r="AN26" s="339" t="str">
        <f t="shared" si="25"/>
        <v xml:space="preserve">    ---- </v>
      </c>
      <c r="AO26" s="339">
        <f t="shared" si="14"/>
        <v>0</v>
      </c>
      <c r="AP26" s="339">
        <f t="shared" si="14"/>
        <v>4093</v>
      </c>
      <c r="AQ26" s="339" t="str">
        <f t="shared" si="12"/>
        <v xml:space="preserve">    ---- </v>
      </c>
      <c r="AR26" s="339"/>
      <c r="AS26" s="339"/>
      <c r="AT26" s="339"/>
    </row>
    <row r="27" spans="1:46" s="448" customFormat="1" ht="18.75" customHeight="1" x14ac:dyDescent="0.3">
      <c r="A27" s="581" t="s">
        <v>422</v>
      </c>
      <c r="B27" s="593"/>
      <c r="C27" s="339"/>
      <c r="D27" s="339" t="str">
        <f t="shared" si="17"/>
        <v xml:space="preserve">    ---- </v>
      </c>
      <c r="E27" s="593">
        <v>-5.2979092899999998</v>
      </c>
      <c r="F27" s="339">
        <v>-4.9801622000000005</v>
      </c>
      <c r="G27" s="339">
        <f t="shared" si="18"/>
        <v>-6</v>
      </c>
      <c r="H27" s="593"/>
      <c r="I27" s="339"/>
      <c r="J27" s="339"/>
      <c r="K27" s="593"/>
      <c r="L27" s="339"/>
      <c r="M27" s="339"/>
      <c r="N27" s="593">
        <v>2</v>
      </c>
      <c r="O27" s="339">
        <v>1</v>
      </c>
      <c r="P27" s="339"/>
      <c r="Q27" s="593"/>
      <c r="R27" s="652"/>
      <c r="S27" s="339"/>
      <c r="T27" s="593">
        <v>-376.647088</v>
      </c>
      <c r="U27" s="339">
        <v>-406.97467399999999</v>
      </c>
      <c r="V27" s="339">
        <f t="shared" si="20"/>
        <v>8.1</v>
      </c>
      <c r="W27" s="593">
        <v>-2</v>
      </c>
      <c r="X27" s="339">
        <v>-3</v>
      </c>
      <c r="Y27" s="339">
        <f t="shared" si="21"/>
        <v>50</v>
      </c>
      <c r="Z27" s="593">
        <v>-53</v>
      </c>
      <c r="AA27" s="339">
        <v>-71</v>
      </c>
      <c r="AB27" s="339">
        <f t="shared" si="22"/>
        <v>34</v>
      </c>
      <c r="AC27" s="196"/>
      <c r="AD27" s="438"/>
      <c r="AE27" s="339"/>
      <c r="AF27" s="593">
        <v>-1.6685589999999999</v>
      </c>
      <c r="AG27" s="339">
        <v>-2.9608720000000002</v>
      </c>
      <c r="AH27" s="339">
        <f t="shared" si="23"/>
        <v>77.5</v>
      </c>
      <c r="AI27" s="593">
        <v>-1</v>
      </c>
      <c r="AJ27" s="339">
        <v>0</v>
      </c>
      <c r="AK27" s="339">
        <f t="shared" si="24"/>
        <v>-100</v>
      </c>
      <c r="AL27" s="339"/>
      <c r="AM27" s="339"/>
      <c r="AN27" s="339" t="str">
        <f t="shared" si="25"/>
        <v xml:space="preserve">    ---- </v>
      </c>
      <c r="AO27" s="339">
        <f t="shared" si="14"/>
        <v>-437.61355629000002</v>
      </c>
      <c r="AP27" s="339">
        <f t="shared" si="14"/>
        <v>-487.91570819999998</v>
      </c>
      <c r="AQ27" s="339">
        <f t="shared" si="12"/>
        <v>11.5</v>
      </c>
      <c r="AR27" s="339"/>
      <c r="AS27" s="339"/>
      <c r="AT27" s="339"/>
    </row>
    <row r="28" spans="1:46" s="448" customFormat="1" ht="18.75" customHeight="1" x14ac:dyDescent="0.3">
      <c r="A28" s="581" t="s">
        <v>423</v>
      </c>
      <c r="B28" s="593">
        <v>1.288</v>
      </c>
      <c r="C28" s="339">
        <v>0</v>
      </c>
      <c r="D28" s="339">
        <f t="shared" si="17"/>
        <v>-100</v>
      </c>
      <c r="E28" s="593">
        <v>-368.20733756999999</v>
      </c>
      <c r="F28" s="339">
        <v>-610.90156410999998</v>
      </c>
      <c r="G28" s="339">
        <f t="shared" si="18"/>
        <v>65.900000000000006</v>
      </c>
      <c r="H28" s="593"/>
      <c r="I28" s="339"/>
      <c r="J28" s="339" t="str">
        <f>IF(H28=0, "    ---- ", IF(ABS(ROUND(100/H28*I28-100,1))&lt;999,ROUND(100/H28*I28-100,1),IF(ROUND(100/H28*I28-100,1)&gt;999,999,-999)))</f>
        <v xml:space="preserve">    ---- </v>
      </c>
      <c r="K28" s="593">
        <v>-3.6669999999999998</v>
      </c>
      <c r="L28" s="339">
        <v>-2.5706280000000001</v>
      </c>
      <c r="M28" s="339">
        <f>IF(K28=0, "    ---- ", IF(ABS(ROUND(100/K28*L28-100,1))&lt;999,ROUND(100/K28*L28-100,1),IF(ROUND(100/K28*L28-100,1)&gt;999,999,-999)))</f>
        <v>-29.9</v>
      </c>
      <c r="N28" s="593"/>
      <c r="O28" s="339"/>
      <c r="P28" s="339"/>
      <c r="Q28" s="593"/>
      <c r="R28" s="652"/>
      <c r="S28" s="339"/>
      <c r="T28" s="593"/>
      <c r="U28" s="339"/>
      <c r="V28" s="339"/>
      <c r="W28" s="593">
        <v>0</v>
      </c>
      <c r="X28" s="339">
        <v>0</v>
      </c>
      <c r="Y28" s="339" t="str">
        <f t="shared" si="21"/>
        <v xml:space="preserve">    ---- </v>
      </c>
      <c r="Z28" s="593">
        <v>-9</v>
      </c>
      <c r="AA28" s="339">
        <v>-9</v>
      </c>
      <c r="AB28" s="339"/>
      <c r="AC28" s="196"/>
      <c r="AD28" s="438"/>
      <c r="AE28" s="339"/>
      <c r="AF28" s="593"/>
      <c r="AG28" s="339">
        <v>0</v>
      </c>
      <c r="AH28" s="339" t="str">
        <f t="shared" si="23"/>
        <v xml:space="preserve">    ---- </v>
      </c>
      <c r="AI28" s="593">
        <v>-3</v>
      </c>
      <c r="AJ28" s="339">
        <v>-44</v>
      </c>
      <c r="AK28" s="339">
        <f t="shared" si="24"/>
        <v>999</v>
      </c>
      <c r="AL28" s="339"/>
      <c r="AM28" s="339"/>
      <c r="AN28" s="339" t="str">
        <f t="shared" si="25"/>
        <v xml:space="preserve">    ---- </v>
      </c>
      <c r="AO28" s="339">
        <f t="shared" si="14"/>
        <v>-382.58633756999996</v>
      </c>
      <c r="AP28" s="339">
        <f t="shared" si="14"/>
        <v>-666.47219211000004</v>
      </c>
      <c r="AQ28" s="339">
        <f t="shared" si="12"/>
        <v>74.2</v>
      </c>
      <c r="AR28" s="339"/>
      <c r="AS28" s="339"/>
      <c r="AT28" s="339"/>
    </row>
    <row r="29" spans="1:46" s="448" customFormat="1" ht="18.75" customHeight="1" x14ac:dyDescent="0.3">
      <c r="A29" s="581" t="s">
        <v>424</v>
      </c>
      <c r="B29" s="593"/>
      <c r="C29" s="339"/>
      <c r="D29" s="339"/>
      <c r="E29" s="593">
        <v>3.40292181</v>
      </c>
      <c r="F29" s="339">
        <v>7.8410034199999998</v>
      </c>
      <c r="G29" s="339">
        <f t="shared" si="18"/>
        <v>130.4</v>
      </c>
      <c r="H29" s="593"/>
      <c r="I29" s="339"/>
      <c r="J29" s="339"/>
      <c r="K29" s="593"/>
      <c r="L29" s="339"/>
      <c r="M29" s="339"/>
      <c r="N29" s="593"/>
      <c r="O29" s="339"/>
      <c r="P29" s="339" t="str">
        <f t="shared" si="19"/>
        <v xml:space="preserve">    ---- </v>
      </c>
      <c r="Q29" s="593"/>
      <c r="R29" s="652"/>
      <c r="S29" s="339"/>
      <c r="T29" s="593">
        <v>0</v>
      </c>
      <c r="U29" s="339">
        <v>20502.011276000001</v>
      </c>
      <c r="V29" s="339" t="str">
        <f t="shared" si="20"/>
        <v xml:space="preserve">    ---- </v>
      </c>
      <c r="W29" s="593">
        <v>2</v>
      </c>
      <c r="X29" s="339">
        <v>1</v>
      </c>
      <c r="Y29" s="339">
        <f t="shared" si="21"/>
        <v>-50</v>
      </c>
      <c r="Z29" s="593"/>
      <c r="AA29" s="339"/>
      <c r="AB29" s="339"/>
      <c r="AC29" s="196"/>
      <c r="AD29" s="438"/>
      <c r="AE29" s="339"/>
      <c r="AF29" s="593">
        <v>0.55512700000000004</v>
      </c>
      <c r="AG29" s="339">
        <v>1.552047</v>
      </c>
      <c r="AH29" s="339">
        <f t="shared" si="23"/>
        <v>179.6</v>
      </c>
      <c r="AI29" s="593">
        <v>1226</v>
      </c>
      <c r="AJ29" s="339">
        <v>402</v>
      </c>
      <c r="AK29" s="339">
        <f t="shared" si="24"/>
        <v>-67.2</v>
      </c>
      <c r="AL29" s="339"/>
      <c r="AM29" s="339"/>
      <c r="AN29" s="339" t="str">
        <f t="shared" si="25"/>
        <v xml:space="preserve">    ---- </v>
      </c>
      <c r="AO29" s="339">
        <f t="shared" si="14"/>
        <v>1231.95804881</v>
      </c>
      <c r="AP29" s="339">
        <f t="shared" si="14"/>
        <v>20914.404326420001</v>
      </c>
      <c r="AQ29" s="339">
        <f t="shared" si="12"/>
        <v>999</v>
      </c>
      <c r="AR29" s="339"/>
      <c r="AS29" s="339"/>
      <c r="AT29" s="339"/>
    </row>
    <row r="30" spans="1:46" s="448" customFormat="1" ht="18.75" customHeight="1" x14ac:dyDescent="0.3">
      <c r="A30" s="581" t="s">
        <v>300</v>
      </c>
      <c r="B30" s="593">
        <f>SUM(B23:B29)</f>
        <v>-13.95</v>
      </c>
      <c r="C30" s="339">
        <f>SUM(C23:C29)</f>
        <v>18.580999999999996</v>
      </c>
      <c r="D30" s="339">
        <f t="shared" si="17"/>
        <v>-233.2</v>
      </c>
      <c r="E30" s="593">
        <f>SUM(E23:E29)</f>
        <v>2738.63013602</v>
      </c>
      <c r="F30" s="339">
        <f>SUM(F23:F29)</f>
        <v>4853.8735586599987</v>
      </c>
      <c r="G30" s="339">
        <f t="shared" si="18"/>
        <v>77.2</v>
      </c>
      <c r="H30" s="593">
        <f>SUM(H23:H29)</f>
        <v>-217.94111233999962</v>
      </c>
      <c r="I30" s="339">
        <f>SUM(I23:I29)</f>
        <v>-367.08988330000017</v>
      </c>
      <c r="J30" s="339">
        <f>IF(H30=0, "    ---- ", IF(ABS(ROUND(100/H30*I30-100,1))&lt;999,ROUND(100/H30*I30-100,1),IF(ROUND(100/H30*I30-100,1)&gt;999,999,-999)))</f>
        <v>68.400000000000006</v>
      </c>
      <c r="K30" s="593">
        <f>SUM(K23:K29)</f>
        <v>-367.46199999999999</v>
      </c>
      <c r="L30" s="339">
        <f>SUM(L23:L29)</f>
        <v>-368.13179600000001</v>
      </c>
      <c r="M30" s="339">
        <f>IF(K30=0, "    ---- ", IF(ABS(ROUND(100/K30*L30-100,1))&lt;999,ROUND(100/K30*L30-100,1),IF(ROUND(100/K30*L30-100,1)&gt;999,999,-999)))</f>
        <v>0.2</v>
      </c>
      <c r="N30" s="593">
        <f>SUM(N23:N29)</f>
        <v>-261</v>
      </c>
      <c r="O30" s="339">
        <f>SUM(O23:O29)</f>
        <v>-320</v>
      </c>
      <c r="P30" s="339">
        <f t="shared" si="19"/>
        <v>22.6</v>
      </c>
      <c r="Q30" s="593">
        <f>SUM(Q23:Q29)</f>
        <v>4.4641909999999996</v>
      </c>
      <c r="R30" s="652">
        <f>SUM(R23:R29)</f>
        <v>-0.314334</v>
      </c>
      <c r="S30" s="339"/>
      <c r="T30" s="593">
        <v>-32491.788755510002</v>
      </c>
      <c r="U30" s="339">
        <v>-1268.8457904900024</v>
      </c>
      <c r="V30" s="339">
        <f t="shared" si="20"/>
        <v>-96.1</v>
      </c>
      <c r="W30" s="593">
        <f>SUM(W23:W29)</f>
        <v>-519.91</v>
      </c>
      <c r="X30" s="339">
        <f>SUM(X23:X29)</f>
        <v>1068.7587000000001</v>
      </c>
      <c r="Y30" s="339">
        <f t="shared" si="21"/>
        <v>-305.60000000000002</v>
      </c>
      <c r="Z30" s="593">
        <f>SUM(Z23:Z29)</f>
        <v>-1967</v>
      </c>
      <c r="AA30" s="339">
        <f>SUM(AA23:AA29)</f>
        <v>-441</v>
      </c>
      <c r="AB30" s="339">
        <f t="shared" si="22"/>
        <v>-77.599999999999994</v>
      </c>
      <c r="AC30" s="196"/>
      <c r="AD30" s="438">
        <f>SUM(AD23:AD29)</f>
        <v>0</v>
      </c>
      <c r="AE30" s="339"/>
      <c r="AF30" s="593">
        <f>SUM(AF23:AF29)</f>
        <v>-264.97304008999998</v>
      </c>
      <c r="AG30" s="339">
        <f>SUM(AG23:AG29)</f>
        <v>1046.9611549099996</v>
      </c>
      <c r="AH30" s="339">
        <f t="shared" si="23"/>
        <v>-495.1</v>
      </c>
      <c r="AI30" s="593">
        <f>SUM(AI23:AI29)</f>
        <v>-5919</v>
      </c>
      <c r="AJ30" s="339">
        <f>SUM(AJ23:AJ29)</f>
        <v>1848</v>
      </c>
      <c r="AK30" s="339">
        <f t="shared" si="24"/>
        <v>-131.19999999999999</v>
      </c>
      <c r="AL30" s="339"/>
      <c r="AM30" s="339">
        <f>SUM(AM23:AM29)</f>
        <v>-1</v>
      </c>
      <c r="AN30" s="339" t="str">
        <f t="shared" si="25"/>
        <v xml:space="preserve">    ---- </v>
      </c>
      <c r="AO30" s="339">
        <f t="shared" si="14"/>
        <v>-39284.394771920008</v>
      </c>
      <c r="AP30" s="339">
        <f t="shared" si="14"/>
        <v>6071.1069437799961</v>
      </c>
      <c r="AQ30" s="339">
        <f t="shared" si="12"/>
        <v>-115.5</v>
      </c>
      <c r="AR30" s="339"/>
      <c r="AS30" s="339"/>
      <c r="AT30" s="339"/>
    </row>
    <row r="31" spans="1:46" s="448" customFormat="1" ht="18.75" customHeight="1" x14ac:dyDescent="0.3">
      <c r="A31" s="581" t="s">
        <v>301</v>
      </c>
      <c r="B31" s="593">
        <v>-2675.221</v>
      </c>
      <c r="C31" s="339">
        <v>2921.59</v>
      </c>
      <c r="D31" s="339">
        <f>IF(B31=0, "    ---- ", IF(ABS(ROUND(100/B31*C31-100,1))&lt;999,ROUND(100/B31*C31-100,1),IF(ROUND(100/B31*C31-100,1)&gt;999,999,-999)))</f>
        <v>-209.2</v>
      </c>
      <c r="E31" s="593">
        <v>-13389.19555391</v>
      </c>
      <c r="F31" s="339">
        <v>9098.8656567399994</v>
      </c>
      <c r="G31" s="339">
        <f>IF(E31=0, "    ---- ", IF(ABS(ROUND(100/E31*F31-100,1))&lt;999,ROUND(100/E31*F31-100,1),IF(ROUND(100/E31*F31-100,1)&gt;999,999,-999)))</f>
        <v>-168</v>
      </c>
      <c r="H31" s="593"/>
      <c r="I31" s="339"/>
      <c r="J31" s="339"/>
      <c r="K31" s="593"/>
      <c r="L31" s="339"/>
      <c r="M31" s="339"/>
      <c r="N31" s="593">
        <v>-3955</v>
      </c>
      <c r="O31" s="339">
        <v>2385</v>
      </c>
      <c r="P31" s="339">
        <f t="shared" si="19"/>
        <v>-160.30000000000001</v>
      </c>
      <c r="Q31" s="593"/>
      <c r="R31" s="652"/>
      <c r="S31" s="339"/>
      <c r="T31" s="593">
        <v>-71.554603</v>
      </c>
      <c r="U31" s="339">
        <v>-380.86325699999998</v>
      </c>
      <c r="V31" s="339">
        <f t="shared" si="20"/>
        <v>432.3</v>
      </c>
      <c r="W31" s="593">
        <v>-15190.02</v>
      </c>
      <c r="X31" s="339">
        <v>10904.954100000001</v>
      </c>
      <c r="Y31" s="339">
        <f>IF(W31=0, "    ---- ", IF(ABS(ROUND(100/W31*X31-100,1))&lt;999,ROUND(100/W31*X31-100,1),IF(ROUND(100/W31*X31-100,1)&gt;999,999,-999)))</f>
        <v>-171.8</v>
      </c>
      <c r="Z31" s="593"/>
      <c r="AA31" s="339"/>
      <c r="AB31" s="339"/>
      <c r="AC31" s="196">
        <v>-297.39812167000002</v>
      </c>
      <c r="AD31" s="438">
        <v>436.21616913000003</v>
      </c>
      <c r="AE31" s="339">
        <f>IF(AC31=0, "    ---- ", IF(ABS(ROUND(100/AC31*AD31-100,1))&lt;999,ROUND(100/AC31*AD31-100,1),IF(ROUND(100/AC31*AD31-100,1)&gt;999,999,-999)))</f>
        <v>-246.7</v>
      </c>
      <c r="AF31" s="593">
        <v>-7356.7722469599985</v>
      </c>
      <c r="AG31" s="339">
        <v>4180.2175746799985</v>
      </c>
      <c r="AH31" s="339">
        <f>IF(AF31=0, "    ---- ", IF(ABS(ROUND(100/AF31*AG31-100,1))&lt;999,ROUND(100/AF31*AG31-100,1),IF(ROUND(100/AF31*AG31-100,1)&gt;999,999,-999)))</f>
        <v>-156.80000000000001</v>
      </c>
      <c r="AI31" s="593">
        <v>-13688</v>
      </c>
      <c r="AJ31" s="339">
        <v>11939</v>
      </c>
      <c r="AK31" s="339">
        <f>IF(AI31=0, "    ---- ", IF(ABS(ROUND(100/AI31*AJ31-100,1))&lt;999,ROUND(100/AI31*AJ31-100,1),IF(ROUND(100/AI31*AJ31-100,1)&gt;999,999,-999)))</f>
        <v>-187.2</v>
      </c>
      <c r="AL31" s="339"/>
      <c r="AM31" s="339"/>
      <c r="AN31" s="339" t="str">
        <f>IF(AL31=0, "    ---- ", IF(ABS(ROUND(100/AL31*AM31-100,1))&lt;999,ROUND(100/AL31*AM31-100,1),IF(ROUND(100/AL31*AM31-100,1)&gt;999,999,-999)))</f>
        <v xml:space="preserve">    ---- </v>
      </c>
      <c r="AO31" s="339">
        <f t="shared" si="14"/>
        <v>-56325.763403869998</v>
      </c>
      <c r="AP31" s="339">
        <f t="shared" si="14"/>
        <v>41048.764074419996</v>
      </c>
      <c r="AQ31" s="339">
        <f t="shared" si="12"/>
        <v>-172.9</v>
      </c>
      <c r="AR31" s="339"/>
      <c r="AS31" s="339"/>
      <c r="AT31" s="339"/>
    </row>
    <row r="32" spans="1:46" s="448" customFormat="1" ht="18.75" customHeight="1" x14ac:dyDescent="0.3">
      <c r="A32" s="581" t="s">
        <v>302</v>
      </c>
      <c r="B32" s="593"/>
      <c r="C32" s="339"/>
      <c r="D32" s="339" t="str">
        <f>IF(B32=0, "    ---- ", IF(ABS(ROUND(100/B32*C32-100,1))&lt;999,ROUND(100/B32*C32-100,1),IF(ROUND(100/B32*C32-100,1)&gt;999,999,-999)))</f>
        <v xml:space="preserve">    ---- </v>
      </c>
      <c r="E32" s="593">
        <v>-2582.4419218100002</v>
      </c>
      <c r="F32" s="339">
        <v>-197.58253831000002</v>
      </c>
      <c r="G32" s="339">
        <f>IF(E32=0, "    ---- ", IF(ABS(ROUND(100/E32*F32-100,1))&lt;999,ROUND(100/E32*F32-100,1),IF(ROUND(100/E32*F32-100,1)&gt;999,999,-999)))</f>
        <v>-92.3</v>
      </c>
      <c r="H32" s="593">
        <v>-0.57809100000000002</v>
      </c>
      <c r="I32" s="339"/>
      <c r="J32" s="339"/>
      <c r="K32" s="593"/>
      <c r="L32" s="339"/>
      <c r="M32" s="339"/>
      <c r="N32" s="593">
        <v>-29</v>
      </c>
      <c r="O32" s="339">
        <v>8</v>
      </c>
      <c r="P32" s="339">
        <f t="shared" si="19"/>
        <v>-127.6</v>
      </c>
      <c r="Q32" s="593"/>
      <c r="R32" s="652"/>
      <c r="S32" s="339"/>
      <c r="T32" s="593">
        <v>-7219.6083410000001</v>
      </c>
      <c r="U32" s="339">
        <v>-550.41400199999998</v>
      </c>
      <c r="V32" s="339">
        <f>IF(T32=0, "    ---- ", IF(ABS(ROUND(100/T32*U32-100,1))&lt;999,ROUND(100/T32*U32-100,1),IF(ROUND(100/T32*U32-100,1)&gt;999,999,-999)))</f>
        <v>-92.4</v>
      </c>
      <c r="W32" s="593">
        <v>-1286.06</v>
      </c>
      <c r="X32" s="339">
        <v>-646.02520000000004</v>
      </c>
      <c r="Y32" s="339">
        <f>IF(W32=0, "    ---- ", IF(ABS(ROUND(100/W32*X32-100,1))&lt;999,ROUND(100/W32*X32-100,1),IF(ROUND(100/W32*X32-100,1)&gt;999,999,-999)))</f>
        <v>-49.8</v>
      </c>
      <c r="Z32" s="593">
        <v>-4559</v>
      </c>
      <c r="AA32" s="339">
        <v>-58</v>
      </c>
      <c r="AB32" s="339">
        <f>IF(Z32=0, "    ---- ", IF(ABS(ROUND(100/Z32*AA32-100,1))&lt;999,ROUND(100/Z32*AA32-100,1),IF(ROUND(100/Z32*AA32-100,1)&gt;999,999,-999)))</f>
        <v>-98.7</v>
      </c>
      <c r="AC32" s="196"/>
      <c r="AD32" s="438"/>
      <c r="AE32" s="339"/>
      <c r="AF32" s="593">
        <v>-476.96063710000004</v>
      </c>
      <c r="AG32" s="339">
        <v>-113.29848644999998</v>
      </c>
      <c r="AH32" s="339">
        <f>IF(AF32=0, "    ---- ", IF(ABS(ROUND(100/AF32*AG32-100,1))&lt;999,ROUND(100/AF32*AG32-100,1),IF(ROUND(100/AF32*AG32-100,1)&gt;999,999,-999)))</f>
        <v>-76.2</v>
      </c>
      <c r="AI32" s="593">
        <v>-1300</v>
      </c>
      <c r="AJ32" s="339">
        <v>-167</v>
      </c>
      <c r="AK32" s="339">
        <f>IF(AI32=0, "    ---- ", IF(ABS(ROUND(100/AI32*AJ32-100,1))&lt;999,ROUND(100/AI32*AJ32-100,1),IF(ROUND(100/AI32*AJ32-100,1)&gt;999,999,-999)))</f>
        <v>-87.2</v>
      </c>
      <c r="AL32" s="339"/>
      <c r="AM32" s="339"/>
      <c r="AN32" s="339" t="str">
        <f>IF(AL32=0, "    ---- ", IF(ABS(ROUND(100/AL32*AM32-100,1))&lt;999,ROUND(100/AL32*AM32-100,1),IF(ROUND(100/AL32*AM32-100,1)&gt;999,999,-999)))</f>
        <v xml:space="preserve">    ---- </v>
      </c>
      <c r="AO32" s="339">
        <f t="shared" si="14"/>
        <v>-17453.648990909998</v>
      </c>
      <c r="AP32" s="339">
        <f t="shared" si="14"/>
        <v>-1724.32022676</v>
      </c>
      <c r="AQ32" s="339">
        <f t="shared" si="12"/>
        <v>-90.1</v>
      </c>
      <c r="AR32" s="339"/>
      <c r="AS32" s="339"/>
      <c r="AT32" s="339"/>
    </row>
    <row r="33" spans="1:46" s="448" customFormat="1" ht="18.75" customHeight="1" x14ac:dyDescent="0.3">
      <c r="A33" s="581" t="s">
        <v>303</v>
      </c>
      <c r="B33" s="593">
        <v>-115.22</v>
      </c>
      <c r="C33" s="339">
        <v>-100.11799999999999</v>
      </c>
      <c r="D33" s="339">
        <f>IF(B33=0, "    ---- ", IF(ABS(ROUND(100/B33*C33-100,1))&lt;999,ROUND(100/B33*C33-100,1),IF(ROUND(100/B33*C33-100,1)&gt;999,999,-999)))</f>
        <v>-13.1</v>
      </c>
      <c r="E33" s="593">
        <v>-580.37261092000006</v>
      </c>
      <c r="F33" s="339">
        <v>-611.93424232000007</v>
      </c>
      <c r="G33" s="339">
        <f>IF(E33=0, "    ---- ", IF(ABS(ROUND(100/E33*F33-100,1))&lt;999,ROUND(100/E33*F33-100,1),IF(ROUND(100/E33*F33-100,1)&gt;999,999,-999)))</f>
        <v>5.4</v>
      </c>
      <c r="H33" s="593">
        <v>-427.86683173999995</v>
      </c>
      <c r="I33" s="339">
        <v>-435.29386468000007</v>
      </c>
      <c r="J33" s="339">
        <f>IF(H33=0, "    ---- ", IF(ABS(ROUND(100/H33*I33-100,1))&lt;999,ROUND(100/H33*I33-100,1),IF(ROUND(100/H33*I33-100,1)&gt;999,999,-999)))</f>
        <v>1.7</v>
      </c>
      <c r="K33" s="593">
        <v>-107.107</v>
      </c>
      <c r="L33" s="339">
        <v>-119.761914</v>
      </c>
      <c r="M33" s="339">
        <f>IF(K33=0, "    ---- ", IF(ABS(ROUND(100/K33*L33-100,1))&lt;999,ROUND(100/K33*L33-100,1),IF(ROUND(100/K33*L33-100,1)&gt;999,999,-999)))</f>
        <v>11.8</v>
      </c>
      <c r="N33" s="593">
        <v>-153</v>
      </c>
      <c r="O33" s="339">
        <v>-157</v>
      </c>
      <c r="P33" s="339">
        <f>IF(N33=0, "    ---- ", IF(ABS(ROUND(100/N33*O33-100,1))&lt;999,ROUND(100/N33*O33-100,1),IF(ROUND(100/N33*O33-100,1)&gt;999,999,-999)))</f>
        <v>2.6</v>
      </c>
      <c r="Q33" s="593">
        <v>-5.1997577000000001</v>
      </c>
      <c r="R33" s="652">
        <f>-5840258.89/1000000</f>
        <v>-5.8402588899999994</v>
      </c>
      <c r="S33" s="339">
        <f>IF(Q33=0, "    ---- ", IF(ABS(ROUND(100/Q33*R33-100,1))&lt;999,ROUND(100/Q33*R33-100,1),IF(ROUND(100/Q33*R33-100,1)&gt;999,999,-999)))</f>
        <v>12.3</v>
      </c>
      <c r="T33" s="593">
        <v>-624.59537211999998</v>
      </c>
      <c r="U33" s="339">
        <v>-747.97016767999992</v>
      </c>
      <c r="V33" s="339">
        <f>IF(T33=0, "    ---- ", IF(ABS(ROUND(100/T33*U33-100,1))&lt;999,ROUND(100/T33*U33-100,1),IF(ROUND(100/T33*U33-100,1)&gt;999,999,-999)))</f>
        <v>19.8</v>
      </c>
      <c r="W33" s="593">
        <v>-356.95</v>
      </c>
      <c r="X33" s="339">
        <v>-370.7955</v>
      </c>
      <c r="Y33" s="339">
        <f>IF(W33=0, "    ---- ", IF(ABS(ROUND(100/W33*X33-100,1))&lt;999,ROUND(100/W33*X33-100,1),IF(ROUND(100/W33*X33-100,1)&gt;999,999,-999)))</f>
        <v>3.9</v>
      </c>
      <c r="Z33" s="593"/>
      <c r="AA33" s="339"/>
      <c r="AB33" s="339" t="str">
        <f>IF(Z33=0, "    ---- ", IF(ABS(ROUND(100/Z33*AA33-100,1))&lt;999,ROUND(100/Z33*AA33-100,1),IF(ROUND(100/Z33*AA33-100,1)&gt;999,999,-999)))</f>
        <v xml:space="preserve">    ---- </v>
      </c>
      <c r="AC33" s="196">
        <v>3.34932775</v>
      </c>
      <c r="AD33" s="438">
        <v>-0.57586223000000003</v>
      </c>
      <c r="AE33" s="339">
        <f>IF(AC33=0, "    ---- ", IF(ABS(ROUND(100/AC33*AD33-100,1))&lt;999,ROUND(100/AC33*AD33-100,1),IF(ROUND(100/AC33*AD33-100,1)&gt;999,999,-999)))</f>
        <v>-117.2</v>
      </c>
      <c r="AF33" s="593">
        <v>-354.23597817999996</v>
      </c>
      <c r="AG33" s="339">
        <v>-370.03681955910014</v>
      </c>
      <c r="AH33" s="339">
        <f>IF(AF33=0, "    ---- ", IF(ABS(ROUND(100/AF33*AG33-100,1))&lt;999,ROUND(100/AF33*AG33-100,1),IF(ROUND(100/AF33*AG33-100,1)&gt;999,999,-999)))</f>
        <v>4.5</v>
      </c>
      <c r="AI33" s="593">
        <v>-677</v>
      </c>
      <c r="AJ33" s="339">
        <v>-722</v>
      </c>
      <c r="AK33" s="339">
        <f>IF(AI33=0, "    ---- ", IF(ABS(ROUND(100/AI33*AJ33-100,1))&lt;999,ROUND(100/AI33*AJ33-100,1),IF(ROUND(100/AI33*AJ33-100,1)&gt;999,999,-999)))</f>
        <v>6.6</v>
      </c>
      <c r="AL33" s="339"/>
      <c r="AM33" s="339">
        <v>-15</v>
      </c>
      <c r="AN33" s="339" t="str">
        <f>IF(AL33=0, "    ---- ", IF(ABS(ROUND(100/AL33*AM33-100,1))&lt;999,ROUND(100/AL33*AM33-100,1),IF(ROUND(100/AL33*AM33-100,1)&gt;999,999,-999)))</f>
        <v xml:space="preserve">    ---- </v>
      </c>
      <c r="AO33" s="339">
        <f t="shared" si="14"/>
        <v>-3396.3477929599999</v>
      </c>
      <c r="AP33" s="339">
        <f t="shared" si="14"/>
        <v>-3634.9105082391002</v>
      </c>
      <c r="AQ33" s="339">
        <f t="shared" si="12"/>
        <v>7</v>
      </c>
      <c r="AR33" s="339"/>
      <c r="AS33" s="339"/>
      <c r="AT33" s="339"/>
    </row>
    <row r="34" spans="1:46" s="448" customFormat="1" ht="18.75" customHeight="1" x14ac:dyDescent="0.3">
      <c r="A34" s="581" t="s">
        <v>304</v>
      </c>
      <c r="B34" s="196"/>
      <c r="C34" s="438"/>
      <c r="D34" s="438"/>
      <c r="E34" s="196">
        <v>-30.7460071</v>
      </c>
      <c r="F34" s="438">
        <v>-8.687417889999999</v>
      </c>
      <c r="G34" s="438">
        <f>IF(E34=0, "    ---- ", IF(ABS(ROUND(100/E34*F34-100,1))&lt;999,ROUND(100/E34*F34-100,1),IF(ROUND(100/E34*F34-100,1)&gt;999,999,-999)))</f>
        <v>-71.7</v>
      </c>
      <c r="H34" s="196">
        <v>-5.938904520000003</v>
      </c>
      <c r="I34" s="438">
        <v>-7.7590423499999996</v>
      </c>
      <c r="J34" s="438"/>
      <c r="K34" s="196"/>
      <c r="L34" s="438"/>
      <c r="M34" s="438"/>
      <c r="N34" s="196"/>
      <c r="O34" s="438"/>
      <c r="P34" s="438"/>
      <c r="Q34" s="196"/>
      <c r="R34" s="652"/>
      <c r="S34" s="438"/>
      <c r="T34" s="196">
        <v>-625.27531999999997</v>
      </c>
      <c r="U34" s="438">
        <v>-673.82737899999995</v>
      </c>
      <c r="V34" s="438">
        <f>IF(T34=0, "    ---- ", IF(ABS(ROUND(100/T34*U34-100,1))&lt;999,ROUND(100/T34*U34-100,1),IF(ROUND(100/T34*U34-100,1)&gt;999,999,-999)))</f>
        <v>7.8</v>
      </c>
      <c r="W34" s="196">
        <v>-21.40347663</v>
      </c>
      <c r="X34" s="438">
        <v>-12.561331039999999</v>
      </c>
      <c r="Y34" s="438">
        <f>IF(W34=0, "    ---- ", IF(ABS(ROUND(100/W34*X34-100,1))&lt;999,ROUND(100/W34*X34-100,1),IF(ROUND(100/W34*X34-100,1)&gt;999,999,-999)))</f>
        <v>-41.3</v>
      </c>
      <c r="Z34" s="196">
        <v>-107</v>
      </c>
      <c r="AA34" s="438">
        <v>-139</v>
      </c>
      <c r="AB34" s="438"/>
      <c r="AC34" s="196"/>
      <c r="AD34" s="438"/>
      <c r="AE34" s="438"/>
      <c r="AF34" s="196">
        <v>-1.5540072000000003</v>
      </c>
      <c r="AG34" s="438">
        <v>-0.32990198999999998</v>
      </c>
      <c r="AH34" s="438">
        <f>IF(AF34=0, "    ---- ", IF(ABS(ROUND(100/AF34*AG34-100,1))&lt;999,ROUND(100/AF34*AG34-100,1),IF(ROUND(100/AF34*AG34-100,1)&gt;999,999,-999)))</f>
        <v>-78.8</v>
      </c>
      <c r="AI34" s="196">
        <v>-68</v>
      </c>
      <c r="AJ34" s="438">
        <v>-67</v>
      </c>
      <c r="AK34" s="438">
        <f>IF(AI34=0, "    ---- ", IF(ABS(ROUND(100/AI34*AJ34-100,1))&lt;999,ROUND(100/AI34*AJ34-100,1),IF(ROUND(100/AI34*AJ34-100,1)&gt;999,999,-999)))</f>
        <v>-1.5</v>
      </c>
      <c r="AL34" s="438"/>
      <c r="AM34" s="438"/>
      <c r="AN34" s="438" t="str">
        <f>IF(AL34=0, "    ---- ", IF(ABS(ROUND(100/AL34*AM34-100,1))&lt;999,ROUND(100/AL34*AM34-100,1),IF(ROUND(100/AL34*AM34-100,1)&gt;999,999,-999)))</f>
        <v xml:space="preserve">    ---- </v>
      </c>
      <c r="AO34" s="339">
        <f t="shared" si="14"/>
        <v>-859.91771544999995</v>
      </c>
      <c r="AP34" s="339">
        <f t="shared" si="14"/>
        <v>-909.16507227</v>
      </c>
      <c r="AQ34" s="438">
        <f t="shared" si="12"/>
        <v>5.7</v>
      </c>
      <c r="AR34" s="438"/>
      <c r="AS34" s="438"/>
      <c r="AT34" s="438"/>
    </row>
    <row r="35" spans="1:46" s="469" customFormat="1" ht="18.75" customHeight="1" x14ac:dyDescent="0.3">
      <c r="A35" s="603" t="s">
        <v>305</v>
      </c>
      <c r="B35" s="199">
        <f>SUM(B14+B15+B16+B17+B21+B30+B31+B32+B33+B34)</f>
        <v>63.791999999999717</v>
      </c>
      <c r="C35" s="440">
        <f>SUM(C14+C15+C16+C17+C21+C30+C31+C32+C33+C34)</f>
        <v>36.042999999999608</v>
      </c>
      <c r="D35" s="441">
        <f>IF(B35=0, "    ---- ", IF(ABS(ROUND(100/B35*C35-100,1))&lt;999,ROUND(100/B35*C35-100,1),IF(ROUND(100/B35*C35-100,1)&gt;999,999,-999)))</f>
        <v>-43.5</v>
      </c>
      <c r="E35" s="199">
        <f>SUM(E14+E15+E16+E17+E21+E30+E31+E32+E33+E34)</f>
        <v>457.31175345000264</v>
      </c>
      <c r="F35" s="440">
        <f>SUM(F14+F15+F16+F17+F21+F30+F31+F32+F33+F34)</f>
        <v>-784.52441297999644</v>
      </c>
      <c r="G35" s="441">
        <f>IF(E35=0, "    ---- ", IF(ABS(ROUND(100/E35*F35-100,1))&lt;999,ROUND(100/E35*F35-100,1),IF(ROUND(100/E35*F35-100,1)&gt;999,999,-999)))</f>
        <v>-271.60000000000002</v>
      </c>
      <c r="H35" s="199">
        <f>SUM(H14+H15+H16+H17+H21+H30+H31+H32+H33+H34)</f>
        <v>475.78154546000059</v>
      </c>
      <c r="I35" s="440">
        <f>SUM(I14+I15+I16+I17+I21+I30+I31+I32+I33+I34)</f>
        <v>123.01281137999975</v>
      </c>
      <c r="J35" s="441">
        <f>IF(H35=0, "    ---- ", IF(ABS(ROUND(100/H35*I35-100,1))&lt;999,ROUND(100/H35*I35-100,1),IF(ROUND(100/H35*I35-100,1)&gt;999,999,-999)))</f>
        <v>-74.099999999999994</v>
      </c>
      <c r="K35" s="199">
        <f>SUM(K14+K15+K16+K17+K21+K30+K31+K32+K33+K34)</f>
        <v>50.75800000000001</v>
      </c>
      <c r="L35" s="440">
        <f>SUM(L14+L15+L16+L17+L21+L30+L31+L32+L33+L34)</f>
        <v>-6.9544159999999948</v>
      </c>
      <c r="M35" s="441">
        <f>IF(K35=0, "    ---- ", IF(ABS(ROUND(100/K35*L35-100,1))&lt;999,ROUND(100/K35*L35-100,1),IF(ROUND(100/K35*L35-100,1)&gt;999,999,-999)))</f>
        <v>-113.7</v>
      </c>
      <c r="N35" s="199">
        <f>SUM(N14+N15+N16+N17+N21+N30+N31+N32+N33+N34)</f>
        <v>101</v>
      </c>
      <c r="O35" s="440">
        <f>SUM(O14+O15+O16+O17+O21+O30+O31+O32+O33+O34)</f>
        <v>96</v>
      </c>
      <c r="P35" s="441">
        <f>IF(N35=0, "    ---- ", IF(ABS(ROUND(100/N35*O35-100,1))&lt;999,ROUND(100/N35*O35-100,1),IF(ROUND(100/N35*O35-100,1)&gt;999,999,-999)))</f>
        <v>-5</v>
      </c>
      <c r="Q35" s="199">
        <f>SUM(Q14+Q15+Q16+Q17+Q21+Q30+Q31+Q32+Q33+Q34)</f>
        <v>8.6657313499999979</v>
      </c>
      <c r="R35" s="655">
        <f>SUM(R14+R15+R16+R17+R21+R30+R31+R32+R33+R34)</f>
        <v>1.944156669999999</v>
      </c>
      <c r="S35" s="441">
        <f>IF(Q35=0, "    ---- ", IF(ABS(ROUND(100/Q35*R35-100,1))&lt;999,ROUND(100/Q35*R35-100,1),IF(ROUND(100/Q35*R35-100,1)&gt;999,999,-999)))</f>
        <v>-77.599999999999994</v>
      </c>
      <c r="T35" s="199">
        <v>476.61981686999411</v>
      </c>
      <c r="U35" s="440">
        <v>6.7994206800035499</v>
      </c>
      <c r="V35" s="441">
        <f>IF(T35=0, "    ---- ", IF(ABS(ROUND(100/T35*U35-100,1))&lt;999,ROUND(100/T35*U35-100,1),IF(ROUND(100/T35*U35-100,1)&gt;999,999,-999)))</f>
        <v>-98.6</v>
      </c>
      <c r="W35" s="199">
        <f>SUM(W14+W15+W16+W17+W21+W30+W31+W32+W33+W34)</f>
        <v>482.45652337000269</v>
      </c>
      <c r="X35" s="440">
        <f>SUM(X14+X15+X16+X17+X21+X30+X31+X32+X33+X34)</f>
        <v>487.70886896000286</v>
      </c>
      <c r="Y35" s="441">
        <f>IF(W35=0, "    ---- ", IF(ABS(ROUND(100/W35*X35-100,1))&lt;999,ROUND(100/W35*X35-100,1),IF(ROUND(100/W35*X35-100,1)&gt;999,999,-999)))</f>
        <v>1.1000000000000001</v>
      </c>
      <c r="Z35" s="199">
        <f>SUM(Z14+Z15+Z16+Z17+Z21+Z30+Z31+Z32+Z33+Z34)</f>
        <v>324</v>
      </c>
      <c r="AA35" s="440">
        <f>SUM(AA14+AA15+AA16+AA17+AA21+AA30+AA31+AA32+AA33+AA34)</f>
        <v>184</v>
      </c>
      <c r="AB35" s="441">
        <f>IF(Z35=0, "    ---- ", IF(ABS(ROUND(100/Z35*AA35-100,1))&lt;999,ROUND(100/Z35*AA35-100,1),IF(ROUND(100/Z35*AA35-100,1)&gt;999,999,-999)))</f>
        <v>-43.2</v>
      </c>
      <c r="AC35" s="199">
        <f>SUM(AC14+AC15+AC16+AC17+AC21+AC30+AC31+AC32+AC33+AC34)</f>
        <v>8.9236428899999538</v>
      </c>
      <c r="AD35" s="440">
        <f>SUM(AD14+AD15+AD16+AD17+AD21+AD30+AD31+AD32+AD33+AD34)</f>
        <v>4.4677916899999968</v>
      </c>
      <c r="AE35" s="441">
        <f>IF(AC35=0, "    ---- ", IF(ABS(ROUND(100/AC35*AD35-100,1))&lt;999,ROUND(100/AC35*AD35-100,1),IF(ROUND(100/AC35*AD35-100,1)&gt;999,999,-999)))</f>
        <v>-49.9</v>
      </c>
      <c r="AF35" s="199">
        <f>SUM(AF14+AF15+AF16+AF17+AF21+AF30+AF31+AF32+AF33+AF34)</f>
        <v>83.362859139998307</v>
      </c>
      <c r="AG35" s="440">
        <f>SUM(AG14+AG15+AG16+AG17+AG21+AG30+AG31+AG32+AG33+AG34)</f>
        <v>56.863364860900496</v>
      </c>
      <c r="AH35" s="441">
        <f>IF(AF35=0, "    ---- ", IF(ABS(ROUND(100/AF35*AG35-100,1))&lt;999,ROUND(100/AF35*AG35-100,1),IF(ROUND(100/AF35*AG35-100,1)&gt;999,999,-999)))</f>
        <v>-31.8</v>
      </c>
      <c r="AI35" s="199">
        <f>SUM(AI14+AI15+AI16+AI17+AI21+AI30+AI31+AI32+AI33+AI34)</f>
        <v>622</v>
      </c>
      <c r="AJ35" s="440">
        <f>SUM(AJ14+AJ15+AJ16+AJ17+AJ21+AJ30+AJ31+AJ32+AJ33+AJ34)</f>
        <v>-1116</v>
      </c>
      <c r="AK35" s="441">
        <f>IF(AI35=0, "    ---- ", IF(ABS(ROUND(100/AI35*AJ35-100,1))&lt;999,ROUND(100/AI35*AJ35-100,1),IF(ROUND(100/AI35*AJ35-100,1)&gt;999,999,-999)))</f>
        <v>-279.39999999999998</v>
      </c>
      <c r="AL35" s="440"/>
      <c r="AM35" s="440">
        <f>SUM(AM14+AM15+AM16+AM17+AM21+AM30+AM31+AM32+AM33+AM34)</f>
        <v>-15</v>
      </c>
      <c r="AN35" s="441" t="str">
        <f>IF(AL35=0, "    ---- ", IF(ABS(ROUND(100/AL35*AM35-100,1))&lt;999,ROUND(100/AL35*AM35-100,1),IF(ROUND(100/AL35*AM35-100,1)&gt;999,999,-999)))</f>
        <v xml:space="preserve">    ---- </v>
      </c>
      <c r="AO35" s="678">
        <f t="shared" si="14"/>
        <v>3137.0824982899981</v>
      </c>
      <c r="AP35" s="678">
        <f t="shared" si="14"/>
        <v>-917.05136309909017</v>
      </c>
      <c r="AQ35" s="441">
        <f t="shared" si="12"/>
        <v>-129.19999999999999</v>
      </c>
      <c r="AR35" s="441"/>
      <c r="AS35" s="441"/>
      <c r="AT35" s="441"/>
    </row>
    <row r="36" spans="1:46" s="469" customFormat="1" ht="18.75" customHeight="1" x14ac:dyDescent="0.3">
      <c r="A36" s="604"/>
      <c r="B36" s="605"/>
      <c r="C36" s="494"/>
      <c r="D36" s="436"/>
      <c r="E36" s="605"/>
      <c r="F36" s="494"/>
      <c r="G36" s="436"/>
      <c r="H36" s="605"/>
      <c r="I36" s="494"/>
      <c r="J36" s="436"/>
      <c r="K36" s="605"/>
      <c r="L36" s="494"/>
      <c r="M36" s="436"/>
      <c r="N36" s="605"/>
      <c r="O36" s="494"/>
      <c r="P36" s="436"/>
      <c r="Q36" s="605"/>
      <c r="R36" s="656"/>
      <c r="S36" s="436"/>
      <c r="T36" s="605"/>
      <c r="U36" s="494"/>
      <c r="V36" s="436"/>
      <c r="W36" s="605"/>
      <c r="X36" s="494"/>
      <c r="Y36" s="436"/>
      <c r="Z36" s="605"/>
      <c r="AA36" s="494"/>
      <c r="AB36" s="436"/>
      <c r="AC36" s="605"/>
      <c r="AD36" s="656"/>
      <c r="AE36" s="436"/>
      <c r="AF36" s="605"/>
      <c r="AG36" s="494"/>
      <c r="AH36" s="606"/>
      <c r="AI36" s="605"/>
      <c r="AJ36" s="494"/>
      <c r="AK36" s="606"/>
      <c r="AL36" s="494"/>
      <c r="AM36" s="494"/>
      <c r="AN36" s="606"/>
      <c r="AO36" s="339"/>
      <c r="AP36" s="339"/>
      <c r="AQ36" s="606"/>
      <c r="AR36" s="607"/>
      <c r="AS36" s="608"/>
      <c r="AT36" s="609"/>
    </row>
    <row r="37" spans="1:46" s="469" customFormat="1" ht="18.75" customHeight="1" x14ac:dyDescent="0.3">
      <c r="A37" s="583" t="s">
        <v>306</v>
      </c>
      <c r="B37" s="605"/>
      <c r="C37" s="494"/>
      <c r="D37" s="436"/>
      <c r="E37" s="605"/>
      <c r="F37" s="494"/>
      <c r="G37" s="436"/>
      <c r="H37" s="605"/>
      <c r="I37" s="494"/>
      <c r="J37" s="436"/>
      <c r="K37" s="605"/>
      <c r="L37" s="494"/>
      <c r="M37" s="436"/>
      <c r="N37" s="605"/>
      <c r="O37" s="494"/>
      <c r="P37" s="436"/>
      <c r="Q37" s="605"/>
      <c r="R37" s="656"/>
      <c r="S37" s="436"/>
      <c r="T37" s="605"/>
      <c r="U37" s="494"/>
      <c r="V37" s="436"/>
      <c r="W37" s="605"/>
      <c r="X37" s="494"/>
      <c r="Y37" s="436"/>
      <c r="Z37" s="605"/>
      <c r="AA37" s="494"/>
      <c r="AB37" s="436"/>
      <c r="AC37" s="605"/>
      <c r="AD37" s="656"/>
      <c r="AE37" s="436"/>
      <c r="AF37" s="605"/>
      <c r="AG37" s="494"/>
      <c r="AH37" s="436"/>
      <c r="AI37" s="605"/>
      <c r="AJ37" s="494"/>
      <c r="AK37" s="436"/>
      <c r="AL37" s="494"/>
      <c r="AM37" s="494"/>
      <c r="AN37" s="436"/>
      <c r="AO37" s="339"/>
      <c r="AP37" s="339"/>
      <c r="AQ37" s="436"/>
      <c r="AR37" s="610"/>
      <c r="AS37" s="611"/>
      <c r="AT37" s="612"/>
    </row>
    <row r="38" spans="1:46" s="446" customFormat="1" ht="18.75" customHeight="1" x14ac:dyDescent="0.3">
      <c r="A38" s="581" t="s">
        <v>307</v>
      </c>
      <c r="B38" s="592">
        <v>3.49</v>
      </c>
      <c r="C38" s="489">
        <v>-6.3250000000000002</v>
      </c>
      <c r="D38" s="339">
        <f t="shared" ref="D38:D44" si="30">IF(B38=0, "    ---- ", IF(ABS(ROUND(100/B38*C38-100,1))&lt;999,ROUND(100/B38*C38-100,1),IF(ROUND(100/B38*C38-100,1)&gt;999,999,-999)))</f>
        <v>-281.2</v>
      </c>
      <c r="E38" s="592">
        <v>567.58240709000006</v>
      </c>
      <c r="F38" s="489">
        <v>60.462523250000004</v>
      </c>
      <c r="G38" s="339">
        <f t="shared" ref="G38:G45" si="31">IF(E38=0, "    ---- ", IF(ABS(ROUND(100/E38*F38-100,1))&lt;999,ROUND(100/E38*F38-100,1),IF(ROUND(100/E38*F38-100,1)&gt;999,999,-999)))</f>
        <v>-89.3</v>
      </c>
      <c r="H38" s="592">
        <v>11.959044440000001</v>
      </c>
      <c r="I38" s="489">
        <v>3.426756879999997</v>
      </c>
      <c r="J38" s="339">
        <f t="shared" ref="J38:J44" si="32">IF(H38=0, "    ---- ", IF(ABS(ROUND(100/H38*I38-100,1))&lt;999,ROUND(100/H38*I38-100,1),IF(ROUND(100/H38*I38-100,1)&gt;999,999,-999)))</f>
        <v>-71.3</v>
      </c>
      <c r="K38" s="592">
        <v>19.556000000000001</v>
      </c>
      <c r="L38" s="489">
        <v>-11.351988</v>
      </c>
      <c r="M38" s="339">
        <f t="shared" ref="M38:M44" si="33">IF(K38=0, "    ---- ", IF(ABS(ROUND(100/K38*L38-100,1))&lt;999,ROUND(100/K38*L38-100,1),IF(ROUND(100/K38*L38-100,1)&gt;999,999,-999)))</f>
        <v>-158</v>
      </c>
      <c r="N38" s="592">
        <v>4</v>
      </c>
      <c r="O38" s="489">
        <v>6</v>
      </c>
      <c r="P38" s="339">
        <f t="shared" ref="P38:P45" si="34">IF(N38=0, "    ---- ", IF(ABS(ROUND(100/N38*O38-100,1))&lt;999,ROUND(100/N38*O38-100,1),IF(ROUND(100/N38*O38-100,1)&gt;999,999,-999)))</f>
        <v>50</v>
      </c>
      <c r="Q38" s="592">
        <v>0.38108286000000002</v>
      </c>
      <c r="R38" s="651"/>
      <c r="S38" s="339">
        <f t="shared" ref="S38:S44" si="35">IF(Q38=0, "    ---- ", IF(ABS(ROUND(100/Q38*R38-100,1))&lt;999,ROUND(100/Q38*R38-100,1),IF(ROUND(100/Q38*R38-100,1)&gt;999,999,-999)))</f>
        <v>-100</v>
      </c>
      <c r="T38" s="592">
        <v>619.84741544000008</v>
      </c>
      <c r="U38" s="489">
        <v>340.10606708999995</v>
      </c>
      <c r="V38" s="339">
        <f t="shared" ref="V38:V45" si="36">IF(T38=0, "    ---- ", IF(ABS(ROUND(100/T38*U38-100,1))&lt;999,ROUND(100/T38*U38-100,1),IF(ROUND(100/T38*U38-100,1)&gt;999,999,-999)))</f>
        <v>-45.1</v>
      </c>
      <c r="W38" s="592">
        <v>10.87</v>
      </c>
      <c r="X38" s="489">
        <v>-42.02</v>
      </c>
      <c r="Y38" s="339">
        <f t="shared" ref="Y38:Y45" si="37">IF(W38=0, "    ---- ", IF(ABS(ROUND(100/W38*X38-100,1))&lt;999,ROUND(100/W38*X38-100,1),IF(ROUND(100/W38*X38-100,1)&gt;999,999,-999)))</f>
        <v>-486.6</v>
      </c>
      <c r="Z38" s="592">
        <v>365</v>
      </c>
      <c r="AA38" s="489">
        <v>-129</v>
      </c>
      <c r="AB38" s="339">
        <f t="shared" ref="AB38:AB44" si="38">IF(Z38=0, "    ---- ", IF(ABS(ROUND(100/Z38*AA38-100,1))&lt;999,ROUND(100/Z38*AA38-100,1),IF(ROUND(100/Z38*AA38-100,1)&gt;999,999,-999)))</f>
        <v>-135.30000000000001</v>
      </c>
      <c r="AC38" s="592">
        <v>0.18191553999999999</v>
      </c>
      <c r="AD38" s="651">
        <v>0.42721931000000002</v>
      </c>
      <c r="AE38" s="339"/>
      <c r="AF38" s="592">
        <v>158.88498915999998</v>
      </c>
      <c r="AG38" s="489">
        <v>-84.146302339999977</v>
      </c>
      <c r="AH38" s="339">
        <f t="shared" ref="AH38:AH45" si="39">IF(AF38=0, "    ---- ", IF(ABS(ROUND(100/AF38*AG38-100,1))&lt;999,ROUND(100/AF38*AG38-100,1),IF(ROUND(100/AF38*AG38-100,1)&gt;999,999,-999)))</f>
        <v>-153</v>
      </c>
      <c r="AI38" s="592">
        <v>1948</v>
      </c>
      <c r="AJ38" s="489">
        <v>1421</v>
      </c>
      <c r="AK38" s="339">
        <f t="shared" ref="AK38:AK45" si="40">IF(AI38=0, "    ---- ", IF(ABS(ROUND(100/AI38*AJ38-100,1))&lt;999,ROUND(100/AI38*AJ38-100,1),IF(ROUND(100/AI38*AJ38-100,1)&gt;999,999,-999)))</f>
        <v>-27.1</v>
      </c>
      <c r="AL38" s="489"/>
      <c r="AM38" s="489"/>
      <c r="AN38" s="339" t="str">
        <f t="shared" ref="AN38:AN45" si="41">IF(AL38=0, "    ---- ", IF(ABS(ROUND(100/AL38*AM38-100,1))&lt;999,ROUND(100/AL38*AM38-100,1),IF(ROUND(100/AL38*AM38-100,1)&gt;999,999,-999)))</f>
        <v xml:space="preserve">    ---- </v>
      </c>
      <c r="AO38" s="339">
        <f t="shared" si="14"/>
        <v>3709.1898561300004</v>
      </c>
      <c r="AP38" s="339">
        <f t="shared" si="14"/>
        <v>1558.1520568799999</v>
      </c>
      <c r="AQ38" s="339">
        <f t="shared" si="12"/>
        <v>-58</v>
      </c>
      <c r="AR38" s="594"/>
      <c r="AS38" s="613"/>
      <c r="AT38" s="511"/>
    </row>
    <row r="39" spans="1:46" s="446" customFormat="1" ht="18.75" customHeight="1" x14ac:dyDescent="0.3">
      <c r="A39" s="581" t="s">
        <v>308</v>
      </c>
      <c r="B39" s="592"/>
      <c r="C39" s="489"/>
      <c r="D39" s="339"/>
      <c r="E39" s="592">
        <v>70.280554569999993</v>
      </c>
      <c r="F39" s="489">
        <v>4.869415</v>
      </c>
      <c r="G39" s="339">
        <f t="shared" si="31"/>
        <v>-93.1</v>
      </c>
      <c r="H39" s="592"/>
      <c r="I39" s="489"/>
      <c r="J39" s="339" t="str">
        <f t="shared" si="32"/>
        <v xml:space="preserve">    ---- </v>
      </c>
      <c r="K39" s="592">
        <v>2.7E-2</v>
      </c>
      <c r="L39" s="489"/>
      <c r="M39" s="339">
        <f t="shared" si="33"/>
        <v>-100</v>
      </c>
      <c r="N39" s="592"/>
      <c r="O39" s="489"/>
      <c r="P39" s="339" t="str">
        <f t="shared" si="34"/>
        <v xml:space="preserve">    ---- </v>
      </c>
      <c r="Q39" s="592"/>
      <c r="R39" s="651"/>
      <c r="S39" s="339"/>
      <c r="T39" s="592">
        <v>8.8206636199999995</v>
      </c>
      <c r="U39" s="489">
        <v>2.4656169700000001</v>
      </c>
      <c r="V39" s="339">
        <f t="shared" si="36"/>
        <v>-72</v>
      </c>
      <c r="W39" s="592">
        <v>0</v>
      </c>
      <c r="X39" s="489">
        <v>0</v>
      </c>
      <c r="Y39" s="339" t="str">
        <f t="shared" si="37"/>
        <v xml:space="preserve">    ---- </v>
      </c>
      <c r="Z39" s="592">
        <v>3</v>
      </c>
      <c r="AA39" s="489">
        <v>5</v>
      </c>
      <c r="AB39" s="339">
        <f t="shared" si="38"/>
        <v>66.7</v>
      </c>
      <c r="AC39" s="592"/>
      <c r="AD39" s="651"/>
      <c r="AE39" s="339"/>
      <c r="AF39" s="592">
        <v>1.2151373000000001</v>
      </c>
      <c r="AG39" s="489">
        <v>3.1123156700000001</v>
      </c>
      <c r="AH39" s="339">
        <f t="shared" si="39"/>
        <v>156.1</v>
      </c>
      <c r="AI39" s="592">
        <v>1</v>
      </c>
      <c r="AJ39" s="489">
        <v>6</v>
      </c>
      <c r="AK39" s="339">
        <f t="shared" si="40"/>
        <v>500</v>
      </c>
      <c r="AL39" s="489"/>
      <c r="AM39" s="489"/>
      <c r="AN39" s="339" t="str">
        <f t="shared" si="41"/>
        <v xml:space="preserve">    ---- </v>
      </c>
      <c r="AO39" s="339">
        <f t="shared" si="14"/>
        <v>84.343355489999993</v>
      </c>
      <c r="AP39" s="339">
        <f t="shared" si="14"/>
        <v>21.44734764</v>
      </c>
      <c r="AQ39" s="339">
        <f t="shared" si="12"/>
        <v>-74.599999999999994</v>
      </c>
      <c r="AR39" s="339"/>
      <c r="AS39" s="614"/>
      <c r="AT39" s="339"/>
    </row>
    <row r="40" spans="1:46" s="446" customFormat="1" ht="18.75" customHeight="1" x14ac:dyDescent="0.3">
      <c r="A40" s="581" t="s">
        <v>309</v>
      </c>
      <c r="B40" s="592"/>
      <c r="C40" s="489"/>
      <c r="D40" s="339"/>
      <c r="E40" s="592">
        <v>-328.46287622</v>
      </c>
      <c r="F40" s="489">
        <v>-145.78582579000002</v>
      </c>
      <c r="G40" s="339">
        <f t="shared" si="31"/>
        <v>-55.6</v>
      </c>
      <c r="H40" s="592">
        <v>-9.5454535700000012</v>
      </c>
      <c r="I40" s="489">
        <v>-10.678000940000002</v>
      </c>
      <c r="J40" s="339">
        <f t="shared" si="32"/>
        <v>11.9</v>
      </c>
      <c r="K40" s="592"/>
      <c r="L40" s="489"/>
      <c r="M40" s="339" t="str">
        <f t="shared" si="33"/>
        <v xml:space="preserve">    ---- </v>
      </c>
      <c r="N40" s="592">
        <v>-5</v>
      </c>
      <c r="O40" s="489">
        <v>-4</v>
      </c>
      <c r="P40" s="339">
        <f t="shared" si="34"/>
        <v>-20</v>
      </c>
      <c r="Q40" s="592"/>
      <c r="R40" s="651"/>
      <c r="S40" s="339"/>
      <c r="T40" s="592">
        <v>-140.53186478000001</v>
      </c>
      <c r="U40" s="489">
        <v>-133.25060834000001</v>
      </c>
      <c r="V40" s="339">
        <f t="shared" si="36"/>
        <v>-5.2</v>
      </c>
      <c r="W40" s="592">
        <v>-40.79</v>
      </c>
      <c r="X40" s="489">
        <v>-54.21</v>
      </c>
      <c r="Y40" s="339">
        <f t="shared" si="37"/>
        <v>32.9</v>
      </c>
      <c r="Z40" s="592">
        <v>-51</v>
      </c>
      <c r="AA40" s="489">
        <v>-52</v>
      </c>
      <c r="AB40" s="339">
        <f t="shared" si="38"/>
        <v>2</v>
      </c>
      <c r="AC40" s="592"/>
      <c r="AD40" s="651"/>
      <c r="AE40" s="339"/>
      <c r="AF40" s="592">
        <v>-39.611386180000004</v>
      </c>
      <c r="AG40" s="489">
        <v>-2.344849970899999</v>
      </c>
      <c r="AH40" s="339">
        <f t="shared" si="39"/>
        <v>-94.1</v>
      </c>
      <c r="AI40" s="592">
        <v>-211</v>
      </c>
      <c r="AJ40" s="489">
        <v>-231</v>
      </c>
      <c r="AK40" s="339">
        <f t="shared" si="40"/>
        <v>9.5</v>
      </c>
      <c r="AL40" s="489"/>
      <c r="AM40" s="489"/>
      <c r="AN40" s="339" t="str">
        <f t="shared" si="41"/>
        <v xml:space="preserve">    ---- </v>
      </c>
      <c r="AO40" s="339">
        <f t="shared" si="14"/>
        <v>-825.94158074999996</v>
      </c>
      <c r="AP40" s="339">
        <f t="shared" si="14"/>
        <v>-633.26928504090006</v>
      </c>
      <c r="AQ40" s="339">
        <f t="shared" si="12"/>
        <v>-23.3</v>
      </c>
      <c r="AR40" s="339"/>
      <c r="AS40" s="614"/>
      <c r="AT40" s="339"/>
    </row>
    <row r="41" spans="1:46" s="616" customFormat="1" ht="18.75" customHeight="1" x14ac:dyDescent="0.3">
      <c r="A41" s="604" t="s">
        <v>310</v>
      </c>
      <c r="B41" s="605">
        <f>SUM(B38:B40)</f>
        <v>3.49</v>
      </c>
      <c r="C41" s="494">
        <f>SUM(C38:C40)</f>
        <v>-6.3250000000000002</v>
      </c>
      <c r="D41" s="436">
        <f t="shared" si="30"/>
        <v>-281.2</v>
      </c>
      <c r="E41" s="605">
        <f>SUM(E38:E40)</f>
        <v>309.40008544000011</v>
      </c>
      <c r="F41" s="494">
        <f>SUM(F38:F40)</f>
        <v>-80.453887540000011</v>
      </c>
      <c r="G41" s="436">
        <f t="shared" si="31"/>
        <v>-126</v>
      </c>
      <c r="H41" s="605">
        <f>SUM(H38:H40)</f>
        <v>2.4135908700000002</v>
      </c>
      <c r="I41" s="494">
        <f>SUM(I38:I40)</f>
        <v>-7.2512440600000048</v>
      </c>
      <c r="J41" s="436">
        <f t="shared" si="32"/>
        <v>-400.4</v>
      </c>
      <c r="K41" s="605">
        <f>SUM(K38:K40)</f>
        <v>19.583000000000002</v>
      </c>
      <c r="L41" s="494">
        <f>SUM(L38:L40)</f>
        <v>-11.351988</v>
      </c>
      <c r="M41" s="436">
        <f t="shared" si="33"/>
        <v>-158</v>
      </c>
      <c r="N41" s="605">
        <f>SUM(N38:N40)</f>
        <v>-1</v>
      </c>
      <c r="O41" s="494">
        <f>SUM(O38:O40)</f>
        <v>2</v>
      </c>
      <c r="P41" s="436">
        <f t="shared" si="34"/>
        <v>-300</v>
      </c>
      <c r="Q41" s="605">
        <f>SUM(Q38:Q40)</f>
        <v>0.38108286000000002</v>
      </c>
      <c r="R41" s="656">
        <f>SUM(R38:R40)</f>
        <v>0</v>
      </c>
      <c r="S41" s="436">
        <f t="shared" si="35"/>
        <v>-100</v>
      </c>
      <c r="T41" s="605">
        <v>488.1362142800001</v>
      </c>
      <c r="U41" s="494">
        <v>209.32107571999993</v>
      </c>
      <c r="V41" s="436">
        <f t="shared" si="36"/>
        <v>-57.1</v>
      </c>
      <c r="W41" s="605">
        <f>SUM(W38:W40)</f>
        <v>-29.92</v>
      </c>
      <c r="X41" s="494">
        <f>SUM(X38:X40)</f>
        <v>-96.23</v>
      </c>
      <c r="Y41" s="436">
        <f t="shared" si="37"/>
        <v>221.6</v>
      </c>
      <c r="Z41" s="605">
        <f>SUM(Z38:Z40)</f>
        <v>317</v>
      </c>
      <c r="AA41" s="494">
        <f>SUM(AA38:AA40)</f>
        <v>-176</v>
      </c>
      <c r="AB41" s="436">
        <f t="shared" si="38"/>
        <v>-155.5</v>
      </c>
      <c r="AC41" s="605">
        <f>SUM(AC38:AC40)</f>
        <v>0.18191553999999999</v>
      </c>
      <c r="AD41" s="656">
        <f>SUM(AD38:AD40)</f>
        <v>0.42721931000000002</v>
      </c>
      <c r="AE41" s="436"/>
      <c r="AF41" s="605">
        <f>SUM(AF38:AF40)</f>
        <v>120.48874027999997</v>
      </c>
      <c r="AG41" s="494">
        <f>SUM(AG38:AG40)</f>
        <v>-83.378836640899976</v>
      </c>
      <c r="AH41" s="436">
        <f t="shared" si="39"/>
        <v>-169.2</v>
      </c>
      <c r="AI41" s="605">
        <f>SUM(AI38:AI40)</f>
        <v>1738</v>
      </c>
      <c r="AJ41" s="494">
        <f>SUM(AJ38:AJ40)</f>
        <v>1196</v>
      </c>
      <c r="AK41" s="436">
        <f t="shared" si="40"/>
        <v>-31.2</v>
      </c>
      <c r="AL41" s="494"/>
      <c r="AM41" s="494">
        <f>SUM(AM38:AM40)</f>
        <v>0</v>
      </c>
      <c r="AN41" s="436" t="str">
        <f t="shared" si="41"/>
        <v xml:space="preserve">    ---- </v>
      </c>
      <c r="AO41" s="339">
        <f t="shared" si="14"/>
        <v>2967.5916308700002</v>
      </c>
      <c r="AP41" s="339">
        <f t="shared" si="14"/>
        <v>946.33011947909995</v>
      </c>
      <c r="AQ41" s="436">
        <f t="shared" si="12"/>
        <v>-68.099999999999994</v>
      </c>
      <c r="AR41" s="436"/>
      <c r="AS41" s="615"/>
      <c r="AT41" s="436"/>
    </row>
    <row r="42" spans="1:46" s="616" customFormat="1" ht="18.75" customHeight="1" x14ac:dyDescent="0.3">
      <c r="A42" s="604" t="s">
        <v>311</v>
      </c>
      <c r="B42" s="605">
        <f>B35+B41</f>
        <v>67.281999999999712</v>
      </c>
      <c r="C42" s="494">
        <f>C35+C41</f>
        <v>29.717999999999609</v>
      </c>
      <c r="D42" s="436">
        <f t="shared" si="30"/>
        <v>-55.8</v>
      </c>
      <c r="E42" s="605">
        <f>E35+E41</f>
        <v>766.71183889000281</v>
      </c>
      <c r="F42" s="494">
        <f>F35+F41</f>
        <v>-864.97830051999642</v>
      </c>
      <c r="G42" s="436">
        <f t="shared" si="31"/>
        <v>-212.8</v>
      </c>
      <c r="H42" s="605">
        <f>H35+H41</f>
        <v>478.19513633000059</v>
      </c>
      <c r="I42" s="494">
        <f>I35+I41</f>
        <v>115.76156731999974</v>
      </c>
      <c r="J42" s="436">
        <f t="shared" si="32"/>
        <v>-75.8</v>
      </c>
      <c r="K42" s="605">
        <f>K35+K41</f>
        <v>70.341000000000008</v>
      </c>
      <c r="L42" s="494">
        <f>L35+L41</f>
        <v>-18.306403999999993</v>
      </c>
      <c r="M42" s="436">
        <f t="shared" si="33"/>
        <v>-126</v>
      </c>
      <c r="N42" s="605">
        <f>N35+N41</f>
        <v>100</v>
      </c>
      <c r="O42" s="494">
        <f>O35+O41</f>
        <v>98</v>
      </c>
      <c r="P42" s="436">
        <f t="shared" si="34"/>
        <v>-2</v>
      </c>
      <c r="Q42" s="605">
        <f>Q35+Q41</f>
        <v>9.0468142099999973</v>
      </c>
      <c r="R42" s="656">
        <f>R35+R41</f>
        <v>1.944156669999999</v>
      </c>
      <c r="S42" s="436">
        <f t="shared" si="35"/>
        <v>-78.5</v>
      </c>
      <c r="T42" s="605">
        <v>964.75603114999421</v>
      </c>
      <c r="U42" s="494">
        <v>216.12049640000347</v>
      </c>
      <c r="V42" s="436">
        <f t="shared" si="36"/>
        <v>-77.599999999999994</v>
      </c>
      <c r="W42" s="605">
        <f>W35+W41</f>
        <v>452.53652337000267</v>
      </c>
      <c r="X42" s="494">
        <f>X35+X41</f>
        <v>391.47886896000284</v>
      </c>
      <c r="Y42" s="436">
        <f t="shared" si="37"/>
        <v>-13.5</v>
      </c>
      <c r="Z42" s="605">
        <f>Z35+Z41</f>
        <v>641</v>
      </c>
      <c r="AA42" s="494">
        <f>AA35+AA41</f>
        <v>8</v>
      </c>
      <c r="AB42" s="436">
        <f t="shared" si="38"/>
        <v>-98.8</v>
      </c>
      <c r="AC42" s="605">
        <f>AC35+AC41</f>
        <v>9.1055584299999541</v>
      </c>
      <c r="AD42" s="656">
        <f>AD35+AD41</f>
        <v>4.8950109999999967</v>
      </c>
      <c r="AE42" s="436">
        <f>IF(AC42=0, "    ---- ", IF(ABS(ROUND(100/AC42*AD42-100,1))&lt;999,ROUND(100/AC42*AD42-100,1),IF(ROUND(100/AC42*AD42-100,1)&gt;999,999,-999)))</f>
        <v>-46.2</v>
      </c>
      <c r="AF42" s="605">
        <f>AF35+AF41</f>
        <v>203.85159941999828</v>
      </c>
      <c r="AG42" s="494">
        <f>AG35+AG41</f>
        <v>-26.51547177999948</v>
      </c>
      <c r="AH42" s="436">
        <f t="shared" si="39"/>
        <v>-113</v>
      </c>
      <c r="AI42" s="605">
        <f>AI35+AI41</f>
        <v>2360</v>
      </c>
      <c r="AJ42" s="494">
        <f>AJ35+AJ41</f>
        <v>80</v>
      </c>
      <c r="AK42" s="436">
        <f t="shared" si="40"/>
        <v>-96.6</v>
      </c>
      <c r="AL42" s="494"/>
      <c r="AM42" s="494">
        <f>AM35+AM41</f>
        <v>-15</v>
      </c>
      <c r="AN42" s="436" t="str">
        <f t="shared" si="41"/>
        <v xml:space="preserve">    ---- </v>
      </c>
      <c r="AO42" s="339">
        <f t="shared" si="14"/>
        <v>6104.6741291599983</v>
      </c>
      <c r="AP42" s="339">
        <f t="shared" si="14"/>
        <v>29.278756380009717</v>
      </c>
      <c r="AQ42" s="436">
        <f t="shared" si="12"/>
        <v>-99.5</v>
      </c>
      <c r="AR42" s="436"/>
      <c r="AS42" s="615"/>
      <c r="AT42" s="436"/>
    </row>
    <row r="43" spans="1:46" s="446" customFormat="1" ht="18.75" customHeight="1" x14ac:dyDescent="0.3">
      <c r="A43" s="581" t="s">
        <v>312</v>
      </c>
      <c r="B43" s="592">
        <v>-16.821000000000002</v>
      </c>
      <c r="C43" s="489">
        <v>-7.4349999999999996</v>
      </c>
      <c r="D43" s="339">
        <f t="shared" si="30"/>
        <v>-55.8</v>
      </c>
      <c r="E43" s="592">
        <v>-139.932603</v>
      </c>
      <c r="F43" s="489">
        <v>246.744598</v>
      </c>
      <c r="G43" s="339">
        <f t="shared" si="31"/>
        <v>-276.3</v>
      </c>
      <c r="H43" s="592">
        <v>-126.67569725</v>
      </c>
      <c r="I43" s="489">
        <v>-40.633996060000001</v>
      </c>
      <c r="J43" s="339">
        <f t="shared" si="32"/>
        <v>-67.900000000000006</v>
      </c>
      <c r="K43" s="592">
        <v>-15.544</v>
      </c>
      <c r="L43" s="489">
        <v>-4.6622870000000001</v>
      </c>
      <c r="M43" s="339">
        <f t="shared" si="33"/>
        <v>-70</v>
      </c>
      <c r="N43" s="592">
        <v>-25</v>
      </c>
      <c r="O43" s="489">
        <v>-25</v>
      </c>
      <c r="P43" s="339">
        <f t="shared" si="34"/>
        <v>0</v>
      </c>
      <c r="Q43" s="592">
        <v>-2.267563</v>
      </c>
      <c r="R43" s="651">
        <f>-723330/1000000</f>
        <v>-0.72333000000000003</v>
      </c>
      <c r="S43" s="339">
        <f t="shared" si="35"/>
        <v>-68.099999999999994</v>
      </c>
      <c r="T43" s="592">
        <v>-125.338731475</v>
      </c>
      <c r="U43" s="489">
        <v>8.9295185250000007</v>
      </c>
      <c r="V43" s="339"/>
      <c r="W43" s="592">
        <v>-99.62</v>
      </c>
      <c r="X43" s="489">
        <v>-94.98</v>
      </c>
      <c r="Y43" s="339">
        <f t="shared" si="37"/>
        <v>-4.7</v>
      </c>
      <c r="Z43" s="592">
        <v>-180</v>
      </c>
      <c r="AA43" s="489">
        <v>-56</v>
      </c>
      <c r="AB43" s="339">
        <f t="shared" si="38"/>
        <v>-68.900000000000006</v>
      </c>
      <c r="AC43" s="592">
        <v>-2.0032230000000002</v>
      </c>
      <c r="AD43" s="651">
        <v>-1.0845149999999999</v>
      </c>
      <c r="AE43" s="339"/>
      <c r="AF43" s="592">
        <v>-21.991069</v>
      </c>
      <c r="AG43" s="489">
        <v>11.67949735</v>
      </c>
      <c r="AH43" s="339">
        <f t="shared" si="39"/>
        <v>-153.1</v>
      </c>
      <c r="AI43" s="592">
        <v>-220</v>
      </c>
      <c r="AJ43" s="489">
        <v>869</v>
      </c>
      <c r="AK43" s="339">
        <f t="shared" si="40"/>
        <v>-495</v>
      </c>
      <c r="AL43" s="489"/>
      <c r="AM43" s="489"/>
      <c r="AN43" s="339" t="str">
        <f t="shared" si="41"/>
        <v xml:space="preserve">    ---- </v>
      </c>
      <c r="AO43" s="339">
        <f t="shared" si="14"/>
        <v>-970.92310072500004</v>
      </c>
      <c r="AP43" s="339">
        <f t="shared" si="14"/>
        <v>907.64233081499992</v>
      </c>
      <c r="AQ43" s="339">
        <f t="shared" si="12"/>
        <v>-193.5</v>
      </c>
      <c r="AR43" s="339"/>
      <c r="AS43" s="614"/>
      <c r="AT43" s="339"/>
    </row>
    <row r="44" spans="1:46" s="616" customFormat="1" ht="18.75" customHeight="1" x14ac:dyDescent="0.3">
      <c r="A44" s="604" t="s">
        <v>425</v>
      </c>
      <c r="B44" s="605">
        <f>B42+B43</f>
        <v>50.460999999999714</v>
      </c>
      <c r="C44" s="494">
        <f>C42+C43</f>
        <v>22.28299999999961</v>
      </c>
      <c r="D44" s="436">
        <f t="shared" si="30"/>
        <v>-55.8</v>
      </c>
      <c r="E44" s="605">
        <f>E42+E43</f>
        <v>626.77923589000284</v>
      </c>
      <c r="F44" s="494">
        <f>F42+F43</f>
        <v>-618.23370251999643</v>
      </c>
      <c r="G44" s="436">
        <f t="shared" si="31"/>
        <v>-198.6</v>
      </c>
      <c r="H44" s="605">
        <f>H42+H43</f>
        <v>351.51943908000061</v>
      </c>
      <c r="I44" s="494">
        <f>I42+I43</f>
        <v>75.127571259999741</v>
      </c>
      <c r="J44" s="436">
        <f t="shared" si="32"/>
        <v>-78.599999999999994</v>
      </c>
      <c r="K44" s="605">
        <f>K42+K43</f>
        <v>54.797000000000011</v>
      </c>
      <c r="L44" s="494">
        <f>L42+L43</f>
        <v>-22.968690999999993</v>
      </c>
      <c r="M44" s="436">
        <f t="shared" si="33"/>
        <v>-141.9</v>
      </c>
      <c r="N44" s="605">
        <f>N42+N43</f>
        <v>75</v>
      </c>
      <c r="O44" s="494">
        <f>O42+O43</f>
        <v>73</v>
      </c>
      <c r="P44" s="436">
        <f t="shared" si="34"/>
        <v>-2.7</v>
      </c>
      <c r="Q44" s="605">
        <f>Q42+Q43</f>
        <v>6.7792512099999973</v>
      </c>
      <c r="R44" s="656">
        <f>R42+R43</f>
        <v>1.220826669999999</v>
      </c>
      <c r="S44" s="436">
        <f t="shared" si="35"/>
        <v>-82</v>
      </c>
      <c r="T44" s="605">
        <v>839.41729967499418</v>
      </c>
      <c r="U44" s="494">
        <v>225.05001492500347</v>
      </c>
      <c r="V44" s="436">
        <f t="shared" si="36"/>
        <v>-73.2</v>
      </c>
      <c r="W44" s="605">
        <f>W42+W43</f>
        <v>352.91652337000266</v>
      </c>
      <c r="X44" s="494">
        <f>X42+X43</f>
        <v>296.49886896000282</v>
      </c>
      <c r="Y44" s="436">
        <f t="shared" si="37"/>
        <v>-16</v>
      </c>
      <c r="Z44" s="605">
        <f>Z42+Z43</f>
        <v>461</v>
      </c>
      <c r="AA44" s="494">
        <f>AA42+AA43</f>
        <v>-48</v>
      </c>
      <c r="AB44" s="436">
        <f t="shared" si="38"/>
        <v>-110.4</v>
      </c>
      <c r="AC44" s="605">
        <f>AC42+AC43</f>
        <v>7.1023354299999539</v>
      </c>
      <c r="AD44" s="656">
        <f>AD42+AD43</f>
        <v>3.810495999999997</v>
      </c>
      <c r="AE44" s="436">
        <f>IF(AC44=0, "    ---- ", IF(ABS(ROUND(100/AC44*AD44-100,1))&lt;999,ROUND(100/AC44*AD44-100,1),IF(ROUND(100/AC44*AD44-100,1)&gt;999,999,-999)))</f>
        <v>-46.3</v>
      </c>
      <c r="AF44" s="605">
        <f>AF42+AF43</f>
        <v>181.86053041999827</v>
      </c>
      <c r="AG44" s="494">
        <f>AG42+AG43</f>
        <v>-14.83597442999948</v>
      </c>
      <c r="AH44" s="436">
        <f t="shared" si="39"/>
        <v>-108.2</v>
      </c>
      <c r="AI44" s="605">
        <f>AI42+AI43</f>
        <v>2140</v>
      </c>
      <c r="AJ44" s="494">
        <f>AJ42+AJ43</f>
        <v>949</v>
      </c>
      <c r="AK44" s="436">
        <f t="shared" si="40"/>
        <v>-55.7</v>
      </c>
      <c r="AL44" s="494"/>
      <c r="AM44" s="494">
        <f>AM42+AM43</f>
        <v>-15</v>
      </c>
      <c r="AN44" s="436" t="str">
        <f t="shared" si="41"/>
        <v xml:space="preserve">    ---- </v>
      </c>
      <c r="AO44" s="339">
        <f t="shared" si="14"/>
        <v>5133.7510284349983</v>
      </c>
      <c r="AP44" s="339">
        <f t="shared" si="14"/>
        <v>936.9210871950097</v>
      </c>
      <c r="AQ44" s="436">
        <f t="shared" si="12"/>
        <v>-81.7</v>
      </c>
      <c r="AR44" s="436"/>
      <c r="AS44" s="615"/>
      <c r="AT44" s="436"/>
    </row>
    <row r="45" spans="1:46" s="446" customFormat="1" ht="18.75" customHeight="1" x14ac:dyDescent="0.3">
      <c r="A45" s="581" t="s">
        <v>426</v>
      </c>
      <c r="B45" s="592"/>
      <c r="C45" s="489"/>
      <c r="D45" s="339"/>
      <c r="E45" s="592">
        <v>4.9324360499999997</v>
      </c>
      <c r="F45" s="489">
        <v>9.0198332299999997</v>
      </c>
      <c r="G45" s="339">
        <f t="shared" si="31"/>
        <v>82.9</v>
      </c>
      <c r="H45" s="592"/>
      <c r="I45" s="489"/>
      <c r="J45" s="339"/>
      <c r="K45" s="592"/>
      <c r="L45" s="489"/>
      <c r="M45" s="339"/>
      <c r="N45" s="592"/>
      <c r="O45" s="489"/>
      <c r="P45" s="339" t="str">
        <f t="shared" si="34"/>
        <v xml:space="preserve">    ---- </v>
      </c>
      <c r="Q45" s="592"/>
      <c r="R45" s="489"/>
      <c r="S45" s="339"/>
      <c r="T45" s="592">
        <v>144.460796765</v>
      </c>
      <c r="U45" s="489">
        <v>57.594193404999999</v>
      </c>
      <c r="V45" s="339">
        <f t="shared" si="36"/>
        <v>-60.1</v>
      </c>
      <c r="W45" s="592">
        <v>4.5199999999999996</v>
      </c>
      <c r="X45" s="489">
        <v>27.23</v>
      </c>
      <c r="Y45" s="339">
        <f t="shared" si="37"/>
        <v>502.4</v>
      </c>
      <c r="Z45" s="592"/>
      <c r="AA45" s="489"/>
      <c r="AB45" s="339"/>
      <c r="AC45" s="592"/>
      <c r="AD45" s="651"/>
      <c r="AE45" s="339"/>
      <c r="AF45" s="592"/>
      <c r="AG45" s="489"/>
      <c r="AH45" s="339" t="str">
        <f t="shared" si="39"/>
        <v xml:space="preserve">    ---- </v>
      </c>
      <c r="AI45" s="592">
        <v>-27</v>
      </c>
      <c r="AJ45" s="489">
        <v>-15</v>
      </c>
      <c r="AK45" s="339">
        <f t="shared" si="40"/>
        <v>-44.4</v>
      </c>
      <c r="AL45" s="489"/>
      <c r="AM45" s="489"/>
      <c r="AN45" s="339" t="str">
        <f t="shared" si="41"/>
        <v xml:space="preserve">    ---- </v>
      </c>
      <c r="AO45" s="339">
        <f t="shared" si="14"/>
        <v>126.91323281500001</v>
      </c>
      <c r="AP45" s="339">
        <f t="shared" si="14"/>
        <v>78.844026635000006</v>
      </c>
      <c r="AQ45" s="339">
        <f t="shared" si="12"/>
        <v>-37.9</v>
      </c>
      <c r="AR45" s="339"/>
      <c r="AS45" s="614"/>
      <c r="AT45" s="339"/>
    </row>
    <row r="46" spans="1:46" s="616" customFormat="1" ht="18.75" customHeight="1" x14ac:dyDescent="0.3">
      <c r="A46" s="603" t="s">
        <v>313</v>
      </c>
      <c r="B46" s="617">
        <f>B44+B45</f>
        <v>50.460999999999714</v>
      </c>
      <c r="C46" s="495">
        <f>C44+C45</f>
        <v>22.28299999999961</v>
      </c>
      <c r="D46" s="441">
        <f>IF(B46=0, "    ---- ", IF(ABS(ROUND(100/B46*C46-100,1))&lt;999,ROUND(100/B46*C46-100,1),IF(ROUND(100/B46*C46-100,1)&gt;999,999,-999)))</f>
        <v>-55.8</v>
      </c>
      <c r="E46" s="617">
        <f>E44+E45</f>
        <v>631.71167194000282</v>
      </c>
      <c r="F46" s="495">
        <f>F44+F45</f>
        <v>-609.21386928999641</v>
      </c>
      <c r="G46" s="441">
        <f>IF(E46=0, "    ---- ", IF(ABS(ROUND(100/E46*F46-100,1))&lt;999,ROUND(100/E46*F46-100,1),IF(ROUND(100/E46*F46-100,1)&gt;999,999,-999)))</f>
        <v>-196.4</v>
      </c>
      <c r="H46" s="617">
        <f>H44+H45</f>
        <v>351.51943908000061</v>
      </c>
      <c r="I46" s="495">
        <f>I44+I45</f>
        <v>75.127571259999741</v>
      </c>
      <c r="J46" s="441">
        <f>IF(H46=0, "    ---- ", IF(ABS(ROUND(100/H46*I46-100,1))&lt;999,ROUND(100/H46*I46-100,1),IF(ROUND(100/H46*I46-100,1)&gt;999,999,-999)))</f>
        <v>-78.599999999999994</v>
      </c>
      <c r="K46" s="617">
        <f>K44+K45</f>
        <v>54.797000000000011</v>
      </c>
      <c r="L46" s="495">
        <f>L44+L45</f>
        <v>-22.968690999999993</v>
      </c>
      <c r="M46" s="441">
        <f>IF(K46=0, "    ---- ", IF(ABS(ROUND(100/K46*L46-100,1))&lt;999,ROUND(100/K46*L46-100,1),IF(ROUND(100/K46*L46-100,1)&gt;999,999,-999)))</f>
        <v>-141.9</v>
      </c>
      <c r="N46" s="617">
        <f>N44+N45</f>
        <v>75</v>
      </c>
      <c r="O46" s="495">
        <f>O44+O45</f>
        <v>73</v>
      </c>
      <c r="P46" s="441">
        <f>IF(N46=0, "    ---- ", IF(ABS(ROUND(100/N46*O46-100,1))&lt;999,ROUND(100/N46*O46-100,1),IF(ROUND(100/N46*O46-100,1)&gt;999,999,-999)))</f>
        <v>-2.7</v>
      </c>
      <c r="Q46" s="617">
        <f>Q44+Q45</f>
        <v>6.7792512099999973</v>
      </c>
      <c r="R46" s="495">
        <f>R44+R45</f>
        <v>1.220826669999999</v>
      </c>
      <c r="S46" s="441">
        <f>IF(Q46=0, "    ---- ", IF(ABS(ROUND(100/Q46*R46-100,1))&lt;999,ROUND(100/Q46*R46-100,1),IF(ROUND(100/Q46*R46-100,1)&gt;999,999,-999)))</f>
        <v>-82</v>
      </c>
      <c r="T46" s="617">
        <v>983.87809643999412</v>
      </c>
      <c r="U46" s="495">
        <v>282.64420833000349</v>
      </c>
      <c r="V46" s="441">
        <f>IF(T46=0, "    ---- ", IF(ABS(ROUND(100/T46*U46-100,1))&lt;999,ROUND(100/T46*U46-100,1),IF(ROUND(100/T46*U46-100,1)&gt;999,999,-999)))</f>
        <v>-71.3</v>
      </c>
      <c r="W46" s="617">
        <f>W44+W45</f>
        <v>357.43652337000265</v>
      </c>
      <c r="X46" s="495">
        <f>X44+X45</f>
        <v>323.72886896000284</v>
      </c>
      <c r="Y46" s="441">
        <f>IF(W46=0, "    ---- ", IF(ABS(ROUND(100/W46*X46-100,1))&lt;999,ROUND(100/W46*X46-100,1),IF(ROUND(100/W46*X46-100,1)&gt;999,999,-999)))</f>
        <v>-9.4</v>
      </c>
      <c r="Z46" s="617">
        <f>Z44+Z45</f>
        <v>461</v>
      </c>
      <c r="AA46" s="495">
        <f>AA44+AA45</f>
        <v>-48</v>
      </c>
      <c r="AB46" s="441">
        <f>IF(Z46=0, "    ---- ", IF(ABS(ROUND(100/Z46*AA46-100,1))&lt;999,ROUND(100/Z46*AA46-100,1),IF(ROUND(100/Z46*AA46-100,1)&gt;999,999,-999)))</f>
        <v>-110.4</v>
      </c>
      <c r="AC46" s="617">
        <f>AC44+AC45</f>
        <v>7.1023354299999539</v>
      </c>
      <c r="AD46" s="660">
        <f>AD44+AD45</f>
        <v>3.810495999999997</v>
      </c>
      <c r="AE46" s="441">
        <f>IF(AC46=0, "    ---- ", IF(ABS(ROUND(100/AC46*AD46-100,1))&lt;999,ROUND(100/AC46*AD46-100,1),IF(ROUND(100/AC46*AD46-100,1)&gt;999,999,-999)))</f>
        <v>-46.3</v>
      </c>
      <c r="AF46" s="617">
        <f>AF44+AF45</f>
        <v>181.86053041999827</v>
      </c>
      <c r="AG46" s="495">
        <f>AG44+AG45</f>
        <v>-14.83597442999948</v>
      </c>
      <c r="AH46" s="441">
        <f>IF(AF46=0, "    ---- ", IF(ABS(ROUND(100/AF46*AG46-100,1))&lt;999,ROUND(100/AF46*AG46-100,1),IF(ROUND(100/AF46*AG46-100,1)&gt;999,999,-999)))</f>
        <v>-108.2</v>
      </c>
      <c r="AI46" s="617">
        <f>AI44+AI45</f>
        <v>2113</v>
      </c>
      <c r="AJ46" s="495">
        <f>AJ44+AJ45</f>
        <v>934</v>
      </c>
      <c r="AK46" s="441">
        <f>IF(AI46=0, "    ---- ", IF(ABS(ROUND(100/AI46*AJ46-100,1))&lt;999,ROUND(100/AI46*AJ46-100,1),IF(ROUND(100/AI46*AJ46-100,1)&gt;999,999,-999)))</f>
        <v>-55.8</v>
      </c>
      <c r="AL46" s="495"/>
      <c r="AM46" s="495">
        <f>AM44+AM45</f>
        <v>-15</v>
      </c>
      <c r="AN46" s="441" t="str">
        <f>IF(AL46=0, "    ---- ", IF(ABS(ROUND(100/AL46*AM46-100,1))&lt;999,ROUND(100/AL46*AM46-100,1),IF(ROUND(100/AL46*AM46-100,1)&gt;999,999,-999)))</f>
        <v xml:space="preserve">    ---- </v>
      </c>
      <c r="AO46" s="339">
        <f t="shared" si="14"/>
        <v>5260.6642612499982</v>
      </c>
      <c r="AP46" s="339">
        <f t="shared" si="14"/>
        <v>1015.7651138300097</v>
      </c>
      <c r="AQ46" s="441">
        <f t="shared" si="12"/>
        <v>-80.7</v>
      </c>
      <c r="AR46" s="618"/>
      <c r="AS46" s="619"/>
      <c r="AT46" s="620"/>
    </row>
    <row r="47" spans="1:46" s="616" customFormat="1" ht="18.75" customHeight="1" x14ac:dyDescent="0.3">
      <c r="A47" s="621"/>
      <c r="B47" s="622"/>
      <c r="C47" s="622"/>
      <c r="D47" s="623"/>
      <c r="E47" s="622"/>
      <c r="F47" s="622"/>
      <c r="G47" s="606"/>
      <c r="H47" s="622"/>
      <c r="I47" s="622"/>
      <c r="J47" s="606"/>
      <c r="K47" s="622"/>
      <c r="L47" s="622"/>
      <c r="M47" s="606"/>
      <c r="N47" s="622"/>
      <c r="O47" s="622"/>
      <c r="P47" s="623"/>
      <c r="Q47" s="622"/>
      <c r="R47" s="622"/>
      <c r="S47" s="606"/>
      <c r="T47" s="622"/>
      <c r="U47" s="622"/>
      <c r="V47" s="606"/>
      <c r="W47" s="622"/>
      <c r="X47" s="622"/>
      <c r="Y47" s="606"/>
      <c r="Z47" s="622"/>
      <c r="AA47" s="622"/>
      <c r="AB47" s="606"/>
      <c r="AC47" s="622"/>
      <c r="AD47" s="622"/>
      <c r="AE47" s="606"/>
      <c r="AF47" s="622"/>
      <c r="AG47" s="622"/>
      <c r="AH47" s="606"/>
      <c r="AI47" s="622"/>
      <c r="AJ47" s="622"/>
      <c r="AK47" s="606"/>
      <c r="AL47" s="622"/>
      <c r="AM47" s="622"/>
      <c r="AN47" s="606"/>
      <c r="AO47" s="623"/>
      <c r="AP47" s="623"/>
      <c r="AQ47" s="606"/>
      <c r="AR47" s="624"/>
      <c r="AS47" s="624"/>
      <c r="AT47" s="625"/>
    </row>
    <row r="48" spans="1:46" s="616" customFormat="1" ht="18.75" customHeight="1" x14ac:dyDescent="0.3">
      <c r="A48" s="508" t="s">
        <v>314</v>
      </c>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row>
    <row r="49" spans="1:46" s="446" customFormat="1" ht="18.75" customHeight="1" x14ac:dyDescent="0.3">
      <c r="A49" s="626" t="s">
        <v>315</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row>
    <row r="50" spans="1:46" s="446" customFormat="1" ht="18.75" customHeight="1" x14ac:dyDescent="0.3">
      <c r="A50" s="626" t="s">
        <v>316</v>
      </c>
      <c r="B50" s="626"/>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row>
    <row r="51" spans="1:46" s="446" customFormat="1" ht="18.75" customHeight="1" x14ac:dyDescent="0.3">
      <c r="A51" s="626" t="s">
        <v>317</v>
      </c>
      <c r="B51" s="626"/>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row>
    <row r="52" spans="1:46" s="446" customFormat="1" ht="18.75" customHeight="1" x14ac:dyDescent="0.3">
      <c r="A52" s="626" t="s">
        <v>318</v>
      </c>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row>
    <row r="53" spans="1:46" s="446" customFormat="1" ht="18.75" customHeight="1" x14ac:dyDescent="0.3">
      <c r="A53" s="626" t="s">
        <v>319</v>
      </c>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AT53" s="626"/>
    </row>
    <row r="54" spans="1:46" s="446" customFormat="1" ht="18.75" customHeight="1" x14ac:dyDescent="0.3">
      <c r="A54" s="626" t="s">
        <v>320</v>
      </c>
      <c r="B54" s="626"/>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row>
    <row r="55" spans="1:46" s="446" customFormat="1" ht="18.75" customHeight="1" x14ac:dyDescent="0.3">
      <c r="A55" s="626" t="s">
        <v>321</v>
      </c>
      <c r="B55" s="626"/>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row>
    <row r="56" spans="1:46" s="446" customFormat="1" ht="18.75" customHeight="1" x14ac:dyDescent="0.3">
      <c r="A56" s="626" t="s">
        <v>322</v>
      </c>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row>
    <row r="57" spans="1:46" s="446" customFormat="1" ht="18.75" customHeight="1" x14ac:dyDescent="0.3">
      <c r="A57" s="626" t="s">
        <v>323</v>
      </c>
      <c r="B57" s="626"/>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row>
    <row r="58" spans="1:46" s="616" customFormat="1" ht="18.75" customHeight="1" x14ac:dyDescent="0.3">
      <c r="A58" s="509" t="s">
        <v>324</v>
      </c>
      <c r="B58" s="627"/>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row>
    <row r="59" spans="1:46" s="449" customFormat="1" ht="18.75" customHeight="1" x14ac:dyDescent="0.3">
      <c r="A59" s="446" t="s">
        <v>248</v>
      </c>
      <c r="B59" s="446"/>
    </row>
    <row r="60" spans="1:46" s="449" customFormat="1" ht="18.75" customHeight="1" x14ac:dyDescent="0.3">
      <c r="A60" s="446" t="s">
        <v>249</v>
      </c>
    </row>
    <row r="61" spans="1:46" s="449" customFormat="1" ht="18.75" customHeight="1" x14ac:dyDescent="0.3">
      <c r="A61" s="446" t="s">
        <v>250</v>
      </c>
    </row>
    <row r="62" spans="1:46" s="449" customFormat="1" ht="18.75" x14ac:dyDescent="0.3"/>
    <row r="63" spans="1:46" s="447" customFormat="1" x14ac:dyDescent="0.2"/>
    <row r="64" spans="1:46" s="447" customFormat="1" x14ac:dyDescent="0.2"/>
  </sheetData>
  <mergeCells count="28">
    <mergeCell ref="B5:D5"/>
    <mergeCell ref="E5:G5"/>
    <mergeCell ref="H5:J5"/>
    <mergeCell ref="K5:M5"/>
    <mergeCell ref="AF5:AH5"/>
    <mergeCell ref="N5:P5"/>
    <mergeCell ref="Z5:AB5"/>
    <mergeCell ref="Q5:S5"/>
    <mergeCell ref="T5:V5"/>
    <mergeCell ref="AC6:AE6"/>
    <mergeCell ref="B6:D6"/>
    <mergeCell ref="E6:G6"/>
    <mergeCell ref="H6:J6"/>
    <mergeCell ref="K6:M6"/>
    <mergeCell ref="N6:P6"/>
    <mergeCell ref="Q6:S6"/>
    <mergeCell ref="T6:V6"/>
    <mergeCell ref="W6:Y6"/>
    <mergeCell ref="Z6:AB6"/>
    <mergeCell ref="AR5:AT5"/>
    <mergeCell ref="AR6:AT6"/>
    <mergeCell ref="AF6:AH6"/>
    <mergeCell ref="AI6:AK6"/>
    <mergeCell ref="AO6:AQ6"/>
    <mergeCell ref="AI5:AK5"/>
    <mergeCell ref="AO5:AQ5"/>
    <mergeCell ref="AL6:AN6"/>
    <mergeCell ref="AL5:AN5"/>
  </mergeCells>
  <conditionalFormatting sqref="AI14">
    <cfRule type="expression" dxfId="238" priority="121">
      <formula>#REF! ="14≠11+12+13"</formula>
    </cfRule>
  </conditionalFormatting>
  <conditionalFormatting sqref="AI21">
    <cfRule type="expression" dxfId="237" priority="122">
      <formula>#REF! ="22≠19+20+21"</formula>
    </cfRule>
  </conditionalFormatting>
  <conditionalFormatting sqref="AI30">
    <cfRule type="expression" dxfId="236" priority="123">
      <formula>#REF! ="30≠24+25+26+27+28+29"</formula>
    </cfRule>
  </conditionalFormatting>
  <conditionalFormatting sqref="AI35">
    <cfRule type="expression" dxfId="235" priority="124">
      <formula>#REF! ="35≠14+15+16+17+22+30+31+32+33+34"</formula>
    </cfRule>
  </conditionalFormatting>
  <conditionalFormatting sqref="AI46">
    <cfRule type="expression" dxfId="234" priority="125">
      <formula>#REF! ="46≠35+38+39+40+43+45"</formula>
    </cfRule>
  </conditionalFormatting>
  <conditionalFormatting sqref="N14">
    <cfRule type="expression" dxfId="233" priority="111">
      <formula>#REF! ="14≠11+12+13"</formula>
    </cfRule>
  </conditionalFormatting>
  <conditionalFormatting sqref="N21">
    <cfRule type="expression" dxfId="232" priority="112">
      <formula>#REF! ="22≠19+20+21"</formula>
    </cfRule>
  </conditionalFormatting>
  <conditionalFormatting sqref="N30">
    <cfRule type="expression" dxfId="231" priority="113">
      <formula>#REF! ="30≠24+25+26+27+28+29"</formula>
    </cfRule>
  </conditionalFormatting>
  <conditionalFormatting sqref="N35">
    <cfRule type="expression" dxfId="230" priority="114">
      <formula>#REF! ="35≠14+15+16+17+22+30+31+32+33+34"</formula>
    </cfRule>
  </conditionalFormatting>
  <conditionalFormatting sqref="N46">
    <cfRule type="expression" dxfId="229" priority="115">
      <formula>#REF! ="46≠35+38+39+40+43+45"</formula>
    </cfRule>
  </conditionalFormatting>
  <conditionalFormatting sqref="AL30">
    <cfRule type="expression" dxfId="228" priority="101">
      <formula>#REF! ="30≠24+25+26+27+28+29"</formula>
    </cfRule>
  </conditionalFormatting>
  <conditionalFormatting sqref="AL35">
    <cfRule type="expression" dxfId="227" priority="102">
      <formula>#REF! ="35≠14+15+16+17+22+30+31+32+33+34"</formula>
    </cfRule>
  </conditionalFormatting>
  <conditionalFormatting sqref="AL46">
    <cfRule type="expression" dxfId="226" priority="103">
      <formula>#REF! ="46≠35+38+39+40+43+45"</formula>
    </cfRule>
  </conditionalFormatting>
  <conditionalFormatting sqref="AL14">
    <cfRule type="expression" dxfId="225" priority="104">
      <formula>#REF! ="14≠11+12+13"</formula>
    </cfRule>
  </conditionalFormatting>
  <conditionalFormatting sqref="AL21">
    <cfRule type="expression" dxfId="224" priority="105">
      <formula>#REF! ="22≠19+20+21"</formula>
    </cfRule>
  </conditionalFormatting>
  <conditionalFormatting sqref="W14">
    <cfRule type="expression" dxfId="223" priority="91">
      <formula>#REF! ="14≠11+12+13"</formula>
    </cfRule>
  </conditionalFormatting>
  <conditionalFormatting sqref="W21">
    <cfRule type="expression" dxfId="222" priority="92">
      <formula>#REF! ="22≠19+20+21"</formula>
    </cfRule>
  </conditionalFormatting>
  <conditionalFormatting sqref="W30">
    <cfRule type="expression" dxfId="221" priority="93">
      <formula>#REF! ="30≠24+25+26+27+28+29"</formula>
    </cfRule>
  </conditionalFormatting>
  <conditionalFormatting sqref="W35">
    <cfRule type="expression" dxfId="220" priority="94">
      <formula>#REF! ="35≠14+15+16+17+22+30+31+32+33+34"</formula>
    </cfRule>
  </conditionalFormatting>
  <conditionalFormatting sqref="W46">
    <cfRule type="expression" dxfId="219" priority="95">
      <formula>#REF! ="46≠35+38+39+40+43+45"</formula>
    </cfRule>
  </conditionalFormatting>
  <conditionalFormatting sqref="H14">
    <cfRule type="expression" dxfId="218" priority="81">
      <formula>#REF! ="14≠11+12+13"</formula>
    </cfRule>
  </conditionalFormatting>
  <conditionalFormatting sqref="H21">
    <cfRule type="expression" dxfId="217" priority="82">
      <formula>#REF! ="22≠19+20+21"</formula>
    </cfRule>
  </conditionalFormatting>
  <conditionalFormatting sqref="H30">
    <cfRule type="expression" dxfId="216" priority="83">
      <formula>#REF! ="30≠24+25+26+27+28+29"</formula>
    </cfRule>
  </conditionalFormatting>
  <conditionalFormatting sqref="H35">
    <cfRule type="expression" dxfId="215" priority="84">
      <formula>#REF! ="35≠14+15+16+17+22+30+31+32+33+34"</formula>
    </cfRule>
  </conditionalFormatting>
  <conditionalFormatting sqref="H46">
    <cfRule type="expression" dxfId="214" priority="85">
      <formula>#REF! ="46≠35+38+39+40+43+45"</formula>
    </cfRule>
  </conditionalFormatting>
  <conditionalFormatting sqref="AF14">
    <cfRule type="expression" dxfId="213" priority="71">
      <formula>#REF! ="14≠11+12+13"</formula>
    </cfRule>
  </conditionalFormatting>
  <conditionalFormatting sqref="AF21">
    <cfRule type="expression" dxfId="212" priority="72">
      <formula>#REF! ="22≠19+20+21"</formula>
    </cfRule>
  </conditionalFormatting>
  <conditionalFormatting sqref="AF30">
    <cfRule type="expression" dxfId="211" priority="73">
      <formula>#REF! ="30≠24+25+26+27+28+29"</formula>
    </cfRule>
  </conditionalFormatting>
  <conditionalFormatting sqref="AF35">
    <cfRule type="expression" dxfId="210" priority="74">
      <formula>#REF! ="35≠14+15+16+17+22+30+31+32+33+34"</formula>
    </cfRule>
  </conditionalFormatting>
  <conditionalFormatting sqref="AF46">
    <cfRule type="expression" dxfId="209" priority="75">
      <formula>#REF! ="46≠35+38+39+40+43+45"</formula>
    </cfRule>
  </conditionalFormatting>
  <conditionalFormatting sqref="B14">
    <cfRule type="expression" dxfId="208" priority="61">
      <formula>#REF! ="14≠11+12+13"</formula>
    </cfRule>
  </conditionalFormatting>
  <conditionalFormatting sqref="B21">
    <cfRule type="expression" dxfId="207" priority="62">
      <formula>#REF! ="22≠19+20+21"</formula>
    </cfRule>
  </conditionalFormatting>
  <conditionalFormatting sqref="B30">
    <cfRule type="expression" dxfId="206" priority="63">
      <formula>#REF! ="30≠24+25+26+27+28+29"</formula>
    </cfRule>
  </conditionalFormatting>
  <conditionalFormatting sqref="B35">
    <cfRule type="expression" dxfId="205" priority="64">
      <formula>#REF! ="35≠14+15+16+17+22+30+31+32+33+34"</formula>
    </cfRule>
  </conditionalFormatting>
  <conditionalFormatting sqref="B46">
    <cfRule type="expression" dxfId="204" priority="65">
      <formula>#REF! ="46≠35+38+39+40+43+45"</formula>
    </cfRule>
  </conditionalFormatting>
  <conditionalFormatting sqref="K14">
    <cfRule type="expression" dxfId="203" priority="51">
      <formula>#REF! ="14≠11+12+13"</formula>
    </cfRule>
  </conditionalFormatting>
  <conditionalFormatting sqref="K21">
    <cfRule type="expression" dxfId="202" priority="52">
      <formula>#REF! ="22≠19+20+21"</formula>
    </cfRule>
  </conditionalFormatting>
  <conditionalFormatting sqref="K30">
    <cfRule type="expression" dxfId="201" priority="53">
      <formula>#REF! ="30≠24+25+26+27+28+29"</formula>
    </cfRule>
  </conditionalFormatting>
  <conditionalFormatting sqref="K35">
    <cfRule type="expression" dxfId="200" priority="54">
      <formula>#REF! ="35≠14+15+16+17+22+30+31+32+33+34"</formula>
    </cfRule>
  </conditionalFormatting>
  <conditionalFormatting sqref="K46">
    <cfRule type="expression" dxfId="199" priority="55">
      <formula>#REF! ="46≠35+38+39+40+43+45"</formula>
    </cfRule>
  </conditionalFormatting>
  <conditionalFormatting sqref="Z14">
    <cfRule type="expression" dxfId="198" priority="41">
      <formula>#REF! ="14≠11+12+13"</formula>
    </cfRule>
  </conditionalFormatting>
  <conditionalFormatting sqref="Z21">
    <cfRule type="expression" dxfId="197" priority="42">
      <formula>#REF! ="22≠19+20+21"</formula>
    </cfRule>
  </conditionalFormatting>
  <conditionalFormatting sqref="Z30">
    <cfRule type="expression" dxfId="196" priority="43">
      <formula>#REF! ="30≠24+25+26+27+28+29"</formula>
    </cfRule>
  </conditionalFormatting>
  <conditionalFormatting sqref="Z35">
    <cfRule type="expression" dxfId="195" priority="44">
      <formula>#REF! ="35≠14+15+16+17+22+30+31+32+33+34"</formula>
    </cfRule>
  </conditionalFormatting>
  <conditionalFormatting sqref="Z46">
    <cfRule type="expression" dxfId="194" priority="45">
      <formula>#REF! ="46≠35+38+39+40+43+45"</formula>
    </cfRule>
  </conditionalFormatting>
  <conditionalFormatting sqref="E14">
    <cfRule type="expression" dxfId="193" priority="31">
      <formula>#REF! ="14≠11+12+13"</formula>
    </cfRule>
  </conditionalFormatting>
  <conditionalFormatting sqref="E21">
    <cfRule type="expression" dxfId="192" priority="32">
      <formula>#REF! ="22≠19+20+21"</formula>
    </cfRule>
  </conditionalFormatting>
  <conditionalFormatting sqref="E30">
    <cfRule type="expression" dxfId="191" priority="33">
      <formula>#REF! ="30≠24+25+26+27+28+29"</formula>
    </cfRule>
  </conditionalFormatting>
  <conditionalFormatting sqref="E35">
    <cfRule type="expression" dxfId="190" priority="34">
      <formula>#REF! ="35≠14+15+16+17+22+30+31+32+33+34"</formula>
    </cfRule>
  </conditionalFormatting>
  <conditionalFormatting sqref="E46">
    <cfRule type="expression" dxfId="189" priority="35">
      <formula>#REF! ="46≠35+38+39+40+43+45"</formula>
    </cfRule>
  </conditionalFormatting>
  <conditionalFormatting sqref="Q14">
    <cfRule type="expression" dxfId="188" priority="21">
      <formula>#REF! ="14≠11+12+13"</formula>
    </cfRule>
  </conditionalFormatting>
  <conditionalFormatting sqref="Q21">
    <cfRule type="expression" dxfId="187" priority="22">
      <formula>#REF! ="22≠19+20+21"</formula>
    </cfRule>
  </conditionalFormatting>
  <conditionalFormatting sqref="Q30">
    <cfRule type="expression" dxfId="186" priority="23">
      <formula>#REF! ="30≠24+25+26+27+28+29"</formula>
    </cfRule>
  </conditionalFormatting>
  <conditionalFormatting sqref="Q35">
    <cfRule type="expression" dxfId="185" priority="24">
      <formula>#REF! ="35≠14+15+16+17+22+30+31+32+33+34"</formula>
    </cfRule>
  </conditionalFormatting>
  <conditionalFormatting sqref="Q46">
    <cfRule type="expression" dxfId="184" priority="25">
      <formula>#REF! ="46≠35+38+39+40+43+45"</formula>
    </cfRule>
  </conditionalFormatting>
  <conditionalFormatting sqref="AC14">
    <cfRule type="expression" dxfId="183" priority="11">
      <formula>#REF! ="14≠11+12+13"</formula>
    </cfRule>
  </conditionalFormatting>
  <conditionalFormatting sqref="AC21">
    <cfRule type="expression" dxfId="182" priority="12">
      <formula>#REF! ="22≠19+20+21"</formula>
    </cfRule>
  </conditionalFormatting>
  <conditionalFormatting sqref="AC30">
    <cfRule type="expression" dxfId="181" priority="13">
      <formula>#REF! ="30≠24+25+26+27+28+29"</formula>
    </cfRule>
  </conditionalFormatting>
  <conditionalFormatting sqref="AC35">
    <cfRule type="expression" dxfId="180" priority="14">
      <formula>#REF! ="35≠14+15+16+17+22+30+31+32+33+34"</formula>
    </cfRule>
  </conditionalFormatting>
  <conditionalFormatting sqref="AC46">
    <cfRule type="expression" dxfId="179" priority="15">
      <formula>#REF! ="46≠35+38+39+40+43+45"</formula>
    </cfRule>
  </conditionalFormatting>
  <conditionalFormatting sqref="T14">
    <cfRule type="expression" dxfId="178" priority="2">
      <formula>#REF! ="14≠11+12+13"</formula>
    </cfRule>
  </conditionalFormatting>
  <conditionalFormatting sqref="T21">
    <cfRule type="expression" dxfId="177" priority="3">
      <formula>#REF! ="22≠19+20+21"</formula>
    </cfRule>
  </conditionalFormatting>
  <conditionalFormatting sqref="T30">
    <cfRule type="expression" dxfId="176" priority="4">
      <formula>#REF! ="30≠24+25+26+27+28+29"</formula>
    </cfRule>
  </conditionalFormatting>
  <conditionalFormatting sqref="T35">
    <cfRule type="expression" dxfId="175" priority="5">
      <formula>#REF! ="35≠14+15+16+17+22+30+31+32+33+34"</formula>
    </cfRule>
  </conditionalFormatting>
  <conditionalFormatting sqref="T46">
    <cfRule type="expression" dxfId="174" priority="6">
      <formula>#REF! ="46≠35+38+39+40+43+45"</formula>
    </cfRule>
  </conditionalFormatting>
  <conditionalFormatting sqref="U35">
    <cfRule type="expression" dxfId="173" priority="1">
      <formula>#REF! ="35≠14+15+16+17+22+30+31+32+33+34"</formula>
    </cfRule>
  </conditionalFormatting>
  <conditionalFormatting sqref="AR30:AS30 AJ30 O30 AM30 X30 I30 AG30 C30 L30 AA30 F30 R30 AD30 U30">
    <cfRule type="expression" dxfId="172" priority="325">
      <formula>#REF! ="30≠24+25+26+27+28+29"</formula>
    </cfRule>
  </conditionalFormatting>
  <conditionalFormatting sqref="AR35:AS35 AJ35 O35 AM35 X35 I35 AG35 C35 L35 AA35 F35 R35 AD35">
    <cfRule type="expression" dxfId="171" priority="326">
      <formula>#REF! ="35≠14+15+16+17+22+30+31+32+33+34"</formula>
    </cfRule>
  </conditionalFormatting>
  <conditionalFormatting sqref="AR46:AS46 AJ46 O46 AM46 X46 I46 AG46 C46 L46 AA46 F46 R46 AD46 U46">
    <cfRule type="expression" dxfId="170" priority="327">
      <formula>#REF! ="46≠35+38+39+40+43+45"</formula>
    </cfRule>
  </conditionalFormatting>
  <conditionalFormatting sqref="AJ14 O14 AM14 X14 I14 AG14 C14 L14 AA14 F14 R14 AD14 U14">
    <cfRule type="expression" dxfId="169" priority="328">
      <formula>#REF! ="14≠11+12+13"</formula>
    </cfRule>
  </conditionalFormatting>
  <conditionalFormatting sqref="AJ21 O21 AM21 X21 I21 AG21 C21 L21 AA21 F21 R21 AD21 U21">
    <cfRule type="expression" dxfId="168" priority="329">
      <formula>#REF! ="22≠19+20+21"</formula>
    </cfRule>
  </conditionalFormatting>
  <hyperlinks>
    <hyperlink ref="B1" location="Innhold!A1" display="Tilbake" xr:uid="{00000000-0004-0000-1E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47" customWidth="1"/>
    <col min="2" max="40" width="11.7109375" style="447" customWidth="1"/>
    <col min="41" max="42" width="13" style="447" customWidth="1"/>
    <col min="43" max="43" width="11.7109375" style="447" customWidth="1"/>
    <col min="44" max="44" width="15.5703125" style="447" customWidth="1"/>
    <col min="45" max="45" width="14" style="447" customWidth="1"/>
    <col min="46" max="16384" width="11.42578125" style="447"/>
  </cols>
  <sheetData>
    <row r="1" spans="1:57" ht="20.25" customHeight="1" x14ac:dyDescent="0.3">
      <c r="A1" s="450" t="s">
        <v>170</v>
      </c>
      <c r="B1" s="451" t="s">
        <v>52</v>
      </c>
      <c r="C1" s="452"/>
      <c r="D1" s="452"/>
      <c r="E1" s="452"/>
      <c r="F1" s="452"/>
      <c r="G1" s="452"/>
      <c r="H1" s="452"/>
      <c r="I1" s="452"/>
      <c r="J1" s="452"/>
      <c r="K1" s="452"/>
      <c r="L1" s="452"/>
      <c r="M1" s="452"/>
    </row>
    <row r="2" spans="1:57" ht="20.100000000000001" customHeight="1" x14ac:dyDescent="0.3">
      <c r="A2" s="450" t="s">
        <v>171</v>
      </c>
    </row>
    <row r="3" spans="1:57" ht="20.100000000000001" customHeight="1" x14ac:dyDescent="0.3">
      <c r="A3" s="453" t="s">
        <v>172</v>
      </c>
      <c r="B3" s="454"/>
      <c r="C3" s="454"/>
      <c r="D3" s="454"/>
      <c r="E3" s="454"/>
      <c r="F3" s="454"/>
      <c r="G3" s="454"/>
      <c r="H3" s="454"/>
      <c r="I3" s="454"/>
      <c r="J3" s="454"/>
      <c r="K3" s="454"/>
      <c r="L3" s="454"/>
      <c r="M3" s="454"/>
    </row>
    <row r="4" spans="1:57" ht="18.75" customHeight="1" x14ac:dyDescent="0.25">
      <c r="A4" s="455" t="s">
        <v>437</v>
      </c>
      <c r="B4" s="456"/>
      <c r="C4" s="456"/>
      <c r="D4" s="457"/>
      <c r="E4" s="456"/>
      <c r="F4" s="456"/>
      <c r="G4" s="457"/>
      <c r="H4" s="458"/>
      <c r="I4" s="456"/>
      <c r="J4" s="457"/>
      <c r="K4" s="458"/>
      <c r="L4" s="456"/>
      <c r="M4" s="457"/>
      <c r="N4" s="459"/>
      <c r="O4" s="459"/>
      <c r="P4" s="459"/>
      <c r="Q4" s="668"/>
      <c r="R4" s="669"/>
      <c r="S4" s="670"/>
      <c r="T4" s="460"/>
      <c r="U4" s="459"/>
      <c r="V4" s="461"/>
      <c r="W4" s="460"/>
      <c r="X4" s="459"/>
      <c r="Y4" s="461"/>
      <c r="Z4" s="460"/>
      <c r="AA4" s="459"/>
      <c r="AB4" s="461"/>
      <c r="AC4" s="460"/>
      <c r="AD4" s="459"/>
      <c r="AE4" s="461"/>
      <c r="AF4" s="460"/>
      <c r="AG4" s="459"/>
      <c r="AH4" s="461"/>
      <c r="AI4" s="460"/>
      <c r="AJ4" s="459"/>
      <c r="AK4" s="461"/>
      <c r="AL4" s="460"/>
      <c r="AM4" s="459"/>
      <c r="AN4" s="461"/>
      <c r="AO4" s="460"/>
      <c r="AP4" s="459"/>
      <c r="AQ4" s="461"/>
      <c r="AR4" s="460"/>
      <c r="AS4" s="459"/>
      <c r="AT4" s="461"/>
      <c r="AU4" s="462"/>
      <c r="AV4" s="462"/>
      <c r="AW4" s="462"/>
      <c r="AX4" s="462"/>
      <c r="AY4" s="462"/>
      <c r="AZ4" s="462"/>
      <c r="BA4" s="462"/>
      <c r="BB4" s="462"/>
      <c r="BC4" s="462"/>
      <c r="BD4" s="462"/>
      <c r="BE4" s="462"/>
    </row>
    <row r="5" spans="1:57" ht="18.75" customHeight="1" x14ac:dyDescent="0.3">
      <c r="A5" s="463" t="s">
        <v>100</v>
      </c>
      <c r="B5" s="720" t="s">
        <v>173</v>
      </c>
      <c r="C5" s="721"/>
      <c r="D5" s="722"/>
      <c r="E5" s="720" t="s">
        <v>174</v>
      </c>
      <c r="F5" s="721"/>
      <c r="G5" s="722"/>
      <c r="H5" s="720" t="s">
        <v>386</v>
      </c>
      <c r="I5" s="721"/>
      <c r="J5" s="722"/>
      <c r="K5" s="720" t="s">
        <v>175</v>
      </c>
      <c r="L5" s="721"/>
      <c r="M5" s="722"/>
      <c r="N5" s="720" t="s">
        <v>176</v>
      </c>
      <c r="O5" s="721"/>
      <c r="P5" s="722"/>
      <c r="Q5" s="641" t="s">
        <v>177</v>
      </c>
      <c r="R5" s="642"/>
      <c r="S5" s="643"/>
      <c r="T5" s="641" t="s">
        <v>177</v>
      </c>
      <c r="U5" s="642"/>
      <c r="V5" s="643"/>
      <c r="W5" s="638"/>
      <c r="X5" s="639"/>
      <c r="Y5" s="640"/>
      <c r="Z5" s="720" t="s">
        <v>178</v>
      </c>
      <c r="AA5" s="721"/>
      <c r="AB5" s="722"/>
      <c r="AC5" s="641"/>
      <c r="AD5" s="642"/>
      <c r="AE5" s="643"/>
      <c r="AF5" s="727" t="s">
        <v>67</v>
      </c>
      <c r="AG5" s="728"/>
      <c r="AH5" s="729"/>
      <c r="AI5" s="720" t="s">
        <v>72</v>
      </c>
      <c r="AJ5" s="721"/>
      <c r="AK5" s="722"/>
      <c r="AL5" s="733" t="s">
        <v>408</v>
      </c>
      <c r="AM5" s="734"/>
      <c r="AN5" s="735"/>
      <c r="AO5" s="720" t="s">
        <v>2</v>
      </c>
      <c r="AP5" s="721"/>
      <c r="AQ5" s="722"/>
      <c r="AR5" s="720" t="s">
        <v>2</v>
      </c>
      <c r="AS5" s="721"/>
      <c r="AT5" s="722"/>
      <c r="AU5" s="637"/>
      <c r="AV5" s="637"/>
      <c r="AW5" s="726"/>
      <c r="AX5" s="726"/>
      <c r="AY5" s="726"/>
      <c r="AZ5" s="726"/>
      <c r="BA5" s="726"/>
      <c r="BB5" s="726"/>
      <c r="BC5" s="726"/>
      <c r="BD5" s="726"/>
      <c r="BE5" s="726"/>
    </row>
    <row r="6" spans="1:57" ht="21" customHeight="1" x14ac:dyDescent="0.3">
      <c r="A6" s="465"/>
      <c r="B6" s="723" t="s">
        <v>179</v>
      </c>
      <c r="C6" s="724"/>
      <c r="D6" s="725"/>
      <c r="E6" s="723" t="s">
        <v>180</v>
      </c>
      <c r="F6" s="724"/>
      <c r="G6" s="725"/>
      <c r="H6" s="723" t="s">
        <v>180</v>
      </c>
      <c r="I6" s="724"/>
      <c r="J6" s="725"/>
      <c r="K6" s="723" t="s">
        <v>180</v>
      </c>
      <c r="L6" s="724"/>
      <c r="M6" s="725"/>
      <c r="N6" s="723" t="s">
        <v>181</v>
      </c>
      <c r="O6" s="724"/>
      <c r="P6" s="725"/>
      <c r="Q6" s="723" t="s">
        <v>90</v>
      </c>
      <c r="R6" s="724"/>
      <c r="S6" s="725"/>
      <c r="T6" s="723" t="s">
        <v>63</v>
      </c>
      <c r="U6" s="724"/>
      <c r="V6" s="725"/>
      <c r="W6" s="723" t="s">
        <v>65</v>
      </c>
      <c r="X6" s="724"/>
      <c r="Y6" s="725"/>
      <c r="Z6" s="723" t="s">
        <v>179</v>
      </c>
      <c r="AA6" s="724"/>
      <c r="AB6" s="725"/>
      <c r="AC6" s="723" t="s">
        <v>71</v>
      </c>
      <c r="AD6" s="724"/>
      <c r="AE6" s="725"/>
      <c r="AF6" s="730" t="s">
        <v>404</v>
      </c>
      <c r="AG6" s="731"/>
      <c r="AH6" s="732"/>
      <c r="AI6" s="723" t="s">
        <v>180</v>
      </c>
      <c r="AJ6" s="724"/>
      <c r="AK6" s="725"/>
      <c r="AL6" s="736" t="s">
        <v>180</v>
      </c>
      <c r="AM6" s="737"/>
      <c r="AN6" s="738"/>
      <c r="AO6" s="723" t="s">
        <v>433</v>
      </c>
      <c r="AP6" s="724"/>
      <c r="AQ6" s="725"/>
      <c r="AR6" s="723" t="s">
        <v>434</v>
      </c>
      <c r="AS6" s="724"/>
      <c r="AT6" s="725"/>
      <c r="AU6" s="637"/>
      <c r="AV6" s="637"/>
      <c r="AW6" s="726"/>
      <c r="AX6" s="726"/>
      <c r="AY6" s="726"/>
      <c r="AZ6" s="726"/>
      <c r="BA6" s="726"/>
      <c r="BB6" s="726"/>
      <c r="BC6" s="726"/>
      <c r="BD6" s="726"/>
      <c r="BE6" s="726"/>
    </row>
    <row r="7" spans="1:57" ht="18.75" customHeight="1" x14ac:dyDescent="0.3">
      <c r="A7" s="465"/>
      <c r="B7" s="488"/>
      <c r="C7" s="488"/>
      <c r="D7" s="466" t="s">
        <v>80</v>
      </c>
      <c r="E7" s="488"/>
      <c r="F7" s="488"/>
      <c r="G7" s="466" t="s">
        <v>80</v>
      </c>
      <c r="H7" s="488"/>
      <c r="I7" s="488"/>
      <c r="J7" s="466" t="s">
        <v>80</v>
      </c>
      <c r="K7" s="488"/>
      <c r="L7" s="488"/>
      <c r="M7" s="466" t="s">
        <v>80</v>
      </c>
      <c r="N7" s="488"/>
      <c r="O7" s="488"/>
      <c r="P7" s="466" t="s">
        <v>80</v>
      </c>
      <c r="Q7" s="488"/>
      <c r="R7" s="488"/>
      <c r="S7" s="466" t="s">
        <v>80</v>
      </c>
      <c r="T7" s="488"/>
      <c r="U7" s="488"/>
      <c r="V7" s="466" t="s">
        <v>80</v>
      </c>
      <c r="W7" s="488"/>
      <c r="X7" s="488"/>
      <c r="Y7" s="466" t="s">
        <v>80</v>
      </c>
      <c r="Z7" s="488"/>
      <c r="AA7" s="488"/>
      <c r="AB7" s="466" t="s">
        <v>80</v>
      </c>
      <c r="AC7" s="488"/>
      <c r="AD7" s="488"/>
      <c r="AE7" s="466" t="s">
        <v>80</v>
      </c>
      <c r="AF7" s="488"/>
      <c r="AG7" s="488"/>
      <c r="AH7" s="466" t="s">
        <v>80</v>
      </c>
      <c r="AI7" s="488"/>
      <c r="AJ7" s="488"/>
      <c r="AK7" s="466" t="s">
        <v>80</v>
      </c>
      <c r="AL7" s="488"/>
      <c r="AM7" s="488"/>
      <c r="AN7" s="466" t="s">
        <v>80</v>
      </c>
      <c r="AO7" s="488"/>
      <c r="AP7" s="488"/>
      <c r="AQ7" s="466" t="s">
        <v>80</v>
      </c>
      <c r="AR7" s="488"/>
      <c r="AS7" s="488"/>
      <c r="AT7" s="466" t="s">
        <v>80</v>
      </c>
      <c r="AU7" s="464"/>
      <c r="AV7" s="464"/>
      <c r="AW7" s="464"/>
      <c r="AX7" s="464"/>
      <c r="AY7" s="464"/>
      <c r="AZ7" s="464"/>
      <c r="BA7" s="464"/>
      <c r="BB7" s="464"/>
      <c r="BC7" s="464"/>
      <c r="BD7" s="464"/>
      <c r="BE7" s="464"/>
    </row>
    <row r="8" spans="1:57" ht="18.75" customHeight="1" x14ac:dyDescent="0.25">
      <c r="A8" s="442" t="s">
        <v>182</v>
      </c>
      <c r="B8" s="550">
        <v>2021</v>
      </c>
      <c r="C8" s="550">
        <v>2022</v>
      </c>
      <c r="D8" s="443" t="s">
        <v>82</v>
      </c>
      <c r="E8" s="550">
        <f t="shared" ref="E8" si="0">$B$8</f>
        <v>2021</v>
      </c>
      <c r="F8" s="550">
        <f t="shared" ref="F8" si="1">$C$8</f>
        <v>2022</v>
      </c>
      <c r="G8" s="443" t="s">
        <v>82</v>
      </c>
      <c r="H8" s="550">
        <f t="shared" ref="H8" si="2">$B$8</f>
        <v>2021</v>
      </c>
      <c r="I8" s="550">
        <f t="shared" ref="I8" si="3">$C$8</f>
        <v>2022</v>
      </c>
      <c r="J8" s="443" t="s">
        <v>82</v>
      </c>
      <c r="K8" s="550">
        <f t="shared" ref="K8" si="4">$B$8</f>
        <v>2021</v>
      </c>
      <c r="L8" s="550">
        <f t="shared" ref="L8" si="5">$C$8</f>
        <v>2022</v>
      </c>
      <c r="M8" s="443" t="s">
        <v>82</v>
      </c>
      <c r="N8" s="550">
        <f t="shared" ref="N8" si="6">$B$8</f>
        <v>2021</v>
      </c>
      <c r="O8" s="550">
        <f t="shared" ref="O8" si="7">$C$8</f>
        <v>2022</v>
      </c>
      <c r="P8" s="443" t="s">
        <v>82</v>
      </c>
      <c r="Q8" s="550">
        <f t="shared" ref="Q8" si="8">$B$8</f>
        <v>2021</v>
      </c>
      <c r="R8" s="550">
        <f t="shared" ref="R8" si="9">$C$8</f>
        <v>2022</v>
      </c>
      <c r="S8" s="443" t="s">
        <v>82</v>
      </c>
      <c r="T8" s="550">
        <f t="shared" ref="T8" si="10">$B$8</f>
        <v>2021</v>
      </c>
      <c r="U8" s="550">
        <f t="shared" ref="U8" si="11">$C$8</f>
        <v>2022</v>
      </c>
      <c r="V8" s="443" t="s">
        <v>82</v>
      </c>
      <c r="W8" s="550">
        <f t="shared" ref="W8" si="12">$B$8</f>
        <v>2021</v>
      </c>
      <c r="X8" s="550">
        <f t="shared" ref="X8" si="13">$C$8</f>
        <v>2022</v>
      </c>
      <c r="Y8" s="443" t="s">
        <v>82</v>
      </c>
      <c r="Z8" s="550">
        <f t="shared" ref="Z8" si="14">$B$8</f>
        <v>2021</v>
      </c>
      <c r="AA8" s="550">
        <f t="shared" ref="AA8" si="15">$C$8</f>
        <v>2022</v>
      </c>
      <c r="AB8" s="443" t="s">
        <v>82</v>
      </c>
      <c r="AC8" s="550">
        <f t="shared" ref="AC8" si="16">$B$8</f>
        <v>2021</v>
      </c>
      <c r="AD8" s="550">
        <f t="shared" ref="AD8" si="17">$C$8</f>
        <v>2022</v>
      </c>
      <c r="AE8" s="443" t="s">
        <v>82</v>
      </c>
      <c r="AF8" s="550">
        <f t="shared" ref="AF8" si="18">$B$8</f>
        <v>2021</v>
      </c>
      <c r="AG8" s="550">
        <f t="shared" ref="AG8" si="19">$C$8</f>
        <v>2022</v>
      </c>
      <c r="AH8" s="443" t="s">
        <v>82</v>
      </c>
      <c r="AI8" s="550">
        <f t="shared" ref="AI8" si="20">$B$8</f>
        <v>2021</v>
      </c>
      <c r="AJ8" s="550">
        <f t="shared" ref="AJ8" si="21">$C$8</f>
        <v>2022</v>
      </c>
      <c r="AK8" s="443" t="s">
        <v>82</v>
      </c>
      <c r="AL8" s="550">
        <f>$B$8</f>
        <v>2021</v>
      </c>
      <c r="AM8" s="550">
        <f>$C$8</f>
        <v>2022</v>
      </c>
      <c r="AN8" s="443" t="s">
        <v>82</v>
      </c>
      <c r="AO8" s="550">
        <f t="shared" ref="AO8" si="22">$B$8</f>
        <v>2021</v>
      </c>
      <c r="AP8" s="550">
        <f t="shared" ref="AP8" si="23">$C$8</f>
        <v>2022</v>
      </c>
      <c r="AQ8" s="443" t="s">
        <v>82</v>
      </c>
      <c r="AR8" s="671">
        <f t="shared" ref="AR8" si="24">$B$8</f>
        <v>2021</v>
      </c>
      <c r="AS8" s="671">
        <f t="shared" ref="AS8" si="25">$C$8</f>
        <v>2022</v>
      </c>
      <c r="AT8" s="443" t="s">
        <v>82</v>
      </c>
      <c r="AU8" s="468"/>
      <c r="AV8" s="467"/>
      <c r="AW8" s="468"/>
      <c r="AX8" s="468"/>
      <c r="AY8" s="467"/>
      <c r="AZ8" s="468"/>
      <c r="BA8" s="468"/>
      <c r="BB8" s="467"/>
      <c r="BC8" s="468"/>
      <c r="BD8" s="468"/>
      <c r="BE8" s="467"/>
    </row>
    <row r="9" spans="1:57" ht="18.75" customHeight="1" x14ac:dyDescent="0.3">
      <c r="A9" s="444"/>
      <c r="B9" s="628"/>
      <c r="C9" s="433"/>
      <c r="D9" s="433"/>
      <c r="E9" s="628"/>
      <c r="F9" s="433"/>
      <c r="G9" s="433"/>
      <c r="H9" s="628"/>
      <c r="I9" s="433"/>
      <c r="J9" s="433"/>
      <c r="K9" s="628"/>
      <c r="L9" s="433"/>
      <c r="M9" s="433"/>
      <c r="N9" s="591"/>
      <c r="O9" s="434"/>
      <c r="P9" s="434"/>
      <c r="Q9" s="629"/>
      <c r="R9" s="435"/>
      <c r="S9" s="339"/>
      <c r="T9" s="591"/>
      <c r="U9" s="434"/>
      <c r="V9" s="339"/>
      <c r="W9" s="591"/>
      <c r="X9" s="434"/>
      <c r="Y9" s="339"/>
      <c r="Z9" s="591"/>
      <c r="AA9" s="434"/>
      <c r="AB9" s="339"/>
      <c r="AC9" s="591"/>
      <c r="AD9" s="434"/>
      <c r="AE9" s="339"/>
      <c r="AF9" s="591"/>
      <c r="AG9" s="434"/>
      <c r="AH9" s="339"/>
      <c r="AI9" s="591"/>
      <c r="AJ9" s="434"/>
      <c r="AK9" s="339"/>
      <c r="AL9" s="591"/>
      <c r="AM9" s="434"/>
      <c r="AN9" s="339"/>
      <c r="AO9" s="434"/>
      <c r="AP9" s="434"/>
      <c r="AQ9" s="339"/>
      <c r="AR9" s="653"/>
      <c r="AS9" s="653"/>
      <c r="AT9" s="652"/>
    </row>
    <row r="10" spans="1:57" s="448" customFormat="1" ht="18.75" customHeight="1" x14ac:dyDescent="0.3">
      <c r="A10" s="604" t="s">
        <v>183</v>
      </c>
      <c r="B10" s="630"/>
      <c r="C10" s="436"/>
      <c r="D10" s="436"/>
      <c r="E10" s="630"/>
      <c r="F10" s="436"/>
      <c r="G10" s="436"/>
      <c r="H10" s="630"/>
      <c r="I10" s="436"/>
      <c r="J10" s="436"/>
      <c r="K10" s="630"/>
      <c r="L10" s="436"/>
      <c r="M10" s="436"/>
      <c r="N10" s="591"/>
      <c r="O10" s="434"/>
      <c r="P10" s="434"/>
      <c r="Q10" s="629"/>
      <c r="R10" s="435"/>
      <c r="S10" s="339"/>
      <c r="T10" s="591"/>
      <c r="U10" s="434"/>
      <c r="V10" s="339"/>
      <c r="W10" s="591"/>
      <c r="X10" s="434"/>
      <c r="Y10" s="339"/>
      <c r="Z10" s="591"/>
      <c r="AA10" s="434"/>
      <c r="AB10" s="339"/>
      <c r="AC10" s="591"/>
      <c r="AD10" s="434"/>
      <c r="AE10" s="339"/>
      <c r="AF10" s="591"/>
      <c r="AG10" s="434"/>
      <c r="AH10" s="339"/>
      <c r="AI10" s="591"/>
      <c r="AJ10" s="434"/>
      <c r="AK10" s="339"/>
      <c r="AL10" s="591"/>
      <c r="AM10" s="434"/>
      <c r="AN10" s="339"/>
      <c r="AO10" s="434"/>
      <c r="AP10" s="434"/>
      <c r="AQ10" s="339"/>
      <c r="AR10" s="653"/>
      <c r="AS10" s="653"/>
      <c r="AT10" s="652"/>
    </row>
    <row r="11" spans="1:57" s="448" customFormat="1" ht="18.75" customHeight="1" x14ac:dyDescent="0.3">
      <c r="A11" s="445"/>
      <c r="B11" s="630"/>
      <c r="C11" s="436"/>
      <c r="D11" s="436"/>
      <c r="E11" s="630"/>
      <c r="F11" s="436"/>
      <c r="G11" s="436"/>
      <c r="H11" s="630"/>
      <c r="I11" s="436"/>
      <c r="J11" s="436"/>
      <c r="K11" s="630"/>
      <c r="L11" s="436"/>
      <c r="M11" s="436"/>
      <c r="N11" s="591"/>
      <c r="O11" s="434"/>
      <c r="P11" s="434"/>
      <c r="Q11" s="629"/>
      <c r="R11" s="435"/>
      <c r="S11" s="339"/>
      <c r="T11" s="591"/>
      <c r="U11" s="434"/>
      <c r="V11" s="339"/>
      <c r="W11" s="591"/>
      <c r="X11" s="434"/>
      <c r="Y11" s="339"/>
      <c r="Z11" s="591"/>
      <c r="AA11" s="434"/>
      <c r="AB11" s="339"/>
      <c r="AC11" s="591"/>
      <c r="AD11" s="434"/>
      <c r="AE11" s="339"/>
      <c r="AF11" s="591"/>
      <c r="AG11" s="434"/>
      <c r="AH11" s="339"/>
      <c r="AI11" s="591"/>
      <c r="AJ11" s="434"/>
      <c r="AK11" s="339"/>
      <c r="AL11" s="591"/>
      <c r="AM11" s="434"/>
      <c r="AN11" s="339"/>
      <c r="AO11" s="434"/>
      <c r="AP11" s="434"/>
      <c r="AQ11" s="339"/>
      <c r="AR11" s="653"/>
      <c r="AS11" s="653"/>
      <c r="AT11" s="652"/>
    </row>
    <row r="12" spans="1:57" s="448" customFormat="1" ht="20.100000000000001" customHeight="1" x14ac:dyDescent="0.3">
      <c r="A12" s="604" t="s">
        <v>184</v>
      </c>
      <c r="B12" s="198"/>
      <c r="C12" s="437"/>
      <c r="D12" s="437"/>
      <c r="E12" s="198"/>
      <c r="F12" s="437"/>
      <c r="G12" s="437"/>
      <c r="H12" s="198"/>
      <c r="I12" s="437"/>
      <c r="J12" s="437"/>
      <c r="K12" s="198"/>
      <c r="L12" s="437"/>
      <c r="M12" s="437"/>
      <c r="N12" s="591"/>
      <c r="O12" s="434"/>
      <c r="P12" s="434"/>
      <c r="Q12" s="629"/>
      <c r="R12" s="435"/>
      <c r="S12" s="339"/>
      <c r="T12" s="591"/>
      <c r="U12" s="434"/>
      <c r="V12" s="339"/>
      <c r="W12" s="591"/>
      <c r="X12" s="434"/>
      <c r="Y12" s="339"/>
      <c r="Z12" s="591"/>
      <c r="AA12" s="434"/>
      <c r="AB12" s="339"/>
      <c r="AC12" s="591"/>
      <c r="AD12" s="434"/>
      <c r="AE12" s="339"/>
      <c r="AF12" s="591"/>
      <c r="AG12" s="434"/>
      <c r="AH12" s="339"/>
      <c r="AI12" s="591"/>
      <c r="AJ12" s="434"/>
      <c r="AK12" s="339"/>
      <c r="AL12" s="591"/>
      <c r="AM12" s="434"/>
      <c r="AN12" s="339"/>
      <c r="AO12" s="434"/>
      <c r="AP12" s="434"/>
      <c r="AQ12" s="339"/>
      <c r="AR12" s="653"/>
      <c r="AS12" s="653"/>
      <c r="AT12" s="652"/>
    </row>
    <row r="13" spans="1:57" s="448" customFormat="1" ht="20.100000000000001" customHeight="1" x14ac:dyDescent="0.3">
      <c r="A13" s="604" t="s">
        <v>185</v>
      </c>
      <c r="B13" s="198"/>
      <c r="C13" s="437"/>
      <c r="D13" s="437"/>
      <c r="E13" s="198"/>
      <c r="F13" s="437"/>
      <c r="G13" s="437"/>
      <c r="H13" s="198"/>
      <c r="I13" s="437"/>
      <c r="J13" s="437"/>
      <c r="K13" s="198"/>
      <c r="L13" s="437"/>
      <c r="M13" s="437"/>
      <c r="N13" s="104"/>
      <c r="O13" s="525"/>
      <c r="P13" s="525"/>
      <c r="Q13" s="631"/>
      <c r="R13" s="556"/>
      <c r="S13" s="438"/>
      <c r="T13" s="104"/>
      <c r="U13" s="525"/>
      <c r="V13" s="438"/>
      <c r="W13" s="104"/>
      <c r="X13" s="525"/>
      <c r="Y13" s="438"/>
      <c r="Z13" s="104"/>
      <c r="AA13" s="525"/>
      <c r="AB13" s="438"/>
      <c r="AC13" s="104"/>
      <c r="AD13" s="525"/>
      <c r="AE13" s="438"/>
      <c r="AF13" s="104"/>
      <c r="AG13" s="525"/>
      <c r="AH13" s="438"/>
      <c r="AI13" s="104"/>
      <c r="AJ13" s="525"/>
      <c r="AK13" s="438"/>
      <c r="AL13" s="104"/>
      <c r="AM13" s="525"/>
      <c r="AN13" s="438"/>
      <c r="AO13" s="525"/>
      <c r="AP13" s="525"/>
      <c r="AQ13" s="438"/>
      <c r="AR13" s="653"/>
      <c r="AS13" s="653"/>
      <c r="AT13" s="652"/>
    </row>
    <row r="14" spans="1:57" s="448" customFormat="1" ht="20.100000000000001" customHeight="1" x14ac:dyDescent="0.3">
      <c r="A14" s="581" t="s">
        <v>186</v>
      </c>
      <c r="B14" s="196"/>
      <c r="C14" s="438"/>
      <c r="D14" s="438"/>
      <c r="E14" s="196"/>
      <c r="F14" s="438"/>
      <c r="G14" s="438"/>
      <c r="H14" s="196"/>
      <c r="I14" s="438"/>
      <c r="J14" s="438"/>
      <c r="K14" s="196"/>
      <c r="L14" s="438"/>
      <c r="M14" s="438"/>
      <c r="N14" s="104">
        <v>6</v>
      </c>
      <c r="O14" s="525">
        <v>3</v>
      </c>
      <c r="P14" s="525"/>
      <c r="Q14" s="631"/>
      <c r="R14" s="556"/>
      <c r="S14" s="438"/>
      <c r="T14" s="104">
        <v>1001.84924075</v>
      </c>
      <c r="U14" s="525">
        <v>1004.72358975</v>
      </c>
      <c r="V14" s="438">
        <f t="shared" ref="V14:V28" si="26">IF(T14=0, "    ---- ", IF(ABS(ROUND(100/T14*U14-100,1))&lt;999,ROUND(100/T14*U14-100,1),IF(ROUND(100/T14*U14-100,1)&gt;999,999,-999)))</f>
        <v>0.3</v>
      </c>
      <c r="W14" s="104"/>
      <c r="X14" s="525">
        <v>0</v>
      </c>
      <c r="Y14" s="438"/>
      <c r="Z14" s="104"/>
      <c r="AA14" s="525"/>
      <c r="AB14" s="438"/>
      <c r="AC14" s="104"/>
      <c r="AD14" s="525"/>
      <c r="AE14" s="438"/>
      <c r="AF14" s="104"/>
      <c r="AG14" s="525"/>
      <c r="AH14" s="438" t="str">
        <f t="shared" ref="AH14:AH28" si="27">IF(AF14=0, "    ---- ", IF(ABS(ROUND(100/AF14*AG14-100,1))&lt;999,ROUND(100/AF14*AG14-100,1),IF(ROUND(100/AF14*AG14-100,1)&gt;999,999,-999)))</f>
        <v xml:space="preserve">    ---- </v>
      </c>
      <c r="AI14" s="104"/>
      <c r="AJ14" s="525"/>
      <c r="AK14" s="438"/>
      <c r="AL14" s="104"/>
      <c r="AM14" s="525"/>
      <c r="AN14" s="438"/>
      <c r="AO14" s="525">
        <f>B14+E14+H14+K14+N14+T14+W14+Z14+AF14+AI14</f>
        <v>1007.84924075</v>
      </c>
      <c r="AP14" s="525">
        <f>C14+F14+I14+L14+O14+U14+X14+AA14+AG14+AJ14</f>
        <v>1007.72358975</v>
      </c>
      <c r="AQ14" s="438">
        <f t="shared" ref="AQ14:AQ28" si="28">IF(AO14=0, "    ---- ", IF(ABS(ROUND(100/AO14*AP14-100,1))&lt;999,ROUND(100/AO14*AP14-100,1),IF(ROUND(100/AO14*AP14-100,1)&gt;999,999,-999)))</f>
        <v>0</v>
      </c>
      <c r="AR14" s="653">
        <f>B14+E14+H14+K14+N14+Q14+T14+W14+Z14+AC14+AF14+AI14+AL14</f>
        <v>1007.84924075</v>
      </c>
      <c r="AS14" s="653">
        <f>C14+F14+I14+L14+O14+R14+U14+X14+AA14+AD14+AG14+AJ14+AM14</f>
        <v>1007.72358975</v>
      </c>
      <c r="AT14" s="652">
        <f t="shared" ref="AT14:AT29" si="29">IF(AR14=0, "    ---- ", IF(ABS(ROUND(100/AR14*AS14-100,1))&lt;999,ROUND(100/AR14*AS14-100,1),IF(ROUND(100/AR14*AS14-100,1)&gt;999,999,-999)))</f>
        <v>0</v>
      </c>
    </row>
    <row r="15" spans="1:57" s="448" customFormat="1" ht="20.100000000000001" customHeight="1" x14ac:dyDescent="0.3">
      <c r="A15" s="581" t="s">
        <v>187</v>
      </c>
      <c r="B15" s="196"/>
      <c r="C15" s="438"/>
      <c r="D15" s="438"/>
      <c r="E15" s="196">
        <v>1340.1964182199999</v>
      </c>
      <c r="F15" s="438">
        <v>1176.0394432400001</v>
      </c>
      <c r="G15" s="438">
        <f t="shared" ref="G15:G28" si="30">IF(E15=0, "    ---- ", IF(ABS(ROUND(100/E15*F15-100,1))&lt;999,ROUND(100/E15*F15-100,1),IF(ROUND(100/E15*F15-100,1)&gt;999,999,-999)))</f>
        <v>-12.2</v>
      </c>
      <c r="H15" s="196"/>
      <c r="I15" s="438"/>
      <c r="J15" s="438"/>
      <c r="K15" s="196"/>
      <c r="L15" s="438"/>
      <c r="M15" s="438"/>
      <c r="N15" s="104"/>
      <c r="O15" s="525"/>
      <c r="P15" s="525"/>
      <c r="Q15" s="631"/>
      <c r="R15" s="556"/>
      <c r="S15" s="438"/>
      <c r="T15" s="104">
        <v>8571.4383648599996</v>
      </c>
      <c r="U15" s="525">
        <v>8940.5472451100013</v>
      </c>
      <c r="V15" s="438">
        <f t="shared" si="26"/>
        <v>4.3</v>
      </c>
      <c r="W15" s="104"/>
      <c r="X15" s="525">
        <v>0</v>
      </c>
      <c r="Y15" s="438"/>
      <c r="Z15" s="104">
        <f>1019+365</f>
        <v>1384</v>
      </c>
      <c r="AA15" s="525">
        <f>1009+311</f>
        <v>1320</v>
      </c>
      <c r="AB15" s="438">
        <f t="shared" ref="AB15:AB28" si="31">IF(Z15=0, "    ---- ", IF(ABS(ROUND(100/Z15*AA15-100,1))&lt;999,ROUND(100/Z15*AA15-100,1),IF(ROUND(100/Z15*AA15-100,1)&gt;999,999,-999)))</f>
        <v>-4.5999999999999996</v>
      </c>
      <c r="AC15" s="104"/>
      <c r="AD15" s="525"/>
      <c r="AE15" s="438"/>
      <c r="AF15" s="104">
        <v>1839.2429999999999</v>
      </c>
      <c r="AG15" s="525">
        <v>1304.6769999999999</v>
      </c>
      <c r="AH15" s="438">
        <f t="shared" si="27"/>
        <v>-29.1</v>
      </c>
      <c r="AI15" s="104">
        <v>12750</v>
      </c>
      <c r="AJ15" s="525">
        <v>12401</v>
      </c>
      <c r="AK15" s="438">
        <f t="shared" ref="AK15:AK28" si="32">IF(AI15=0, "    ---- ", IF(ABS(ROUND(100/AI15*AJ15-100,1))&lt;999,ROUND(100/AI15*AJ15-100,1),IF(ROUND(100/AI15*AJ15-100,1)&gt;999,999,-999)))</f>
        <v>-2.7</v>
      </c>
      <c r="AL15" s="104"/>
      <c r="AM15" s="525"/>
      <c r="AN15" s="438" t="str">
        <f t="shared" ref="AN15:AN25" si="33">IF(AL15=0, "    ---- ", IF(ABS(ROUND(100/AL15*AM15-100,1))&lt;999,ROUND(100/AL15*AM15-100,1),IF(ROUND(100/AL15*AM15-100,1)&gt;999,999,-999)))</f>
        <v xml:space="preserve">    ---- </v>
      </c>
      <c r="AO15" s="525">
        <f t="shared" ref="AO15:AP29" si="34">B15+E15+H15+K15+N15+T15+W15+Z15+AF15+AI15</f>
        <v>25884.877783080003</v>
      </c>
      <c r="AP15" s="525">
        <f t="shared" si="34"/>
        <v>25142.263688350002</v>
      </c>
      <c r="AQ15" s="438">
        <f t="shared" si="28"/>
        <v>-2.9</v>
      </c>
      <c r="AR15" s="653">
        <f t="shared" ref="AR15:AS29" si="35">B15+E15+H15+K15+N15+Q15+T15+W15+Z15+AC15+AF15+AI15+AL15</f>
        <v>25884.877783080003</v>
      </c>
      <c r="AS15" s="653">
        <f t="shared" si="35"/>
        <v>25142.263688350002</v>
      </c>
      <c r="AT15" s="652">
        <f t="shared" si="29"/>
        <v>-2.9</v>
      </c>
    </row>
    <row r="16" spans="1:57" s="448" customFormat="1" ht="20.100000000000001" customHeight="1" x14ac:dyDescent="0.3">
      <c r="A16" s="581" t="s">
        <v>188</v>
      </c>
      <c r="B16" s="196"/>
      <c r="C16" s="438">
        <f>SUM(C17+C19)</f>
        <v>0</v>
      </c>
      <c r="D16" s="438"/>
      <c r="E16" s="196">
        <v>12847.410451720001</v>
      </c>
      <c r="F16" s="438">
        <f>SUM(F17+F19)</f>
        <v>18574.917278019999</v>
      </c>
      <c r="G16" s="438"/>
      <c r="H16" s="196">
        <v>108.38529961</v>
      </c>
      <c r="I16" s="438">
        <f>SUM(I17+I19)</f>
        <v>411.15715083999999</v>
      </c>
      <c r="J16" s="438"/>
      <c r="K16" s="196">
        <f>SUM(K17+K19)</f>
        <v>93.183000000000007</v>
      </c>
      <c r="L16" s="438">
        <f>SUM(L17+L19)</f>
        <v>106.883335</v>
      </c>
      <c r="M16" s="438"/>
      <c r="N16" s="104">
        <f>SUM(N17+N19)</f>
        <v>223</v>
      </c>
      <c r="O16" s="525">
        <f>SUM(O17+O19)</f>
        <v>283</v>
      </c>
      <c r="P16" s="525"/>
      <c r="Q16" s="631"/>
      <c r="R16" s="556">
        <f>SUM(R17+R19)</f>
        <v>0</v>
      </c>
      <c r="S16" s="438"/>
      <c r="T16" s="104">
        <v>19107.32450364</v>
      </c>
      <c r="U16" s="525">
        <v>19986.57096429</v>
      </c>
      <c r="V16" s="438">
        <f t="shared" si="26"/>
        <v>4.5999999999999996</v>
      </c>
      <c r="W16" s="104"/>
      <c r="X16" s="525">
        <f>SUM(X17+X19)</f>
        <v>0</v>
      </c>
      <c r="Y16" s="438"/>
      <c r="Z16" s="104">
        <f>SUM(Z17+Z19)</f>
        <v>4660</v>
      </c>
      <c r="AA16" s="525">
        <f>SUM(AA17+AA19)</f>
        <v>5163</v>
      </c>
      <c r="AB16" s="438">
        <f t="shared" si="31"/>
        <v>10.8</v>
      </c>
      <c r="AC16" s="104"/>
      <c r="AD16" s="525">
        <f>SUM(AD17+AD19)</f>
        <v>0</v>
      </c>
      <c r="AE16" s="438"/>
      <c r="AF16" s="104">
        <f>SUM(AF17+AF19)</f>
        <v>1103.0940000000001</v>
      </c>
      <c r="AG16" s="525">
        <f>SUM(AG17+AG19)</f>
        <v>1197.231</v>
      </c>
      <c r="AH16" s="438">
        <f t="shared" si="27"/>
        <v>8.5</v>
      </c>
      <c r="AI16" s="104">
        <f>SUM(AI17+AI19)</f>
        <v>8259</v>
      </c>
      <c r="AJ16" s="525">
        <f>SUM(AJ17+AJ19)</f>
        <v>10893</v>
      </c>
      <c r="AK16" s="438">
        <f t="shared" si="32"/>
        <v>31.9</v>
      </c>
      <c r="AL16" s="104"/>
      <c r="AM16" s="525">
        <f>SUM(AM17+AM19)</f>
        <v>0</v>
      </c>
      <c r="AN16" s="438" t="str">
        <f t="shared" si="33"/>
        <v xml:space="preserve">    ---- </v>
      </c>
      <c r="AO16" s="525">
        <f t="shared" si="34"/>
        <v>46401.397254969997</v>
      </c>
      <c r="AP16" s="525">
        <f t="shared" si="34"/>
        <v>56615.759728149998</v>
      </c>
      <c r="AQ16" s="438">
        <f t="shared" si="28"/>
        <v>22</v>
      </c>
      <c r="AR16" s="653">
        <f t="shared" si="35"/>
        <v>46401.397254969997</v>
      </c>
      <c r="AS16" s="653">
        <f t="shared" si="35"/>
        <v>56615.759728149998</v>
      </c>
      <c r="AT16" s="652">
        <f t="shared" si="29"/>
        <v>22</v>
      </c>
    </row>
    <row r="17" spans="1:46" s="448" customFormat="1" ht="20.100000000000001" customHeight="1" x14ac:dyDescent="0.3">
      <c r="A17" s="581" t="s">
        <v>189</v>
      </c>
      <c r="B17" s="196"/>
      <c r="C17" s="438"/>
      <c r="D17" s="438"/>
      <c r="E17" s="196">
        <v>10164.948415090001</v>
      </c>
      <c r="F17" s="438">
        <v>15991.57185717</v>
      </c>
      <c r="G17" s="438"/>
      <c r="H17" s="196"/>
      <c r="I17" s="438"/>
      <c r="J17" s="438"/>
      <c r="K17" s="196">
        <v>93.183000000000007</v>
      </c>
      <c r="L17" s="438">
        <v>106.883335</v>
      </c>
      <c r="M17" s="438"/>
      <c r="N17" s="104"/>
      <c r="O17" s="525"/>
      <c r="P17" s="525"/>
      <c r="Q17" s="631"/>
      <c r="R17" s="556"/>
      <c r="S17" s="438"/>
      <c r="T17" s="104">
        <v>6858.92294356</v>
      </c>
      <c r="U17" s="525">
        <v>6886.98459396</v>
      </c>
      <c r="V17" s="438">
        <f t="shared" si="26"/>
        <v>0.4</v>
      </c>
      <c r="W17" s="104"/>
      <c r="X17" s="525">
        <v>0</v>
      </c>
      <c r="Y17" s="438"/>
      <c r="Z17" s="104">
        <v>10</v>
      </c>
      <c r="AA17" s="525">
        <v>23</v>
      </c>
      <c r="AB17" s="438">
        <f t="shared" si="31"/>
        <v>130</v>
      </c>
      <c r="AC17" s="104"/>
      <c r="AD17" s="525"/>
      <c r="AE17" s="438"/>
      <c r="AF17" s="104">
        <v>39.399000000000001</v>
      </c>
      <c r="AG17" s="525">
        <v>27.957000000000001</v>
      </c>
      <c r="AH17" s="438">
        <f t="shared" si="27"/>
        <v>-29</v>
      </c>
      <c r="AI17" s="104"/>
      <c r="AJ17" s="525"/>
      <c r="AK17" s="438" t="str">
        <f t="shared" si="32"/>
        <v xml:space="preserve">    ---- </v>
      </c>
      <c r="AL17" s="104"/>
      <c r="AM17" s="525"/>
      <c r="AN17" s="438" t="str">
        <f t="shared" si="33"/>
        <v xml:space="preserve">    ---- </v>
      </c>
      <c r="AO17" s="525">
        <f t="shared" si="34"/>
        <v>17166.453358650004</v>
      </c>
      <c r="AP17" s="525">
        <f t="shared" si="34"/>
        <v>23036.396786130001</v>
      </c>
      <c r="AQ17" s="438">
        <f t="shared" si="28"/>
        <v>34.200000000000003</v>
      </c>
      <c r="AR17" s="653">
        <f t="shared" si="35"/>
        <v>17166.453358650004</v>
      </c>
      <c r="AS17" s="653">
        <f t="shared" si="35"/>
        <v>23036.396786130001</v>
      </c>
      <c r="AT17" s="652">
        <f t="shared" si="29"/>
        <v>34.200000000000003</v>
      </c>
    </row>
    <row r="18" spans="1:46" s="448" customFormat="1" ht="20.100000000000001" customHeight="1" x14ac:dyDescent="0.3">
      <c r="A18" s="581" t="s">
        <v>190</v>
      </c>
      <c r="B18" s="196"/>
      <c r="C18" s="438"/>
      <c r="D18" s="438"/>
      <c r="E18" s="196">
        <v>10164.948415090001</v>
      </c>
      <c r="F18" s="438">
        <v>15991.57185717</v>
      </c>
      <c r="G18" s="438"/>
      <c r="H18" s="196"/>
      <c r="I18" s="438"/>
      <c r="J18" s="438"/>
      <c r="K18" s="196"/>
      <c r="L18" s="438"/>
      <c r="M18" s="438"/>
      <c r="N18" s="104"/>
      <c r="O18" s="525"/>
      <c r="P18" s="525"/>
      <c r="Q18" s="631"/>
      <c r="R18" s="556"/>
      <c r="S18" s="438"/>
      <c r="T18" s="104">
        <v>6858.92294356</v>
      </c>
      <c r="U18" s="525">
        <v>6886.98459396</v>
      </c>
      <c r="V18" s="438">
        <f t="shared" si="26"/>
        <v>0.4</v>
      </c>
      <c r="W18" s="104"/>
      <c r="X18" s="525">
        <v>0</v>
      </c>
      <c r="Y18" s="438"/>
      <c r="Z18" s="104"/>
      <c r="AA18" s="525"/>
      <c r="AB18" s="438"/>
      <c r="AC18" s="104"/>
      <c r="AD18" s="525"/>
      <c r="AE18" s="438"/>
      <c r="AF18" s="104">
        <v>-3.2782554626464843E-13</v>
      </c>
      <c r="AG18" s="525">
        <v>-3.2782554626464843E-13</v>
      </c>
      <c r="AH18" s="438">
        <f t="shared" si="27"/>
        <v>0</v>
      </c>
      <c r="AI18" s="104"/>
      <c r="AJ18" s="525"/>
      <c r="AK18" s="438" t="str">
        <f t="shared" si="32"/>
        <v xml:space="preserve">    ---- </v>
      </c>
      <c r="AL18" s="104"/>
      <c r="AM18" s="525"/>
      <c r="AN18" s="438" t="str">
        <f t="shared" si="33"/>
        <v xml:space="preserve">    ---- </v>
      </c>
      <c r="AO18" s="525">
        <f t="shared" si="34"/>
        <v>17023.871358650002</v>
      </c>
      <c r="AP18" s="525">
        <f t="shared" si="34"/>
        <v>22878.55645113</v>
      </c>
      <c r="AQ18" s="438">
        <f t="shared" si="28"/>
        <v>34.4</v>
      </c>
      <c r="AR18" s="653">
        <f t="shared" si="35"/>
        <v>17023.871358650002</v>
      </c>
      <c r="AS18" s="653">
        <f t="shared" si="35"/>
        <v>22878.55645113</v>
      </c>
      <c r="AT18" s="652">
        <f t="shared" si="29"/>
        <v>34.4</v>
      </c>
    </row>
    <row r="19" spans="1:46" s="448" customFormat="1" ht="20.100000000000001" customHeight="1" x14ac:dyDescent="0.3">
      <c r="A19" s="581" t="s">
        <v>191</v>
      </c>
      <c r="B19" s="196"/>
      <c r="C19" s="438"/>
      <c r="D19" s="438"/>
      <c r="E19" s="196">
        <v>2682.4620366300001</v>
      </c>
      <c r="F19" s="438">
        <v>2583.3454208499998</v>
      </c>
      <c r="G19" s="438"/>
      <c r="H19" s="196">
        <v>108.38529961</v>
      </c>
      <c r="I19" s="438">
        <v>411.15715083999999</v>
      </c>
      <c r="J19" s="438"/>
      <c r="K19" s="196"/>
      <c r="L19" s="438"/>
      <c r="M19" s="438"/>
      <c r="N19" s="104">
        <v>223</v>
      </c>
      <c r="O19" s="525">
        <v>283</v>
      </c>
      <c r="P19" s="525"/>
      <c r="Q19" s="631"/>
      <c r="R19" s="556"/>
      <c r="S19" s="438"/>
      <c r="T19" s="104">
        <v>12248.401560079999</v>
      </c>
      <c r="U19" s="525">
        <v>13099.58637033</v>
      </c>
      <c r="V19" s="438">
        <f t="shared" si="26"/>
        <v>6.9</v>
      </c>
      <c r="W19" s="104"/>
      <c r="X19" s="525">
        <v>0</v>
      </c>
      <c r="Y19" s="438"/>
      <c r="Z19" s="104">
        <v>4650</v>
      </c>
      <c r="AA19" s="525">
        <v>5140</v>
      </c>
      <c r="AB19" s="438">
        <f t="shared" si="31"/>
        <v>10.5</v>
      </c>
      <c r="AC19" s="104"/>
      <c r="AD19" s="653"/>
      <c r="AE19" s="438"/>
      <c r="AF19" s="104">
        <v>1063.6949999999999</v>
      </c>
      <c r="AG19" s="525">
        <v>1169.2739999999999</v>
      </c>
      <c r="AH19" s="438">
        <f t="shared" si="27"/>
        <v>9.9</v>
      </c>
      <c r="AI19" s="104">
        <f>8463-204</f>
        <v>8259</v>
      </c>
      <c r="AJ19" s="525">
        <f>7520+456+2917</f>
        <v>10893</v>
      </c>
      <c r="AK19" s="438">
        <f t="shared" si="32"/>
        <v>31.9</v>
      </c>
      <c r="AL19" s="104"/>
      <c r="AM19" s="525"/>
      <c r="AN19" s="438" t="str">
        <f t="shared" si="33"/>
        <v xml:space="preserve">    ---- </v>
      </c>
      <c r="AO19" s="525">
        <f t="shared" si="34"/>
        <v>29234.943896320001</v>
      </c>
      <c r="AP19" s="525">
        <f t="shared" si="34"/>
        <v>33579.362942020001</v>
      </c>
      <c r="AQ19" s="438">
        <f t="shared" si="28"/>
        <v>14.9</v>
      </c>
      <c r="AR19" s="653">
        <f t="shared" si="35"/>
        <v>29234.943896320001</v>
      </c>
      <c r="AS19" s="653">
        <f t="shared" si="35"/>
        <v>33579.362942020001</v>
      </c>
      <c r="AT19" s="652">
        <f t="shared" si="29"/>
        <v>14.9</v>
      </c>
    </row>
    <row r="20" spans="1:46" s="448" customFormat="1" ht="20.100000000000001" customHeight="1" x14ac:dyDescent="0.3">
      <c r="A20" s="581" t="s">
        <v>192</v>
      </c>
      <c r="B20" s="196">
        <v>860.077</v>
      </c>
      <c r="C20" s="438">
        <f>SUM(C21:C25)</f>
        <v>852.99399999999991</v>
      </c>
      <c r="D20" s="438">
        <f>IF(B20=0, "    ---- ", IF(ABS(ROUND(100/B20*C20-100,1))&lt;999,ROUND(100/B20*C20-100,1),IF(ROUND(100/B20*C20-100,1)&gt;999,999,-999)))</f>
        <v>-0.8</v>
      </c>
      <c r="E20" s="196">
        <v>20231.48321446</v>
      </c>
      <c r="F20" s="438">
        <f>SUM(F21:F25)</f>
        <v>12269.079659199999</v>
      </c>
      <c r="G20" s="438">
        <f t="shared" si="30"/>
        <v>-39.4</v>
      </c>
      <c r="H20" s="196">
        <v>2260.3766205899997</v>
      </c>
      <c r="I20" s="438">
        <f>SUM(I21:I25)</f>
        <v>1868.1979837499994</v>
      </c>
      <c r="J20" s="438">
        <f>IF(H20=0, "    ---- ", IF(ABS(ROUND(100/H20*I20-100,1))&lt;999,ROUND(100/H20*I20-100,1),IF(ROUND(100/H20*I20-100,1)&gt;999,999,-999)))</f>
        <v>-17.399999999999999</v>
      </c>
      <c r="K20" s="196">
        <f>SUM(K21:K25)</f>
        <v>354.45100000000002</v>
      </c>
      <c r="L20" s="438">
        <f>SUM(L21:L25)</f>
        <v>305.04227300000002</v>
      </c>
      <c r="M20" s="438">
        <f t="shared" ref="M20:M28" si="36">IF(K20=0, "    ---- ", IF(ABS(ROUND(100/K20*L20-100,1))&lt;999,ROUND(100/K20*L20-100,1),IF(ROUND(100/K20*L20-100,1)&gt;999,999,-999)))</f>
        <v>-13.9</v>
      </c>
      <c r="N20" s="104">
        <f>SUM(N21:N25)</f>
        <v>952</v>
      </c>
      <c r="O20" s="525">
        <f>SUM(O21:O25)</f>
        <v>1065</v>
      </c>
      <c r="P20" s="525">
        <f t="shared" ref="P20:P28" si="37">IF(N20=0, "    ---- ", IF(ABS(ROUND(100/N20*O20-100,1))&lt;999,ROUND(100/N20*O20-100,1),IF(ROUND(100/N20*O20-100,1)&gt;999,999,-999)))</f>
        <v>11.9</v>
      </c>
      <c r="Q20" s="631">
        <f>SUM(Q21:Q25)</f>
        <v>161.02412597</v>
      </c>
      <c r="R20" s="556">
        <f>SUM(R21:R25)</f>
        <v>167.03462644999999</v>
      </c>
      <c r="S20" s="438">
        <f t="shared" ref="S20:S28" si="38">IF(Q20=0, "    ---- ", IF(ABS(ROUND(100/Q20*R20-100,1))&lt;999,ROUND(100/Q20*R20-100,1),IF(ROUND(100/Q20*R20-100,1)&gt;999,999,-999)))</f>
        <v>3.7</v>
      </c>
      <c r="T20" s="104">
        <v>11514.439054279999</v>
      </c>
      <c r="U20" s="525">
        <v>11775.74061773</v>
      </c>
      <c r="V20" s="438">
        <f t="shared" si="26"/>
        <v>2.2999999999999998</v>
      </c>
      <c r="W20" s="104">
        <f>SUM(W21:W25)</f>
        <v>11104.21</v>
      </c>
      <c r="X20" s="525">
        <f>SUM(X21:X25)</f>
        <v>10696.790000000003</v>
      </c>
      <c r="Y20" s="438">
        <f t="shared" ref="Y20:Y28" si="39">IF(W20=0, "    ---- ", IF(ABS(ROUND(100/W20*X20-100,1))&lt;999,ROUND(100/W20*X20-100,1),IF(ROUND(100/W20*X20-100,1)&gt;999,999,-999)))</f>
        <v>-3.7</v>
      </c>
      <c r="Z20" s="104">
        <f>SUM(Z21:Z25)</f>
        <v>4313</v>
      </c>
      <c r="AA20" s="525">
        <f>SUM(AA21:AA25)</f>
        <v>4394</v>
      </c>
      <c r="AB20" s="438">
        <f t="shared" si="31"/>
        <v>1.9</v>
      </c>
      <c r="AC20" s="104">
        <f>SUM(AC21:AC25)</f>
        <v>92.876365059999998</v>
      </c>
      <c r="AD20" s="653">
        <f>SUM(AD21:AD25)</f>
        <v>99.094531660000001</v>
      </c>
      <c r="AE20" s="438"/>
      <c r="AF20" s="104">
        <f>SUM(AF21:AF25)</f>
        <v>3186.1890000000003</v>
      </c>
      <c r="AG20" s="525">
        <f>SUM(AG21:AG25)</f>
        <v>4025.34</v>
      </c>
      <c r="AH20" s="438">
        <f t="shared" si="27"/>
        <v>26.3</v>
      </c>
      <c r="AI20" s="104">
        <f>SUM(AI21:AI25)</f>
        <v>13889</v>
      </c>
      <c r="AJ20" s="525">
        <f>SUM(AJ21:AJ25)</f>
        <v>10694</v>
      </c>
      <c r="AK20" s="438">
        <f t="shared" si="32"/>
        <v>-23</v>
      </c>
      <c r="AL20" s="104"/>
      <c r="AM20" s="525">
        <f>SUM(AM21:AM25)</f>
        <v>5</v>
      </c>
      <c r="AN20" s="438" t="str">
        <f t="shared" si="33"/>
        <v xml:space="preserve">    ---- </v>
      </c>
      <c r="AO20" s="525">
        <f t="shared" si="34"/>
        <v>68665.225889330002</v>
      </c>
      <c r="AP20" s="525">
        <f t="shared" si="34"/>
        <v>57946.184533680003</v>
      </c>
      <c r="AQ20" s="438">
        <f t="shared" si="28"/>
        <v>-15.6</v>
      </c>
      <c r="AR20" s="653">
        <f t="shared" si="35"/>
        <v>68919.126380360001</v>
      </c>
      <c r="AS20" s="653">
        <f t="shared" si="35"/>
        <v>58217.313691789997</v>
      </c>
      <c r="AT20" s="652">
        <f t="shared" si="29"/>
        <v>-15.5</v>
      </c>
    </row>
    <row r="21" spans="1:46" s="448" customFormat="1" ht="20.100000000000001" customHeight="1" x14ac:dyDescent="0.3">
      <c r="A21" s="581" t="s">
        <v>193</v>
      </c>
      <c r="B21" s="196">
        <v>7.0830000000000002</v>
      </c>
      <c r="C21" s="438">
        <v>6.7859999999999996</v>
      </c>
      <c r="D21" s="438">
        <f>IF(B21=0, "    ---- ", IF(ABS(ROUND(100/B21*C21-100,1))&lt;999,ROUND(100/B21*C21-100,1),IF(ROUND(100/B21*C21-100,1)&gt;999,999,-999)))</f>
        <v>-4.2</v>
      </c>
      <c r="E21" s="196">
        <v>1721.5203767799999</v>
      </c>
      <c r="F21" s="438">
        <v>1410.2286042600001</v>
      </c>
      <c r="G21" s="438">
        <f t="shared" si="30"/>
        <v>-18.100000000000001</v>
      </c>
      <c r="H21" s="196"/>
      <c r="I21" s="438"/>
      <c r="J21" s="438" t="str">
        <f>IF(H21=0, "    ---- ", IF(ABS(ROUND(100/H21*I21-100,1))&lt;999,ROUND(100/H21*I21-100,1),IF(ROUND(100/H21*I21-100,1)&gt;999,999,-999)))</f>
        <v xml:space="preserve">    ---- </v>
      </c>
      <c r="K21" s="196">
        <v>51.673000000000002</v>
      </c>
      <c r="L21" s="438">
        <v>43.044187000000001</v>
      </c>
      <c r="M21" s="438">
        <f t="shared" si="36"/>
        <v>-16.7</v>
      </c>
      <c r="N21" s="104">
        <v>3</v>
      </c>
      <c r="O21" s="525">
        <v>23</v>
      </c>
      <c r="P21" s="525">
        <f t="shared" si="37"/>
        <v>666.7</v>
      </c>
      <c r="Q21" s="631"/>
      <c r="R21" s="556"/>
      <c r="S21" s="438" t="str">
        <f t="shared" si="38"/>
        <v xml:space="preserve">    ---- </v>
      </c>
      <c r="T21" s="104">
        <v>6.7540584500000005</v>
      </c>
      <c r="U21" s="525">
        <v>6.1438499999999996</v>
      </c>
      <c r="V21" s="438">
        <f t="shared" si="26"/>
        <v>-9</v>
      </c>
      <c r="W21" s="104">
        <v>7.22</v>
      </c>
      <c r="X21" s="525">
        <v>28.53</v>
      </c>
      <c r="Y21" s="438">
        <f t="shared" si="39"/>
        <v>295.2</v>
      </c>
      <c r="Z21" s="104">
        <v>2318</v>
      </c>
      <c r="AA21" s="525">
        <v>2199</v>
      </c>
      <c r="AB21" s="438"/>
      <c r="AC21" s="104"/>
      <c r="AD21" s="653"/>
      <c r="AE21" s="438"/>
      <c r="AF21" s="104">
        <v>1.204</v>
      </c>
      <c r="AG21" s="525">
        <v>1.355</v>
      </c>
      <c r="AH21" s="438">
        <f t="shared" si="27"/>
        <v>12.5</v>
      </c>
      <c r="AI21" s="104">
        <v>362</v>
      </c>
      <c r="AJ21" s="525">
        <v>351</v>
      </c>
      <c r="AK21" s="438">
        <f t="shared" si="32"/>
        <v>-3</v>
      </c>
      <c r="AL21" s="104"/>
      <c r="AM21" s="525"/>
      <c r="AN21" s="438" t="str">
        <f t="shared" si="33"/>
        <v xml:space="preserve">    ---- </v>
      </c>
      <c r="AO21" s="525">
        <f t="shared" si="34"/>
        <v>4478.4544352299999</v>
      </c>
      <c r="AP21" s="525">
        <f t="shared" si="34"/>
        <v>4069.0876412600001</v>
      </c>
      <c r="AQ21" s="438">
        <f t="shared" si="28"/>
        <v>-9.1</v>
      </c>
      <c r="AR21" s="653">
        <f t="shared" si="35"/>
        <v>4478.4544352299999</v>
      </c>
      <c r="AS21" s="653">
        <f t="shared" si="35"/>
        <v>4069.0876412600001</v>
      </c>
      <c r="AT21" s="652">
        <f t="shared" si="29"/>
        <v>-9.1</v>
      </c>
    </row>
    <row r="22" spans="1:46" s="448" customFormat="1" ht="20.100000000000001" customHeight="1" x14ac:dyDescent="0.3">
      <c r="A22" s="581" t="s">
        <v>194</v>
      </c>
      <c r="B22" s="196">
        <v>852.99400000000003</v>
      </c>
      <c r="C22" s="438">
        <v>846.20799999999997</v>
      </c>
      <c r="D22" s="438">
        <f>IF(B22=0, "    ---- ", IF(ABS(ROUND(100/B22*C22-100,1))&lt;999,ROUND(100/B22*C22-100,1),IF(ROUND(100/B22*C22-100,1)&gt;999,999,-999)))</f>
        <v>-0.8</v>
      </c>
      <c r="E22" s="196">
        <v>18194.313288189998</v>
      </c>
      <c r="F22" s="438">
        <v>10813.153276749999</v>
      </c>
      <c r="G22" s="438">
        <f t="shared" si="30"/>
        <v>-40.6</v>
      </c>
      <c r="H22" s="196">
        <v>2363.15759871</v>
      </c>
      <c r="I22" s="438">
        <v>2127.7877883699994</v>
      </c>
      <c r="J22" s="438">
        <f>IF(H22=0, "    ---- ", IF(ABS(ROUND(100/H22*I22-100,1))&lt;999,ROUND(100/H22*I22-100,1),IF(ROUND(100/H22*I22-100,1)&gt;999,999,-999)))</f>
        <v>-10</v>
      </c>
      <c r="K22" s="196">
        <v>219.441</v>
      </c>
      <c r="L22" s="438">
        <v>188.475056</v>
      </c>
      <c r="M22" s="438">
        <f t="shared" si="36"/>
        <v>-14.1</v>
      </c>
      <c r="N22" s="104">
        <v>949</v>
      </c>
      <c r="O22" s="525">
        <v>1042</v>
      </c>
      <c r="P22" s="525">
        <f t="shared" si="37"/>
        <v>9.8000000000000007</v>
      </c>
      <c r="Q22" s="631"/>
      <c r="R22" s="556"/>
      <c r="S22" s="438"/>
      <c r="T22" s="104">
        <v>9177.16506777</v>
      </c>
      <c r="U22" s="525">
        <v>9701.7694964599996</v>
      </c>
      <c r="V22" s="438">
        <f t="shared" si="26"/>
        <v>5.7</v>
      </c>
      <c r="W22" s="104">
        <v>11096.73</v>
      </c>
      <c r="X22" s="525">
        <v>10666.18</v>
      </c>
      <c r="Y22" s="438">
        <f t="shared" si="39"/>
        <v>-3.9</v>
      </c>
      <c r="Z22" s="104">
        <v>1963</v>
      </c>
      <c r="AA22" s="525">
        <v>2260</v>
      </c>
      <c r="AB22" s="438">
        <f t="shared" si="31"/>
        <v>15.1</v>
      </c>
      <c r="AC22" s="104"/>
      <c r="AD22" s="653"/>
      <c r="AE22" s="438"/>
      <c r="AF22" s="104">
        <v>2739.04</v>
      </c>
      <c r="AG22" s="525">
        <v>2717.9009999999998</v>
      </c>
      <c r="AH22" s="438">
        <f t="shared" si="27"/>
        <v>-0.8</v>
      </c>
      <c r="AI22" s="104">
        <v>12724</v>
      </c>
      <c r="AJ22" s="525">
        <v>9568</v>
      </c>
      <c r="AK22" s="438">
        <f t="shared" si="32"/>
        <v>-24.8</v>
      </c>
      <c r="AL22" s="104"/>
      <c r="AM22" s="525"/>
      <c r="AN22" s="438" t="str">
        <f t="shared" si="33"/>
        <v xml:space="preserve">    ---- </v>
      </c>
      <c r="AO22" s="525">
        <f t="shared" si="34"/>
        <v>60278.840954669991</v>
      </c>
      <c r="AP22" s="525">
        <f t="shared" si="34"/>
        <v>49931.474617579996</v>
      </c>
      <c r="AQ22" s="438">
        <f t="shared" si="28"/>
        <v>-17.2</v>
      </c>
      <c r="AR22" s="653">
        <f t="shared" si="35"/>
        <v>60278.840954669991</v>
      </c>
      <c r="AS22" s="653">
        <f t="shared" si="35"/>
        <v>49931.474617579996</v>
      </c>
      <c r="AT22" s="652">
        <f t="shared" si="29"/>
        <v>-17.2</v>
      </c>
    </row>
    <row r="23" spans="1:46" s="448" customFormat="1" ht="20.100000000000001" customHeight="1" x14ac:dyDescent="0.3">
      <c r="A23" s="581" t="s">
        <v>195</v>
      </c>
      <c r="B23" s="196"/>
      <c r="C23" s="438"/>
      <c r="D23" s="438"/>
      <c r="E23" s="196">
        <v>13.34355268</v>
      </c>
      <c r="F23" s="438">
        <v>24.6504482</v>
      </c>
      <c r="G23" s="438">
        <f t="shared" si="30"/>
        <v>84.7</v>
      </c>
      <c r="H23" s="196">
        <v>-105.05672758999998</v>
      </c>
      <c r="I23" s="438">
        <v>-264.61754744000001</v>
      </c>
      <c r="J23" s="438"/>
      <c r="K23" s="196"/>
      <c r="L23" s="438"/>
      <c r="M23" s="438"/>
      <c r="N23" s="104"/>
      <c r="O23" s="525"/>
      <c r="P23" s="525" t="str">
        <f t="shared" si="37"/>
        <v xml:space="preserve">    ---- </v>
      </c>
      <c r="Q23" s="631"/>
      <c r="R23" s="556"/>
      <c r="S23" s="438"/>
      <c r="T23" s="104">
        <v>1683.88260941</v>
      </c>
      <c r="U23" s="525">
        <v>1505.8800909700001</v>
      </c>
      <c r="V23" s="438">
        <f t="shared" si="26"/>
        <v>-10.6</v>
      </c>
      <c r="W23" s="104">
        <v>0.26</v>
      </c>
      <c r="X23" s="525">
        <v>0.11</v>
      </c>
      <c r="Y23" s="438">
        <f t="shared" si="39"/>
        <v>-57.7</v>
      </c>
      <c r="Z23" s="104"/>
      <c r="AA23" s="525"/>
      <c r="AB23" s="438" t="str">
        <f t="shared" si="31"/>
        <v xml:space="preserve">    ---- </v>
      </c>
      <c r="AC23" s="104"/>
      <c r="AD23" s="653"/>
      <c r="AE23" s="438"/>
      <c r="AF23" s="104">
        <v>0</v>
      </c>
      <c r="AG23" s="525">
        <v>787.61500000000001</v>
      </c>
      <c r="AH23" s="438" t="str">
        <f t="shared" si="27"/>
        <v xml:space="preserve">    ---- </v>
      </c>
      <c r="AI23" s="104"/>
      <c r="AJ23" s="525"/>
      <c r="AK23" s="438" t="str">
        <f t="shared" si="32"/>
        <v xml:space="preserve">    ---- </v>
      </c>
      <c r="AL23" s="104"/>
      <c r="AM23" s="525"/>
      <c r="AN23" s="438" t="str">
        <f t="shared" si="33"/>
        <v xml:space="preserve">    ---- </v>
      </c>
      <c r="AO23" s="525">
        <f t="shared" si="34"/>
        <v>1592.4294345000001</v>
      </c>
      <c r="AP23" s="525">
        <f t="shared" si="34"/>
        <v>2053.6379917300001</v>
      </c>
      <c r="AQ23" s="438">
        <f t="shared" si="28"/>
        <v>29</v>
      </c>
      <c r="AR23" s="653">
        <f t="shared" si="35"/>
        <v>1592.4294345000001</v>
      </c>
      <c r="AS23" s="653">
        <f t="shared" si="35"/>
        <v>2053.6379917300001</v>
      </c>
      <c r="AT23" s="652">
        <f t="shared" si="29"/>
        <v>29</v>
      </c>
    </row>
    <row r="24" spans="1:46" s="448" customFormat="1" ht="20.100000000000001" customHeight="1" x14ac:dyDescent="0.3">
      <c r="A24" s="581" t="s">
        <v>196</v>
      </c>
      <c r="B24" s="196"/>
      <c r="C24" s="438"/>
      <c r="D24" s="438"/>
      <c r="E24" s="196">
        <v>7.1259599999999998E-3</v>
      </c>
      <c r="F24" s="438">
        <v>6.4464371900000002</v>
      </c>
      <c r="G24" s="438">
        <f t="shared" si="30"/>
        <v>999</v>
      </c>
      <c r="H24" s="196"/>
      <c r="I24" s="438"/>
      <c r="J24" s="438"/>
      <c r="K24" s="196"/>
      <c r="L24" s="438"/>
      <c r="M24" s="438"/>
      <c r="N24" s="104"/>
      <c r="O24" s="525"/>
      <c r="P24" s="525"/>
      <c r="Q24" s="631"/>
      <c r="R24" s="556"/>
      <c r="S24" s="438"/>
      <c r="T24" s="104">
        <v>645.84341294000001</v>
      </c>
      <c r="U24" s="525">
        <v>559.42145600000003</v>
      </c>
      <c r="V24" s="438">
        <f t="shared" si="26"/>
        <v>-13.4</v>
      </c>
      <c r="W24" s="104">
        <v>0</v>
      </c>
      <c r="X24" s="525">
        <v>0.03</v>
      </c>
      <c r="Y24" s="438"/>
      <c r="Z24" s="104">
        <v>32</v>
      </c>
      <c r="AA24" s="525">
        <v>-65</v>
      </c>
      <c r="AB24" s="438">
        <f t="shared" si="31"/>
        <v>-303.10000000000002</v>
      </c>
      <c r="AC24" s="104"/>
      <c r="AD24" s="653"/>
      <c r="AE24" s="438"/>
      <c r="AF24" s="104">
        <v>1.1499999999999999</v>
      </c>
      <c r="AG24" s="525">
        <v>1.786</v>
      </c>
      <c r="AH24" s="438"/>
      <c r="AI24" s="104">
        <v>803</v>
      </c>
      <c r="AJ24" s="525">
        <v>775</v>
      </c>
      <c r="AK24" s="438">
        <f t="shared" si="32"/>
        <v>-3.5</v>
      </c>
      <c r="AL24" s="104"/>
      <c r="AM24" s="525"/>
      <c r="AN24" s="438" t="str">
        <f t="shared" si="33"/>
        <v xml:space="preserve">    ---- </v>
      </c>
      <c r="AO24" s="525">
        <f t="shared" si="34"/>
        <v>1482.0005389</v>
      </c>
      <c r="AP24" s="525">
        <f t="shared" si="34"/>
        <v>1277.6838931899999</v>
      </c>
      <c r="AQ24" s="438">
        <f t="shared" si="28"/>
        <v>-13.8</v>
      </c>
      <c r="AR24" s="653">
        <f t="shared" si="35"/>
        <v>1482.0005389</v>
      </c>
      <c r="AS24" s="653">
        <f t="shared" si="35"/>
        <v>1277.6838931899999</v>
      </c>
      <c r="AT24" s="652">
        <f t="shared" si="29"/>
        <v>-13.8</v>
      </c>
    </row>
    <row r="25" spans="1:46" s="448" customFormat="1" ht="20.100000000000001" customHeight="1" x14ac:dyDescent="0.3">
      <c r="A25" s="581" t="s">
        <v>197</v>
      </c>
      <c r="B25" s="196"/>
      <c r="C25" s="438"/>
      <c r="D25" s="438"/>
      <c r="E25" s="196">
        <v>302.29887085000001</v>
      </c>
      <c r="F25" s="438">
        <v>14.600892800000002</v>
      </c>
      <c r="G25" s="438">
        <f t="shared" si="30"/>
        <v>-95.2</v>
      </c>
      <c r="H25" s="196">
        <v>2.2757494699999987</v>
      </c>
      <c r="I25" s="438">
        <v>5.0277428199999985</v>
      </c>
      <c r="J25" s="438">
        <f>IF(H25=0, "    ---- ", IF(ABS(ROUND(100/H25*I25-100,1))&lt;999,ROUND(100/H25*I25-100,1),IF(ROUND(100/H25*I25-100,1)&gt;999,999,-999)))</f>
        <v>120.9</v>
      </c>
      <c r="K25" s="196">
        <v>83.337000000000003</v>
      </c>
      <c r="L25" s="438">
        <v>73.523030000000006</v>
      </c>
      <c r="M25" s="438">
        <f t="shared" si="36"/>
        <v>-11.8</v>
      </c>
      <c r="N25" s="104"/>
      <c r="O25" s="525"/>
      <c r="P25" s="525"/>
      <c r="Q25" s="631">
        <v>161.02412597</v>
      </c>
      <c r="R25" s="556">
        <f>167034626.45/1000000</f>
        <v>167.03462644999999</v>
      </c>
      <c r="S25" s="438"/>
      <c r="T25" s="104">
        <v>0.79390570999999999</v>
      </c>
      <c r="U25" s="525">
        <v>2.5257242999999998</v>
      </c>
      <c r="V25" s="438">
        <f t="shared" si="26"/>
        <v>218.1</v>
      </c>
      <c r="W25" s="104">
        <v>0</v>
      </c>
      <c r="X25" s="525">
        <v>1.94</v>
      </c>
      <c r="Y25" s="438"/>
      <c r="Z25" s="104"/>
      <c r="AA25" s="525"/>
      <c r="AB25" s="438"/>
      <c r="AC25" s="104">
        <v>92.876365059999998</v>
      </c>
      <c r="AD25" s="653">
        <v>99.094531660000001</v>
      </c>
      <c r="AE25" s="438"/>
      <c r="AF25" s="104">
        <v>444.79500000000002</v>
      </c>
      <c r="AG25" s="525">
        <v>516.68299999999999</v>
      </c>
      <c r="AH25" s="438">
        <f t="shared" si="27"/>
        <v>16.2</v>
      </c>
      <c r="AI25" s="104"/>
      <c r="AJ25" s="525"/>
      <c r="AK25" s="438" t="str">
        <f t="shared" si="32"/>
        <v xml:space="preserve">    ---- </v>
      </c>
      <c r="AL25" s="104"/>
      <c r="AM25" s="525">
        <v>5</v>
      </c>
      <c r="AN25" s="438" t="str">
        <f t="shared" si="33"/>
        <v xml:space="preserve">    ---- </v>
      </c>
      <c r="AO25" s="525">
        <f t="shared" si="34"/>
        <v>833.50052602999995</v>
      </c>
      <c r="AP25" s="525">
        <f t="shared" si="34"/>
        <v>614.30038992000004</v>
      </c>
      <c r="AQ25" s="438">
        <f t="shared" si="28"/>
        <v>-26.3</v>
      </c>
      <c r="AR25" s="653">
        <f t="shared" si="35"/>
        <v>1087.40101706</v>
      </c>
      <c r="AS25" s="653">
        <f t="shared" si="35"/>
        <v>885.42954802999998</v>
      </c>
      <c r="AT25" s="652">
        <f t="shared" si="29"/>
        <v>-18.600000000000001</v>
      </c>
    </row>
    <row r="26" spans="1:46" s="448" customFormat="1" ht="20.100000000000001" customHeight="1" x14ac:dyDescent="0.3">
      <c r="A26" s="581" t="s">
        <v>198</v>
      </c>
      <c r="B26" s="196"/>
      <c r="C26" s="438"/>
      <c r="D26" s="438"/>
      <c r="E26" s="196"/>
      <c r="F26" s="438"/>
      <c r="G26" s="438"/>
      <c r="H26" s="196"/>
      <c r="I26" s="438"/>
      <c r="J26" s="438"/>
      <c r="K26" s="196"/>
      <c r="L26" s="438"/>
      <c r="M26" s="438"/>
      <c r="N26" s="104"/>
      <c r="O26" s="525"/>
      <c r="P26" s="525"/>
      <c r="Q26" s="631"/>
      <c r="R26" s="556"/>
      <c r="S26" s="438"/>
      <c r="T26" s="104"/>
      <c r="U26" s="525"/>
      <c r="V26" s="438"/>
      <c r="W26" s="104">
        <v>0</v>
      </c>
      <c r="X26" s="525">
        <v>0</v>
      </c>
      <c r="Y26" s="438"/>
      <c r="Z26" s="104"/>
      <c r="AA26" s="525"/>
      <c r="AB26" s="438"/>
      <c r="AC26" s="104"/>
      <c r="AD26" s="653"/>
      <c r="AE26" s="438"/>
      <c r="AF26" s="104"/>
      <c r="AG26" s="525"/>
      <c r="AH26" s="438"/>
      <c r="AI26" s="104"/>
      <c r="AJ26" s="525"/>
      <c r="AK26" s="438"/>
      <c r="AL26" s="104"/>
      <c r="AM26" s="525"/>
      <c r="AN26" s="438"/>
      <c r="AO26" s="525">
        <f t="shared" si="34"/>
        <v>0</v>
      </c>
      <c r="AP26" s="525">
        <f t="shared" si="34"/>
        <v>0</v>
      </c>
      <c r="AQ26" s="438" t="str">
        <f t="shared" si="28"/>
        <v xml:space="preserve">    ---- </v>
      </c>
      <c r="AR26" s="653">
        <f t="shared" si="35"/>
        <v>0</v>
      </c>
      <c r="AS26" s="653">
        <f t="shared" si="35"/>
        <v>0</v>
      </c>
      <c r="AT26" s="652" t="str">
        <f t="shared" si="29"/>
        <v xml:space="preserve">    ---- </v>
      </c>
    </row>
    <row r="27" spans="1:46" s="448" customFormat="1" ht="20.100000000000001" customHeight="1" x14ac:dyDescent="0.3">
      <c r="A27" s="632" t="s">
        <v>199</v>
      </c>
      <c r="B27" s="196">
        <v>860.077</v>
      </c>
      <c r="C27" s="438">
        <f>SUM(C14+C15+C16+C20+C26)</f>
        <v>852.99399999999991</v>
      </c>
      <c r="D27" s="438">
        <f>IF(B27=0, "    ---- ", IF(ABS(ROUND(100/B27*C27-100,1))&lt;999,ROUND(100/B27*C27-100,1),IF(ROUND(100/B27*C27-100,1)&gt;999,999,-999)))</f>
        <v>-0.8</v>
      </c>
      <c r="E27" s="196">
        <v>34419.090084399999</v>
      </c>
      <c r="F27" s="438">
        <f>SUM(F14+F15+F16+F20+F26)</f>
        <v>32020.036380459998</v>
      </c>
      <c r="G27" s="438">
        <f t="shared" si="30"/>
        <v>-7</v>
      </c>
      <c r="H27" s="196">
        <f>SUM(H14+H15+H16+H20+H26)</f>
        <v>2368.7619201999996</v>
      </c>
      <c r="I27" s="438">
        <f>SUM(I14+I15+I16+I20+I26)</f>
        <v>2279.3551345899996</v>
      </c>
      <c r="J27" s="438">
        <f>IF(H27=0, "    ---- ", IF(ABS(ROUND(100/H27*I27-100,1))&lt;999,ROUND(100/H27*I27-100,1),IF(ROUND(100/H27*I27-100,1)&gt;999,999,-999)))</f>
        <v>-3.8</v>
      </c>
      <c r="K27" s="196">
        <f>SUM(K14+K15+K16+K20+K26)</f>
        <v>447.63400000000001</v>
      </c>
      <c r="L27" s="438">
        <f>SUM(L14+L15+L16+L20+L26)</f>
        <v>411.92560800000001</v>
      </c>
      <c r="M27" s="438">
        <f t="shared" si="36"/>
        <v>-8</v>
      </c>
      <c r="N27" s="104">
        <f>SUM(N14+N15+N16+N20+N26)</f>
        <v>1181</v>
      </c>
      <c r="O27" s="525">
        <f>SUM(O14+O15+O16+O20+O26)</f>
        <v>1351</v>
      </c>
      <c r="P27" s="525">
        <f t="shared" si="37"/>
        <v>14.4</v>
      </c>
      <c r="Q27" s="631">
        <f>SUM(Q14+Q15+Q16+Q20+Q26)</f>
        <v>161.02412597</v>
      </c>
      <c r="R27" s="556">
        <f>SUM(R14+R15+R16+R20+R26)</f>
        <v>167.03462644999999</v>
      </c>
      <c r="S27" s="438">
        <f t="shared" si="38"/>
        <v>3.7</v>
      </c>
      <c r="T27" s="104">
        <v>40195.051163529999</v>
      </c>
      <c r="U27" s="525">
        <v>41707.582416880003</v>
      </c>
      <c r="V27" s="438">
        <f t="shared" si="26"/>
        <v>3.8</v>
      </c>
      <c r="W27" s="104">
        <f>SUM(W14+W15+W16+W20+W26)</f>
        <v>11104.21</v>
      </c>
      <c r="X27" s="525">
        <f>SUM(X14+X15+X16+X20+X26)</f>
        <v>10696.790000000003</v>
      </c>
      <c r="Y27" s="438">
        <f t="shared" si="39"/>
        <v>-3.7</v>
      </c>
      <c r="Z27" s="104">
        <f>SUM(Z14+Z15+Z16+Z20+Z26)</f>
        <v>10357</v>
      </c>
      <c r="AA27" s="525">
        <f>SUM(AA14+AA15+AA16+AA20+AA26)</f>
        <v>10877</v>
      </c>
      <c r="AB27" s="438">
        <f t="shared" si="31"/>
        <v>5</v>
      </c>
      <c r="AC27" s="104">
        <f>SUM(AC14+AC15+AC16+AC20+AC26)</f>
        <v>92.876365059999998</v>
      </c>
      <c r="AD27" s="653">
        <f>SUM(AD14+AD15+AD16+AD20+AD26)</f>
        <v>99.094531660000001</v>
      </c>
      <c r="AE27" s="438"/>
      <c r="AF27" s="104">
        <f>SUM(AF14+AF15+AF16+AF20+AF26)</f>
        <v>6128.5259999999998</v>
      </c>
      <c r="AG27" s="525">
        <f>SUM(AG14+AG15+AG16+AG20+AG26)</f>
        <v>6527.2479999999996</v>
      </c>
      <c r="AH27" s="438">
        <f t="shared" si="27"/>
        <v>6.5</v>
      </c>
      <c r="AI27" s="104">
        <f>SUM(AI14+AI15+AI16+AI20+AI26)</f>
        <v>34898</v>
      </c>
      <c r="AJ27" s="525">
        <f>SUM(AJ14+AJ15+AJ16+AJ20+AJ26)</f>
        <v>33988</v>
      </c>
      <c r="AK27" s="438">
        <f t="shared" si="32"/>
        <v>-2.6</v>
      </c>
      <c r="AL27" s="104"/>
      <c r="AM27" s="525">
        <f>SUM(AM14+AM15+AM16+AM20+AM26)</f>
        <v>5</v>
      </c>
      <c r="AN27" s="438" t="str">
        <f t="shared" ref="AN27:AN28" si="40">IF(AL27=0, "    ---- ", IF(ABS(ROUND(100/AL27*AM27-100,1))&lt;999,ROUND(100/AL27*AM27-100,1),IF(ROUND(100/AL27*AM27-100,1)&gt;999,999,-999)))</f>
        <v xml:space="preserve">    ---- </v>
      </c>
      <c r="AO27" s="525">
        <f t="shared" si="34"/>
        <v>141959.35016813001</v>
      </c>
      <c r="AP27" s="525">
        <f t="shared" si="34"/>
        <v>140711.93153993</v>
      </c>
      <c r="AQ27" s="438">
        <f t="shared" si="28"/>
        <v>-0.9</v>
      </c>
      <c r="AR27" s="653">
        <f t="shared" si="35"/>
        <v>142213.25065916</v>
      </c>
      <c r="AS27" s="653">
        <f t="shared" si="35"/>
        <v>140983.06069804</v>
      </c>
      <c r="AT27" s="652">
        <f t="shared" si="29"/>
        <v>-0.9</v>
      </c>
    </row>
    <row r="28" spans="1:46" s="448" customFormat="1" ht="20.100000000000001" customHeight="1" x14ac:dyDescent="0.3">
      <c r="A28" s="581" t="s">
        <v>200</v>
      </c>
      <c r="B28" s="196">
        <v>182.01400000000001</v>
      </c>
      <c r="C28" s="438">
        <v>212.589</v>
      </c>
      <c r="D28" s="438">
        <f>IF(B28=0, "    ---- ", IF(ABS(ROUND(100/B28*C28-100,1))&lt;999,ROUND(100/B28*C28-100,1),IF(ROUND(100/B28*C28-100,1)&gt;999,999,-999)))</f>
        <v>16.8</v>
      </c>
      <c r="E28" s="196">
        <v>1267.499</v>
      </c>
      <c r="F28" s="438">
        <v>1054.3910000000001</v>
      </c>
      <c r="G28" s="438">
        <f t="shared" si="30"/>
        <v>-16.8</v>
      </c>
      <c r="H28" s="196">
        <v>1252.9071101299999</v>
      </c>
      <c r="I28" s="438">
        <v>1110.1379848200002</v>
      </c>
      <c r="J28" s="438">
        <f>IF(H28=0, "    ---- ", IF(ABS(ROUND(100/H28*I28-100,1))&lt;999,ROUND(100/H28*I28-100,1),IF(ROUND(100/H28*I28-100,1)&gt;999,999,-999)))</f>
        <v>-11.4</v>
      </c>
      <c r="K28" s="196">
        <v>388.39299999999997</v>
      </c>
      <c r="L28" s="438">
        <v>416.381776</v>
      </c>
      <c r="M28" s="438">
        <f t="shared" si="36"/>
        <v>7.2</v>
      </c>
      <c r="N28" s="104">
        <v>378</v>
      </c>
      <c r="O28" s="525">
        <v>240</v>
      </c>
      <c r="P28" s="525">
        <f t="shared" si="37"/>
        <v>-36.5</v>
      </c>
      <c r="Q28" s="631"/>
      <c r="R28" s="556"/>
      <c r="S28" s="438" t="str">
        <f t="shared" si="38"/>
        <v xml:space="preserve">    ---- </v>
      </c>
      <c r="T28" s="104">
        <v>24164.375588930001</v>
      </c>
      <c r="U28" s="525">
        <v>22391.562795279999</v>
      </c>
      <c r="V28" s="438">
        <f t="shared" si="26"/>
        <v>-7.3</v>
      </c>
      <c r="W28" s="104">
        <v>1136</v>
      </c>
      <c r="X28" s="525">
        <v>1263.26</v>
      </c>
      <c r="Y28" s="438">
        <f t="shared" si="39"/>
        <v>11.2</v>
      </c>
      <c r="Z28" s="104">
        <f>62+59+1349+22</f>
        <v>1492</v>
      </c>
      <c r="AA28" s="525">
        <f>519+1139+40+66</f>
        <v>1764</v>
      </c>
      <c r="AB28" s="438">
        <f t="shared" si="31"/>
        <v>18.2</v>
      </c>
      <c r="AC28" s="104"/>
      <c r="AD28" s="653"/>
      <c r="AE28" s="438" t="str">
        <f>IF(AC28=0, "    ---- ", IF(ABS(ROUND(100/AC28*AD28-100,1))&lt;999,ROUND(100/AC28*AD28-100,1),IF(ROUND(100/AC28*AD28-100,1)&gt;999,999,-999)))</f>
        <v xml:space="preserve">    ---- </v>
      </c>
      <c r="AF28" s="104">
        <v>891.74</v>
      </c>
      <c r="AG28" s="525">
        <v>606.22400000000005</v>
      </c>
      <c r="AH28" s="438">
        <f t="shared" si="27"/>
        <v>-32</v>
      </c>
      <c r="AI28" s="104">
        <f>468+5319+2539+47</f>
        <v>8373</v>
      </c>
      <c r="AJ28" s="525">
        <f>464+7959+4932+49</f>
        <v>13404</v>
      </c>
      <c r="AK28" s="438">
        <f t="shared" si="32"/>
        <v>60.1</v>
      </c>
      <c r="AL28" s="104"/>
      <c r="AM28" s="525">
        <v>2</v>
      </c>
      <c r="AN28" s="438" t="str">
        <f t="shared" si="40"/>
        <v xml:space="preserve">    ---- </v>
      </c>
      <c r="AO28" s="525">
        <f t="shared" si="34"/>
        <v>39525.928699060001</v>
      </c>
      <c r="AP28" s="525">
        <f t="shared" si="34"/>
        <v>42462.546556099995</v>
      </c>
      <c r="AQ28" s="438">
        <f t="shared" si="28"/>
        <v>7.4</v>
      </c>
      <c r="AR28" s="653">
        <f t="shared" si="35"/>
        <v>39525.928699060001</v>
      </c>
      <c r="AS28" s="653">
        <f t="shared" si="35"/>
        <v>42464.546556099995</v>
      </c>
      <c r="AT28" s="652">
        <f t="shared" si="29"/>
        <v>7.4</v>
      </c>
    </row>
    <row r="29" spans="1:46" s="448" customFormat="1" ht="20.100000000000001" customHeight="1" x14ac:dyDescent="0.3">
      <c r="A29" s="581" t="s">
        <v>201</v>
      </c>
      <c r="B29" s="196">
        <v>1042.0909999999999</v>
      </c>
      <c r="C29" s="438">
        <f>SUM(C27+C28)</f>
        <v>1065.5829999999999</v>
      </c>
      <c r="D29" s="438">
        <f>IF(B29=0, "    ---- ", IF(ABS(ROUND(100/B29*C29-100,1))&lt;999,ROUND(100/B29*C29-100,1),IF(ROUND(100/B29*C29-100,1)&gt;999,999,-999)))</f>
        <v>2.2999999999999998</v>
      </c>
      <c r="E29" s="196">
        <v>35686.589084400002</v>
      </c>
      <c r="F29" s="438">
        <f>SUM(F27+F28)</f>
        <v>33074.427380460002</v>
      </c>
      <c r="G29" s="438">
        <f>IF(E29=0, "    ---- ", IF(ABS(ROUND(100/E29*F29-100,1))&lt;999,ROUND(100/E29*F29-100,1),IF(ROUND(100/E29*F29-100,1)&gt;999,999,-999)))</f>
        <v>-7.3</v>
      </c>
      <c r="H29" s="196">
        <f>SUM(H27+H28)</f>
        <v>3621.6690303299993</v>
      </c>
      <c r="I29" s="438">
        <f>SUM(I27+I28)</f>
        <v>3389.49311941</v>
      </c>
      <c r="J29" s="438">
        <f>IF(H29=0, "    ---- ", IF(ABS(ROUND(100/H29*I29-100,1))&lt;999,ROUND(100/H29*I29-100,1),IF(ROUND(100/H29*I29-100,1)&gt;999,999,-999)))</f>
        <v>-6.4</v>
      </c>
      <c r="K29" s="196">
        <f>SUM(K27+K28)</f>
        <v>836.02700000000004</v>
      </c>
      <c r="L29" s="438">
        <f>SUM(L27+L28)</f>
        <v>828.30738399999996</v>
      </c>
      <c r="M29" s="438">
        <f>IF(K29=0, "    ---- ", IF(ABS(ROUND(100/K29*L29-100,1))&lt;999,ROUND(100/K29*L29-100,1),IF(ROUND(100/K29*L29-100,1)&gt;999,999,-999)))</f>
        <v>-0.9</v>
      </c>
      <c r="N29" s="196">
        <f>SUM(N27+N28)</f>
        <v>1559</v>
      </c>
      <c r="O29" s="438">
        <f>SUM(O27+O28)</f>
        <v>1591</v>
      </c>
      <c r="P29" s="438">
        <f>IF(N29=0, "    ---- ", IF(ABS(ROUND(100/N29*O29-100,1))&lt;999,ROUND(100/N29*O29-100,1),IF(ROUND(100/N29*O29-100,1)&gt;999,999,-999)))</f>
        <v>2.1</v>
      </c>
      <c r="Q29" s="196">
        <f>SUM(Q27+Q28)</f>
        <v>161.02412597</v>
      </c>
      <c r="R29" s="438">
        <f>SUM(R27+R28)</f>
        <v>167.03462644999999</v>
      </c>
      <c r="S29" s="438">
        <f>IF(Q29=0, "    ---- ", IF(ABS(ROUND(100/Q29*R29-100,1))&lt;999,ROUND(100/Q29*R29-100,1),IF(ROUND(100/Q29*R29-100,1)&gt;999,999,-999)))</f>
        <v>3.7</v>
      </c>
      <c r="T29" s="196">
        <v>64359.42675246</v>
      </c>
      <c r="U29" s="438">
        <v>64099.145212160001</v>
      </c>
      <c r="V29" s="438">
        <f>IF(T29=0, "    ---- ", IF(ABS(ROUND(100/T29*U29-100,1))&lt;999,ROUND(100/T29*U29-100,1),IF(ROUND(100/T29*U29-100,1)&gt;999,999,-999)))</f>
        <v>-0.4</v>
      </c>
      <c r="W29" s="196">
        <f>SUM(W27+W28)</f>
        <v>12240.21</v>
      </c>
      <c r="X29" s="438">
        <f>SUM(X27+X28)</f>
        <v>11960.050000000003</v>
      </c>
      <c r="Y29" s="438">
        <f>IF(W29=0, "    ---- ", IF(ABS(ROUND(100/W29*X29-100,1))&lt;999,ROUND(100/W29*X29-100,1),IF(ROUND(100/W29*X29-100,1)&gt;999,999,-999)))</f>
        <v>-2.2999999999999998</v>
      </c>
      <c r="Z29" s="196">
        <f>SUM(Z27+Z28)</f>
        <v>11849</v>
      </c>
      <c r="AA29" s="438">
        <f>SUM(AA27+AA28)</f>
        <v>12641</v>
      </c>
      <c r="AB29" s="438">
        <f>IF(Z29=0, "    ---- ", IF(ABS(ROUND(100/Z29*AA29-100,1))&lt;999,ROUND(100/Z29*AA29-100,1),IF(ROUND(100/Z29*AA29-100,1)&gt;999,999,-999)))</f>
        <v>6.7</v>
      </c>
      <c r="AC29" s="196">
        <f>SUM(AC27+AC28)</f>
        <v>92.876365059999998</v>
      </c>
      <c r="AD29" s="652">
        <f>SUM(AD27+AD28)</f>
        <v>99.094531660000001</v>
      </c>
      <c r="AE29" s="438">
        <f>IF(AC29=0, "    ---- ", IF(ABS(ROUND(100/AC29*AD29-100,1))&lt;999,ROUND(100/AC29*AD29-100,1),IF(ROUND(100/AC29*AD29-100,1)&gt;999,999,-999)))</f>
        <v>6.7</v>
      </c>
      <c r="AF29" s="196">
        <f>SUM(AF27+AF28)</f>
        <v>7020.2659999999996</v>
      </c>
      <c r="AG29" s="438">
        <f>SUM(AG27+AG28)</f>
        <v>7133.4719999999998</v>
      </c>
      <c r="AH29" s="438">
        <f>IF(AF29=0, "    ---- ", IF(ABS(ROUND(100/AF29*AG29-100,1))&lt;999,ROUND(100/AF29*AG29-100,1),IF(ROUND(100/AF29*AG29-100,1)&gt;999,999,-999)))</f>
        <v>1.6</v>
      </c>
      <c r="AI29" s="196">
        <f>SUM(AI27+AI28)</f>
        <v>43271</v>
      </c>
      <c r="AJ29" s="438">
        <f>SUM(AJ27+AJ28)</f>
        <v>47392</v>
      </c>
      <c r="AK29" s="438">
        <f>IF(AI29=0, "    ---- ", IF(ABS(ROUND(100/AI29*AJ29-100,1))&lt;999,ROUND(100/AI29*AJ29-100,1),IF(ROUND(100/AI29*AJ29-100,1)&gt;999,999,-999)))</f>
        <v>9.5</v>
      </c>
      <c r="AL29" s="196"/>
      <c r="AM29" s="438">
        <f>SUM(AM27+AM28)</f>
        <v>7</v>
      </c>
      <c r="AN29" s="438" t="str">
        <f>IF(AL29=0, "    ---- ", IF(ABS(ROUND(100/AL29*AM29-100,1))&lt;999,ROUND(100/AL29*AM29-100,1),IF(ROUND(100/AL29*AM29-100,1)&gt;999,999,-999)))</f>
        <v xml:space="preserve">    ---- </v>
      </c>
      <c r="AO29" s="525">
        <f t="shared" si="34"/>
        <v>181485.27886719001</v>
      </c>
      <c r="AP29" s="525">
        <f t="shared" si="34"/>
        <v>183174.47809603001</v>
      </c>
      <c r="AQ29" s="438">
        <f>IF(AO29=0, "    ---- ", IF(ABS(ROUND(100/AO29*AP29-100,1))&lt;999,ROUND(100/AO29*AP29-100,1),IF(ROUND(100/AO29*AP29-100,1)&gt;999,999,-999)))</f>
        <v>0.9</v>
      </c>
      <c r="AR29" s="653">
        <f t="shared" si="35"/>
        <v>181739.17935821999</v>
      </c>
      <c r="AS29" s="653">
        <f t="shared" si="35"/>
        <v>183447.60725413999</v>
      </c>
      <c r="AT29" s="672">
        <f t="shared" si="29"/>
        <v>0.9</v>
      </c>
    </row>
    <row r="30" spans="1:46" s="448" customFormat="1" ht="20.100000000000001" customHeight="1" x14ac:dyDescent="0.3">
      <c r="A30" s="581"/>
      <c r="B30" s="591"/>
      <c r="C30" s="434"/>
      <c r="D30" s="438"/>
      <c r="E30" s="591"/>
      <c r="F30" s="434"/>
      <c r="G30" s="438"/>
      <c r="H30" s="591"/>
      <c r="I30" s="434"/>
      <c r="J30" s="438"/>
      <c r="K30" s="591"/>
      <c r="L30" s="434"/>
      <c r="M30" s="438"/>
      <c r="N30" s="196"/>
      <c r="O30" s="438"/>
      <c r="P30" s="434"/>
      <c r="Q30" s="591"/>
      <c r="R30" s="434"/>
      <c r="S30" s="339"/>
      <c r="T30" s="591"/>
      <c r="U30" s="434"/>
      <c r="V30" s="339"/>
      <c r="W30" s="591"/>
      <c r="X30" s="434"/>
      <c r="Y30" s="339"/>
      <c r="Z30" s="591"/>
      <c r="AA30" s="434"/>
      <c r="AB30" s="339"/>
      <c r="AC30" s="591"/>
      <c r="AD30" s="434"/>
      <c r="AE30" s="339"/>
      <c r="AF30" s="591"/>
      <c r="AG30" s="434"/>
      <c r="AH30" s="339"/>
      <c r="AI30" s="591"/>
      <c r="AJ30" s="434"/>
      <c r="AK30" s="339"/>
      <c r="AL30" s="591"/>
      <c r="AM30" s="434"/>
      <c r="AN30" s="339"/>
      <c r="AO30" s="434"/>
      <c r="AP30" s="434"/>
      <c r="AQ30" s="339"/>
      <c r="AR30" s="653"/>
      <c r="AS30" s="653"/>
      <c r="AT30" s="672"/>
    </row>
    <row r="31" spans="1:46" s="448" customFormat="1" ht="20.100000000000001" customHeight="1" x14ac:dyDescent="0.3">
      <c r="A31" s="604" t="s">
        <v>202</v>
      </c>
      <c r="B31" s="196"/>
      <c r="C31" s="438"/>
      <c r="D31" s="438"/>
      <c r="E31" s="196"/>
      <c r="F31" s="438"/>
      <c r="G31" s="438"/>
      <c r="H31" s="196"/>
      <c r="I31" s="438"/>
      <c r="J31" s="438"/>
      <c r="K31" s="196"/>
      <c r="L31" s="438"/>
      <c r="M31" s="438"/>
      <c r="N31" s="196"/>
      <c r="O31" s="438"/>
      <c r="P31" s="434"/>
      <c r="Q31" s="196"/>
      <c r="R31" s="438"/>
      <c r="S31" s="339"/>
      <c r="T31" s="196"/>
      <c r="U31" s="438"/>
      <c r="V31" s="339"/>
      <c r="W31" s="196"/>
      <c r="X31" s="438"/>
      <c r="Y31" s="339"/>
      <c r="Z31" s="196"/>
      <c r="AA31" s="438"/>
      <c r="AB31" s="339"/>
      <c r="AC31" s="196"/>
      <c r="AD31" s="438"/>
      <c r="AE31" s="339"/>
      <c r="AF31" s="196"/>
      <c r="AG31" s="438"/>
      <c r="AH31" s="339"/>
      <c r="AI31" s="196"/>
      <c r="AJ31" s="438"/>
      <c r="AK31" s="339"/>
      <c r="AL31" s="196"/>
      <c r="AM31" s="438"/>
      <c r="AN31" s="339"/>
      <c r="AO31" s="434"/>
      <c r="AP31" s="434"/>
      <c r="AQ31" s="339"/>
      <c r="AR31" s="653"/>
      <c r="AS31" s="653"/>
      <c r="AT31" s="672"/>
    </row>
    <row r="32" spans="1:46" s="448" customFormat="1" ht="20.100000000000001" customHeight="1" x14ac:dyDescent="0.3">
      <c r="A32" s="604" t="s">
        <v>203</v>
      </c>
      <c r="B32" s="196"/>
      <c r="C32" s="438"/>
      <c r="D32" s="339"/>
      <c r="E32" s="196"/>
      <c r="F32" s="438"/>
      <c r="G32" s="339"/>
      <c r="H32" s="196"/>
      <c r="I32" s="438"/>
      <c r="J32" s="339"/>
      <c r="K32" s="196"/>
      <c r="L32" s="438"/>
      <c r="M32" s="339"/>
      <c r="N32" s="196"/>
      <c r="O32" s="438"/>
      <c r="P32" s="434"/>
      <c r="Q32" s="196"/>
      <c r="R32" s="438"/>
      <c r="S32" s="339"/>
      <c r="T32" s="196"/>
      <c r="U32" s="438"/>
      <c r="V32" s="339"/>
      <c r="W32" s="196"/>
      <c r="X32" s="438"/>
      <c r="Y32" s="339"/>
      <c r="Z32" s="196"/>
      <c r="AA32" s="438"/>
      <c r="AB32" s="339"/>
      <c r="AC32" s="196"/>
      <c r="AD32" s="438"/>
      <c r="AE32" s="339"/>
      <c r="AF32" s="196"/>
      <c r="AG32" s="438"/>
      <c r="AH32" s="339"/>
      <c r="AI32" s="196"/>
      <c r="AJ32" s="438"/>
      <c r="AK32" s="339"/>
      <c r="AL32" s="196"/>
      <c r="AM32" s="438"/>
      <c r="AN32" s="339"/>
      <c r="AO32" s="434"/>
      <c r="AP32" s="434"/>
      <c r="AQ32" s="339"/>
      <c r="AR32" s="653"/>
      <c r="AS32" s="653"/>
      <c r="AT32" s="672"/>
    </row>
    <row r="33" spans="1:46" s="448" customFormat="1" ht="20.100000000000001" customHeight="1" x14ac:dyDescent="0.3">
      <c r="A33" s="581" t="s">
        <v>204</v>
      </c>
      <c r="B33" s="196"/>
      <c r="C33" s="438"/>
      <c r="D33" s="438"/>
      <c r="E33" s="196">
        <v>19.31040771</v>
      </c>
      <c r="F33" s="438">
        <v>14.22554581</v>
      </c>
      <c r="G33" s="438">
        <f t="shared" ref="G33:G93" si="41">IF(E33=0, "    ---- ", IF(ABS(ROUND(100/E33*F33-100,1))&lt;999,ROUND(100/E33*F33-100,1),IF(ROUND(100/E33*F33-100,1)&gt;999,999,-999)))</f>
        <v>-26.3</v>
      </c>
      <c r="H33" s="196"/>
      <c r="I33" s="438"/>
      <c r="J33" s="438"/>
      <c r="K33" s="196"/>
      <c r="L33" s="438"/>
      <c r="M33" s="438"/>
      <c r="N33" s="196"/>
      <c r="O33" s="438"/>
      <c r="P33" s="434"/>
      <c r="Q33" s="196"/>
      <c r="R33" s="438"/>
      <c r="S33" s="339"/>
      <c r="T33" s="196"/>
      <c r="U33" s="438"/>
      <c r="V33" s="339"/>
      <c r="W33" s="196">
        <v>1.9699999999999998E-6</v>
      </c>
      <c r="X33" s="438">
        <v>0</v>
      </c>
      <c r="Y33" s="339"/>
      <c r="Z33" s="196"/>
      <c r="AA33" s="438"/>
      <c r="AB33" s="339" t="str">
        <f t="shared" ref="AB33:AB42" si="42">IF(Z33=0, "    ---- ", IF(ABS(ROUND(100/Z33*AA33-100,1))&lt;999,ROUND(100/Z33*AA33-100,1),IF(ROUND(100/Z33*AA33-100,1)&gt;999,999,-999)))</f>
        <v xml:space="preserve">    ---- </v>
      </c>
      <c r="AC33" s="196"/>
      <c r="AD33" s="438"/>
      <c r="AE33" s="339"/>
      <c r="AF33" s="196"/>
      <c r="AG33" s="438"/>
      <c r="AH33" s="339" t="str">
        <f t="shared" ref="AH33:AH93" si="43">IF(AF33=0, "    ---- ", IF(ABS(ROUND(100/AF33*AG33-100,1))&lt;999,ROUND(100/AF33*AG33-100,1),IF(ROUND(100/AF33*AG33-100,1)&gt;999,999,-999)))</f>
        <v xml:space="preserve">    ---- </v>
      </c>
      <c r="AI33" s="196"/>
      <c r="AJ33" s="438"/>
      <c r="AK33" s="339"/>
      <c r="AL33" s="196"/>
      <c r="AM33" s="438"/>
      <c r="AN33" s="339"/>
      <c r="AO33" s="525">
        <f t="shared" ref="AO33:AP46" si="44">B33+E33+H33+K33+N33+T33+W33+Z33+AF33+AI33</f>
        <v>19.310409679999999</v>
      </c>
      <c r="AP33" s="525">
        <f t="shared" si="44"/>
        <v>14.22554581</v>
      </c>
      <c r="AQ33" s="339">
        <f t="shared" ref="AQ33:AQ93" si="45">IF(AO33=0, "    ---- ", IF(ABS(ROUND(100/AO33*AP33-100,1))&lt;999,ROUND(100/AO33*AP33-100,1),IF(ROUND(100/AO33*AP33-100,1)&gt;999,999,-999)))</f>
        <v>-26.3</v>
      </c>
      <c r="AR33" s="653">
        <f t="shared" ref="AR33:AS46" si="46">B33+E33+H33+K33+N33+Q33+T33+W33+Z33+AC33+AF33+AI33+AL33</f>
        <v>19.310409679999999</v>
      </c>
      <c r="AS33" s="653">
        <f t="shared" si="46"/>
        <v>14.22554581</v>
      </c>
      <c r="AT33" s="672">
        <f t="shared" ref="AT33:AT93" si="47">IF(AR33=0, "    ---- ", IF(ABS(ROUND(100/AR33*AS33-100,1))&lt;999,ROUND(100/AR33*AS33-100,1),IF(ROUND(100/AR33*AS33-100,1)&gt;999,999,-999)))</f>
        <v>-26.3</v>
      </c>
    </row>
    <row r="34" spans="1:46" s="448" customFormat="1" ht="20.100000000000001" customHeight="1" x14ac:dyDescent="0.3">
      <c r="A34" s="581" t="s">
        <v>205</v>
      </c>
      <c r="B34" s="196"/>
      <c r="C34" s="438"/>
      <c r="D34" s="438"/>
      <c r="E34" s="196">
        <v>29302.248</v>
      </c>
      <c r="F34" s="438">
        <v>29961.916000000001</v>
      </c>
      <c r="G34" s="438">
        <f t="shared" si="41"/>
        <v>2.2999999999999998</v>
      </c>
      <c r="H34" s="196"/>
      <c r="I34" s="438">
        <v>446.89577745999998</v>
      </c>
      <c r="J34" s="438"/>
      <c r="K34" s="196"/>
      <c r="L34" s="438"/>
      <c r="M34" s="438"/>
      <c r="N34" s="196">
        <v>1145</v>
      </c>
      <c r="O34" s="438">
        <v>816</v>
      </c>
      <c r="P34" s="434"/>
      <c r="Q34" s="196"/>
      <c r="R34" s="438"/>
      <c r="S34" s="339"/>
      <c r="T34" s="196">
        <v>82505.728371550009</v>
      </c>
      <c r="U34" s="438">
        <v>94354.919986990004</v>
      </c>
      <c r="V34" s="339">
        <f>IF(T34=0, "    ---- ", IF(ABS(ROUND(100/T34*U34-100,1))&lt;999,ROUND(100/T34*U34-100,1),IF(ROUND(100/T34*U34-100,1)&gt;999,999,-999)))</f>
        <v>14.4</v>
      </c>
      <c r="W34" s="196">
        <v>7796.0871254100011</v>
      </c>
      <c r="X34" s="438">
        <v>7934.4157194999998</v>
      </c>
      <c r="Y34" s="339">
        <f t="shared" ref="Y34:Y93" si="48">IF(W34=0, "    ---- ", IF(ABS(ROUND(100/W34*X34-100,1))&lt;999,ROUND(100/W34*X34-100,1),IF(ROUND(100/W34*X34-100,1)&gt;999,999,-999)))</f>
        <v>1.8</v>
      </c>
      <c r="Z34" s="196">
        <f>13909+7452</f>
        <v>21361</v>
      </c>
      <c r="AA34" s="438">
        <v>21179</v>
      </c>
      <c r="AB34" s="339">
        <f t="shared" si="42"/>
        <v>-0.9</v>
      </c>
      <c r="AC34" s="196"/>
      <c r="AD34" s="438"/>
      <c r="AE34" s="339"/>
      <c r="AF34" s="196">
        <v>5141.16</v>
      </c>
      <c r="AG34" s="438">
        <v>5982.3019999999997</v>
      </c>
      <c r="AH34" s="339">
        <f t="shared" si="43"/>
        <v>16.399999999999999</v>
      </c>
      <c r="AI34" s="196">
        <v>21024</v>
      </c>
      <c r="AJ34" s="438">
        <v>24394</v>
      </c>
      <c r="AK34" s="339">
        <f t="shared" ref="AK34:AK93" si="49">IF(AI34=0, "    ---- ", IF(ABS(ROUND(100/AI34*AJ34-100,1))&lt;999,ROUND(100/AI34*AJ34-100,1),IF(ROUND(100/AI34*AJ34-100,1)&gt;999,999,-999)))</f>
        <v>16</v>
      </c>
      <c r="AL34" s="196"/>
      <c r="AM34" s="438"/>
      <c r="AN34" s="339" t="str">
        <f t="shared" ref="AN34:AN45" si="50">IF(AL34=0, "    ---- ", IF(ABS(ROUND(100/AL34*AM34-100,1))&lt;999,ROUND(100/AL34*AM34-100,1),IF(ROUND(100/AL34*AM34-100,1)&gt;999,999,-999)))</f>
        <v xml:space="preserve">    ---- </v>
      </c>
      <c r="AO34" s="525">
        <f t="shared" si="44"/>
        <v>168275.22349696001</v>
      </c>
      <c r="AP34" s="525">
        <f t="shared" si="44"/>
        <v>185069.44948394998</v>
      </c>
      <c r="AQ34" s="339">
        <f t="shared" si="45"/>
        <v>10</v>
      </c>
      <c r="AR34" s="653">
        <f t="shared" si="46"/>
        <v>168275.22349696001</v>
      </c>
      <c r="AS34" s="653">
        <f t="shared" si="46"/>
        <v>185069.44948394998</v>
      </c>
      <c r="AT34" s="672">
        <f t="shared" si="47"/>
        <v>10</v>
      </c>
    </row>
    <row r="35" spans="1:46" s="448" customFormat="1" ht="20.100000000000001" customHeight="1" x14ac:dyDescent="0.3">
      <c r="A35" s="581" t="s">
        <v>206</v>
      </c>
      <c r="B35" s="196"/>
      <c r="C35" s="438">
        <f>SUM(C36+C38)</f>
        <v>0</v>
      </c>
      <c r="D35" s="438"/>
      <c r="E35" s="196">
        <v>97468.290218110007</v>
      </c>
      <c r="F35" s="438">
        <f>SUM(F36+F38)</f>
        <v>102246.04377304</v>
      </c>
      <c r="G35" s="438">
        <f t="shared" si="41"/>
        <v>4.9000000000000004</v>
      </c>
      <c r="H35" s="196">
        <f>SUM(H36+H38)</f>
        <v>402.62045264</v>
      </c>
      <c r="I35" s="438">
        <f>SUM(I36+I38)</f>
        <v>939.99989178999988</v>
      </c>
      <c r="J35" s="438"/>
      <c r="K35" s="196">
        <f>SUM(K36+K38)</f>
        <v>240.51400000000001</v>
      </c>
      <c r="L35" s="438">
        <f>SUM(L36+L38)</f>
        <v>341.16189400000002</v>
      </c>
      <c r="M35" s="438"/>
      <c r="N35" s="196">
        <f>SUM(N36+N38)</f>
        <v>5490</v>
      </c>
      <c r="O35" s="438">
        <f>SUM(O36+O38)</f>
        <v>6579</v>
      </c>
      <c r="P35" s="434">
        <f>IF(N35=0, "    ---- ", IF(ABS(ROUND(100/N35*O35-100,1))&lt;999,ROUND(100/N35*O35-100,1),IF(ROUND(100/N35*O35-100,1)&gt;999,999,-999)))</f>
        <v>19.8</v>
      </c>
      <c r="Q35" s="196"/>
      <c r="R35" s="438">
        <f>SUM(R36+R38)</f>
        <v>0</v>
      </c>
      <c r="S35" s="339"/>
      <c r="T35" s="196">
        <v>250342.27880901998</v>
      </c>
      <c r="U35" s="438">
        <v>265441.88432846998</v>
      </c>
      <c r="V35" s="339">
        <f>IF(T35=0, "    ---- ", IF(ABS(ROUND(100/T35*U35-100,1))&lt;999,ROUND(100/T35*U35-100,1),IF(ROUND(100/T35*U35-100,1)&gt;999,999,-999)))</f>
        <v>6</v>
      </c>
      <c r="W35" s="196">
        <f>SUM(W36+W38)</f>
        <v>33587.803333219897</v>
      </c>
      <c r="X35" s="438">
        <f>SUM(X36+X38)</f>
        <v>35719.729975969894</v>
      </c>
      <c r="Y35" s="339">
        <f t="shared" si="48"/>
        <v>6.3</v>
      </c>
      <c r="Z35" s="196">
        <f>SUM(Z36+Z38)</f>
        <v>24084</v>
      </c>
      <c r="AA35" s="438">
        <f>SUM(AA36+AA38)</f>
        <v>27837</v>
      </c>
      <c r="AB35" s="339">
        <f t="shared" si="42"/>
        <v>15.6</v>
      </c>
      <c r="AC35" s="196"/>
      <c r="AD35" s="438">
        <f>SUM(AD36+AD38)</f>
        <v>0</v>
      </c>
      <c r="AE35" s="339"/>
      <c r="AF35" s="196">
        <f>SUM(AF36+AF38)</f>
        <v>7640.9009999999998</v>
      </c>
      <c r="AG35" s="438">
        <f>SUM(AG36+AG38)</f>
        <v>8392.01</v>
      </c>
      <c r="AH35" s="339">
        <f t="shared" si="43"/>
        <v>9.8000000000000007</v>
      </c>
      <c r="AI35" s="196">
        <f>SUM(AI36+AI38)</f>
        <v>140905</v>
      </c>
      <c r="AJ35" s="438">
        <f>SUM(AJ36+AJ38)</f>
        <v>134692</v>
      </c>
      <c r="AK35" s="339">
        <f t="shared" si="49"/>
        <v>-4.4000000000000004</v>
      </c>
      <c r="AL35" s="196"/>
      <c r="AM35" s="438">
        <f>SUM(AM36+AM38)</f>
        <v>0</v>
      </c>
      <c r="AN35" s="339" t="str">
        <f t="shared" si="50"/>
        <v xml:space="preserve">    ---- </v>
      </c>
      <c r="AO35" s="525">
        <f t="shared" si="44"/>
        <v>560161.4078129899</v>
      </c>
      <c r="AP35" s="525">
        <f t="shared" si="44"/>
        <v>582188.82986326981</v>
      </c>
      <c r="AQ35" s="339">
        <f t="shared" si="45"/>
        <v>3.9</v>
      </c>
      <c r="AR35" s="653">
        <f t="shared" si="46"/>
        <v>560161.4078129899</v>
      </c>
      <c r="AS35" s="653">
        <f t="shared" si="46"/>
        <v>582188.82986326981</v>
      </c>
      <c r="AT35" s="672">
        <f t="shared" si="47"/>
        <v>3.9</v>
      </c>
    </row>
    <row r="36" spans="1:46" s="448" customFormat="1" ht="20.100000000000001" customHeight="1" x14ac:dyDescent="0.3">
      <c r="A36" s="581" t="s">
        <v>207</v>
      </c>
      <c r="B36" s="196"/>
      <c r="C36" s="438"/>
      <c r="D36" s="339"/>
      <c r="E36" s="196">
        <v>69621.323034740009</v>
      </c>
      <c r="F36" s="438">
        <v>77476.203275720007</v>
      </c>
      <c r="G36" s="339">
        <f t="shared" si="41"/>
        <v>11.3</v>
      </c>
      <c r="H36" s="196"/>
      <c r="I36" s="438"/>
      <c r="J36" s="339"/>
      <c r="K36" s="196">
        <v>240.51400000000001</v>
      </c>
      <c r="L36" s="438">
        <v>341.16189400000002</v>
      </c>
      <c r="M36" s="339"/>
      <c r="N36" s="196"/>
      <c r="O36" s="438"/>
      <c r="P36" s="434" t="str">
        <f>IF(N36=0, "    ---- ", IF(ABS(ROUND(100/N36*O36-100,1))&lt;999,ROUND(100/N36*O36-100,1),IF(ROUND(100/N36*O36-100,1)&gt;999,999,-999)))</f>
        <v xml:space="preserve">    ---- </v>
      </c>
      <c r="Q36" s="196"/>
      <c r="R36" s="438"/>
      <c r="S36" s="339"/>
      <c r="T36" s="196">
        <v>20929.823240470003</v>
      </c>
      <c r="U36" s="438">
        <v>18971.948446259998</v>
      </c>
      <c r="V36" s="339">
        <f>IF(T36=0, "    ---- ", IF(ABS(ROUND(100/T36*U36-100,1))&lt;999,ROUND(100/T36*U36-100,1),IF(ROUND(100/T36*U36-100,1)&gt;999,999,-999)))</f>
        <v>-9.4</v>
      </c>
      <c r="W36" s="196">
        <v>523.27463833000002</v>
      </c>
      <c r="X36" s="438">
        <v>3.4000000000000003E-7</v>
      </c>
      <c r="Y36" s="339">
        <f t="shared" si="48"/>
        <v>-100</v>
      </c>
      <c r="Z36" s="196"/>
      <c r="AA36" s="438">
        <v>205</v>
      </c>
      <c r="AB36" s="339" t="str">
        <f t="shared" si="42"/>
        <v xml:space="preserve">    ---- </v>
      </c>
      <c r="AC36" s="196"/>
      <c r="AD36" s="438"/>
      <c r="AE36" s="339"/>
      <c r="AF36" s="196">
        <v>305.45299999999997</v>
      </c>
      <c r="AG36" s="438">
        <v>216.74</v>
      </c>
      <c r="AH36" s="339">
        <f t="shared" si="43"/>
        <v>-29</v>
      </c>
      <c r="AI36" s="196">
        <v>10033</v>
      </c>
      <c r="AJ36" s="438">
        <v>8497</v>
      </c>
      <c r="AK36" s="339">
        <f t="shared" si="49"/>
        <v>-15.3</v>
      </c>
      <c r="AL36" s="196"/>
      <c r="AM36" s="438"/>
      <c r="AN36" s="339" t="str">
        <f t="shared" si="50"/>
        <v xml:space="preserve">    ---- </v>
      </c>
      <c r="AO36" s="525">
        <f t="shared" si="44"/>
        <v>101653.38791354001</v>
      </c>
      <c r="AP36" s="525">
        <f t="shared" si="44"/>
        <v>105708.05361632002</v>
      </c>
      <c r="AQ36" s="339">
        <f t="shared" si="45"/>
        <v>4</v>
      </c>
      <c r="AR36" s="653">
        <f t="shared" si="46"/>
        <v>101653.38791354001</v>
      </c>
      <c r="AS36" s="653">
        <f t="shared" si="46"/>
        <v>105708.05361632002</v>
      </c>
      <c r="AT36" s="672">
        <f t="shared" si="47"/>
        <v>4</v>
      </c>
    </row>
    <row r="37" spans="1:46" s="448" customFormat="1" ht="20.100000000000001" customHeight="1" x14ac:dyDescent="0.3">
      <c r="A37" s="581" t="s">
        <v>190</v>
      </c>
      <c r="B37" s="196"/>
      <c r="C37" s="438"/>
      <c r="D37" s="438"/>
      <c r="E37" s="196">
        <v>69621.323034740009</v>
      </c>
      <c r="F37" s="438">
        <v>77476.203275720007</v>
      </c>
      <c r="G37" s="438">
        <f t="shared" si="41"/>
        <v>11.3</v>
      </c>
      <c r="H37" s="196"/>
      <c r="I37" s="438"/>
      <c r="J37" s="438"/>
      <c r="K37" s="196"/>
      <c r="L37" s="438"/>
      <c r="M37" s="438"/>
      <c r="N37" s="196"/>
      <c r="O37" s="438"/>
      <c r="P37" s="434" t="str">
        <f>IF(N37=0, "    ---- ", IF(ABS(ROUND(100/N37*O37-100,1))&lt;999,ROUND(100/N37*O37-100,1),IF(ROUND(100/N37*O37-100,1)&gt;999,999,-999)))</f>
        <v xml:space="preserve">    ---- </v>
      </c>
      <c r="Q37" s="196"/>
      <c r="R37" s="438"/>
      <c r="S37" s="339"/>
      <c r="T37" s="196">
        <v>20929.823240470003</v>
      </c>
      <c r="U37" s="438">
        <v>18971.948446259998</v>
      </c>
      <c r="V37" s="339">
        <f>IF(T37=0, "    ---- ", IF(ABS(ROUND(100/T37*U37-100,1))&lt;999,ROUND(100/T37*U37-100,1),IF(ROUND(100/T37*U37-100,1)&gt;999,999,-999)))</f>
        <v>-9.4</v>
      </c>
      <c r="W37" s="196">
        <v>523.27463833000002</v>
      </c>
      <c r="X37" s="438">
        <v>3.4000000000000003E-7</v>
      </c>
      <c r="Y37" s="339">
        <f t="shared" si="48"/>
        <v>-100</v>
      </c>
      <c r="Z37" s="196"/>
      <c r="AA37" s="438"/>
      <c r="AB37" s="339" t="str">
        <f t="shared" si="42"/>
        <v xml:space="preserve">    ---- </v>
      </c>
      <c r="AC37" s="196"/>
      <c r="AD37" s="438"/>
      <c r="AE37" s="339"/>
      <c r="AF37" s="196">
        <v>-8.4750354290008545E-13</v>
      </c>
      <c r="AG37" s="438">
        <v>-8.4750354290008545E-13</v>
      </c>
      <c r="AH37" s="339">
        <f t="shared" si="43"/>
        <v>0</v>
      </c>
      <c r="AI37" s="196">
        <v>10033</v>
      </c>
      <c r="AJ37" s="438">
        <v>8497</v>
      </c>
      <c r="AK37" s="339">
        <f t="shared" si="49"/>
        <v>-15.3</v>
      </c>
      <c r="AL37" s="196"/>
      <c r="AM37" s="438"/>
      <c r="AN37" s="339" t="str">
        <f t="shared" si="50"/>
        <v xml:space="preserve">    ---- </v>
      </c>
      <c r="AO37" s="525">
        <f t="shared" si="44"/>
        <v>101107.42091354002</v>
      </c>
      <c r="AP37" s="525">
        <f t="shared" si="44"/>
        <v>104945.15172232001</v>
      </c>
      <c r="AQ37" s="339">
        <f t="shared" si="45"/>
        <v>3.8</v>
      </c>
      <c r="AR37" s="653">
        <f t="shared" si="46"/>
        <v>101107.42091354002</v>
      </c>
      <c r="AS37" s="653">
        <f t="shared" si="46"/>
        <v>104945.15172232001</v>
      </c>
      <c r="AT37" s="672">
        <f t="shared" si="47"/>
        <v>3.8</v>
      </c>
    </row>
    <row r="38" spans="1:46" s="448" customFormat="1" ht="20.100000000000001" customHeight="1" x14ac:dyDescent="0.3">
      <c r="A38" s="581" t="s">
        <v>208</v>
      </c>
      <c r="B38" s="196"/>
      <c r="C38" s="438"/>
      <c r="D38" s="438"/>
      <c r="E38" s="196">
        <v>27846.967183369998</v>
      </c>
      <c r="F38" s="438">
        <v>24769.840497320001</v>
      </c>
      <c r="G38" s="438"/>
      <c r="H38" s="196">
        <v>402.62045264</v>
      </c>
      <c r="I38" s="438">
        <v>939.99989178999988</v>
      </c>
      <c r="J38" s="438"/>
      <c r="K38" s="196"/>
      <c r="L38" s="438"/>
      <c r="M38" s="438"/>
      <c r="N38" s="196">
        <v>5490</v>
      </c>
      <c r="O38" s="438">
        <v>6579</v>
      </c>
      <c r="P38" s="434">
        <f t="shared" ref="P38:P57" si="51">IF(N38=0, "    ---- ", IF(ABS(ROUND(100/N38*O38-100,1))&lt;999,ROUND(100/N38*O38-100,1),IF(ROUND(100/N38*O38-100,1)&gt;999,999,-999)))</f>
        <v>19.8</v>
      </c>
      <c r="Q38" s="196"/>
      <c r="R38" s="438"/>
      <c r="S38" s="339"/>
      <c r="T38" s="196">
        <v>229412.45556854998</v>
      </c>
      <c r="U38" s="438">
        <v>246469.93588221</v>
      </c>
      <c r="V38" s="339">
        <f t="shared" ref="V38:V45" si="52">IF(T38=0, "    ---- ", IF(ABS(ROUND(100/T38*U38-100,1))&lt;999,ROUND(100/T38*U38-100,1),IF(ROUND(100/T38*U38-100,1)&gt;999,999,-999)))</f>
        <v>7.4</v>
      </c>
      <c r="W38" s="196">
        <v>33064.528694889901</v>
      </c>
      <c r="X38" s="438">
        <v>35719.729975629896</v>
      </c>
      <c r="Y38" s="339">
        <f t="shared" si="48"/>
        <v>8</v>
      </c>
      <c r="Z38" s="196">
        <v>24084</v>
      </c>
      <c r="AA38" s="438">
        <f>27632</f>
        <v>27632</v>
      </c>
      <c r="AB38" s="339">
        <f t="shared" si="42"/>
        <v>14.7</v>
      </c>
      <c r="AC38" s="196"/>
      <c r="AD38" s="438"/>
      <c r="AE38" s="339"/>
      <c r="AF38" s="196">
        <v>7335.4480000000003</v>
      </c>
      <c r="AG38" s="438">
        <v>8175.27</v>
      </c>
      <c r="AH38" s="339">
        <f t="shared" si="43"/>
        <v>11.4</v>
      </c>
      <c r="AI38" s="196">
        <f>105078+22402+3392</f>
        <v>130872</v>
      </c>
      <c r="AJ38" s="438">
        <f>106555+17155+2485</f>
        <v>126195</v>
      </c>
      <c r="AK38" s="339">
        <f t="shared" si="49"/>
        <v>-3.6</v>
      </c>
      <c r="AL38" s="196"/>
      <c r="AM38" s="438"/>
      <c r="AN38" s="339" t="str">
        <f t="shared" si="50"/>
        <v xml:space="preserve">    ---- </v>
      </c>
      <c r="AO38" s="525">
        <f t="shared" si="44"/>
        <v>458508.01989944984</v>
      </c>
      <c r="AP38" s="525">
        <f t="shared" si="44"/>
        <v>476480.77624694991</v>
      </c>
      <c r="AQ38" s="339">
        <f t="shared" si="45"/>
        <v>3.9</v>
      </c>
      <c r="AR38" s="653">
        <f t="shared" si="46"/>
        <v>458508.01989944984</v>
      </c>
      <c r="AS38" s="653">
        <f t="shared" si="46"/>
        <v>476480.77624694991</v>
      </c>
      <c r="AT38" s="672">
        <f t="shared" si="47"/>
        <v>3.9</v>
      </c>
    </row>
    <row r="39" spans="1:46" s="448" customFormat="1" ht="20.100000000000001" customHeight="1" x14ac:dyDescent="0.3">
      <c r="A39" s="581" t="s">
        <v>209</v>
      </c>
      <c r="B39" s="196">
        <v>1358.36</v>
      </c>
      <c r="C39" s="438">
        <f>SUM(C40:C44)</f>
        <v>1409.069</v>
      </c>
      <c r="D39" s="438">
        <f>IF(B39=0, "    ---- ", IF(ABS(ROUND(100/B39*C39-100,1))&lt;999,ROUND(100/B39*C39-100,1),IF(ROUND(100/B39*C39-100,1)&gt;999,999,-999)))</f>
        <v>3.7</v>
      </c>
      <c r="E39" s="196">
        <v>73318.901702349991</v>
      </c>
      <c r="F39" s="438">
        <f>SUM(F40:F44)</f>
        <v>64207.219885910003</v>
      </c>
      <c r="G39" s="438">
        <f t="shared" si="41"/>
        <v>-12.4</v>
      </c>
      <c r="H39" s="196">
        <f>SUM(H40:H44)</f>
        <v>6882.6190759100009</v>
      </c>
      <c r="I39" s="438">
        <f>SUM(I40:I44)</f>
        <v>6338.9984216999992</v>
      </c>
      <c r="J39" s="438">
        <f>IF(H39=0, "    ---- ", IF(ABS(ROUND(100/H39*I39-100,1))&lt;999,ROUND(100/H39*I39-100,1),IF(ROUND(100/H39*I39-100,1)&gt;999,999,-999)))</f>
        <v>-7.9</v>
      </c>
      <c r="K39" s="196">
        <f>SUM(K40:K44)</f>
        <v>920.25300000000004</v>
      </c>
      <c r="L39" s="438">
        <f>SUM(L40:L44)</f>
        <v>983.12049999999999</v>
      </c>
      <c r="M39" s="438">
        <f t="shared" ref="M39:M46" si="53">IF(K39=0, "    ---- ", IF(ABS(ROUND(100/K39*L39-100,1))&lt;999,ROUND(100/K39*L39-100,1),IF(ROUND(100/K39*L39-100,1)&gt;999,999,-999)))</f>
        <v>6.8</v>
      </c>
      <c r="N39" s="196">
        <f>SUM(N40:N44)</f>
        <v>891</v>
      </c>
      <c r="O39" s="438">
        <f>SUM(O40:O44)</f>
        <v>658</v>
      </c>
      <c r="P39" s="434">
        <f t="shared" si="51"/>
        <v>-26.2</v>
      </c>
      <c r="Q39" s="196"/>
      <c r="R39" s="438">
        <f>SUM(R40:R44)</f>
        <v>0</v>
      </c>
      <c r="S39" s="339"/>
      <c r="T39" s="196">
        <v>293432.12656512996</v>
      </c>
      <c r="U39" s="438">
        <v>301037.42307236005</v>
      </c>
      <c r="V39" s="339">
        <f t="shared" si="52"/>
        <v>2.6</v>
      </c>
      <c r="W39" s="196">
        <f>SUM(W40:W44)</f>
        <v>13916.708105780001</v>
      </c>
      <c r="X39" s="438">
        <f>SUM(X40:X44)</f>
        <v>12928.238465619999</v>
      </c>
      <c r="Y39" s="339">
        <f t="shared" si="48"/>
        <v>-7.1</v>
      </c>
      <c r="Z39" s="196">
        <f>SUM(Z40:Z44)</f>
        <v>62214</v>
      </c>
      <c r="AA39" s="438">
        <f>SUM(AA40:AA44)</f>
        <v>62630</v>
      </c>
      <c r="AB39" s="339">
        <f t="shared" si="42"/>
        <v>0.7</v>
      </c>
      <c r="AC39" s="196"/>
      <c r="AD39" s="438">
        <f>SUM(AD40:AD44)</f>
        <v>0</v>
      </c>
      <c r="AE39" s="339"/>
      <c r="AF39" s="196">
        <f>SUM(AF40:AF44)</f>
        <v>10403.308000000001</v>
      </c>
      <c r="AG39" s="438">
        <f>SUM(AG40:AG44)</f>
        <v>8865.746000000001</v>
      </c>
      <c r="AH39" s="339">
        <f t="shared" si="43"/>
        <v>-14.8</v>
      </c>
      <c r="AI39" s="196">
        <f>SUM(AI40:AI44)</f>
        <v>44493</v>
      </c>
      <c r="AJ39" s="438">
        <f>SUM(AJ40:AJ44)</f>
        <v>44636</v>
      </c>
      <c r="AK39" s="339">
        <f t="shared" si="49"/>
        <v>0.3</v>
      </c>
      <c r="AL39" s="196"/>
      <c r="AM39" s="438">
        <f>SUM(AM40:AM44)</f>
        <v>0</v>
      </c>
      <c r="AN39" s="339" t="str">
        <f t="shared" si="50"/>
        <v xml:space="preserve">    ---- </v>
      </c>
      <c r="AO39" s="525">
        <f t="shared" si="44"/>
        <v>507830.27644916996</v>
      </c>
      <c r="AP39" s="525">
        <f t="shared" si="44"/>
        <v>503693.81534559</v>
      </c>
      <c r="AQ39" s="339">
        <f t="shared" si="45"/>
        <v>-0.8</v>
      </c>
      <c r="AR39" s="653">
        <f t="shared" si="46"/>
        <v>507830.27644916996</v>
      </c>
      <c r="AS39" s="653">
        <f t="shared" si="46"/>
        <v>503693.81534559</v>
      </c>
      <c r="AT39" s="672">
        <f t="shared" si="47"/>
        <v>-0.8</v>
      </c>
    </row>
    <row r="40" spans="1:46" s="448" customFormat="1" ht="20.100000000000001" customHeight="1" x14ac:dyDescent="0.3">
      <c r="A40" s="581" t="s">
        <v>210</v>
      </c>
      <c r="B40" s="196">
        <v>45.462000000000003</v>
      </c>
      <c r="C40" s="438">
        <v>35.856000000000002</v>
      </c>
      <c r="D40" s="339">
        <f>IF(B40=0, "    ---- ", IF(ABS(ROUND(100/B40*C40-100,1))&lt;999,ROUND(100/B40*C40-100,1),IF(ROUND(100/B40*C40-100,1)&gt;999,999,-999)))</f>
        <v>-21.1</v>
      </c>
      <c r="E40" s="196">
        <v>11600.124878750001</v>
      </c>
      <c r="F40" s="438">
        <v>15622.390632479999</v>
      </c>
      <c r="G40" s="339">
        <f t="shared" si="41"/>
        <v>34.700000000000003</v>
      </c>
      <c r="H40" s="196"/>
      <c r="I40" s="438">
        <v>280.74172336000004</v>
      </c>
      <c r="J40" s="339" t="str">
        <f>IF(H40=0, "    ---- ", IF(ABS(ROUND(100/H40*I40-100,1))&lt;999,ROUND(100/H40*I40-100,1),IF(ROUND(100/H40*I40-100,1)&gt;999,999,-999)))</f>
        <v xml:space="preserve">    ---- </v>
      </c>
      <c r="K40" s="196">
        <v>133.37200000000001</v>
      </c>
      <c r="L40" s="438">
        <v>137.393134</v>
      </c>
      <c r="M40" s="339">
        <f t="shared" si="53"/>
        <v>3</v>
      </c>
      <c r="N40" s="196">
        <v>8</v>
      </c>
      <c r="O40" s="438">
        <v>9</v>
      </c>
      <c r="P40" s="434"/>
      <c r="Q40" s="196"/>
      <c r="R40" s="438"/>
      <c r="S40" s="339"/>
      <c r="T40" s="196">
        <v>160576.80735439001</v>
      </c>
      <c r="U40" s="438">
        <v>178718.51087582001</v>
      </c>
      <c r="V40" s="339">
        <f t="shared" si="52"/>
        <v>11.3</v>
      </c>
      <c r="W40" s="196">
        <v>6562.6317855500001</v>
      </c>
      <c r="X40" s="438">
        <v>6524.8134607799993</v>
      </c>
      <c r="Y40" s="339">
        <f t="shared" si="48"/>
        <v>-0.6</v>
      </c>
      <c r="Z40" s="196">
        <v>40497</v>
      </c>
      <c r="AA40" s="438">
        <v>37629</v>
      </c>
      <c r="AB40" s="339">
        <f t="shared" si="42"/>
        <v>-7.1</v>
      </c>
      <c r="AC40" s="196"/>
      <c r="AD40" s="438"/>
      <c r="AE40" s="339"/>
      <c r="AF40" s="196">
        <v>3715.7249999999999</v>
      </c>
      <c r="AG40" s="438">
        <v>3326.549</v>
      </c>
      <c r="AH40" s="339">
        <f t="shared" si="43"/>
        <v>-10.5</v>
      </c>
      <c r="AI40" s="196">
        <v>16810</v>
      </c>
      <c r="AJ40" s="438">
        <v>19120</v>
      </c>
      <c r="AK40" s="339">
        <f t="shared" si="49"/>
        <v>13.7</v>
      </c>
      <c r="AL40" s="196"/>
      <c r="AM40" s="438"/>
      <c r="AN40" s="339" t="str">
        <f t="shared" si="50"/>
        <v xml:space="preserve">    ---- </v>
      </c>
      <c r="AO40" s="525">
        <f t="shared" si="44"/>
        <v>239949.12301869004</v>
      </c>
      <c r="AP40" s="525">
        <f t="shared" si="44"/>
        <v>261404.25482643998</v>
      </c>
      <c r="AQ40" s="339">
        <f t="shared" si="45"/>
        <v>8.9</v>
      </c>
      <c r="AR40" s="653">
        <f t="shared" si="46"/>
        <v>239949.12301869004</v>
      </c>
      <c r="AS40" s="653">
        <f t="shared" si="46"/>
        <v>261404.25482643998</v>
      </c>
      <c r="AT40" s="672">
        <f t="shared" si="47"/>
        <v>8.9</v>
      </c>
    </row>
    <row r="41" spans="1:46" s="448" customFormat="1" ht="20.100000000000001" customHeight="1" x14ac:dyDescent="0.3">
      <c r="A41" s="581" t="s">
        <v>211</v>
      </c>
      <c r="B41" s="196">
        <v>1290.318</v>
      </c>
      <c r="C41" s="438">
        <v>1267.472</v>
      </c>
      <c r="D41" s="438">
        <f>IF(B41=0, "    ---- ", IF(ABS(ROUND(100/B41*C41-100,1))&lt;999,ROUND(100/B41*C41-100,1),IF(ROUND(100/B41*C41-100,1)&gt;999,999,-999)))</f>
        <v>-1.8</v>
      </c>
      <c r="E41" s="196">
        <v>60193.175287239996</v>
      </c>
      <c r="F41" s="438">
        <v>46912.775425580003</v>
      </c>
      <c r="G41" s="438">
        <f t="shared" si="41"/>
        <v>-22.1</v>
      </c>
      <c r="H41" s="196">
        <v>6656.4172912800004</v>
      </c>
      <c r="I41" s="438">
        <v>5750.9225297499997</v>
      </c>
      <c r="J41" s="438">
        <f>IF(H41=0, "    ---- ", IF(ABS(ROUND(100/H41*I41-100,1))&lt;999,ROUND(100/H41*I41-100,1),IF(ROUND(100/H41*I41-100,1)&gt;999,999,-999)))</f>
        <v>-13.6</v>
      </c>
      <c r="K41" s="196">
        <v>566.39700000000005</v>
      </c>
      <c r="L41" s="438">
        <v>601.59525499999995</v>
      </c>
      <c r="M41" s="438">
        <f>IF(K41=0, "    ---- ", IF(ABS(ROUND(100/K41*L41-100,1))&lt;999,ROUND(100/K41*L41-100,1),IF(ROUND(100/K41*L41-100,1)&gt;999,999,-999)))</f>
        <v>6.2</v>
      </c>
      <c r="N41" s="196">
        <v>860</v>
      </c>
      <c r="O41" s="438">
        <v>641</v>
      </c>
      <c r="P41" s="434">
        <f t="shared" si="51"/>
        <v>-25.5</v>
      </c>
      <c r="Q41" s="196"/>
      <c r="R41" s="438"/>
      <c r="S41" s="339"/>
      <c r="T41" s="196">
        <v>114108.86984314</v>
      </c>
      <c r="U41" s="438">
        <v>98722.20714910001</v>
      </c>
      <c r="V41" s="339">
        <f t="shared" si="52"/>
        <v>-13.5</v>
      </c>
      <c r="W41" s="196">
        <v>7163.6901250200008</v>
      </c>
      <c r="X41" s="438">
        <v>6080.4468740100001</v>
      </c>
      <c r="Y41" s="339">
        <f t="shared" si="48"/>
        <v>-15.1</v>
      </c>
      <c r="Z41" s="196">
        <v>19668</v>
      </c>
      <c r="AA41" s="438">
        <v>26133</v>
      </c>
      <c r="AB41" s="339">
        <f t="shared" si="42"/>
        <v>32.9</v>
      </c>
      <c r="AC41" s="196"/>
      <c r="AD41" s="438"/>
      <c r="AE41" s="339"/>
      <c r="AF41" s="196">
        <v>6414.777</v>
      </c>
      <c r="AG41" s="438">
        <v>5306.2169999999996</v>
      </c>
      <c r="AH41" s="339">
        <f t="shared" si="43"/>
        <v>-17.3</v>
      </c>
      <c r="AI41" s="196">
        <v>25552</v>
      </c>
      <c r="AJ41" s="438">
        <v>23950</v>
      </c>
      <c r="AK41" s="339">
        <f t="shared" si="49"/>
        <v>-6.3</v>
      </c>
      <c r="AL41" s="196"/>
      <c r="AM41" s="438"/>
      <c r="AN41" s="339" t="str">
        <f t="shared" si="50"/>
        <v xml:space="preserve">    ---- </v>
      </c>
      <c r="AO41" s="525">
        <f t="shared" si="44"/>
        <v>242473.64454667998</v>
      </c>
      <c r="AP41" s="525">
        <f t="shared" si="44"/>
        <v>215365.63623344002</v>
      </c>
      <c r="AQ41" s="339">
        <f t="shared" si="45"/>
        <v>-11.2</v>
      </c>
      <c r="AR41" s="653">
        <f t="shared" si="46"/>
        <v>242473.64454667998</v>
      </c>
      <c r="AS41" s="653">
        <f t="shared" si="46"/>
        <v>215365.63623344002</v>
      </c>
      <c r="AT41" s="672">
        <f t="shared" si="47"/>
        <v>-11.2</v>
      </c>
    </row>
    <row r="42" spans="1:46" s="448" customFormat="1" ht="20.100000000000001" customHeight="1" x14ac:dyDescent="0.3">
      <c r="A42" s="581" t="s">
        <v>212</v>
      </c>
      <c r="B42" s="196"/>
      <c r="C42" s="438"/>
      <c r="D42" s="438"/>
      <c r="E42" s="196">
        <v>525.692947</v>
      </c>
      <c r="F42" s="438">
        <v>282.52220052999996</v>
      </c>
      <c r="G42" s="438">
        <f t="shared" si="41"/>
        <v>-46.3</v>
      </c>
      <c r="H42" s="196">
        <v>105.05672758999998</v>
      </c>
      <c r="I42" s="438">
        <v>264.61754744000001</v>
      </c>
      <c r="J42" s="438"/>
      <c r="K42" s="196"/>
      <c r="L42" s="438"/>
      <c r="M42" s="438"/>
      <c r="N42" s="196"/>
      <c r="O42" s="438"/>
      <c r="P42" s="434" t="str">
        <f t="shared" si="51"/>
        <v xml:space="preserve">    ---- </v>
      </c>
      <c r="Q42" s="196"/>
      <c r="R42" s="438"/>
      <c r="S42" s="339"/>
      <c r="T42" s="196">
        <v>12980.211771229999</v>
      </c>
      <c r="U42" s="438">
        <v>8124.7814529699999</v>
      </c>
      <c r="V42" s="339">
        <f t="shared" si="52"/>
        <v>-37.4</v>
      </c>
      <c r="W42" s="196">
        <v>0</v>
      </c>
      <c r="X42" s="438">
        <v>0</v>
      </c>
      <c r="Y42" s="339"/>
      <c r="Z42" s="196"/>
      <c r="AA42" s="438"/>
      <c r="AB42" s="339" t="str">
        <f t="shared" si="42"/>
        <v xml:space="preserve">    ---- </v>
      </c>
      <c r="AC42" s="196"/>
      <c r="AD42" s="438"/>
      <c r="AE42" s="339"/>
      <c r="AF42" s="196"/>
      <c r="AG42" s="438">
        <v>-23.754999999999999</v>
      </c>
      <c r="AH42" s="339"/>
      <c r="AI42" s="196">
        <v>-1</v>
      </c>
      <c r="AJ42" s="438"/>
      <c r="AK42" s="339">
        <f t="shared" si="49"/>
        <v>-100</v>
      </c>
      <c r="AL42" s="196"/>
      <c r="AM42" s="438"/>
      <c r="AN42" s="339" t="str">
        <f t="shared" si="50"/>
        <v xml:space="preserve">    ---- </v>
      </c>
      <c r="AO42" s="525">
        <f t="shared" si="44"/>
        <v>13609.961445819999</v>
      </c>
      <c r="AP42" s="525">
        <f t="shared" si="44"/>
        <v>8648.1662009400006</v>
      </c>
      <c r="AQ42" s="339">
        <f t="shared" si="45"/>
        <v>-36.5</v>
      </c>
      <c r="AR42" s="653">
        <f t="shared" si="46"/>
        <v>13609.961445819999</v>
      </c>
      <c r="AS42" s="653">
        <f t="shared" si="46"/>
        <v>8648.1662009400006</v>
      </c>
      <c r="AT42" s="672">
        <f t="shared" si="47"/>
        <v>-36.5</v>
      </c>
    </row>
    <row r="43" spans="1:46" s="448" customFormat="1" ht="20.100000000000001" customHeight="1" x14ac:dyDescent="0.3">
      <c r="A43" s="581" t="s">
        <v>213</v>
      </c>
      <c r="B43" s="196"/>
      <c r="C43" s="438"/>
      <c r="D43" s="438" t="str">
        <f>IF(B43=0, "    ---- ", IF(ABS(ROUND(100/B43*C43-100,1))&lt;999,ROUND(100/B43*C43-100,1),IF(ROUND(100/B43*C43-100,1)&gt;999,999,-999)))</f>
        <v xml:space="preserve">    ---- </v>
      </c>
      <c r="E43" s="196">
        <v>84.738546650000004</v>
      </c>
      <c r="F43" s="438">
        <v>501.68972639999998</v>
      </c>
      <c r="G43" s="438">
        <f t="shared" si="41"/>
        <v>492</v>
      </c>
      <c r="H43" s="196"/>
      <c r="I43" s="438">
        <v>20.467887080000001</v>
      </c>
      <c r="J43" s="438"/>
      <c r="K43" s="196"/>
      <c r="L43" s="438"/>
      <c r="M43" s="438"/>
      <c r="N43" s="196"/>
      <c r="O43" s="438"/>
      <c r="P43" s="434"/>
      <c r="Q43" s="196"/>
      <c r="R43" s="438"/>
      <c r="S43" s="339"/>
      <c r="T43" s="196">
        <v>310.01896543999999</v>
      </c>
      <c r="U43" s="438">
        <v>498.31394757999999</v>
      </c>
      <c r="V43" s="339">
        <f t="shared" si="52"/>
        <v>60.7</v>
      </c>
      <c r="W43" s="196">
        <v>0.93320679000000006</v>
      </c>
      <c r="X43" s="438">
        <v>10.286730539999999</v>
      </c>
      <c r="Y43" s="339">
        <f t="shared" si="48"/>
        <v>999</v>
      </c>
      <c r="Z43" s="196">
        <v>187</v>
      </c>
      <c r="AA43" s="438">
        <v>-1805</v>
      </c>
      <c r="AB43" s="339">
        <f>IF(Z43=0, "    ---- ", IF(ABS(ROUND(100/Z43*AA43-100,1))&lt;999,ROUND(100/Z43*AA43-100,1),IF(ROUND(100/Z43*AA43-100,1)&gt;999,999,-999)))</f>
        <v>-999</v>
      </c>
      <c r="AC43" s="196"/>
      <c r="AD43" s="438"/>
      <c r="AE43" s="339"/>
      <c r="AF43" s="196">
        <v>88.918000000000006</v>
      </c>
      <c r="AG43" s="438">
        <v>33.546999999999997</v>
      </c>
      <c r="AH43" s="339">
        <f t="shared" si="43"/>
        <v>-62.3</v>
      </c>
      <c r="AI43" s="196">
        <v>2132</v>
      </c>
      <c r="AJ43" s="438">
        <v>1566</v>
      </c>
      <c r="AK43" s="339">
        <f t="shared" si="49"/>
        <v>-26.5</v>
      </c>
      <c r="AL43" s="196"/>
      <c r="AM43" s="438"/>
      <c r="AN43" s="339" t="str">
        <f t="shared" si="50"/>
        <v xml:space="preserve">    ---- </v>
      </c>
      <c r="AO43" s="525">
        <f t="shared" si="44"/>
        <v>2803.6087188800002</v>
      </c>
      <c r="AP43" s="525">
        <f t="shared" si="44"/>
        <v>825.30529159999992</v>
      </c>
      <c r="AQ43" s="339">
        <f t="shared" si="45"/>
        <v>-70.599999999999994</v>
      </c>
      <c r="AR43" s="653">
        <f t="shared" si="46"/>
        <v>2803.6087188800002</v>
      </c>
      <c r="AS43" s="653">
        <f t="shared" si="46"/>
        <v>825.30529159999992</v>
      </c>
      <c r="AT43" s="672">
        <f t="shared" si="47"/>
        <v>-70.599999999999994</v>
      </c>
    </row>
    <row r="44" spans="1:46" s="448" customFormat="1" ht="20.100000000000001" customHeight="1" x14ac:dyDescent="0.3">
      <c r="A44" s="581" t="s">
        <v>214</v>
      </c>
      <c r="B44" s="196">
        <v>22.58</v>
      </c>
      <c r="C44" s="438">
        <v>105.741</v>
      </c>
      <c r="D44" s="438">
        <f>IF(B44=0, "    ---- ", IF(ABS(ROUND(100/B44*C44-100,1))&lt;999,ROUND(100/B44*C44-100,1),IF(ROUND(100/B44*C44-100,1)&gt;999,999,-999)))</f>
        <v>368.3</v>
      </c>
      <c r="E44" s="196">
        <v>915.17004271000019</v>
      </c>
      <c r="F44" s="438">
        <v>887.84190091999994</v>
      </c>
      <c r="G44" s="438">
        <f t="shared" si="41"/>
        <v>-3</v>
      </c>
      <c r="H44" s="196">
        <v>121.14505704000001</v>
      </c>
      <c r="I44" s="438">
        <v>22.248734070000022</v>
      </c>
      <c r="J44" s="438">
        <f>IF(H44=0, "    ---- ", IF(ABS(ROUND(100/H44*I44-100,1))&lt;999,ROUND(100/H44*I44-100,1),IF(ROUND(100/H44*I44-100,1)&gt;999,999,-999)))</f>
        <v>-81.599999999999994</v>
      </c>
      <c r="K44" s="196">
        <v>220.48400000000001</v>
      </c>
      <c r="L44" s="438">
        <v>244.13211100000001</v>
      </c>
      <c r="M44" s="438">
        <f t="shared" si="53"/>
        <v>10.7</v>
      </c>
      <c r="N44" s="196">
        <v>23</v>
      </c>
      <c r="O44" s="438">
        <v>8</v>
      </c>
      <c r="P44" s="434">
        <f t="shared" si="51"/>
        <v>-65.2</v>
      </c>
      <c r="Q44" s="196"/>
      <c r="R44" s="438"/>
      <c r="S44" s="339"/>
      <c r="T44" s="196">
        <v>5456.2186309300005</v>
      </c>
      <c r="U44" s="438">
        <v>14973.60964689</v>
      </c>
      <c r="V44" s="339">
        <f t="shared" si="52"/>
        <v>174.4</v>
      </c>
      <c r="W44" s="196">
        <v>189.45298842</v>
      </c>
      <c r="X44" s="438">
        <v>312.69140029000005</v>
      </c>
      <c r="Y44" s="339">
        <f t="shared" si="48"/>
        <v>65</v>
      </c>
      <c r="Z44" s="196">
        <f>1861+1</f>
        <v>1862</v>
      </c>
      <c r="AA44" s="438">
        <v>673</v>
      </c>
      <c r="AB44" s="339">
        <f>IF(Z44=0, "    ---- ", IF(ABS(ROUND(100/Z44*AA44-100,1))&lt;999,ROUND(100/Z44*AA44-100,1),IF(ROUND(100/Z44*AA44-100,1)&gt;999,999,-999)))</f>
        <v>-63.9</v>
      </c>
      <c r="AC44" s="196"/>
      <c r="AD44" s="438"/>
      <c r="AE44" s="339"/>
      <c r="AF44" s="196">
        <v>183.88800000000001</v>
      </c>
      <c r="AG44" s="438">
        <v>223.18799999999999</v>
      </c>
      <c r="AH44" s="339">
        <f t="shared" si="43"/>
        <v>21.4</v>
      </c>
      <c r="AI44" s="196"/>
      <c r="AJ44" s="438"/>
      <c r="AK44" s="339" t="str">
        <f t="shared" si="49"/>
        <v xml:space="preserve">    ---- </v>
      </c>
      <c r="AL44" s="196"/>
      <c r="AM44" s="438"/>
      <c r="AN44" s="339" t="str">
        <f t="shared" si="50"/>
        <v xml:space="preserve">    ---- </v>
      </c>
      <c r="AO44" s="525">
        <f t="shared" si="44"/>
        <v>8993.9387191000005</v>
      </c>
      <c r="AP44" s="525">
        <f t="shared" si="44"/>
        <v>17450.452793169999</v>
      </c>
      <c r="AQ44" s="339">
        <f t="shared" si="45"/>
        <v>94</v>
      </c>
      <c r="AR44" s="653">
        <f t="shared" si="46"/>
        <v>8993.9387191000005</v>
      </c>
      <c r="AS44" s="653">
        <f t="shared" si="46"/>
        <v>17450.452793169999</v>
      </c>
      <c r="AT44" s="672">
        <f t="shared" si="47"/>
        <v>94</v>
      </c>
    </row>
    <row r="45" spans="1:46" s="448" customFormat="1" ht="20.100000000000001" customHeight="1" x14ac:dyDescent="0.3">
      <c r="A45" s="632" t="s">
        <v>215</v>
      </c>
      <c r="B45" s="196">
        <v>1358.36</v>
      </c>
      <c r="C45" s="438">
        <f>SUM(C33+C34+C35+C39)</f>
        <v>1409.069</v>
      </c>
      <c r="D45" s="339">
        <f>IF(B45=0, "    ---- ", IF(ABS(ROUND(100/B45*C45-100,1))&lt;999,ROUND(100/B45*C45-100,1),IF(ROUND(100/B45*C45-100,1)&gt;999,999,-999)))</f>
        <v>3.7</v>
      </c>
      <c r="E45" s="196">
        <v>200108.75032817002</v>
      </c>
      <c r="F45" s="438">
        <f>SUM(F33+F34+F35+F39)</f>
        <v>196429.40520476003</v>
      </c>
      <c r="G45" s="339">
        <f t="shared" si="41"/>
        <v>-1.8</v>
      </c>
      <c r="H45" s="196">
        <f>SUM(H33+H34+H35+H39)</f>
        <v>7285.2395285500006</v>
      </c>
      <c r="I45" s="438">
        <f>SUM(I33+I34+I35+I39)</f>
        <v>7725.8940909499988</v>
      </c>
      <c r="J45" s="339">
        <f>IF(H45=0, "    ---- ", IF(ABS(ROUND(100/H45*I45-100,1))&lt;999,ROUND(100/H45*I45-100,1),IF(ROUND(100/H45*I45-100,1)&gt;999,999,-999)))</f>
        <v>6</v>
      </c>
      <c r="K45" s="196">
        <f>SUM(K33+K34+K35+K39)</f>
        <v>1160.7670000000001</v>
      </c>
      <c r="L45" s="438">
        <f>SUM(L33+L34+L35+L39)</f>
        <v>1324.2823940000001</v>
      </c>
      <c r="M45" s="339">
        <f t="shared" si="53"/>
        <v>14.1</v>
      </c>
      <c r="N45" s="196">
        <f>SUM(N33+N34+N35+N39)</f>
        <v>7526</v>
      </c>
      <c r="O45" s="438">
        <f>SUM(O33+O34+O35+O39)</f>
        <v>8053</v>
      </c>
      <c r="P45" s="434">
        <f t="shared" si="51"/>
        <v>7</v>
      </c>
      <c r="Q45" s="196"/>
      <c r="R45" s="438">
        <f>SUM(R33+R34+R35+R39)</f>
        <v>0</v>
      </c>
      <c r="S45" s="339"/>
      <c r="T45" s="196">
        <v>626280.13374569989</v>
      </c>
      <c r="U45" s="438">
        <v>660834.22738782002</v>
      </c>
      <c r="V45" s="339">
        <f t="shared" si="52"/>
        <v>5.5</v>
      </c>
      <c r="W45" s="196">
        <f>SUM(W33+W34+W35+W39)</f>
        <v>55300.5985663799</v>
      </c>
      <c r="X45" s="438">
        <f>SUM(X33+X34+X35+X39)</f>
        <v>56582.384161089896</v>
      </c>
      <c r="Y45" s="339">
        <f t="shared" si="48"/>
        <v>2.2999999999999998</v>
      </c>
      <c r="Z45" s="196">
        <f>SUM(Z33+Z34+Z35+Z39)</f>
        <v>107659</v>
      </c>
      <c r="AA45" s="438">
        <f>SUM(AA33+AA34+AA35+AA39)</f>
        <v>111646</v>
      </c>
      <c r="AB45" s="339">
        <f>IF(Z45=0, "    ---- ", IF(ABS(ROUND(100/Z45*AA45-100,1))&lt;999,ROUND(100/Z45*AA45-100,1),IF(ROUND(100/Z45*AA45-100,1)&gt;999,999,-999)))</f>
        <v>3.7</v>
      </c>
      <c r="AC45" s="196"/>
      <c r="AD45" s="438">
        <f>SUM(AD33+AD34+AD35+AD39)</f>
        <v>0</v>
      </c>
      <c r="AE45" s="339"/>
      <c r="AF45" s="196">
        <f>SUM(AF33+AF34+AF35+AF39)</f>
        <v>23185.368999999999</v>
      </c>
      <c r="AG45" s="438">
        <f>SUM(AG33+AG34+AG35+AG39)</f>
        <v>23240.058000000001</v>
      </c>
      <c r="AH45" s="339">
        <f t="shared" si="43"/>
        <v>0.2</v>
      </c>
      <c r="AI45" s="196">
        <f>SUM(AI33+AI34+AI35+AI39)</f>
        <v>206422</v>
      </c>
      <c r="AJ45" s="438">
        <f>SUM(AJ33+AJ34+AJ35+AJ39)</f>
        <v>203722</v>
      </c>
      <c r="AK45" s="339">
        <f t="shared" si="49"/>
        <v>-1.3</v>
      </c>
      <c r="AL45" s="196"/>
      <c r="AM45" s="438">
        <f>SUM(AM33+AM34+AM35+AM39)</f>
        <v>0</v>
      </c>
      <c r="AN45" s="339" t="str">
        <f t="shared" si="50"/>
        <v xml:space="preserve">    ---- </v>
      </c>
      <c r="AO45" s="525">
        <f t="shared" si="44"/>
        <v>1236286.2181687998</v>
      </c>
      <c r="AP45" s="525">
        <f t="shared" si="44"/>
        <v>1270966.32023862</v>
      </c>
      <c r="AQ45" s="339">
        <f t="shared" si="45"/>
        <v>2.8</v>
      </c>
      <c r="AR45" s="653">
        <f t="shared" si="46"/>
        <v>1236286.2181687998</v>
      </c>
      <c r="AS45" s="653">
        <f t="shared" si="46"/>
        <v>1270966.32023862</v>
      </c>
      <c r="AT45" s="672">
        <f t="shared" si="47"/>
        <v>2.8</v>
      </c>
    </row>
    <row r="46" spans="1:46" s="448" customFormat="1" ht="20.100000000000001" customHeight="1" x14ac:dyDescent="0.3">
      <c r="A46" s="604" t="s">
        <v>326</v>
      </c>
      <c r="B46" s="196">
        <v>191.999</v>
      </c>
      <c r="C46" s="438">
        <v>244.79599999999999</v>
      </c>
      <c r="D46" s="339">
        <f>IF(B46=0, "    ---- ", IF(ABS(ROUND(100/B46*C46-100,1))&lt;999,ROUND(100/B46*C46-100,1),IF(ROUND(100/B46*C46-100,1)&gt;999,999,-999)))</f>
        <v>27.5</v>
      </c>
      <c r="E46" s="196">
        <v>264.57889319999998</v>
      </c>
      <c r="F46" s="438">
        <v>399.59901329000002</v>
      </c>
      <c r="G46" s="339"/>
      <c r="H46" s="196">
        <v>521.48008708999998</v>
      </c>
      <c r="I46" s="438">
        <v>504.22086442</v>
      </c>
      <c r="J46" s="339">
        <f>IF(H46=0, "    ---- ", IF(ABS(ROUND(100/H46*I46-100,1))&lt;999,ROUND(100/H46*I46-100,1),IF(ROUND(100/H46*I46-100,1)&gt;999,999,-999)))</f>
        <v>-3.3</v>
      </c>
      <c r="K46" s="196">
        <v>53.441000000000003</v>
      </c>
      <c r="L46" s="438">
        <v>72.207423000000006</v>
      </c>
      <c r="M46" s="339">
        <f t="shared" si="53"/>
        <v>35.1</v>
      </c>
      <c r="N46" s="196">
        <v>554</v>
      </c>
      <c r="O46" s="438">
        <v>600</v>
      </c>
      <c r="P46" s="434"/>
      <c r="Q46" s="196"/>
      <c r="R46" s="438"/>
      <c r="S46" s="339"/>
      <c r="T46" s="196"/>
      <c r="U46" s="438"/>
      <c r="V46" s="339"/>
      <c r="W46" s="196">
        <v>60.29</v>
      </c>
      <c r="X46" s="438">
        <v>67.099999999999994</v>
      </c>
      <c r="Y46" s="339">
        <f t="shared" si="48"/>
        <v>11.3</v>
      </c>
      <c r="Z46" s="196"/>
      <c r="AA46" s="438"/>
      <c r="AB46" s="339"/>
      <c r="AC46" s="196"/>
      <c r="AD46" s="438"/>
      <c r="AE46" s="339"/>
      <c r="AF46" s="196">
        <v>4.0069999999999997</v>
      </c>
      <c r="AG46" s="438">
        <v>8.15</v>
      </c>
      <c r="AH46" s="339">
        <f t="shared" si="43"/>
        <v>103.4</v>
      </c>
      <c r="AI46" s="196">
        <v>4</v>
      </c>
      <c r="AJ46" s="438">
        <v>31</v>
      </c>
      <c r="AK46" s="339"/>
      <c r="AL46" s="196"/>
      <c r="AM46" s="438"/>
      <c r="AN46" s="339"/>
      <c r="AO46" s="525">
        <f t="shared" si="44"/>
        <v>1653.79598029</v>
      </c>
      <c r="AP46" s="525">
        <f t="shared" si="44"/>
        <v>1927.07330071</v>
      </c>
      <c r="AQ46" s="339">
        <f t="shared" si="45"/>
        <v>16.5</v>
      </c>
      <c r="AR46" s="653">
        <f t="shared" si="46"/>
        <v>1653.79598029</v>
      </c>
      <c r="AS46" s="653">
        <f t="shared" si="46"/>
        <v>1927.07330071</v>
      </c>
      <c r="AT46" s="672">
        <f t="shared" si="47"/>
        <v>16.5</v>
      </c>
    </row>
    <row r="47" spans="1:46" s="448" customFormat="1" ht="20.100000000000001" customHeight="1" x14ac:dyDescent="0.3">
      <c r="A47" s="604" t="s">
        <v>216</v>
      </c>
      <c r="B47" s="196"/>
      <c r="C47" s="438"/>
      <c r="D47" s="438"/>
      <c r="E47" s="196"/>
      <c r="F47" s="438"/>
      <c r="G47" s="438"/>
      <c r="H47" s="196"/>
      <c r="I47" s="438"/>
      <c r="J47" s="438"/>
      <c r="K47" s="196"/>
      <c r="L47" s="438"/>
      <c r="M47" s="438"/>
      <c r="N47" s="196"/>
      <c r="O47" s="438"/>
      <c r="P47" s="434"/>
      <c r="Q47" s="196"/>
      <c r="R47" s="438"/>
      <c r="S47" s="339"/>
      <c r="T47" s="196"/>
      <c r="U47" s="438"/>
      <c r="V47" s="339"/>
      <c r="W47" s="196"/>
      <c r="X47" s="438"/>
      <c r="Y47" s="339"/>
      <c r="Z47" s="196"/>
      <c r="AA47" s="438"/>
      <c r="AB47" s="339"/>
      <c r="AC47" s="196"/>
      <c r="AD47" s="438"/>
      <c r="AE47" s="339"/>
      <c r="AF47" s="196"/>
      <c r="AG47" s="438"/>
      <c r="AH47" s="339"/>
      <c r="AI47" s="196"/>
      <c r="AJ47" s="438"/>
      <c r="AK47" s="339"/>
      <c r="AL47" s="196"/>
      <c r="AM47" s="438"/>
      <c r="AN47" s="339"/>
      <c r="AO47" s="434"/>
      <c r="AP47" s="434"/>
      <c r="AQ47" s="339"/>
      <c r="AR47" s="653"/>
      <c r="AS47" s="653"/>
      <c r="AT47" s="672"/>
    </row>
    <row r="48" spans="1:46" s="448" customFormat="1" ht="20.100000000000001" customHeight="1" x14ac:dyDescent="0.3">
      <c r="A48" s="581" t="s">
        <v>217</v>
      </c>
      <c r="B48" s="196"/>
      <c r="C48" s="438"/>
      <c r="D48" s="438"/>
      <c r="E48" s="196"/>
      <c r="F48" s="438"/>
      <c r="G48" s="438"/>
      <c r="H48" s="196"/>
      <c r="I48" s="438"/>
      <c r="J48" s="438"/>
      <c r="K48" s="196"/>
      <c r="L48" s="438"/>
      <c r="M48" s="438"/>
      <c r="N48" s="196"/>
      <c r="O48" s="438"/>
      <c r="P48" s="434"/>
      <c r="Q48" s="196"/>
      <c r="R48" s="438"/>
      <c r="S48" s="339"/>
      <c r="T48" s="196"/>
      <c r="U48" s="438"/>
      <c r="V48" s="339"/>
      <c r="W48" s="196"/>
      <c r="X48" s="438">
        <v>0</v>
      </c>
      <c r="Y48" s="339"/>
      <c r="Z48" s="196"/>
      <c r="AA48" s="438"/>
      <c r="AB48" s="339"/>
      <c r="AC48" s="196"/>
      <c r="AD48" s="438"/>
      <c r="AE48" s="339"/>
      <c r="AF48" s="196"/>
      <c r="AG48" s="438"/>
      <c r="AH48" s="339"/>
      <c r="AI48" s="196"/>
      <c r="AJ48" s="438"/>
      <c r="AK48" s="339"/>
      <c r="AL48" s="196"/>
      <c r="AM48" s="438"/>
      <c r="AN48" s="339"/>
      <c r="AO48" s="525">
        <f t="shared" ref="AO48:AP62" si="54">B48+E48+H48+K48+N48+T48+W48+Z48+AF48+AI48</f>
        <v>0</v>
      </c>
      <c r="AP48" s="525">
        <f t="shared" si="54"/>
        <v>0</v>
      </c>
      <c r="AQ48" s="339" t="str">
        <f t="shared" si="45"/>
        <v xml:space="preserve">    ---- </v>
      </c>
      <c r="AR48" s="653">
        <f t="shared" ref="AR48:AS62" si="55">B48+E48+H48+K48+N48+Q48+T48+W48+Z48+AC48+AF48+AI48+AL48</f>
        <v>0</v>
      </c>
      <c r="AS48" s="653">
        <f t="shared" si="55"/>
        <v>0</v>
      </c>
      <c r="AT48" s="672" t="str">
        <f t="shared" si="47"/>
        <v xml:space="preserve">    ---- </v>
      </c>
    </row>
    <row r="49" spans="1:46" s="448" customFormat="1" ht="20.100000000000001" customHeight="1" x14ac:dyDescent="0.3">
      <c r="A49" s="581" t="s">
        <v>218</v>
      </c>
      <c r="B49" s="196"/>
      <c r="C49" s="438"/>
      <c r="D49" s="438"/>
      <c r="E49" s="196"/>
      <c r="F49" s="438">
        <v>4666.3990415369999</v>
      </c>
      <c r="G49" s="438"/>
      <c r="H49" s="196"/>
      <c r="I49" s="438"/>
      <c r="J49" s="438"/>
      <c r="K49" s="196"/>
      <c r="L49" s="438"/>
      <c r="M49" s="438"/>
      <c r="N49" s="196">
        <v>1731</v>
      </c>
      <c r="O49" s="438">
        <v>2265</v>
      </c>
      <c r="P49" s="434"/>
      <c r="Q49" s="196"/>
      <c r="R49" s="438"/>
      <c r="S49" s="339"/>
      <c r="T49" s="196">
        <v>300.90565088</v>
      </c>
      <c r="U49" s="438">
        <v>374.57157983999997</v>
      </c>
      <c r="V49" s="339">
        <f t="shared" ref="V49:V60" si="56">IF(T49=0, "    ---- ", IF(ABS(ROUND(100/T49*U49-100,1))&lt;999,ROUND(100/T49*U49-100,1),IF(ROUND(100/T49*U49-100,1)&gt;999,999,-999)))</f>
        <v>24.5</v>
      </c>
      <c r="W49" s="196"/>
      <c r="X49" s="438">
        <v>3429.8</v>
      </c>
      <c r="Y49" s="339"/>
      <c r="Z49" s="196"/>
      <c r="AA49" s="438"/>
      <c r="AB49" s="339"/>
      <c r="AC49" s="196"/>
      <c r="AD49" s="438"/>
      <c r="AE49" s="339"/>
      <c r="AF49" s="196"/>
      <c r="AG49" s="438">
        <v>951.96699999999998</v>
      </c>
      <c r="AH49" s="339"/>
      <c r="AI49" s="196">
        <v>6030</v>
      </c>
      <c r="AJ49" s="438">
        <v>6443</v>
      </c>
      <c r="AK49" s="339">
        <f t="shared" si="49"/>
        <v>6.8</v>
      </c>
      <c r="AL49" s="196"/>
      <c r="AM49" s="438"/>
      <c r="AN49" s="339" t="str">
        <f t="shared" ref="AN49" si="57">IF(AL49=0, "    ---- ", IF(ABS(ROUND(100/AL49*AM49-100,1))&lt;999,ROUND(100/AL49*AM49-100,1),IF(ROUND(100/AL49*AM49-100,1)&gt;999,999,-999)))</f>
        <v xml:space="preserve">    ---- </v>
      </c>
      <c r="AO49" s="525">
        <f t="shared" si="54"/>
        <v>8061.9056508800004</v>
      </c>
      <c r="AP49" s="525">
        <f t="shared" si="54"/>
        <v>18130.737621377</v>
      </c>
      <c r="AQ49" s="339">
        <f t="shared" si="45"/>
        <v>124.9</v>
      </c>
      <c r="AR49" s="653">
        <f t="shared" si="55"/>
        <v>8061.9056508800004</v>
      </c>
      <c r="AS49" s="653">
        <f t="shared" si="55"/>
        <v>18130.737621377</v>
      </c>
      <c r="AT49" s="672">
        <f t="shared" si="47"/>
        <v>124.9</v>
      </c>
    </row>
    <row r="50" spans="1:46" s="448" customFormat="1" ht="20.100000000000001" customHeight="1" x14ac:dyDescent="0.3">
      <c r="A50" s="581" t="s">
        <v>219</v>
      </c>
      <c r="B50" s="196"/>
      <c r="C50" s="438">
        <f>SUM(C51+C53)</f>
        <v>0</v>
      </c>
      <c r="D50" s="438"/>
      <c r="E50" s="196"/>
      <c r="F50" s="438">
        <f>SUM(F51+F53)</f>
        <v>0</v>
      </c>
      <c r="G50" s="438"/>
      <c r="H50" s="196"/>
      <c r="I50" s="438">
        <f>SUM(I51+I53)</f>
        <v>0</v>
      </c>
      <c r="J50" s="438"/>
      <c r="K50" s="196"/>
      <c r="L50" s="438">
        <f>SUM(L51+L53)</f>
        <v>0</v>
      </c>
      <c r="M50" s="438"/>
      <c r="N50" s="196">
        <f>SUM(N51+N53)</f>
        <v>0</v>
      </c>
      <c r="O50" s="438">
        <f>SUM(O51+O53)</f>
        <v>0</v>
      </c>
      <c r="P50" s="434"/>
      <c r="Q50" s="196"/>
      <c r="R50" s="438">
        <f>SUM(R51+R53)</f>
        <v>0</v>
      </c>
      <c r="S50" s="339"/>
      <c r="T50" s="196">
        <v>742.64416683000013</v>
      </c>
      <c r="U50" s="438">
        <v>943.20746213999996</v>
      </c>
      <c r="V50" s="339">
        <f t="shared" si="56"/>
        <v>27</v>
      </c>
      <c r="W50" s="196"/>
      <c r="X50" s="438">
        <f>SUM(X51+X53)</f>
        <v>0</v>
      </c>
      <c r="Y50" s="339"/>
      <c r="Z50" s="196"/>
      <c r="AA50" s="438">
        <f>SUM(AA51+AA53)</f>
        <v>0</v>
      </c>
      <c r="AB50" s="339"/>
      <c r="AC50" s="196"/>
      <c r="AD50" s="438">
        <f>SUM(AD51+AD53)</f>
        <v>0</v>
      </c>
      <c r="AE50" s="339"/>
      <c r="AF50" s="196"/>
      <c r="AG50" s="438">
        <f>SUM(AG51+AG53)</f>
        <v>0</v>
      </c>
      <c r="AH50" s="339"/>
      <c r="AI50" s="196">
        <f>SUM(AI51+AI53)</f>
        <v>1375</v>
      </c>
      <c r="AJ50" s="438">
        <f>SUM(AJ51+AJ53)</f>
        <v>1355</v>
      </c>
      <c r="AK50" s="339"/>
      <c r="AL50" s="196"/>
      <c r="AM50" s="438">
        <f>SUM(AM51+AM53)</f>
        <v>0</v>
      </c>
      <c r="AN50" s="339"/>
      <c r="AO50" s="525">
        <f t="shared" si="54"/>
        <v>2117.6441668300004</v>
      </c>
      <c r="AP50" s="525">
        <f t="shared" si="54"/>
        <v>2298.2074621399997</v>
      </c>
      <c r="AQ50" s="339">
        <f t="shared" si="45"/>
        <v>8.5</v>
      </c>
      <c r="AR50" s="653">
        <f t="shared" si="55"/>
        <v>2117.6441668300004</v>
      </c>
      <c r="AS50" s="653">
        <f t="shared" si="55"/>
        <v>2298.2074621399997</v>
      </c>
      <c r="AT50" s="672">
        <f t="shared" si="47"/>
        <v>8.5</v>
      </c>
    </row>
    <row r="51" spans="1:46" s="448" customFormat="1" ht="20.100000000000001" customHeight="1" x14ac:dyDescent="0.3">
      <c r="A51" s="581" t="s">
        <v>220</v>
      </c>
      <c r="B51" s="196"/>
      <c r="C51" s="438"/>
      <c r="D51" s="339"/>
      <c r="E51" s="196"/>
      <c r="F51" s="438"/>
      <c r="G51" s="339"/>
      <c r="H51" s="196"/>
      <c r="I51" s="438"/>
      <c r="J51" s="339"/>
      <c r="K51" s="196"/>
      <c r="L51" s="438"/>
      <c r="M51" s="339"/>
      <c r="N51" s="196"/>
      <c r="O51" s="438"/>
      <c r="P51" s="434"/>
      <c r="Q51" s="196"/>
      <c r="R51" s="438"/>
      <c r="S51" s="339"/>
      <c r="T51" s="196">
        <v>49.686903869999995</v>
      </c>
      <c r="U51" s="438">
        <v>40.551436420000002</v>
      </c>
      <c r="V51" s="339">
        <f t="shared" si="56"/>
        <v>-18.399999999999999</v>
      </c>
      <c r="W51" s="196"/>
      <c r="X51" s="438">
        <v>0</v>
      </c>
      <c r="Y51" s="339"/>
      <c r="Z51" s="196"/>
      <c r="AA51" s="438"/>
      <c r="AB51" s="339"/>
      <c r="AC51" s="196"/>
      <c r="AD51" s="438"/>
      <c r="AE51" s="339"/>
      <c r="AF51" s="196"/>
      <c r="AG51" s="438"/>
      <c r="AH51" s="339"/>
      <c r="AI51" s="196"/>
      <c r="AJ51" s="438"/>
      <c r="AK51" s="339"/>
      <c r="AL51" s="196"/>
      <c r="AM51" s="438"/>
      <c r="AN51" s="339"/>
      <c r="AO51" s="525">
        <f t="shared" si="54"/>
        <v>49.686903869999995</v>
      </c>
      <c r="AP51" s="525">
        <f t="shared" si="54"/>
        <v>40.551436420000002</v>
      </c>
      <c r="AQ51" s="339">
        <f t="shared" si="45"/>
        <v>-18.399999999999999</v>
      </c>
      <c r="AR51" s="653">
        <f t="shared" si="55"/>
        <v>49.686903869999995</v>
      </c>
      <c r="AS51" s="653">
        <f t="shared" si="55"/>
        <v>40.551436420000002</v>
      </c>
      <c r="AT51" s="672">
        <f t="shared" si="47"/>
        <v>-18.399999999999999</v>
      </c>
    </row>
    <row r="52" spans="1:46" s="448" customFormat="1" ht="20.100000000000001" customHeight="1" x14ac:dyDescent="0.3">
      <c r="A52" s="581" t="s">
        <v>190</v>
      </c>
      <c r="B52" s="196"/>
      <c r="C52" s="438"/>
      <c r="D52" s="438"/>
      <c r="E52" s="196"/>
      <c r="F52" s="438"/>
      <c r="G52" s="438"/>
      <c r="H52" s="196"/>
      <c r="I52" s="438"/>
      <c r="J52" s="438"/>
      <c r="K52" s="196"/>
      <c r="L52" s="438"/>
      <c r="M52" s="438"/>
      <c r="N52" s="196"/>
      <c r="O52" s="438"/>
      <c r="P52" s="525"/>
      <c r="Q52" s="196"/>
      <c r="R52" s="438"/>
      <c r="S52" s="438"/>
      <c r="T52" s="196">
        <v>49.686903869999995</v>
      </c>
      <c r="U52" s="438">
        <v>40.551436420000002</v>
      </c>
      <c r="V52" s="438"/>
      <c r="W52" s="196"/>
      <c r="X52" s="438"/>
      <c r="Y52" s="438"/>
      <c r="Z52" s="196"/>
      <c r="AA52" s="438"/>
      <c r="AB52" s="438"/>
      <c r="AC52" s="196"/>
      <c r="AD52" s="438"/>
      <c r="AE52" s="438"/>
      <c r="AF52" s="196"/>
      <c r="AG52" s="438"/>
      <c r="AH52" s="438"/>
      <c r="AI52" s="196"/>
      <c r="AJ52" s="438"/>
      <c r="AK52" s="438"/>
      <c r="AL52" s="196"/>
      <c r="AM52" s="438"/>
      <c r="AN52" s="438"/>
      <c r="AO52" s="525">
        <f t="shared" si="54"/>
        <v>49.686903869999995</v>
      </c>
      <c r="AP52" s="525">
        <f t="shared" si="54"/>
        <v>40.551436420000002</v>
      </c>
      <c r="AQ52" s="438">
        <f t="shared" si="45"/>
        <v>-18.399999999999999</v>
      </c>
      <c r="AR52" s="653">
        <f t="shared" si="55"/>
        <v>49.686903869999995</v>
      </c>
      <c r="AS52" s="653">
        <f t="shared" si="55"/>
        <v>40.551436420000002</v>
      </c>
      <c r="AT52" s="672">
        <f t="shared" si="47"/>
        <v>-18.399999999999999</v>
      </c>
    </row>
    <row r="53" spans="1:46" s="448" customFormat="1" ht="20.100000000000001" customHeight="1" x14ac:dyDescent="0.3">
      <c r="A53" s="581" t="s">
        <v>221</v>
      </c>
      <c r="B53" s="196"/>
      <c r="C53" s="438"/>
      <c r="D53" s="438"/>
      <c r="E53" s="196"/>
      <c r="F53" s="438"/>
      <c r="G53" s="438"/>
      <c r="H53" s="196"/>
      <c r="I53" s="438"/>
      <c r="J53" s="438"/>
      <c r="K53" s="196"/>
      <c r="L53" s="438"/>
      <c r="M53" s="438"/>
      <c r="N53" s="196"/>
      <c r="O53" s="438"/>
      <c r="P53" s="434"/>
      <c r="Q53" s="196"/>
      <c r="R53" s="438"/>
      <c r="S53" s="339"/>
      <c r="T53" s="196">
        <v>692.95726296000009</v>
      </c>
      <c r="U53" s="438">
        <v>902.65602572</v>
      </c>
      <c r="V53" s="339">
        <f t="shared" si="56"/>
        <v>30.3</v>
      </c>
      <c r="W53" s="196"/>
      <c r="X53" s="438">
        <v>0</v>
      </c>
      <c r="Y53" s="339"/>
      <c r="Z53" s="196"/>
      <c r="AA53" s="438"/>
      <c r="AB53" s="339"/>
      <c r="AC53" s="196"/>
      <c r="AD53" s="438"/>
      <c r="AE53" s="339"/>
      <c r="AF53" s="196"/>
      <c r="AG53" s="438"/>
      <c r="AH53" s="339"/>
      <c r="AI53" s="196">
        <f>1007+368</f>
        <v>1375</v>
      </c>
      <c r="AJ53" s="438">
        <f>871+484</f>
        <v>1355</v>
      </c>
      <c r="AK53" s="339"/>
      <c r="AL53" s="196"/>
      <c r="AM53" s="438"/>
      <c r="AN53" s="339"/>
      <c r="AO53" s="525">
        <f t="shared" si="54"/>
        <v>2067.9572629600002</v>
      </c>
      <c r="AP53" s="525">
        <f t="shared" si="54"/>
        <v>2257.6560257199999</v>
      </c>
      <c r="AQ53" s="339">
        <f t="shared" si="45"/>
        <v>9.1999999999999993</v>
      </c>
      <c r="AR53" s="653">
        <f t="shared" si="55"/>
        <v>2067.9572629600002</v>
      </c>
      <c r="AS53" s="653">
        <f t="shared" si="55"/>
        <v>2257.6560257199999</v>
      </c>
      <c r="AT53" s="672">
        <f t="shared" si="47"/>
        <v>9.1999999999999993</v>
      </c>
    </row>
    <row r="54" spans="1:46" s="448" customFormat="1" ht="20.100000000000001" customHeight="1" x14ac:dyDescent="0.3">
      <c r="A54" s="581" t="s">
        <v>222</v>
      </c>
      <c r="B54" s="196">
        <v>26763.940000000002</v>
      </c>
      <c r="C54" s="438">
        <f>SUM(C55:C59)</f>
        <v>26450.356</v>
      </c>
      <c r="D54" s="438">
        <f>IF(B54=0, "    ---- ", IF(ABS(ROUND(100/B54*C54-100,1))&lt;999,ROUND(100/B54*C54-100,1),IF(ROUND(100/B54*C54-100,1)&gt;999,999,-999)))</f>
        <v>-1.2</v>
      </c>
      <c r="E54" s="196">
        <v>129966.18731614</v>
      </c>
      <c r="F54" s="438">
        <f>SUM(F55:F59)</f>
        <v>125593.81547620299</v>
      </c>
      <c r="G54" s="438">
        <f t="shared" si="41"/>
        <v>-3.4</v>
      </c>
      <c r="H54" s="196"/>
      <c r="I54" s="438">
        <f>SUM(I55:I59)</f>
        <v>0</v>
      </c>
      <c r="J54" s="438" t="str">
        <f>IF(H54=0, "    ---- ", IF(ABS(ROUND(100/H54*I54-100,1))&lt;999,ROUND(100/H54*I54-100,1),IF(ROUND(100/H54*I54-100,1)&gt;999,999,-999)))</f>
        <v xml:space="preserve">    ---- </v>
      </c>
      <c r="K54" s="196"/>
      <c r="L54" s="438">
        <f>SUM(L55:L59)</f>
        <v>0</v>
      </c>
      <c r="M54" s="438" t="str">
        <f>IF(K54=0, "    ---- ", IF(ABS(ROUND(100/K54*L54-100,1))&lt;999,ROUND(100/K54*L54-100,1),IF(ROUND(100/K54*L54-100,1)&gt;999,999,-999)))</f>
        <v xml:space="preserve">    ---- </v>
      </c>
      <c r="N54" s="196">
        <f>SUM(N55:N59)</f>
        <v>36921</v>
      </c>
      <c r="O54" s="438">
        <f>SUM(O55:O59)</f>
        <v>38513</v>
      </c>
      <c r="P54" s="434">
        <f t="shared" si="51"/>
        <v>4.3</v>
      </c>
      <c r="Q54" s="196"/>
      <c r="R54" s="438">
        <f>SUM(R55:R59)</f>
        <v>0</v>
      </c>
      <c r="S54" s="339"/>
      <c r="T54" s="196">
        <v>1171.2549528399998</v>
      </c>
      <c r="U54" s="438">
        <v>1347.2879153199999</v>
      </c>
      <c r="V54" s="339">
        <f t="shared" si="56"/>
        <v>15</v>
      </c>
      <c r="W54" s="196">
        <f>SUM(W55:W59)</f>
        <v>114051.49</v>
      </c>
      <c r="X54" s="438">
        <f>SUM(X55:X59)</f>
        <v>111070.48999999999</v>
      </c>
      <c r="Y54" s="339">
        <f t="shared" si="48"/>
        <v>-2.6</v>
      </c>
      <c r="Z54" s="196"/>
      <c r="AA54" s="438">
        <f>SUM(AA55:AA59)</f>
        <v>0</v>
      </c>
      <c r="AB54" s="339"/>
      <c r="AC54" s="196">
        <f>SUM(AC55:AC59)</f>
        <v>3241.4234022800001</v>
      </c>
      <c r="AD54" s="652">
        <f>SUM(AD55:AD59)</f>
        <v>2780.8176291200002</v>
      </c>
      <c r="AE54" s="339">
        <f>IF(AC54=0, "    ---- ", IF(ABS(ROUND(100/AC54*AD54-100,1))&lt;999,ROUND(100/AC54*AD54-100,1),IF(ROUND(100/AC54*AD54-100,1)&gt;999,999,-999)))</f>
        <v>-14.2</v>
      </c>
      <c r="AF54" s="196">
        <f>SUM(AF55:AF59)</f>
        <v>51072.960000000006</v>
      </c>
      <c r="AG54" s="438">
        <f>SUM(AG55:AG59)</f>
        <v>51704.32</v>
      </c>
      <c r="AH54" s="339">
        <f t="shared" si="43"/>
        <v>1.2</v>
      </c>
      <c r="AI54" s="196">
        <f>SUM(AI55:AI59)</f>
        <v>144330</v>
      </c>
      <c r="AJ54" s="438">
        <f>SUM(AJ55:AJ59)</f>
        <v>140370</v>
      </c>
      <c r="AK54" s="339">
        <f t="shared" si="49"/>
        <v>-2.7</v>
      </c>
      <c r="AL54" s="196"/>
      <c r="AM54" s="438">
        <f>SUM(AM55:AM59)</f>
        <v>0</v>
      </c>
      <c r="AN54" s="339" t="str">
        <f t="shared" ref="AN54:AN60" si="58">IF(AL54=0, "    ---- ", IF(ABS(ROUND(100/AL54*AM54-100,1))&lt;999,ROUND(100/AL54*AM54-100,1),IF(ROUND(100/AL54*AM54-100,1)&gt;999,999,-999)))</f>
        <v xml:space="preserve">    ---- </v>
      </c>
      <c r="AO54" s="525">
        <f t="shared" si="54"/>
        <v>504276.83226898004</v>
      </c>
      <c r="AP54" s="525">
        <f t="shared" si="54"/>
        <v>495049.26939152298</v>
      </c>
      <c r="AQ54" s="339">
        <f t="shared" si="45"/>
        <v>-1.8</v>
      </c>
      <c r="AR54" s="653">
        <f t="shared" si="55"/>
        <v>507518.25567126006</v>
      </c>
      <c r="AS54" s="653">
        <f t="shared" si="55"/>
        <v>497830.087020643</v>
      </c>
      <c r="AT54" s="672">
        <f t="shared" si="47"/>
        <v>-1.9</v>
      </c>
    </row>
    <row r="55" spans="1:46" s="448" customFormat="1" ht="20.100000000000001" customHeight="1" x14ac:dyDescent="0.3">
      <c r="A55" s="581" t="s">
        <v>223</v>
      </c>
      <c r="B55" s="196">
        <v>17368.796999999999</v>
      </c>
      <c r="C55" s="438">
        <v>16848.681</v>
      </c>
      <c r="D55" s="438">
        <f>IF(B55=0, "    ---- ", IF(ABS(ROUND(100/B55*C55-100,1))&lt;999,ROUND(100/B55*C55-100,1),IF(ROUND(100/B55*C55-100,1)&gt;999,999,-999)))</f>
        <v>-3</v>
      </c>
      <c r="E55" s="196">
        <v>78842.47264018</v>
      </c>
      <c r="F55" s="438">
        <v>75394.466297082996</v>
      </c>
      <c r="G55" s="438">
        <f t="shared" si="41"/>
        <v>-4.4000000000000004</v>
      </c>
      <c r="H55" s="196"/>
      <c r="I55" s="438"/>
      <c r="J55" s="438" t="str">
        <f>IF(H55=0, "    ---- ", IF(ABS(ROUND(100/H55*I55-100,1))&lt;999,ROUND(100/H55*I55-100,1),IF(ROUND(100/H55*I55-100,1)&gt;999,999,-999)))</f>
        <v xml:space="preserve">    ---- </v>
      </c>
      <c r="K55" s="196"/>
      <c r="L55" s="438"/>
      <c r="M55" s="438" t="str">
        <f>IF(K55=0, "    ---- ", IF(ABS(ROUND(100/K55*L55-100,1))&lt;999,ROUND(100/K55*L55-100,1),IF(ROUND(100/K55*L55-100,1)&gt;999,999,-999)))</f>
        <v xml:space="preserve">    ---- </v>
      </c>
      <c r="N55" s="196">
        <v>31120</v>
      </c>
      <c r="O55" s="438">
        <v>31477</v>
      </c>
      <c r="P55" s="434">
        <f t="shared" si="51"/>
        <v>1.1000000000000001</v>
      </c>
      <c r="Q55" s="196"/>
      <c r="R55" s="438"/>
      <c r="S55" s="339"/>
      <c r="T55" s="196">
        <v>719.14954827999998</v>
      </c>
      <c r="U55" s="438">
        <v>897.70502646</v>
      </c>
      <c r="V55" s="339">
        <f t="shared" si="56"/>
        <v>24.8</v>
      </c>
      <c r="W55" s="196">
        <v>71963.83</v>
      </c>
      <c r="X55" s="438">
        <v>71545.45</v>
      </c>
      <c r="Y55" s="339">
        <f t="shared" si="48"/>
        <v>-0.6</v>
      </c>
      <c r="Z55" s="196"/>
      <c r="AA55" s="438"/>
      <c r="AB55" s="339"/>
      <c r="AC55" s="196">
        <v>3241.4234022800001</v>
      </c>
      <c r="AD55" s="652">
        <v>2780.8176291200002</v>
      </c>
      <c r="AE55" s="339">
        <f>IF(AC55=0, "    ---- ", IF(ABS(ROUND(100/AC55*AD55-100,1))&lt;999,ROUND(100/AC55*AD55-100,1),IF(ROUND(100/AC55*AD55-100,1)&gt;999,999,-999)))</f>
        <v>-14.2</v>
      </c>
      <c r="AF55" s="196">
        <v>33282.163</v>
      </c>
      <c r="AG55" s="438">
        <v>33878.686000000002</v>
      </c>
      <c r="AH55" s="339">
        <f t="shared" si="43"/>
        <v>1.8</v>
      </c>
      <c r="AI55" s="196">
        <v>101141</v>
      </c>
      <c r="AJ55" s="438">
        <v>99456</v>
      </c>
      <c r="AK55" s="339">
        <f t="shared" si="49"/>
        <v>-1.7</v>
      </c>
      <c r="AL55" s="196"/>
      <c r="AM55" s="438"/>
      <c r="AN55" s="339" t="str">
        <f t="shared" si="58"/>
        <v xml:space="preserve">    ---- </v>
      </c>
      <c r="AO55" s="525">
        <f t="shared" si="54"/>
        <v>334437.41218846</v>
      </c>
      <c r="AP55" s="525">
        <f t="shared" si="54"/>
        <v>329497.98832354299</v>
      </c>
      <c r="AQ55" s="339">
        <f t="shared" si="45"/>
        <v>-1.5</v>
      </c>
      <c r="AR55" s="653">
        <f t="shared" si="55"/>
        <v>337678.83559073997</v>
      </c>
      <c r="AS55" s="653">
        <f t="shared" si="55"/>
        <v>332278.80595266301</v>
      </c>
      <c r="AT55" s="672">
        <f t="shared" si="47"/>
        <v>-1.6</v>
      </c>
    </row>
    <row r="56" spans="1:46" s="448" customFormat="1" ht="20.100000000000001" customHeight="1" x14ac:dyDescent="0.3">
      <c r="A56" s="581" t="s">
        <v>224</v>
      </c>
      <c r="B56" s="196">
        <v>9120.5990000000002</v>
      </c>
      <c r="C56" s="438">
        <v>9200.5439999999999</v>
      </c>
      <c r="D56" s="438">
        <f>IF(B56=0, "    ---- ", IF(ABS(ROUND(100/B56*C56-100,1))&lt;999,ROUND(100/B56*C56-100,1),IF(ROUND(100/B56*C56-100,1)&gt;999,999,-999)))</f>
        <v>0.9</v>
      </c>
      <c r="E56" s="196">
        <v>49731.871310759998</v>
      </c>
      <c r="F56" s="438">
        <v>48372.674993229994</v>
      </c>
      <c r="G56" s="438">
        <f t="shared" si="41"/>
        <v>-2.7</v>
      </c>
      <c r="H56" s="196"/>
      <c r="I56" s="438"/>
      <c r="J56" s="438" t="str">
        <f>IF(H56=0, "    ---- ", IF(ABS(ROUND(100/H56*I56-100,1))&lt;999,ROUND(100/H56*I56-100,1),IF(ROUND(100/H56*I56-100,1)&gt;999,999,-999)))</f>
        <v xml:space="preserve">    ---- </v>
      </c>
      <c r="K56" s="196"/>
      <c r="L56" s="438"/>
      <c r="M56" s="438" t="str">
        <f>IF(K56=0, "    ---- ", IF(ABS(ROUND(100/K56*L56-100,1))&lt;999,ROUND(100/K56*L56-100,1),IF(ROUND(100/K56*L56-100,1)&gt;999,999,-999)))</f>
        <v xml:space="preserve">    ---- </v>
      </c>
      <c r="N56" s="196">
        <v>5680</v>
      </c>
      <c r="O56" s="438">
        <v>6941</v>
      </c>
      <c r="P56" s="434">
        <f t="shared" si="51"/>
        <v>22.2</v>
      </c>
      <c r="Q56" s="196"/>
      <c r="R56" s="438"/>
      <c r="S56" s="339"/>
      <c r="T56" s="196">
        <v>335.06336322999999</v>
      </c>
      <c r="U56" s="438">
        <v>303.52115536000002</v>
      </c>
      <c r="V56" s="339">
        <f t="shared" si="56"/>
        <v>-9.4</v>
      </c>
      <c r="W56" s="196">
        <v>41970.05</v>
      </c>
      <c r="X56" s="438">
        <v>39139.61</v>
      </c>
      <c r="Y56" s="339"/>
      <c r="Z56" s="196"/>
      <c r="AA56" s="438"/>
      <c r="AB56" s="339"/>
      <c r="AC56" s="196"/>
      <c r="AD56" s="652"/>
      <c r="AE56" s="339"/>
      <c r="AF56" s="196">
        <v>17692.641</v>
      </c>
      <c r="AG56" s="438">
        <v>17563.745999999999</v>
      </c>
      <c r="AH56" s="339">
        <f t="shared" si="43"/>
        <v>-0.7</v>
      </c>
      <c r="AI56" s="196">
        <v>43026</v>
      </c>
      <c r="AJ56" s="438">
        <v>40684</v>
      </c>
      <c r="AK56" s="339">
        <f t="shared" si="49"/>
        <v>-5.4</v>
      </c>
      <c r="AL56" s="196"/>
      <c r="AM56" s="438"/>
      <c r="AN56" s="339" t="str">
        <f t="shared" si="58"/>
        <v xml:space="preserve">    ---- </v>
      </c>
      <c r="AO56" s="525">
        <f t="shared" si="54"/>
        <v>167556.22467399001</v>
      </c>
      <c r="AP56" s="525">
        <f t="shared" si="54"/>
        <v>162205.09614858998</v>
      </c>
      <c r="AQ56" s="339">
        <f t="shared" si="45"/>
        <v>-3.2</v>
      </c>
      <c r="AR56" s="653">
        <f t="shared" si="55"/>
        <v>167556.22467399001</v>
      </c>
      <c r="AS56" s="653">
        <f t="shared" si="55"/>
        <v>162205.09614858998</v>
      </c>
      <c r="AT56" s="672">
        <f t="shared" si="47"/>
        <v>-3.2</v>
      </c>
    </row>
    <row r="57" spans="1:46" s="448" customFormat="1" ht="20.100000000000001" customHeight="1" x14ac:dyDescent="0.3">
      <c r="A57" s="581" t="s">
        <v>225</v>
      </c>
      <c r="B57" s="196"/>
      <c r="C57" s="438"/>
      <c r="D57" s="339"/>
      <c r="E57" s="196">
        <v>1391.8433652000001</v>
      </c>
      <c r="F57" s="438">
        <v>1826.67418589</v>
      </c>
      <c r="G57" s="339">
        <f t="shared" si="41"/>
        <v>31.2</v>
      </c>
      <c r="H57" s="196"/>
      <c r="I57" s="438"/>
      <c r="J57" s="339"/>
      <c r="K57" s="196"/>
      <c r="L57" s="438"/>
      <c r="M57" s="339"/>
      <c r="N57" s="196"/>
      <c r="O57" s="438">
        <v>1</v>
      </c>
      <c r="P57" s="339" t="str">
        <f t="shared" si="51"/>
        <v xml:space="preserve">    ---- </v>
      </c>
      <c r="Q57" s="196"/>
      <c r="R57" s="438"/>
      <c r="S57" s="339"/>
      <c r="T57" s="196">
        <v>117.01406073</v>
      </c>
      <c r="U57" s="438">
        <v>144.2409945</v>
      </c>
      <c r="V57" s="339">
        <f t="shared" si="56"/>
        <v>23.3</v>
      </c>
      <c r="W57" s="196">
        <v>0</v>
      </c>
      <c r="X57" s="438">
        <v>0</v>
      </c>
      <c r="Y57" s="339"/>
      <c r="Z57" s="196"/>
      <c r="AA57" s="438"/>
      <c r="AB57" s="339"/>
      <c r="AC57" s="196"/>
      <c r="AD57" s="438"/>
      <c r="AE57" s="339"/>
      <c r="AF57" s="196">
        <v>0</v>
      </c>
      <c r="AG57" s="438">
        <v>75.284000000000006</v>
      </c>
      <c r="AH57" s="339"/>
      <c r="AI57" s="196">
        <v>138</v>
      </c>
      <c r="AJ57" s="438">
        <v>125</v>
      </c>
      <c r="AK57" s="339">
        <f t="shared" si="49"/>
        <v>-9.4</v>
      </c>
      <c r="AL57" s="196"/>
      <c r="AM57" s="438"/>
      <c r="AN57" s="339" t="str">
        <f t="shared" si="58"/>
        <v xml:space="preserve">    ---- </v>
      </c>
      <c r="AO57" s="525">
        <f t="shared" si="54"/>
        <v>1646.8574259300001</v>
      </c>
      <c r="AP57" s="525">
        <f t="shared" si="54"/>
        <v>2172.19918039</v>
      </c>
      <c r="AQ57" s="339">
        <f t="shared" si="45"/>
        <v>31.9</v>
      </c>
      <c r="AR57" s="653">
        <f t="shared" si="55"/>
        <v>1646.8574259300001</v>
      </c>
      <c r="AS57" s="653">
        <f t="shared" si="55"/>
        <v>2172.19918039</v>
      </c>
      <c r="AT57" s="672">
        <f t="shared" si="47"/>
        <v>31.9</v>
      </c>
    </row>
    <row r="58" spans="1:46" s="448" customFormat="1" ht="20.100000000000001" customHeight="1" x14ac:dyDescent="0.3">
      <c r="A58" s="581" t="s">
        <v>226</v>
      </c>
      <c r="B58" s="196">
        <v>-109.517</v>
      </c>
      <c r="C58" s="438">
        <v>17.341999999999999</v>
      </c>
      <c r="D58" s="339"/>
      <c r="E58" s="196"/>
      <c r="F58" s="438"/>
      <c r="G58" s="339"/>
      <c r="H58" s="196"/>
      <c r="I58" s="438"/>
      <c r="J58" s="339"/>
      <c r="K58" s="196"/>
      <c r="L58" s="438"/>
      <c r="M58" s="339"/>
      <c r="N58" s="196"/>
      <c r="O58" s="438"/>
      <c r="P58" s="339"/>
      <c r="Q58" s="196"/>
      <c r="R58" s="438"/>
      <c r="S58" s="339"/>
      <c r="T58" s="196">
        <v>2.2478209999999998E-2</v>
      </c>
      <c r="U58" s="438">
        <v>1.30170301</v>
      </c>
      <c r="V58" s="339">
        <f t="shared" si="56"/>
        <v>999</v>
      </c>
      <c r="W58" s="196">
        <v>-247.62</v>
      </c>
      <c r="X58" s="438">
        <v>-28.27</v>
      </c>
      <c r="Y58" s="339"/>
      <c r="Z58" s="196"/>
      <c r="AA58" s="438"/>
      <c r="AB58" s="339"/>
      <c r="AC58" s="196"/>
      <c r="AD58" s="438"/>
      <c r="AE58" s="339"/>
      <c r="AF58" s="196">
        <v>0</v>
      </c>
      <c r="AG58" s="438">
        <v>0</v>
      </c>
      <c r="AH58" s="339"/>
      <c r="AI58" s="196">
        <v>25</v>
      </c>
      <c r="AJ58" s="438">
        <v>105</v>
      </c>
      <c r="AK58" s="339">
        <f t="shared" si="49"/>
        <v>320</v>
      </c>
      <c r="AL58" s="196"/>
      <c r="AM58" s="438"/>
      <c r="AN58" s="339" t="str">
        <f t="shared" si="58"/>
        <v xml:space="preserve">    ---- </v>
      </c>
      <c r="AO58" s="525">
        <f t="shared" si="54"/>
        <v>-332.11452179000003</v>
      </c>
      <c r="AP58" s="525">
        <f t="shared" si="54"/>
        <v>95.37370301</v>
      </c>
      <c r="AQ58" s="339">
        <f t="shared" si="45"/>
        <v>-128.69999999999999</v>
      </c>
      <c r="AR58" s="653">
        <f t="shared" si="55"/>
        <v>-332.11452179000003</v>
      </c>
      <c r="AS58" s="653">
        <f t="shared" si="55"/>
        <v>95.37370301</v>
      </c>
      <c r="AT58" s="672">
        <f t="shared" si="47"/>
        <v>-128.69999999999999</v>
      </c>
    </row>
    <row r="59" spans="1:46" s="448" customFormat="1" ht="20.100000000000001" customHeight="1" x14ac:dyDescent="0.3">
      <c r="A59" s="581" t="s">
        <v>227</v>
      </c>
      <c r="B59" s="196">
        <v>384.06099999999998</v>
      </c>
      <c r="C59" s="438">
        <v>383.78899999999999</v>
      </c>
      <c r="D59" s="339">
        <f>IF(B59=0, "    ---- ", IF(ABS(ROUND(100/B59*C59-100,1))&lt;999,ROUND(100/B59*C59-100,1),IF(ROUND(100/B59*C59-100,1)&gt;999,999,-999)))</f>
        <v>-0.1</v>
      </c>
      <c r="E59" s="196"/>
      <c r="F59" s="438"/>
      <c r="G59" s="339"/>
      <c r="H59" s="196"/>
      <c r="I59" s="438"/>
      <c r="J59" s="339" t="str">
        <f>IF(H59=0, "    ---- ", IF(ABS(ROUND(100/H59*I59-100,1))&lt;999,ROUND(100/H59*I59-100,1),IF(ROUND(100/H59*I59-100,1)&gt;999,999,-999)))</f>
        <v xml:space="preserve">    ---- </v>
      </c>
      <c r="K59" s="196"/>
      <c r="L59" s="438"/>
      <c r="M59" s="339" t="str">
        <f>IF(K59=0, "    ---- ", IF(ABS(ROUND(100/K59*L59-100,1))&lt;999,ROUND(100/K59*L59-100,1),IF(ROUND(100/K59*L59-100,1)&gt;999,999,-999)))</f>
        <v xml:space="preserve">    ---- </v>
      </c>
      <c r="N59" s="196">
        <v>121</v>
      </c>
      <c r="O59" s="438">
        <v>94</v>
      </c>
      <c r="P59" s="339">
        <f>IF(N59=0, "    ---- ", IF(ABS(ROUND(100/N59*O59-100,1))&lt;999,ROUND(100/N59*O59-100,1),IF(ROUND(100/N59*O59-100,1)&gt;999,999,-999)))</f>
        <v>-22.3</v>
      </c>
      <c r="Q59" s="196"/>
      <c r="R59" s="438"/>
      <c r="S59" s="339"/>
      <c r="T59" s="196">
        <v>5.5023900000000002E-3</v>
      </c>
      <c r="U59" s="438">
        <v>0.51903599</v>
      </c>
      <c r="V59" s="339">
        <f t="shared" si="56"/>
        <v>999</v>
      </c>
      <c r="W59" s="196">
        <v>365.23</v>
      </c>
      <c r="X59" s="438">
        <v>413.7</v>
      </c>
      <c r="Y59" s="339">
        <f t="shared" si="48"/>
        <v>13.3</v>
      </c>
      <c r="Z59" s="196"/>
      <c r="AA59" s="438"/>
      <c r="AB59" s="339"/>
      <c r="AC59" s="196"/>
      <c r="AD59" s="438"/>
      <c r="AE59" s="339"/>
      <c r="AF59" s="196">
        <v>98.156000000000006</v>
      </c>
      <c r="AG59" s="438">
        <v>186.60400000000001</v>
      </c>
      <c r="AH59" s="339">
        <f t="shared" si="43"/>
        <v>90.1</v>
      </c>
      <c r="AI59" s="196"/>
      <c r="AJ59" s="438"/>
      <c r="AK59" s="339" t="str">
        <f t="shared" si="49"/>
        <v xml:space="preserve">    ---- </v>
      </c>
      <c r="AL59" s="196"/>
      <c r="AM59" s="438"/>
      <c r="AN59" s="339" t="str">
        <f t="shared" si="58"/>
        <v xml:space="preserve">    ---- </v>
      </c>
      <c r="AO59" s="525">
        <f t="shared" si="54"/>
        <v>968.45250239000006</v>
      </c>
      <c r="AP59" s="525">
        <f t="shared" si="54"/>
        <v>1078.6120359900001</v>
      </c>
      <c r="AQ59" s="339">
        <f t="shared" si="45"/>
        <v>11.4</v>
      </c>
      <c r="AR59" s="653">
        <f t="shared" si="55"/>
        <v>968.45250239000006</v>
      </c>
      <c r="AS59" s="653">
        <f t="shared" si="55"/>
        <v>1078.6120359900001</v>
      </c>
      <c r="AT59" s="672">
        <f t="shared" si="47"/>
        <v>11.4</v>
      </c>
    </row>
    <row r="60" spans="1:46" s="448" customFormat="1" ht="20.100000000000001" customHeight="1" x14ac:dyDescent="0.3">
      <c r="A60" s="632" t="s">
        <v>228</v>
      </c>
      <c r="B60" s="196">
        <v>26763.940000000002</v>
      </c>
      <c r="C60" s="438">
        <f>SUM(C48+C49+C50+C54)</f>
        <v>26450.356</v>
      </c>
      <c r="D60" s="339">
        <f>IF(B60=0, "    ---- ", IF(ABS(ROUND(100/B60*C60-100,1))&lt;999,ROUND(100/B60*C60-100,1),IF(ROUND(100/B60*C60-100,1)&gt;999,999,-999)))</f>
        <v>-1.2</v>
      </c>
      <c r="E60" s="196">
        <v>129966.18731614</v>
      </c>
      <c r="F60" s="438">
        <f>SUM(F48+F49+F50+F54)</f>
        <v>130260.21451773999</v>
      </c>
      <c r="G60" s="339">
        <f t="shared" si="41"/>
        <v>0.2</v>
      </c>
      <c r="H60" s="196"/>
      <c r="I60" s="438">
        <f>SUM(I48+I49+I50+I54)</f>
        <v>0</v>
      </c>
      <c r="J60" s="339" t="str">
        <f>IF(H60=0, "    ---- ", IF(ABS(ROUND(100/H60*I60-100,1))&lt;999,ROUND(100/H60*I60-100,1),IF(ROUND(100/H60*I60-100,1)&gt;999,999,-999)))</f>
        <v xml:space="preserve">    ---- </v>
      </c>
      <c r="K60" s="196">
        <f>SUM(K48+K49+K50+K54)</f>
        <v>0</v>
      </c>
      <c r="L60" s="438">
        <f>SUM(L48+L49+L50+L54)</f>
        <v>0</v>
      </c>
      <c r="M60" s="339" t="str">
        <f>IF(K60=0, "    ---- ", IF(ABS(ROUND(100/K60*L60-100,1))&lt;999,ROUND(100/K60*L60-100,1),IF(ROUND(100/K60*L60-100,1)&gt;999,999,-999)))</f>
        <v xml:space="preserve">    ---- </v>
      </c>
      <c r="N60" s="196">
        <f>SUM(N48+N49+N50+N54)</f>
        <v>38652</v>
      </c>
      <c r="O60" s="438">
        <f>SUM(O48+O49+O50+O54)</f>
        <v>40778</v>
      </c>
      <c r="P60" s="339">
        <f>IF(N60=0, "    ---- ", IF(ABS(ROUND(100/N60*O60-100,1))&lt;999,ROUND(100/N60*O60-100,1),IF(ROUND(100/N60*O60-100,1)&gt;999,999,-999)))</f>
        <v>5.5</v>
      </c>
      <c r="Q60" s="196"/>
      <c r="R60" s="438">
        <f>SUM(R48+R49+R50+R54)</f>
        <v>0</v>
      </c>
      <c r="S60" s="339"/>
      <c r="T60" s="196">
        <v>2214.8047705499998</v>
      </c>
      <c r="U60" s="438">
        <v>2665.0669572999996</v>
      </c>
      <c r="V60" s="339">
        <f t="shared" si="56"/>
        <v>20.3</v>
      </c>
      <c r="W60" s="196">
        <f>SUM(W48+W49+W50+W54)</f>
        <v>114051.49</v>
      </c>
      <c r="X60" s="438">
        <f>SUM(X48+X49+X50+X54)</f>
        <v>114500.29</v>
      </c>
      <c r="Y60" s="339">
        <f t="shared" si="48"/>
        <v>0.4</v>
      </c>
      <c r="Z60" s="196"/>
      <c r="AA60" s="438">
        <f>SUM(AA48+AA49+AA50+AA54)</f>
        <v>0</v>
      </c>
      <c r="AB60" s="339"/>
      <c r="AC60" s="196">
        <f>SUM(AC48+AC49+AC50+AC54)</f>
        <v>3241.4234022800001</v>
      </c>
      <c r="AD60" s="438">
        <f>SUM(AD48+AD49+AD50+AD54)</f>
        <v>2780.8176291200002</v>
      </c>
      <c r="AE60" s="339">
        <f>IF(AC60=0, "    ---- ", IF(ABS(ROUND(100/AC60*AD60-100,1))&lt;999,ROUND(100/AC60*AD60-100,1),IF(ROUND(100/AC60*AD60-100,1)&gt;999,999,-999)))</f>
        <v>-14.2</v>
      </c>
      <c r="AF60" s="196">
        <f>SUM(AF48+AF49+AF50+AF54)</f>
        <v>51072.960000000006</v>
      </c>
      <c r="AG60" s="438">
        <f>SUM(AG48+AG49+AG50+AG54)</f>
        <v>52656.286999999997</v>
      </c>
      <c r="AH60" s="339">
        <f t="shared" si="43"/>
        <v>3.1</v>
      </c>
      <c r="AI60" s="196">
        <f>SUM(AI48+AI49+AI50+AI54)</f>
        <v>151735</v>
      </c>
      <c r="AJ60" s="438">
        <f>SUM(AJ48+AJ49+AJ50+AJ54)</f>
        <v>148168</v>
      </c>
      <c r="AK60" s="339">
        <f t="shared" si="49"/>
        <v>-2.4</v>
      </c>
      <c r="AL60" s="196"/>
      <c r="AM60" s="438">
        <f>SUM(AM48+AM49+AM50+AM54)</f>
        <v>0</v>
      </c>
      <c r="AN60" s="339" t="str">
        <f t="shared" si="58"/>
        <v xml:space="preserve">    ---- </v>
      </c>
      <c r="AO60" s="525">
        <f t="shared" si="54"/>
        <v>514456.38208668999</v>
      </c>
      <c r="AP60" s="525">
        <f t="shared" si="54"/>
        <v>515478.21447503997</v>
      </c>
      <c r="AQ60" s="339">
        <f t="shared" si="45"/>
        <v>0.2</v>
      </c>
      <c r="AR60" s="653">
        <f t="shared" si="55"/>
        <v>517697.80548897001</v>
      </c>
      <c r="AS60" s="653">
        <f t="shared" si="55"/>
        <v>518259.03210416</v>
      </c>
      <c r="AT60" s="672">
        <f t="shared" si="47"/>
        <v>0.1</v>
      </c>
    </row>
    <row r="61" spans="1:46" s="448" customFormat="1" ht="20.100000000000001" customHeight="1" x14ac:dyDescent="0.3">
      <c r="A61" s="604" t="s">
        <v>327</v>
      </c>
      <c r="B61" s="196"/>
      <c r="C61" s="438"/>
      <c r="D61" s="339"/>
      <c r="E61" s="196"/>
      <c r="F61" s="438"/>
      <c r="G61" s="339"/>
      <c r="H61" s="196"/>
      <c r="I61" s="438"/>
      <c r="J61" s="339"/>
      <c r="K61" s="196"/>
      <c r="L61" s="438"/>
      <c r="M61" s="339"/>
      <c r="N61" s="196">
        <v>4</v>
      </c>
      <c r="O61" s="438">
        <v>6</v>
      </c>
      <c r="P61" s="339"/>
      <c r="Q61" s="196"/>
      <c r="R61" s="438"/>
      <c r="S61" s="339"/>
      <c r="T61" s="196"/>
      <c r="U61" s="438"/>
      <c r="V61" s="339"/>
      <c r="W61" s="196"/>
      <c r="X61" s="438"/>
      <c r="Y61" s="339"/>
      <c r="Z61" s="196"/>
      <c r="AA61" s="438"/>
      <c r="AB61" s="339"/>
      <c r="AC61" s="196"/>
      <c r="AD61" s="438"/>
      <c r="AE61" s="339"/>
      <c r="AF61" s="196"/>
      <c r="AG61" s="438"/>
      <c r="AH61" s="339"/>
      <c r="AI61" s="196"/>
      <c r="AJ61" s="438"/>
      <c r="AK61" s="339"/>
      <c r="AL61" s="196"/>
      <c r="AM61" s="438"/>
      <c r="AN61" s="339"/>
      <c r="AO61" s="525">
        <f t="shared" si="54"/>
        <v>4</v>
      </c>
      <c r="AP61" s="525">
        <f t="shared" si="54"/>
        <v>6</v>
      </c>
      <c r="AQ61" s="339">
        <f t="shared" si="45"/>
        <v>50</v>
      </c>
      <c r="AR61" s="653">
        <f t="shared" si="55"/>
        <v>4</v>
      </c>
      <c r="AS61" s="653">
        <f t="shared" si="55"/>
        <v>6</v>
      </c>
      <c r="AT61" s="672">
        <f t="shared" si="47"/>
        <v>50</v>
      </c>
    </row>
    <row r="62" spans="1:46" s="448" customFormat="1" ht="20.100000000000001" customHeight="1" x14ac:dyDescent="0.3">
      <c r="A62" s="581" t="s">
        <v>229</v>
      </c>
      <c r="B62" s="196">
        <v>28314.299000000003</v>
      </c>
      <c r="C62" s="438">
        <f>SUM(C45+C46+C60+C61)</f>
        <v>28104.221000000001</v>
      </c>
      <c r="D62" s="339">
        <f>IF(B62=0, "    ---- ", IF(ABS(ROUND(100/B62*C62-100,1))&lt;999,ROUND(100/B62*C62-100,1),IF(ROUND(100/B62*C62-100,1)&gt;999,999,-999)))</f>
        <v>-0.7</v>
      </c>
      <c r="E62" s="196">
        <v>330339.51653751003</v>
      </c>
      <c r="F62" s="438">
        <f>SUM(F45+F46+F60+F61)</f>
        <v>327089.21873579</v>
      </c>
      <c r="G62" s="339">
        <f t="shared" si="41"/>
        <v>-1</v>
      </c>
      <c r="H62" s="196">
        <f>SUM(H45+H46+H60+H61)</f>
        <v>7806.7196156400005</v>
      </c>
      <c r="I62" s="438">
        <f>SUM(I45+I46+I60+I61)</f>
        <v>8230.1149553699979</v>
      </c>
      <c r="J62" s="339">
        <f>IF(H62=0, "    ---- ", IF(ABS(ROUND(100/H62*I62-100,1))&lt;999,ROUND(100/H62*I62-100,1),IF(ROUND(100/H62*I62-100,1)&gt;999,999,-999)))</f>
        <v>5.4</v>
      </c>
      <c r="K62" s="196">
        <f>SUM(K45+K46+K60+K61)</f>
        <v>1214.2080000000001</v>
      </c>
      <c r="L62" s="438">
        <f>SUM(L45+L46+L60+L61)</f>
        <v>1396.4898170000001</v>
      </c>
      <c r="M62" s="339">
        <f>IF(K62=0, "    ---- ", IF(ABS(ROUND(100/K62*L62-100,1))&lt;999,ROUND(100/K62*L62-100,1),IF(ROUND(100/K62*L62-100,1)&gt;999,999,-999)))</f>
        <v>15</v>
      </c>
      <c r="N62" s="196">
        <f>SUM(N45+N46+N60+N61)</f>
        <v>46736</v>
      </c>
      <c r="O62" s="438">
        <f>SUM(O45+O46+O60+O61)</f>
        <v>49437</v>
      </c>
      <c r="P62" s="339">
        <f>IF(N62=0, "    ---- ", IF(ABS(ROUND(100/N62*O62-100,1))&lt;999,ROUND(100/N62*O62-100,1),IF(ROUND(100/N62*O62-100,1)&gt;999,999,-999)))</f>
        <v>5.8</v>
      </c>
      <c r="Q62" s="196"/>
      <c r="R62" s="438">
        <f>SUM(R45+R46+R60+R61)</f>
        <v>0</v>
      </c>
      <c r="S62" s="339"/>
      <c r="T62" s="196">
        <v>628494.93851624988</v>
      </c>
      <c r="U62" s="438">
        <v>663499.29434511997</v>
      </c>
      <c r="V62" s="339">
        <f>IF(T62=0, "    ---- ", IF(ABS(ROUND(100/T62*U62-100,1))&lt;999,ROUND(100/T62*U62-100,1),IF(ROUND(100/T62*U62-100,1)&gt;999,999,-999)))</f>
        <v>5.6</v>
      </c>
      <c r="W62" s="196">
        <f>SUM(W45+W46+W60+W61)</f>
        <v>169412.37856637989</v>
      </c>
      <c r="X62" s="438">
        <f>SUM(X45+X46+X60+X61)</f>
        <v>171149.77416108988</v>
      </c>
      <c r="Y62" s="339">
        <f t="shared" si="48"/>
        <v>1</v>
      </c>
      <c r="Z62" s="196">
        <f>SUM(Z45+Z46+Z60+Z61)</f>
        <v>107659</v>
      </c>
      <c r="AA62" s="438">
        <f>SUM(AA45+AA46+AA60+AA61)</f>
        <v>111646</v>
      </c>
      <c r="AB62" s="339">
        <f>IF(Z62=0, "    ---- ", IF(ABS(ROUND(100/Z62*AA62-100,1))&lt;999,ROUND(100/Z62*AA62-100,1),IF(ROUND(100/Z62*AA62-100,1)&gt;999,999,-999)))</f>
        <v>3.7</v>
      </c>
      <c r="AC62" s="196">
        <f>SUM(AC45+AC46+AC60+AC61)</f>
        <v>3241.4234022800001</v>
      </c>
      <c r="AD62" s="438">
        <f>SUM(AD45+AD46+AD60+AD61)</f>
        <v>2780.8176291200002</v>
      </c>
      <c r="AE62" s="339">
        <f>IF(AC62=0, "    ---- ", IF(ABS(ROUND(100/AC62*AD62-100,1))&lt;999,ROUND(100/AC62*AD62-100,1),IF(ROUND(100/AC62*AD62-100,1)&gt;999,999,-999)))</f>
        <v>-14.2</v>
      </c>
      <c r="AF62" s="196">
        <f>SUM(AF45+AF46+AF60+AF61)</f>
        <v>74262.33600000001</v>
      </c>
      <c r="AG62" s="438">
        <f>SUM(AG45+AG46+AG60+AG61)</f>
        <v>75904.494999999995</v>
      </c>
      <c r="AH62" s="339">
        <f t="shared" si="43"/>
        <v>2.2000000000000002</v>
      </c>
      <c r="AI62" s="196">
        <f>SUM(AI45+AI46+AI60+AI61)</f>
        <v>358161</v>
      </c>
      <c r="AJ62" s="438">
        <f>SUM(AJ45+AJ46+AJ60+AJ61)</f>
        <v>351921</v>
      </c>
      <c r="AK62" s="339">
        <f t="shared" si="49"/>
        <v>-1.7</v>
      </c>
      <c r="AL62" s="196"/>
      <c r="AM62" s="438">
        <f>SUM(AM45+AM46+AM60+AM61)</f>
        <v>0</v>
      </c>
      <c r="AN62" s="339" t="str">
        <f t="shared" ref="AN62" si="59">IF(AL62=0, "    ---- ", IF(ABS(ROUND(100/AL62*AM62-100,1))&lt;999,ROUND(100/AL62*AM62-100,1),IF(ROUND(100/AL62*AM62-100,1)&gt;999,999,-999)))</f>
        <v xml:space="preserve">    ---- </v>
      </c>
      <c r="AO62" s="525">
        <f t="shared" si="54"/>
        <v>1752400.3962357799</v>
      </c>
      <c r="AP62" s="525">
        <f t="shared" si="54"/>
        <v>1788377.6080143698</v>
      </c>
      <c r="AQ62" s="339">
        <f t="shared" si="45"/>
        <v>2.1</v>
      </c>
      <c r="AR62" s="653">
        <f t="shared" si="55"/>
        <v>1755641.8196380599</v>
      </c>
      <c r="AS62" s="653">
        <f t="shared" si="55"/>
        <v>1791158.4256434902</v>
      </c>
      <c r="AT62" s="672">
        <f t="shared" si="47"/>
        <v>2</v>
      </c>
    </row>
    <row r="63" spans="1:46" s="469" customFormat="1" ht="20.100000000000001" customHeight="1" x14ac:dyDescent="0.3">
      <c r="A63" s="604"/>
      <c r="B63" s="198"/>
      <c r="C63" s="437"/>
      <c r="D63" s="436"/>
      <c r="E63" s="198"/>
      <c r="F63" s="437"/>
      <c r="G63" s="436"/>
      <c r="H63" s="198"/>
      <c r="I63" s="437"/>
      <c r="J63" s="436"/>
      <c r="K63" s="198"/>
      <c r="L63" s="437"/>
      <c r="M63" s="436"/>
      <c r="N63" s="198"/>
      <c r="O63" s="437"/>
      <c r="P63" s="439"/>
      <c r="Q63" s="198"/>
      <c r="R63" s="437"/>
      <c r="S63" s="436"/>
      <c r="T63" s="198"/>
      <c r="U63" s="437"/>
      <c r="V63" s="436"/>
      <c r="W63" s="198"/>
      <c r="X63" s="437"/>
      <c r="Y63" s="436"/>
      <c r="Z63" s="198"/>
      <c r="AA63" s="437"/>
      <c r="AB63" s="436"/>
      <c r="AC63" s="198"/>
      <c r="AD63" s="437"/>
      <c r="AE63" s="436"/>
      <c r="AF63" s="198"/>
      <c r="AG63" s="437"/>
      <c r="AH63" s="436"/>
      <c r="AI63" s="198"/>
      <c r="AJ63" s="437"/>
      <c r="AK63" s="436"/>
      <c r="AL63" s="198"/>
      <c r="AM63" s="437"/>
      <c r="AN63" s="436"/>
      <c r="AO63" s="439"/>
      <c r="AP63" s="439"/>
      <c r="AQ63" s="436"/>
      <c r="AR63" s="673"/>
      <c r="AS63" s="673"/>
      <c r="AT63" s="674"/>
    </row>
    <row r="64" spans="1:46" s="469" customFormat="1" ht="20.100000000000001" customHeight="1" x14ac:dyDescent="0.3">
      <c r="A64" s="604" t="s">
        <v>230</v>
      </c>
      <c r="B64" s="198">
        <v>29356.390000000003</v>
      </c>
      <c r="C64" s="437">
        <f>SUM(C29+C62)</f>
        <v>29169.804</v>
      </c>
      <c r="D64" s="436">
        <f>IF(B64=0, "    ---- ", IF(ABS(ROUND(100/B64*C64-100,1))&lt;999,ROUND(100/B64*C64-100,1),IF(ROUND(100/B64*C64-100,1)&gt;999,999,-999)))</f>
        <v>-0.6</v>
      </c>
      <c r="E64" s="198">
        <v>366026.10562191001</v>
      </c>
      <c r="F64" s="437">
        <f>SUM(F29+F62)</f>
        <v>360163.64611625002</v>
      </c>
      <c r="G64" s="436">
        <f t="shared" si="41"/>
        <v>-1.6</v>
      </c>
      <c r="H64" s="198">
        <f>SUM(H29+H62)</f>
        <v>11428.388645970001</v>
      </c>
      <c r="I64" s="437">
        <f>SUM(I29+I62)</f>
        <v>11619.608074779997</v>
      </c>
      <c r="J64" s="436">
        <f>IF(H64=0, "    ---- ", IF(ABS(ROUND(100/H64*I64-100,1))&lt;999,ROUND(100/H64*I64-100,1),IF(ROUND(100/H64*I64-100,1)&gt;999,999,-999)))</f>
        <v>1.7</v>
      </c>
      <c r="K64" s="198">
        <f>SUM(K29+K62)</f>
        <v>2050.2350000000001</v>
      </c>
      <c r="L64" s="437">
        <f>SUM(L29+L62)</f>
        <v>2224.7972010000003</v>
      </c>
      <c r="M64" s="436">
        <f>IF(K64=0, "    ---- ", IF(ABS(ROUND(100/K64*L64-100,1))&lt;999,ROUND(100/K64*L64-100,1),IF(ROUND(100/K64*L64-100,1)&gt;999,999,-999)))</f>
        <v>8.5</v>
      </c>
      <c r="N64" s="198">
        <f>SUM(N29+N62)</f>
        <v>48295</v>
      </c>
      <c r="O64" s="437">
        <f>SUM(O29+O62)</f>
        <v>51028</v>
      </c>
      <c r="P64" s="439">
        <f>IF(N64=0, "    ---- ", IF(ABS(ROUND(100/N64*O64-100,1))&lt;999,ROUND(100/N64*O64-100,1),IF(ROUND(100/N64*O64-100,1)&gt;999,999,-999)))</f>
        <v>5.7</v>
      </c>
      <c r="Q64" s="198">
        <f>SUM(Q29+Q62)</f>
        <v>161.02412597</v>
      </c>
      <c r="R64" s="667">
        <f>SUM(R29+R62)</f>
        <v>167.03462644999999</v>
      </c>
      <c r="S64" s="436">
        <f>IF(Q64=0, "    ---- ", IF(ABS(ROUND(100/Q64*R64-100,1))&lt;999,ROUND(100/Q64*R64-100,1),IF(ROUND(100/Q64*R64-100,1)&gt;999,999,-999)))</f>
        <v>3.7</v>
      </c>
      <c r="T64" s="198">
        <v>692854.36526870984</v>
      </c>
      <c r="U64" s="437">
        <v>727598.43955727993</v>
      </c>
      <c r="V64" s="436">
        <f>IF(T64=0, "    ---- ", IF(ABS(ROUND(100/T64*U64-100,1))&lt;999,ROUND(100/T64*U64-100,1),IF(ROUND(100/T64*U64-100,1)&gt;999,999,-999)))</f>
        <v>5</v>
      </c>
      <c r="W64" s="198">
        <f>SUM(W29+W62)</f>
        <v>181652.58856637988</v>
      </c>
      <c r="X64" s="437">
        <f>SUM(X29+X62)</f>
        <v>183109.8241610899</v>
      </c>
      <c r="Y64" s="436">
        <f t="shared" si="48"/>
        <v>0.8</v>
      </c>
      <c r="Z64" s="198">
        <f>SUM(Z29+Z62)</f>
        <v>119508</v>
      </c>
      <c r="AA64" s="437">
        <f>SUM(AA29+AA62)</f>
        <v>124287</v>
      </c>
      <c r="AB64" s="436">
        <f>IF(Z64=0, "    ---- ", IF(ABS(ROUND(100/Z64*AA64-100,1))&lt;999,ROUND(100/Z64*AA64-100,1),IF(ROUND(100/Z64*AA64-100,1)&gt;999,999,-999)))</f>
        <v>4</v>
      </c>
      <c r="AC64" s="198">
        <f>SUM(AC29+AC62)</f>
        <v>3334.29976734</v>
      </c>
      <c r="AD64" s="437">
        <f>SUM(AD29+AD62)</f>
        <v>2879.9121607800002</v>
      </c>
      <c r="AE64" s="436">
        <f>IF(AC64=0, "    ---- ", IF(ABS(ROUND(100/AC64*AD64-100,1))&lt;999,ROUND(100/AC64*AD64-100,1),IF(ROUND(100/AC64*AD64-100,1)&gt;999,999,-999)))</f>
        <v>-13.6</v>
      </c>
      <c r="AF64" s="198">
        <f>SUM(AF29+AF62)</f>
        <v>81282.602000000014</v>
      </c>
      <c r="AG64" s="437">
        <f>SUM(AG29+AG62)</f>
        <v>83037.96699999999</v>
      </c>
      <c r="AH64" s="436">
        <f t="shared" si="43"/>
        <v>2.2000000000000002</v>
      </c>
      <c r="AI64" s="198">
        <f>SUM(AI29+AI62)</f>
        <v>401432</v>
      </c>
      <c r="AJ64" s="437">
        <f>SUM(AJ29+AJ62)</f>
        <v>399313</v>
      </c>
      <c r="AK64" s="436">
        <f t="shared" si="49"/>
        <v>-0.5</v>
      </c>
      <c r="AL64" s="198"/>
      <c r="AM64" s="437">
        <f>SUM(AM29+AM62)</f>
        <v>7</v>
      </c>
      <c r="AN64" s="436" t="str">
        <f t="shared" ref="AN64" si="60">IF(AL64=0, "    ---- ", IF(ABS(ROUND(100/AL64*AM64-100,1))&lt;999,ROUND(100/AL64*AM64-100,1),IF(ROUND(100/AL64*AM64-100,1)&gt;999,999,-999)))</f>
        <v xml:space="preserve">    ---- </v>
      </c>
      <c r="AO64" s="634">
        <f t="shared" ref="AO64:AP64" si="61">B64+E64+H64+K64+N64+T64+W64+Z64+AF64+AI64</f>
        <v>1933885.6751029696</v>
      </c>
      <c r="AP64" s="634">
        <f t="shared" si="61"/>
        <v>1971552.0861103998</v>
      </c>
      <c r="AQ64" s="436">
        <f t="shared" si="45"/>
        <v>1.9</v>
      </c>
      <c r="AR64" s="673">
        <f t="shared" ref="AR64:AS64" si="62">B64+E64+H64+K64+N64+Q64+T64+W64+Z64+AC64+AF64+AI64+AL64</f>
        <v>1937380.9989962797</v>
      </c>
      <c r="AS64" s="673">
        <f t="shared" si="62"/>
        <v>1974606.0328976298</v>
      </c>
      <c r="AT64" s="674">
        <f t="shared" si="47"/>
        <v>1.9</v>
      </c>
    </row>
    <row r="65" spans="1:46" s="448" customFormat="1" ht="20.100000000000001" customHeight="1" x14ac:dyDescent="0.3">
      <c r="A65" s="633"/>
      <c r="B65" s="196"/>
      <c r="C65" s="438"/>
      <c r="D65" s="339"/>
      <c r="E65" s="196"/>
      <c r="F65" s="438"/>
      <c r="G65" s="339"/>
      <c r="H65" s="196"/>
      <c r="I65" s="438"/>
      <c r="J65" s="339"/>
      <c r="K65" s="196"/>
      <c r="L65" s="438"/>
      <c r="M65" s="339"/>
      <c r="N65" s="196"/>
      <c r="O65" s="438"/>
      <c r="P65" s="434"/>
      <c r="Q65" s="196"/>
      <c r="R65" s="438"/>
      <c r="S65" s="339"/>
      <c r="T65" s="196"/>
      <c r="U65" s="438"/>
      <c r="V65" s="339"/>
      <c r="W65" s="196"/>
      <c r="X65" s="438"/>
      <c r="Y65" s="339"/>
      <c r="Z65" s="196"/>
      <c r="AA65" s="438"/>
      <c r="AB65" s="339"/>
      <c r="AC65" s="196"/>
      <c r="AD65" s="438"/>
      <c r="AE65" s="339"/>
      <c r="AF65" s="196"/>
      <c r="AG65" s="438"/>
      <c r="AH65" s="339"/>
      <c r="AI65" s="196"/>
      <c r="AJ65" s="438"/>
      <c r="AK65" s="339"/>
      <c r="AL65" s="196"/>
      <c r="AM65" s="438"/>
      <c r="AN65" s="339"/>
      <c r="AO65" s="434"/>
      <c r="AP65" s="434"/>
      <c r="AQ65" s="339"/>
      <c r="AR65" s="653"/>
      <c r="AS65" s="653"/>
      <c r="AT65" s="672"/>
    </row>
    <row r="66" spans="1:46" s="448" customFormat="1" ht="20.100000000000001" customHeight="1" x14ac:dyDescent="0.3">
      <c r="A66" s="604" t="s">
        <v>231</v>
      </c>
      <c r="B66" s="196"/>
      <c r="C66" s="438"/>
      <c r="D66" s="339"/>
      <c r="E66" s="196"/>
      <c r="F66" s="438"/>
      <c r="G66" s="339"/>
      <c r="H66" s="196"/>
      <c r="I66" s="438"/>
      <c r="J66" s="339"/>
      <c r="K66" s="196"/>
      <c r="L66" s="438"/>
      <c r="M66" s="339"/>
      <c r="N66" s="196"/>
      <c r="O66" s="438"/>
      <c r="P66" s="434"/>
      <c r="Q66" s="196"/>
      <c r="R66" s="438"/>
      <c r="S66" s="339"/>
      <c r="T66" s="196"/>
      <c r="U66" s="438"/>
      <c r="V66" s="339"/>
      <c r="W66" s="196"/>
      <c r="X66" s="438"/>
      <c r="Y66" s="339"/>
      <c r="Z66" s="196"/>
      <c r="AA66" s="438"/>
      <c r="AB66" s="339"/>
      <c r="AC66" s="196"/>
      <c r="AD66" s="438"/>
      <c r="AE66" s="339"/>
      <c r="AF66" s="196"/>
      <c r="AG66" s="438"/>
      <c r="AH66" s="339"/>
      <c r="AI66" s="196"/>
      <c r="AJ66" s="438"/>
      <c r="AK66" s="339"/>
      <c r="AL66" s="196"/>
      <c r="AM66" s="438"/>
      <c r="AN66" s="339"/>
      <c r="AO66" s="434"/>
      <c r="AP66" s="434"/>
      <c r="AQ66" s="339"/>
      <c r="AR66" s="653"/>
      <c r="AS66" s="653"/>
      <c r="AT66" s="672"/>
    </row>
    <row r="67" spans="1:46" s="448" customFormat="1" ht="20.100000000000001" customHeight="1" x14ac:dyDescent="0.3">
      <c r="A67" s="604"/>
      <c r="B67" s="196"/>
      <c r="C67" s="438"/>
      <c r="D67" s="339"/>
      <c r="E67" s="196"/>
      <c r="F67" s="438"/>
      <c r="G67" s="339"/>
      <c r="H67" s="196"/>
      <c r="I67" s="438"/>
      <c r="J67" s="339"/>
      <c r="K67" s="196"/>
      <c r="L67" s="438"/>
      <c r="M67" s="339"/>
      <c r="N67" s="196"/>
      <c r="O67" s="438"/>
      <c r="P67" s="434"/>
      <c r="Q67" s="196"/>
      <c r="R67" s="438"/>
      <c r="S67" s="339"/>
      <c r="T67" s="196"/>
      <c r="U67" s="438"/>
      <c r="V67" s="339"/>
      <c r="W67" s="196"/>
      <c r="X67" s="438"/>
      <c r="Y67" s="339"/>
      <c r="Z67" s="196"/>
      <c r="AA67" s="438"/>
      <c r="AB67" s="339"/>
      <c r="AC67" s="196"/>
      <c r="AD67" s="438"/>
      <c r="AE67" s="339"/>
      <c r="AF67" s="196"/>
      <c r="AG67" s="438"/>
      <c r="AH67" s="339"/>
      <c r="AI67" s="196"/>
      <c r="AJ67" s="438"/>
      <c r="AK67" s="339"/>
      <c r="AL67" s="196"/>
      <c r="AM67" s="438"/>
      <c r="AN67" s="339"/>
      <c r="AO67" s="434"/>
      <c r="AP67" s="434"/>
      <c r="AQ67" s="339"/>
      <c r="AR67" s="653"/>
      <c r="AS67" s="653"/>
      <c r="AT67" s="672"/>
    </row>
    <row r="68" spans="1:46" s="448" customFormat="1" ht="20.100000000000001" customHeight="1" x14ac:dyDescent="0.3">
      <c r="A68" s="581" t="s">
        <v>232</v>
      </c>
      <c r="B68" s="196">
        <v>406.16</v>
      </c>
      <c r="C68" s="438">
        <v>406.16</v>
      </c>
      <c r="D68" s="339">
        <f>IF(B68=0, "    ---- ", IF(ABS(ROUND(100/B68*C68-100,1))&lt;999,ROUND(100/B68*C68-100,1),IF(ROUND(100/B68*C68-100,1)&gt;999,999,-999)))</f>
        <v>0</v>
      </c>
      <c r="E68" s="196">
        <v>7657.0531522000001</v>
      </c>
      <c r="F68" s="438">
        <v>7657.0531522000001</v>
      </c>
      <c r="G68" s="339">
        <f t="shared" si="41"/>
        <v>0</v>
      </c>
      <c r="H68" s="196">
        <v>2452.057311</v>
      </c>
      <c r="I68" s="438">
        <v>2452.057311</v>
      </c>
      <c r="J68" s="339">
        <f>IF(H68=0, "    ---- ", IF(ABS(ROUND(100/H68*I68-100,1))&lt;999,ROUND(100/H68*I68-100,1),IF(ROUND(100/H68*I68-100,1)&gt;999,999,-999)))</f>
        <v>0</v>
      </c>
      <c r="K68" s="196">
        <v>210</v>
      </c>
      <c r="L68" s="438">
        <v>210</v>
      </c>
      <c r="M68" s="339">
        <f>IF(K68=0, "    ---- ", IF(ABS(ROUND(100/K68*L68-100,1))&lt;999,ROUND(100/K68*L68-100,1),IF(ROUND(100/K68*L68-100,1)&gt;999,999,-999)))</f>
        <v>0</v>
      </c>
      <c r="N68" s="196">
        <v>122</v>
      </c>
      <c r="O68" s="438">
        <v>122</v>
      </c>
      <c r="P68" s="434">
        <f>IF(N68=0, "    ---- ", IF(ABS(ROUND(100/N68*O68-100,1))&lt;999,ROUND(100/N68*O68-100,1),IF(ROUND(100/N68*O68-100,1)&gt;999,999,-999)))</f>
        <v>0</v>
      </c>
      <c r="Q68" s="196">
        <v>5</v>
      </c>
      <c r="R68" s="652">
        <f>5000000/1000000</f>
        <v>5</v>
      </c>
      <c r="S68" s="339">
        <f>IF(Q68=0, "    ---- ", IF(ABS(ROUND(100/Q68*R68-100,1))&lt;999,ROUND(100/Q68*R68-100,1),IF(ROUND(100/Q68*R68-100,1)&gt;999,999,-999)))</f>
        <v>0</v>
      </c>
      <c r="T68" s="196">
        <v>17936.731146999999</v>
      </c>
      <c r="U68" s="438">
        <v>19700.541222</v>
      </c>
      <c r="V68" s="339">
        <f t="shared" ref="V68:V80" si="63">IF(T68=0, "    ---- ", IF(ABS(ROUND(100/T68*U68-100,1))&lt;999,ROUND(100/T68*U68-100,1),IF(ROUND(100/T68*U68-100,1)&gt;999,999,-999)))</f>
        <v>9.8000000000000007</v>
      </c>
      <c r="W68" s="196">
        <v>1126.76</v>
      </c>
      <c r="X68" s="438">
        <v>1126.76</v>
      </c>
      <c r="Y68" s="339">
        <f t="shared" si="48"/>
        <v>0</v>
      </c>
      <c r="Z68" s="196">
        <v>1430</v>
      </c>
      <c r="AA68" s="438">
        <v>1430</v>
      </c>
      <c r="AB68" s="339">
        <f>IF(Z68=0, "    ---- ", IF(ABS(ROUND(100/Z68*AA68-100,1))&lt;999,ROUND(100/Z68*AA68-100,1),IF(ROUND(100/Z68*AA68-100,1)&gt;999,999,-999)))</f>
        <v>0</v>
      </c>
      <c r="AC68" s="196">
        <v>48.519831859999996</v>
      </c>
      <c r="AD68" s="438">
        <v>48.519831859999996</v>
      </c>
      <c r="AE68" s="339">
        <f>IF(AC68=0, "    ---- ", IF(ABS(ROUND(100/AC68*AD68-100,1))&lt;999,ROUND(100/AC68*AD68-100,1),IF(ROUND(100/AC68*AD68-100,1)&gt;999,999,-999)))</f>
        <v>0</v>
      </c>
      <c r="AF68" s="196">
        <v>4257.0320000000002</v>
      </c>
      <c r="AG68" s="438">
        <v>4972.6959999999999</v>
      </c>
      <c r="AH68" s="339">
        <f t="shared" si="43"/>
        <v>16.8</v>
      </c>
      <c r="AI68" s="196">
        <v>14361</v>
      </c>
      <c r="AJ68" s="438">
        <v>15150</v>
      </c>
      <c r="AK68" s="339">
        <f t="shared" si="49"/>
        <v>5.5</v>
      </c>
      <c r="AL68" s="196"/>
      <c r="AM68" s="438">
        <v>27</v>
      </c>
      <c r="AN68" s="339" t="str">
        <f t="shared" ref="AN68:AN71" si="64">IF(AL68=0, "    ---- ", IF(ABS(ROUND(100/AL68*AM68-100,1))&lt;999,ROUND(100/AL68*AM68-100,1),IF(ROUND(100/AL68*AM68-100,1)&gt;999,999,-999)))</f>
        <v xml:space="preserve">    ---- </v>
      </c>
      <c r="AO68" s="525">
        <f t="shared" ref="AO68:AP71" si="65">B68+E68+H68+K68+N68+T68+W68+Z68+AF68+AI68</f>
        <v>49958.793610200002</v>
      </c>
      <c r="AP68" s="525">
        <f t="shared" si="65"/>
        <v>53227.2676852</v>
      </c>
      <c r="AQ68" s="339">
        <f t="shared" si="45"/>
        <v>6.5</v>
      </c>
      <c r="AR68" s="653">
        <f t="shared" ref="AR68:AS71" si="66">B68+E68+H68+K68+N68+Q68+T68+W68+Z68+AC68+AF68+AI68+AL68</f>
        <v>50012.313442060004</v>
      </c>
      <c r="AS68" s="653">
        <f t="shared" si="66"/>
        <v>53307.787517060002</v>
      </c>
      <c r="AT68" s="672">
        <f t="shared" si="47"/>
        <v>6.6</v>
      </c>
    </row>
    <row r="69" spans="1:46" s="448" customFormat="1" ht="20.100000000000001" customHeight="1" x14ac:dyDescent="0.3">
      <c r="A69" s="581" t="s">
        <v>233</v>
      </c>
      <c r="B69" s="196">
        <v>641.58199999999999</v>
      </c>
      <c r="C69" s="438">
        <v>727.13499999999999</v>
      </c>
      <c r="D69" s="339">
        <f>IF(B69=0, "    ---- ", IF(ABS(ROUND(100/B69*C69-100,1))&lt;999,ROUND(100/B69*C69-100,1),IF(ROUND(100/B69*C69-100,1)&gt;999,999,-999)))</f>
        <v>13.3</v>
      </c>
      <c r="E69" s="196">
        <v>17392.160554090002</v>
      </c>
      <c r="F69" s="438">
        <v>16238.441729669999</v>
      </c>
      <c r="G69" s="339">
        <f t="shared" si="41"/>
        <v>-6.6</v>
      </c>
      <c r="H69" s="196">
        <v>368.30778833000187</v>
      </c>
      <c r="I69" s="438">
        <v>52.925491710000379</v>
      </c>
      <c r="J69" s="339">
        <f>IF(H69=0, "    ---- ", IF(ABS(ROUND(100/H69*I69-100,1))&lt;999,ROUND(100/H69*I69-100,1),IF(ROUND(100/H69*I69-100,1)&gt;999,999,-999)))</f>
        <v>-85.6</v>
      </c>
      <c r="K69" s="196">
        <v>339.43200000000002</v>
      </c>
      <c r="L69" s="438">
        <v>344.43766299999999</v>
      </c>
      <c r="M69" s="339">
        <f>IF(K69=0, "    ---- ", IF(ABS(ROUND(100/K69*L69-100,1))&lt;999,ROUND(100/K69*L69-100,1),IF(ROUND(100/K69*L69-100,1)&gt;999,999,-999)))</f>
        <v>1.5</v>
      </c>
      <c r="N69" s="196">
        <v>980</v>
      </c>
      <c r="O69" s="438">
        <v>990</v>
      </c>
      <c r="P69" s="434">
        <f>IF(N69=0, "    ---- ", IF(ABS(ROUND(100/N69*O69-100,1))&lt;999,ROUND(100/N69*O69-100,1),IF(ROUND(100/N69*O69-100,1)&gt;999,999,-999)))</f>
        <v>1</v>
      </c>
      <c r="Q69" s="196">
        <v>105.69590397</v>
      </c>
      <c r="R69" s="652">
        <v>111.13037371000001</v>
      </c>
      <c r="S69" s="339">
        <f>IF(Q69=0, "    ---- ", IF(ABS(ROUND(100/Q69*R69-100,1))&lt;999,ROUND(100/Q69*R69-100,1),IF(ROUND(100/Q69*R69-100,1)&gt;999,999,-999)))</f>
        <v>5.0999999999999996</v>
      </c>
      <c r="T69" s="196">
        <v>22172.270486669997</v>
      </c>
      <c r="U69" s="438">
        <v>21453.332680880001</v>
      </c>
      <c r="V69" s="339">
        <f t="shared" si="63"/>
        <v>-3.2</v>
      </c>
      <c r="W69" s="196">
        <v>7772.35</v>
      </c>
      <c r="X69" s="438">
        <v>7803.23</v>
      </c>
      <c r="Y69" s="339">
        <f t="shared" si="48"/>
        <v>0.4</v>
      </c>
      <c r="Z69" s="196">
        <v>9495</v>
      </c>
      <c r="AA69" s="438">
        <v>9986</v>
      </c>
      <c r="AB69" s="339">
        <f>IF(Z69=0, "    ---- ", IF(ABS(ROUND(100/Z69*AA69-100,1))&lt;999,ROUND(100/Z69*AA69-100,1),IF(ROUND(100/Z69*AA69-100,1)&gt;999,999,-999)))</f>
        <v>5.2</v>
      </c>
      <c r="AC69" s="196">
        <v>34.971344540000104</v>
      </c>
      <c r="AD69" s="438">
        <v>45.165593800000003</v>
      </c>
      <c r="AE69" s="339">
        <f>IF(AC69=0, "    ---- ", IF(ABS(ROUND(100/AC69*AD69-100,1))&lt;999,ROUND(100/AC69*AD69-100,1),IF(ROUND(100/AC69*AD69-100,1)&gt;999,999,-999)))</f>
        <v>29.2</v>
      </c>
      <c r="AF69" s="196">
        <v>1083.82</v>
      </c>
      <c r="AG69" s="438">
        <v>949.42700000000002</v>
      </c>
      <c r="AH69" s="339">
        <f t="shared" si="43"/>
        <v>-12.4</v>
      </c>
      <c r="AI69" s="196">
        <v>13285</v>
      </c>
      <c r="AJ69" s="438">
        <v>11502</v>
      </c>
      <c r="AK69" s="339">
        <f t="shared" si="49"/>
        <v>-13.4</v>
      </c>
      <c r="AL69" s="196"/>
      <c r="AM69" s="438">
        <v>-27</v>
      </c>
      <c r="AN69" s="339" t="str">
        <f t="shared" si="64"/>
        <v xml:space="preserve">    ---- </v>
      </c>
      <c r="AO69" s="525">
        <f t="shared" si="65"/>
        <v>73529.922829090006</v>
      </c>
      <c r="AP69" s="525">
        <f t="shared" si="65"/>
        <v>70046.929565260012</v>
      </c>
      <c r="AQ69" s="339">
        <f t="shared" si="45"/>
        <v>-4.7</v>
      </c>
      <c r="AR69" s="653">
        <f t="shared" si="66"/>
        <v>73670.590077600005</v>
      </c>
      <c r="AS69" s="653">
        <f t="shared" si="66"/>
        <v>70176.225532769997</v>
      </c>
      <c r="AT69" s="672">
        <f t="shared" si="47"/>
        <v>-4.7</v>
      </c>
    </row>
    <row r="70" spans="1:46" s="448" customFormat="1" ht="20.100000000000001" customHeight="1" x14ac:dyDescent="0.3">
      <c r="A70" s="581" t="s">
        <v>234</v>
      </c>
      <c r="B70" s="196">
        <v>8.0370000000000008</v>
      </c>
      <c r="C70" s="438">
        <v>11.117000000000001</v>
      </c>
      <c r="D70" s="339"/>
      <c r="E70" s="196">
        <v>808.35995328000001</v>
      </c>
      <c r="F70" s="438">
        <v>929.41688958999998</v>
      </c>
      <c r="G70" s="339">
        <f>IF(E70=0, "    ---- ", IF(ABS(ROUND(100/E70*F70-100,1))&lt;999,ROUND(100/E70*F70-100,1),IF(ROUND(100/E70*F70-100,1)&gt;999,999,-999)))</f>
        <v>15</v>
      </c>
      <c r="H70" s="196"/>
      <c r="I70" s="438"/>
      <c r="J70" s="339"/>
      <c r="K70" s="196">
        <v>62.503</v>
      </c>
      <c r="L70" s="438">
        <v>44.459220000000002</v>
      </c>
      <c r="M70" s="339"/>
      <c r="N70" s="196">
        <v>35</v>
      </c>
      <c r="O70" s="438">
        <v>39</v>
      </c>
      <c r="P70" s="339">
        <f>IF(N70=0, "    ---- ", IF(ABS(ROUND(100/N70*O70-100,1))&lt;999,ROUND(100/N70*O70-100,1),IF(ROUND(100/N70*O70-100,1)&gt;999,999,-999)))</f>
        <v>11.4</v>
      </c>
      <c r="Q70" s="196"/>
      <c r="R70" s="652"/>
      <c r="S70" s="339"/>
      <c r="T70" s="196">
        <v>5689.2341829999996</v>
      </c>
      <c r="U70" s="438">
        <v>4821.1104742099997</v>
      </c>
      <c r="V70" s="339">
        <f t="shared" si="63"/>
        <v>-15.3</v>
      </c>
      <c r="W70" s="196">
        <v>76.790000000000006</v>
      </c>
      <c r="X70" s="438">
        <v>152.03</v>
      </c>
      <c r="Y70" s="339">
        <f t="shared" si="48"/>
        <v>98</v>
      </c>
      <c r="Z70" s="196"/>
      <c r="AA70" s="438"/>
      <c r="AB70" s="339" t="str">
        <f>IF(Z70=0, "    ---- ", IF(ABS(ROUND(100/Z70*AA70-100,1))&lt;999,ROUND(100/Z70*AA70-100,1),IF(ROUND(100/Z70*AA70-100,1)&gt;999,999,-999)))</f>
        <v xml:space="preserve">    ---- </v>
      </c>
      <c r="AC70" s="196"/>
      <c r="AD70" s="438"/>
      <c r="AE70" s="339"/>
      <c r="AF70" s="196">
        <v>179.34200000000001</v>
      </c>
      <c r="AG70" s="438">
        <v>241.048</v>
      </c>
      <c r="AH70" s="339">
        <f>IF(AF70=0, "    ---- ", IF(ABS(ROUND(100/AF70*AG70-100,1))&lt;999,ROUND(100/AF70*AG70-100,1),IF(ROUND(100/AF70*AG70-100,1)&gt;999,999,-999)))</f>
        <v>34.4</v>
      </c>
      <c r="AI70" s="196">
        <v>444</v>
      </c>
      <c r="AJ70" s="438">
        <v>676</v>
      </c>
      <c r="AK70" s="339">
        <f t="shared" si="49"/>
        <v>52.3</v>
      </c>
      <c r="AL70" s="196"/>
      <c r="AM70" s="438"/>
      <c r="AN70" s="339" t="str">
        <f t="shared" si="64"/>
        <v xml:space="preserve">    ---- </v>
      </c>
      <c r="AO70" s="525">
        <f t="shared" si="65"/>
        <v>7303.266136279999</v>
      </c>
      <c r="AP70" s="525">
        <f t="shared" si="65"/>
        <v>6914.1815837999993</v>
      </c>
      <c r="AQ70" s="339">
        <f t="shared" si="45"/>
        <v>-5.3</v>
      </c>
      <c r="AR70" s="653">
        <f t="shared" si="66"/>
        <v>7303.266136279999</v>
      </c>
      <c r="AS70" s="653">
        <f t="shared" si="66"/>
        <v>6914.1815837999993</v>
      </c>
      <c r="AT70" s="672">
        <f t="shared" si="47"/>
        <v>-5.3</v>
      </c>
    </row>
    <row r="71" spans="1:46" s="448" customFormat="1" ht="20.100000000000001" customHeight="1" x14ac:dyDescent="0.3">
      <c r="A71" s="581" t="s">
        <v>235</v>
      </c>
      <c r="B71" s="196"/>
      <c r="C71" s="438"/>
      <c r="D71" s="339"/>
      <c r="E71" s="196">
        <v>7000</v>
      </c>
      <c r="F71" s="438">
        <v>7000</v>
      </c>
      <c r="G71" s="339">
        <f t="shared" si="41"/>
        <v>0</v>
      </c>
      <c r="H71" s="196">
        <v>550</v>
      </c>
      <c r="I71" s="438">
        <v>550</v>
      </c>
      <c r="J71" s="339"/>
      <c r="K71" s="196"/>
      <c r="L71" s="438"/>
      <c r="M71" s="339"/>
      <c r="N71" s="196">
        <v>300</v>
      </c>
      <c r="O71" s="438">
        <v>300</v>
      </c>
      <c r="P71" s="434"/>
      <c r="Q71" s="196"/>
      <c r="R71" s="652"/>
      <c r="S71" s="339"/>
      <c r="T71" s="196">
        <v>4623.4083897199998</v>
      </c>
      <c r="U71" s="438">
        <v>4575.8294116800007</v>
      </c>
      <c r="V71" s="339">
        <f t="shared" si="63"/>
        <v>-1</v>
      </c>
      <c r="W71" s="196">
        <v>2830</v>
      </c>
      <c r="X71" s="438">
        <v>2830</v>
      </c>
      <c r="Y71" s="339">
        <f t="shared" si="48"/>
        <v>0</v>
      </c>
      <c r="Z71" s="196">
        <v>1240</v>
      </c>
      <c r="AA71" s="438">
        <v>1240</v>
      </c>
      <c r="AB71" s="339">
        <f>IF(Z71=0, "    ---- ", IF(ABS(ROUND(100/Z71*AA71-100,1))&lt;999,ROUND(100/Z71*AA71-100,1),IF(ROUND(100/Z71*AA71-100,1)&gt;999,999,-999)))</f>
        <v>0</v>
      </c>
      <c r="AC71" s="196"/>
      <c r="AD71" s="438"/>
      <c r="AE71" s="339"/>
      <c r="AF71" s="196">
        <v>1000</v>
      </c>
      <c r="AG71" s="438">
        <v>0</v>
      </c>
      <c r="AH71" s="339">
        <f t="shared" si="43"/>
        <v>-100</v>
      </c>
      <c r="AI71" s="196">
        <v>10929</v>
      </c>
      <c r="AJ71" s="438">
        <v>11015</v>
      </c>
      <c r="AK71" s="339">
        <f t="shared" si="49"/>
        <v>0.8</v>
      </c>
      <c r="AL71" s="196"/>
      <c r="AM71" s="438"/>
      <c r="AN71" s="339" t="str">
        <f t="shared" si="64"/>
        <v xml:space="preserve">    ---- </v>
      </c>
      <c r="AO71" s="525">
        <f t="shared" si="65"/>
        <v>28472.40838972</v>
      </c>
      <c r="AP71" s="525">
        <f t="shared" si="65"/>
        <v>27510.829411680003</v>
      </c>
      <c r="AQ71" s="339">
        <f t="shared" si="45"/>
        <v>-3.4</v>
      </c>
      <c r="AR71" s="653">
        <f t="shared" si="66"/>
        <v>28472.40838972</v>
      </c>
      <c r="AS71" s="653">
        <f t="shared" si="66"/>
        <v>27510.829411680003</v>
      </c>
      <c r="AT71" s="672">
        <f t="shared" si="47"/>
        <v>-3.4</v>
      </c>
    </row>
    <row r="72" spans="1:46" s="448" customFormat="1" ht="20.100000000000001" customHeight="1" x14ac:dyDescent="0.3">
      <c r="A72" s="581" t="s">
        <v>236</v>
      </c>
      <c r="B72" s="196"/>
      <c r="C72" s="438"/>
      <c r="D72" s="339"/>
      <c r="E72" s="196"/>
      <c r="F72" s="438"/>
      <c r="G72" s="339"/>
      <c r="H72" s="196"/>
      <c r="I72" s="438"/>
      <c r="J72" s="339"/>
      <c r="K72" s="196"/>
      <c r="L72" s="438"/>
      <c r="M72" s="339"/>
      <c r="N72" s="196"/>
      <c r="O72" s="438"/>
      <c r="P72" s="434"/>
      <c r="Q72" s="196"/>
      <c r="R72" s="652"/>
      <c r="S72" s="339"/>
      <c r="T72" s="196">
        <v>0</v>
      </c>
      <c r="U72" s="438">
        <v>0</v>
      </c>
      <c r="V72" s="339"/>
      <c r="W72" s="196"/>
      <c r="X72" s="438"/>
      <c r="Y72" s="339"/>
      <c r="Z72" s="196"/>
      <c r="AA72" s="438"/>
      <c r="AB72" s="339"/>
      <c r="AC72" s="196"/>
      <c r="AD72" s="438"/>
      <c r="AE72" s="339"/>
      <c r="AF72" s="196"/>
      <c r="AG72" s="438"/>
      <c r="AH72" s="339"/>
      <c r="AI72" s="196"/>
      <c r="AJ72" s="438"/>
      <c r="AK72" s="339"/>
      <c r="AL72" s="196"/>
      <c r="AM72" s="438"/>
      <c r="AN72" s="339"/>
      <c r="AO72" s="434"/>
      <c r="AP72" s="434"/>
      <c r="AQ72" s="339"/>
      <c r="AR72" s="653"/>
      <c r="AS72" s="653"/>
      <c r="AT72" s="672"/>
    </row>
    <row r="73" spans="1:46" s="448" customFormat="1" ht="20.100000000000001" customHeight="1" x14ac:dyDescent="0.3">
      <c r="A73" s="581" t="s">
        <v>381</v>
      </c>
      <c r="B73" s="196">
        <v>1203.9000000000001</v>
      </c>
      <c r="C73" s="438">
        <v>1315.1869999999999</v>
      </c>
      <c r="D73" s="339">
        <f>IF(B73=0, "    ---- ", IF(ABS(ROUND(100/B73*C73-100,1))&lt;999,ROUND(100/B73*C73-100,1),IF(ROUND(100/B73*C73-100,1)&gt;999,999,-999)))</f>
        <v>9.1999999999999993</v>
      </c>
      <c r="E73" s="196">
        <v>189347.38728572</v>
      </c>
      <c r="F73" s="438">
        <v>183760.20083260001</v>
      </c>
      <c r="G73" s="339">
        <f t="shared" si="41"/>
        <v>-3</v>
      </c>
      <c r="H73" s="196">
        <v>7330.4358193399985</v>
      </c>
      <c r="I73" s="438">
        <v>7854.7251038899985</v>
      </c>
      <c r="J73" s="339">
        <f>IF(H73=0, "    ---- ", IF(ABS(ROUND(100/H73*I73-100,1))&lt;999,ROUND(100/H73*I73-100,1),IF(ROUND(100/H73*I73-100,1)&gt;999,999,-999)))</f>
        <v>7.2</v>
      </c>
      <c r="K73" s="196">
        <v>1368.395</v>
      </c>
      <c r="L73" s="438">
        <v>1587.3417280000001</v>
      </c>
      <c r="M73" s="339">
        <f>IF(K73=0, "    ---- ", IF(ABS(ROUND(100/K73*L73-100,1))&lt;999,ROUND(100/K73*L73-100,1),IF(ROUND(100/K73*L73-100,1)&gt;999,999,-999)))</f>
        <v>16</v>
      </c>
      <c r="N73" s="196">
        <v>7663</v>
      </c>
      <c r="O73" s="438">
        <v>8270</v>
      </c>
      <c r="P73" s="434">
        <f>IF(N73=0, "    ---- ", IF(ABS(ROUND(100/N73*O73-100,1))&lt;999,ROUND(100/N73*O73-100,1),IF(ROUND(100/N73*O73-100,1)&gt;999,999,-999)))</f>
        <v>7.9</v>
      </c>
      <c r="Q73" s="196">
        <v>43.382034539999999</v>
      </c>
      <c r="R73" s="652">
        <f>43664846.15/1000000</f>
        <v>43.664846149999995</v>
      </c>
      <c r="S73" s="339"/>
      <c r="T73" s="196">
        <v>476151.54198389</v>
      </c>
      <c r="U73" s="438">
        <v>506138.32378859998</v>
      </c>
      <c r="V73" s="339">
        <f t="shared" si="63"/>
        <v>6.3</v>
      </c>
      <c r="W73" s="196">
        <v>48796.08</v>
      </c>
      <c r="X73" s="438">
        <v>48458.549999999996</v>
      </c>
      <c r="Y73" s="339">
        <f t="shared" si="48"/>
        <v>-0.7</v>
      </c>
      <c r="Z73" s="196">
        <v>67900</v>
      </c>
      <c r="AA73" s="438">
        <v>76208</v>
      </c>
      <c r="AB73" s="339">
        <f>IF(Z73=0, "    ---- ", IF(ABS(ROUND(100/Z73*AA73-100,1))&lt;999,ROUND(100/Z73*AA73-100,1),IF(ROUND(100/Z73*AA73-100,1)&gt;999,999,-999)))</f>
        <v>12.2</v>
      </c>
      <c r="AC73" s="196"/>
      <c r="AD73" s="438"/>
      <c r="AE73" s="339"/>
      <c r="AF73" s="196">
        <v>18079.832999999999</v>
      </c>
      <c r="AG73" s="438">
        <v>18923.399000000001</v>
      </c>
      <c r="AH73" s="339">
        <f t="shared" si="43"/>
        <v>4.7</v>
      </c>
      <c r="AI73" s="196">
        <v>181137</v>
      </c>
      <c r="AJ73" s="438">
        <v>184687</v>
      </c>
      <c r="AK73" s="339">
        <f t="shared" si="49"/>
        <v>2</v>
      </c>
      <c r="AL73" s="196"/>
      <c r="AM73" s="438">
        <v>2</v>
      </c>
      <c r="AN73" s="339" t="str">
        <f t="shared" ref="AN73:AN75" si="67">IF(AL73=0, "    ---- ", IF(ABS(ROUND(100/AL73*AM73-100,1))&lt;999,ROUND(100/AL73*AM73-100,1),IF(ROUND(100/AL73*AM73-100,1)&gt;999,999,-999)))</f>
        <v xml:space="preserve">    ---- </v>
      </c>
      <c r="AO73" s="525">
        <f t="shared" ref="AO73:AP75" si="68">B73+E73+H73+K73+N73+T73+W73+Z73+AF73+AI73</f>
        <v>998977.5730889499</v>
      </c>
      <c r="AP73" s="525">
        <f t="shared" si="68"/>
        <v>1037202.72745309</v>
      </c>
      <c r="AQ73" s="339">
        <f t="shared" si="45"/>
        <v>3.8</v>
      </c>
      <c r="AR73" s="653">
        <f t="shared" ref="AR73:AS75" si="69">B73+E73+H73+K73+N73+Q73+T73+W73+Z73+AC73+AF73+AI73+AL73</f>
        <v>999020.95512348996</v>
      </c>
      <c r="AS73" s="653">
        <f t="shared" si="69"/>
        <v>1037248.39229924</v>
      </c>
      <c r="AT73" s="672">
        <f t="shared" si="47"/>
        <v>3.8</v>
      </c>
    </row>
    <row r="74" spans="1:46" s="448" customFormat="1" ht="20.100000000000001" customHeight="1" x14ac:dyDescent="0.3">
      <c r="A74" s="581" t="s">
        <v>237</v>
      </c>
      <c r="B74" s="196">
        <v>29.308</v>
      </c>
      <c r="C74" s="438">
        <v>30.024000000000001</v>
      </c>
      <c r="D74" s="339">
        <f>IF(B74=0, "    ---- ", IF(ABS(ROUND(100/B74*C74-100,1))&lt;999,ROUND(100/B74*C74-100,1),IF(ROUND(100/B74*C74-100,1)&gt;999,999,-999)))</f>
        <v>2.4</v>
      </c>
      <c r="E74" s="196">
        <v>6330.6770845800002</v>
      </c>
      <c r="F74" s="438">
        <v>7279.6170580799999</v>
      </c>
      <c r="G74" s="339">
        <f t="shared" si="41"/>
        <v>15</v>
      </c>
      <c r="H74" s="196"/>
      <c r="I74" s="438"/>
      <c r="J74" s="339" t="str">
        <f>IF(H74=0, "    ---- ", IF(ABS(ROUND(100/H74*I74-100,1))&lt;999,ROUND(100/H74*I74-100,1),IF(ROUND(100/H74*I74-100,1)&gt;999,999,-999)))</f>
        <v xml:space="preserve">    ---- </v>
      </c>
      <c r="K74" s="196">
        <v>5.7919999999999998</v>
      </c>
      <c r="L74" s="438">
        <v>4.6597860000000004</v>
      </c>
      <c r="M74" s="339">
        <f>IF(K74=0, "    ---- ", IF(ABS(ROUND(100/K74*L74-100,1))&lt;999,ROUND(100/K74*L74-100,1),IF(ROUND(100/K74*L74-100,1)&gt;999,999,-999)))</f>
        <v>-19.5</v>
      </c>
      <c r="N74" s="196">
        <v>296</v>
      </c>
      <c r="O74" s="438">
        <v>326</v>
      </c>
      <c r="P74" s="434">
        <f>IF(N74=0, "    ---- ", IF(ABS(ROUND(100/N74*O74-100,1))&lt;999,ROUND(100/N74*O74-100,1),IF(ROUND(100/N74*O74-100,1)&gt;999,999,-999)))</f>
        <v>10.1</v>
      </c>
      <c r="Q74" s="196"/>
      <c r="R74" s="438"/>
      <c r="S74" s="339"/>
      <c r="T74" s="196">
        <v>42715.335400999997</v>
      </c>
      <c r="U74" s="438"/>
      <c r="V74" s="339">
        <f t="shared" si="63"/>
        <v>-100</v>
      </c>
      <c r="W74" s="196">
        <v>2544.7399999999998</v>
      </c>
      <c r="X74" s="438">
        <v>3765.36</v>
      </c>
      <c r="Y74" s="339">
        <f t="shared" si="48"/>
        <v>48</v>
      </c>
      <c r="Z74" s="196">
        <v>7899</v>
      </c>
      <c r="AA74" s="438">
        <v>0</v>
      </c>
      <c r="AB74" s="339">
        <f>IF(Z74=0, "    ---- ", IF(ABS(ROUND(100/Z74*AA74-100,1))&lt;999,ROUND(100/Z74*AA74-100,1),IF(ROUND(100/Z74*AA74-100,1)&gt;999,999,-999)))</f>
        <v>-100</v>
      </c>
      <c r="AC74" s="196"/>
      <c r="AD74" s="438"/>
      <c r="AE74" s="339"/>
      <c r="AF74" s="196">
        <v>1158.644</v>
      </c>
      <c r="AG74" s="438">
        <v>1413.5129999999999</v>
      </c>
      <c r="AH74" s="339">
        <f t="shared" si="43"/>
        <v>22</v>
      </c>
      <c r="AI74" s="196">
        <v>12476</v>
      </c>
      <c r="AJ74" s="438">
        <v>12266</v>
      </c>
      <c r="AK74" s="339">
        <f t="shared" si="49"/>
        <v>-1.7</v>
      </c>
      <c r="AL74" s="196"/>
      <c r="AM74" s="438"/>
      <c r="AN74" s="339" t="str">
        <f t="shared" si="67"/>
        <v xml:space="preserve">    ---- </v>
      </c>
      <c r="AO74" s="525">
        <f t="shared" si="68"/>
        <v>73455.496485579992</v>
      </c>
      <c r="AP74" s="525">
        <f t="shared" si="68"/>
        <v>25085.17384408</v>
      </c>
      <c r="AQ74" s="339">
        <f t="shared" si="45"/>
        <v>-65.8</v>
      </c>
      <c r="AR74" s="653">
        <f t="shared" si="69"/>
        <v>73455.496485579992</v>
      </c>
      <c r="AS74" s="653">
        <f t="shared" si="69"/>
        <v>25085.17384408</v>
      </c>
      <c r="AT74" s="672">
        <f t="shared" si="47"/>
        <v>-65.8</v>
      </c>
    </row>
    <row r="75" spans="1:46" s="448" customFormat="1" ht="20.100000000000001" customHeight="1" x14ac:dyDescent="0.3">
      <c r="A75" s="581" t="s">
        <v>238</v>
      </c>
      <c r="B75" s="196">
        <v>64.567999999999998</v>
      </c>
      <c r="C75" s="438">
        <v>0</v>
      </c>
      <c r="D75" s="339">
        <f>IF(B75=0, "    ---- ", IF(ABS(ROUND(100/B75*C75-100,1))&lt;999,ROUND(100/B75*C75-100,1),IF(ROUND(100/B75*C75-100,1)&gt;999,999,-999)))</f>
        <v>-100</v>
      </c>
      <c r="E75" s="196">
        <v>1435.6604822100001</v>
      </c>
      <c r="F75" s="438">
        <v>0</v>
      </c>
      <c r="G75" s="339">
        <f t="shared" si="41"/>
        <v>-100</v>
      </c>
      <c r="H75" s="196"/>
      <c r="I75" s="438"/>
      <c r="J75" s="339"/>
      <c r="K75" s="196">
        <v>6.9</v>
      </c>
      <c r="L75" s="438"/>
      <c r="M75" s="339"/>
      <c r="N75" s="196">
        <v>10</v>
      </c>
      <c r="O75" s="438">
        <v>0</v>
      </c>
      <c r="P75" s="434">
        <f>IF(N75=0, "    ---- ", IF(ABS(ROUND(100/N75*O75-100,1))&lt;999,ROUND(100/N75*O75-100,1),IF(ROUND(100/N75*O75-100,1)&gt;999,999,-999)))</f>
        <v>-100</v>
      </c>
      <c r="Q75" s="196"/>
      <c r="R75" s="438"/>
      <c r="S75" s="339"/>
      <c r="T75" s="196">
        <v>67708.994693510002</v>
      </c>
      <c r="U75" s="438">
        <v>1E-8</v>
      </c>
      <c r="V75" s="339">
        <f t="shared" si="63"/>
        <v>-100</v>
      </c>
      <c r="W75" s="196">
        <v>2602.6</v>
      </c>
      <c r="X75" s="438">
        <v>2234.2199999999998</v>
      </c>
      <c r="Y75" s="339">
        <f t="shared" si="48"/>
        <v>-14.2</v>
      </c>
      <c r="Z75" s="196">
        <v>18370</v>
      </c>
      <c r="AA75" s="438">
        <v>0</v>
      </c>
      <c r="AB75" s="339">
        <f>IF(Z75=0, "    ---- ", IF(ABS(ROUND(100/Z75*AA75-100,1))&lt;999,ROUND(100/Z75*AA75-100,1),IF(ROUND(100/Z75*AA75-100,1)&gt;999,999,-999)))</f>
        <v>-100</v>
      </c>
      <c r="AC75" s="196"/>
      <c r="AD75" s="438"/>
      <c r="AE75" s="339"/>
      <c r="AF75" s="196">
        <v>2933.1210000000001</v>
      </c>
      <c r="AG75" s="438">
        <v>1807.595</v>
      </c>
      <c r="AH75" s="339">
        <f t="shared" si="43"/>
        <v>-38.4</v>
      </c>
      <c r="AI75" s="196">
        <v>6820</v>
      </c>
      <c r="AJ75" s="438">
        <v>863</v>
      </c>
      <c r="AK75" s="339">
        <f t="shared" si="49"/>
        <v>-87.3</v>
      </c>
      <c r="AL75" s="196"/>
      <c r="AM75" s="438"/>
      <c r="AN75" s="339" t="str">
        <f t="shared" si="67"/>
        <v xml:space="preserve">    ---- </v>
      </c>
      <c r="AO75" s="525">
        <f t="shared" si="68"/>
        <v>99951.844175720005</v>
      </c>
      <c r="AP75" s="525">
        <f t="shared" si="68"/>
        <v>4904.8150000099995</v>
      </c>
      <c r="AQ75" s="339">
        <f t="shared" si="45"/>
        <v>-95.1</v>
      </c>
      <c r="AR75" s="653">
        <f t="shared" si="69"/>
        <v>99951.844175720005</v>
      </c>
      <c r="AS75" s="653">
        <f t="shared" si="69"/>
        <v>4904.8150000099995</v>
      </c>
      <c r="AT75" s="672">
        <f t="shared" si="47"/>
        <v>-95.1</v>
      </c>
    </row>
    <row r="76" spans="1:46" s="448" customFormat="1" ht="20.100000000000001" customHeight="1" x14ac:dyDescent="0.3">
      <c r="A76" s="581" t="s">
        <v>427</v>
      </c>
      <c r="B76" s="196"/>
      <c r="C76" s="438"/>
      <c r="D76" s="339"/>
      <c r="E76" s="196"/>
      <c r="F76" s="438">
        <v>0</v>
      </c>
      <c r="G76" s="339"/>
      <c r="H76" s="196"/>
      <c r="I76" s="438"/>
      <c r="J76" s="339"/>
      <c r="K76" s="196"/>
      <c r="L76" s="438"/>
      <c r="M76" s="339"/>
      <c r="N76" s="196"/>
      <c r="O76" s="438"/>
      <c r="P76" s="434"/>
      <c r="Q76" s="196"/>
      <c r="R76" s="438"/>
      <c r="S76" s="339"/>
      <c r="T76" s="196"/>
      <c r="U76" s="438">
        <v>40166.836313089996</v>
      </c>
      <c r="V76" s="339"/>
      <c r="W76" s="196"/>
      <c r="X76" s="438">
        <v>0</v>
      </c>
      <c r="Y76" s="339"/>
      <c r="Z76" s="196"/>
      <c r="AA76" s="438">
        <v>26061</v>
      </c>
      <c r="AB76" s="339"/>
      <c r="AC76" s="196"/>
      <c r="AD76" s="438"/>
      <c r="AE76" s="339"/>
      <c r="AF76" s="196"/>
      <c r="AG76" s="438">
        <v>432.61200000000002</v>
      </c>
      <c r="AH76" s="339"/>
      <c r="AI76" s="196"/>
      <c r="AJ76" s="438">
        <v>1164</v>
      </c>
      <c r="AK76" s="339" t="str">
        <f t="shared" si="49"/>
        <v xml:space="preserve">    ---- </v>
      </c>
      <c r="AL76" s="196"/>
      <c r="AM76" s="438"/>
      <c r="AN76" s="339"/>
      <c r="AO76" s="525">
        <f t="shared" ref="AO76" si="70">B76+E76+H76+K76+N76+T76+W76+Z76+AF76+AI76</f>
        <v>0</v>
      </c>
      <c r="AP76" s="525">
        <f t="shared" ref="AP76" si="71">C76+F76+I76+L76+O76+U76+X76+AA76+AG76+AJ76</f>
        <v>67824.44831308999</v>
      </c>
      <c r="AQ76" s="339"/>
      <c r="AR76" s="653">
        <f t="shared" ref="AR76" si="72">B76+E76+H76+K76+N76+Q76+T76+W76+Z76+AC76+AF76+AI76+AL76</f>
        <v>0</v>
      </c>
      <c r="AS76" s="653">
        <f t="shared" ref="AS76" si="73">C76+F76+I76+L76+O76+R76+U76+X76+AA76+AD76+AG76+AJ76+AM76</f>
        <v>67824.44831308999</v>
      </c>
      <c r="AT76" s="672"/>
    </row>
    <row r="77" spans="1:46" s="448" customFormat="1" ht="20.100000000000001" customHeight="1" x14ac:dyDescent="0.3">
      <c r="A77" s="581" t="s">
        <v>428</v>
      </c>
      <c r="B77" s="196">
        <v>15.632</v>
      </c>
      <c r="C77" s="438">
        <v>16.731999999999999</v>
      </c>
      <c r="D77" s="339">
        <f>IF(B77=0, "    ---- ", IF(ABS(ROUND(100/B77*C77-100,1))&lt;999,ROUND(100/B77*C77-100,1),IF(ROUND(100/B77*C77-100,1)&gt;999,999,-999)))</f>
        <v>7</v>
      </c>
      <c r="E77" s="196">
        <v>0</v>
      </c>
      <c r="F77" s="438">
        <v>607.47865247000004</v>
      </c>
      <c r="G77" s="339" t="str">
        <f t="shared" si="41"/>
        <v xml:space="preserve">    ---- </v>
      </c>
      <c r="H77" s="196"/>
      <c r="I77" s="438"/>
      <c r="J77" s="339"/>
      <c r="K77" s="196"/>
      <c r="L77" s="438"/>
      <c r="M77" s="339"/>
      <c r="N77" s="196">
        <v>1</v>
      </c>
      <c r="O77" s="438">
        <v>2</v>
      </c>
      <c r="P77" s="434"/>
      <c r="Q77" s="196"/>
      <c r="R77" s="438"/>
      <c r="S77" s="339"/>
      <c r="T77" s="196">
        <v>37609.649799089995</v>
      </c>
      <c r="U77" s="438">
        <v>0</v>
      </c>
      <c r="V77" s="339">
        <f t="shared" si="63"/>
        <v>-100</v>
      </c>
      <c r="W77" s="196">
        <v>857.24</v>
      </c>
      <c r="X77" s="438">
        <v>911.75</v>
      </c>
      <c r="Y77" s="339">
        <f t="shared" si="48"/>
        <v>6.4</v>
      </c>
      <c r="Z77" s="196">
        <v>7081</v>
      </c>
      <c r="AA77" s="438">
        <v>7377</v>
      </c>
      <c r="AB77" s="339"/>
      <c r="AC77" s="196"/>
      <c r="AD77" s="438"/>
      <c r="AE77" s="339"/>
      <c r="AF77" s="196">
        <v>257.47699999999998</v>
      </c>
      <c r="AG77" s="438"/>
      <c r="AH77" s="339">
        <f t="shared" si="43"/>
        <v>-100</v>
      </c>
      <c r="AI77" s="196">
        <v>2416</v>
      </c>
      <c r="AJ77" s="438">
        <v>4019</v>
      </c>
      <c r="AK77" s="339">
        <f t="shared" si="49"/>
        <v>66.3</v>
      </c>
      <c r="AL77" s="196"/>
      <c r="AM77" s="438"/>
      <c r="AN77" s="339" t="str">
        <f t="shared" ref="AN77:AN78" si="74">IF(AL77=0, "    ---- ", IF(ABS(ROUND(100/AL77*AM77-100,1))&lt;999,ROUND(100/AL77*AM77-100,1),IF(ROUND(100/AL77*AM77-100,1)&gt;999,999,-999)))</f>
        <v xml:space="preserve">    ---- </v>
      </c>
      <c r="AO77" s="525">
        <f t="shared" ref="AO77:AP80" si="75">B77+E77+H77+K77+N77+T77+W77+Z77+AF77+AI77</f>
        <v>48237.99879908999</v>
      </c>
      <c r="AP77" s="525">
        <f t="shared" si="75"/>
        <v>12933.960652469999</v>
      </c>
      <c r="AQ77" s="339">
        <f t="shared" si="45"/>
        <v>-73.2</v>
      </c>
      <c r="AR77" s="653">
        <f t="shared" ref="AR77:AS80" si="76">B77+E77+H77+K77+N77+Q77+T77+W77+Z77+AC77+AF77+AI77+AL77</f>
        <v>48237.99879908999</v>
      </c>
      <c r="AS77" s="653">
        <f t="shared" si="76"/>
        <v>12933.960652469999</v>
      </c>
      <c r="AT77" s="672">
        <f t="shared" si="47"/>
        <v>-73.2</v>
      </c>
    </row>
    <row r="78" spans="1:46" s="448" customFormat="1" ht="20.100000000000001" customHeight="1" x14ac:dyDescent="0.3">
      <c r="A78" s="581" t="s">
        <v>429</v>
      </c>
      <c r="B78" s="196">
        <v>44.953000000000003</v>
      </c>
      <c r="C78" s="438">
        <v>47.125</v>
      </c>
      <c r="D78" s="339">
        <f>IF(B78=0, "    ---- ", IF(ABS(ROUND(100/B78*C78-100,1))&lt;999,ROUND(100/B78*C78-100,1),IF(ROUND(100/B78*C78-100,1)&gt;999,999,-999)))</f>
        <v>4.8</v>
      </c>
      <c r="E78" s="196">
        <v>551.31737009000005</v>
      </c>
      <c r="F78" s="438">
        <v>3006.16072502</v>
      </c>
      <c r="G78" s="339">
        <f t="shared" si="41"/>
        <v>445.3</v>
      </c>
      <c r="H78" s="196"/>
      <c r="I78" s="438"/>
      <c r="J78" s="339" t="str">
        <f>IF(H78=0, "    ---- ", IF(ABS(ROUND(100/H78*I78-100,1))&lt;999,ROUND(100/H78*I78-100,1),IF(ROUND(100/H78*I78-100,1)&gt;999,999,-999)))</f>
        <v xml:space="preserve">    ---- </v>
      </c>
      <c r="K78" s="196"/>
      <c r="L78" s="438"/>
      <c r="M78" s="339" t="str">
        <f>IF(K78=0, "    ---- ", IF(ABS(ROUND(100/K78*L78-100,1))&lt;999,ROUND(100/K78*L78-100,1),IF(ROUND(100/K78*L78-100,1)&gt;999,999,-999)))</f>
        <v xml:space="preserve">    ---- </v>
      </c>
      <c r="N78" s="196"/>
      <c r="O78" s="438"/>
      <c r="P78" s="434"/>
      <c r="Q78" s="196"/>
      <c r="R78" s="438"/>
      <c r="S78" s="339"/>
      <c r="T78" s="196">
        <v>0</v>
      </c>
      <c r="U78" s="438">
        <v>104970.16739891001</v>
      </c>
      <c r="V78" s="339"/>
      <c r="W78" s="196">
        <v>0</v>
      </c>
      <c r="X78" s="438"/>
      <c r="Y78" s="339" t="str">
        <f t="shared" si="48"/>
        <v xml:space="preserve">    ---- </v>
      </c>
      <c r="Z78" s="196">
        <v>382</v>
      </c>
      <c r="AA78" s="438">
        <v>408</v>
      </c>
      <c r="AB78" s="339"/>
      <c r="AC78" s="196"/>
      <c r="AD78" s="438"/>
      <c r="AE78" s="339"/>
      <c r="AF78" s="196"/>
      <c r="AG78" s="438"/>
      <c r="AH78" s="339" t="str">
        <f t="shared" si="43"/>
        <v xml:space="preserve">    ---- </v>
      </c>
      <c r="AI78" s="196">
        <v>1328.4</v>
      </c>
      <c r="AJ78" s="438">
        <v>732</v>
      </c>
      <c r="AK78" s="339">
        <f t="shared" si="49"/>
        <v>-44.9</v>
      </c>
      <c r="AL78" s="196"/>
      <c r="AM78" s="438"/>
      <c r="AN78" s="339" t="str">
        <f t="shared" si="74"/>
        <v xml:space="preserve">    ---- </v>
      </c>
      <c r="AO78" s="525">
        <f t="shared" si="75"/>
        <v>2306.6703700900002</v>
      </c>
      <c r="AP78" s="525">
        <f t="shared" si="75"/>
        <v>109163.45312393001</v>
      </c>
      <c r="AQ78" s="339">
        <f t="shared" si="45"/>
        <v>999</v>
      </c>
      <c r="AR78" s="653">
        <f t="shared" si="76"/>
        <v>2306.6703700900002</v>
      </c>
      <c r="AS78" s="653">
        <f t="shared" si="76"/>
        <v>109163.45312393001</v>
      </c>
      <c r="AT78" s="672">
        <f t="shared" si="47"/>
        <v>999</v>
      </c>
    </row>
    <row r="79" spans="1:46" s="448" customFormat="1" ht="20.100000000000001" customHeight="1" x14ac:dyDescent="0.3">
      <c r="A79" s="581" t="s">
        <v>239</v>
      </c>
      <c r="B79" s="196"/>
      <c r="C79" s="438"/>
      <c r="D79" s="339"/>
      <c r="E79" s="196">
        <v>2345.7763337900001</v>
      </c>
      <c r="F79" s="438">
        <v>0</v>
      </c>
      <c r="G79" s="339"/>
      <c r="H79" s="196"/>
      <c r="I79" s="438"/>
      <c r="J79" s="339"/>
      <c r="K79" s="196"/>
      <c r="L79" s="438"/>
      <c r="M79" s="339"/>
      <c r="N79" s="196">
        <v>29</v>
      </c>
      <c r="O79" s="438">
        <v>0</v>
      </c>
      <c r="P79" s="434"/>
      <c r="Q79" s="196"/>
      <c r="R79" s="438"/>
      <c r="S79" s="339"/>
      <c r="T79" s="196">
        <v>7160.1796679999998</v>
      </c>
      <c r="U79" s="438">
        <v>546.90700200000003</v>
      </c>
      <c r="V79" s="339"/>
      <c r="W79" s="196"/>
      <c r="X79" s="438"/>
      <c r="Y79" s="339"/>
      <c r="Z79" s="196">
        <v>4559</v>
      </c>
      <c r="AA79" s="438">
        <v>58</v>
      </c>
      <c r="AB79" s="339"/>
      <c r="AC79" s="196"/>
      <c r="AD79" s="438"/>
      <c r="AE79" s="339"/>
      <c r="AF79" s="196">
        <v>467.40655655000018</v>
      </c>
      <c r="AG79" s="438">
        <v>105.78454155000018</v>
      </c>
      <c r="AH79" s="339"/>
      <c r="AI79" s="196">
        <v>694.2</v>
      </c>
      <c r="AJ79" s="438">
        <v>174</v>
      </c>
      <c r="AK79" s="339"/>
      <c r="AL79" s="196"/>
      <c r="AM79" s="438"/>
      <c r="AN79" s="339"/>
      <c r="AO79" s="525">
        <f t="shared" si="75"/>
        <v>15255.562558340001</v>
      </c>
      <c r="AP79" s="525">
        <f t="shared" si="75"/>
        <v>884.69154355000023</v>
      </c>
      <c r="AQ79" s="339">
        <f t="shared" si="45"/>
        <v>-94.2</v>
      </c>
      <c r="AR79" s="653">
        <f t="shared" si="76"/>
        <v>15255.562558340001</v>
      </c>
      <c r="AS79" s="653">
        <f t="shared" si="76"/>
        <v>884.69154355000023</v>
      </c>
      <c r="AT79" s="672">
        <f t="shared" si="47"/>
        <v>-94.2</v>
      </c>
    </row>
    <row r="80" spans="1:46" s="448" customFormat="1" ht="20.100000000000001" customHeight="1" x14ac:dyDescent="0.3">
      <c r="A80" s="632" t="s">
        <v>240</v>
      </c>
      <c r="B80" s="196">
        <v>1358.3610000000001</v>
      </c>
      <c r="C80" s="438">
        <f>SUM(C73:C79)</f>
        <v>1409.0679999999998</v>
      </c>
      <c r="D80" s="339">
        <f>IF(B80=0, "    ---- ", IF(ABS(ROUND(100/B80*C80-100,1))&lt;999,ROUND(100/B80*C80-100,1),IF(ROUND(100/B80*C80-100,1)&gt;999,999,-999)))</f>
        <v>3.7</v>
      </c>
      <c r="E80" s="196">
        <v>200010.81855639</v>
      </c>
      <c r="F80" s="438">
        <f>SUM(F73:F79)</f>
        <v>194653.45726816999</v>
      </c>
      <c r="G80" s="339">
        <f t="shared" si="41"/>
        <v>-2.7</v>
      </c>
      <c r="H80" s="196">
        <f>SUM(H73:H79)</f>
        <v>7330.4358193399985</v>
      </c>
      <c r="I80" s="438">
        <f>SUM(I73:I79)</f>
        <v>7854.7251038899985</v>
      </c>
      <c r="J80" s="339">
        <f>IF(H80=0, "    ---- ", IF(ABS(ROUND(100/H80*I80-100,1))&lt;999,ROUND(100/H80*I80-100,1),IF(ROUND(100/H80*I80-100,1)&gt;999,999,-999)))</f>
        <v>7.2</v>
      </c>
      <c r="K80" s="196">
        <f>SUM(K73:K79)</f>
        <v>1381.087</v>
      </c>
      <c r="L80" s="438">
        <f>SUM(L73:L79)</f>
        <v>1592.001514</v>
      </c>
      <c r="M80" s="339">
        <f>IF(K80=0, "    ---- ", IF(ABS(ROUND(100/K80*L80-100,1))&lt;999,ROUND(100/K80*L80-100,1),IF(ROUND(100/K80*L80-100,1)&gt;999,999,-999)))</f>
        <v>15.3</v>
      </c>
      <c r="N80" s="196">
        <f>SUM(N73:N79)</f>
        <v>7999</v>
      </c>
      <c r="O80" s="438">
        <f>SUM(O73:O79)</f>
        <v>8598</v>
      </c>
      <c r="P80" s="434">
        <f>IF(N80=0, "    ---- ", IF(ABS(ROUND(100/N80*O80-100,1))&lt;999,ROUND(100/N80*O80-100,1),IF(ROUND(100/N80*O80-100,1)&gt;999,999,-999)))</f>
        <v>7.5</v>
      </c>
      <c r="Q80" s="196">
        <f>SUM(Q73:Q79)</f>
        <v>43.382034539999999</v>
      </c>
      <c r="R80" s="438">
        <f>SUM(R73:R79)</f>
        <v>43.664846149999995</v>
      </c>
      <c r="S80" s="339">
        <f>IF(Q80=0, "    ---- ", IF(ABS(ROUND(100/Q80*R80-100,1))&lt;999,ROUND(100/Q80*R80-100,1),IF(ROUND(100/Q80*R80-100,1)&gt;999,999,-999)))</f>
        <v>0.7</v>
      </c>
      <c r="T80" s="196">
        <v>631345.70154548995</v>
      </c>
      <c r="U80" s="438">
        <v>651822.23450261005</v>
      </c>
      <c r="V80" s="339">
        <f t="shared" si="63"/>
        <v>3.2</v>
      </c>
      <c r="W80" s="196">
        <f>SUM(W73:W79)</f>
        <v>54800.659999999996</v>
      </c>
      <c r="X80" s="438">
        <f>SUM(X73:X79)</f>
        <v>55369.88</v>
      </c>
      <c r="Y80" s="339">
        <f t="shared" si="48"/>
        <v>1</v>
      </c>
      <c r="Z80" s="196">
        <f>SUM(Z73:Z79)</f>
        <v>106191</v>
      </c>
      <c r="AA80" s="438">
        <f>SUM(AA73:AA79)</f>
        <v>110112</v>
      </c>
      <c r="AB80" s="339">
        <f>IF(Z80=0, "    ---- ", IF(ABS(ROUND(100/Z80*AA80-100,1))&lt;999,ROUND(100/Z80*AA80-100,1),IF(ROUND(100/Z80*AA80-100,1)&gt;999,999,-999)))</f>
        <v>3.7</v>
      </c>
      <c r="AC80" s="196"/>
      <c r="AD80" s="438">
        <f>SUM(AD73:AD79)</f>
        <v>0</v>
      </c>
      <c r="AE80" s="339"/>
      <c r="AF80" s="196">
        <f>SUM(AF73:AF79)</f>
        <v>22896.481556549996</v>
      </c>
      <c r="AG80" s="438">
        <f>SUM(AG73:AG79)</f>
        <v>22682.903541550004</v>
      </c>
      <c r="AH80" s="339">
        <f t="shared" si="43"/>
        <v>-0.9</v>
      </c>
      <c r="AI80" s="196">
        <f>SUM(AI73:AI79)</f>
        <v>204871.6</v>
      </c>
      <c r="AJ80" s="438">
        <f>SUM(AJ73:AJ79)</f>
        <v>203905</v>
      </c>
      <c r="AK80" s="339">
        <f t="shared" si="49"/>
        <v>-0.5</v>
      </c>
      <c r="AL80" s="196"/>
      <c r="AM80" s="438">
        <f>SUM(AM73:AM79)</f>
        <v>2</v>
      </c>
      <c r="AN80" s="339" t="str">
        <f t="shared" ref="AN80" si="77">IF(AL80=0, "    ---- ", IF(ABS(ROUND(100/AL80*AM80-100,1))&lt;999,ROUND(100/AL80*AM80-100,1),IF(ROUND(100/AL80*AM80-100,1)&gt;999,999,-999)))</f>
        <v xml:space="preserve">    ---- </v>
      </c>
      <c r="AO80" s="525">
        <f t="shared" si="75"/>
        <v>1238185.1454777701</v>
      </c>
      <c r="AP80" s="525">
        <f t="shared" si="75"/>
        <v>1257999.26993022</v>
      </c>
      <c r="AQ80" s="339">
        <f t="shared" si="45"/>
        <v>1.6</v>
      </c>
      <c r="AR80" s="653">
        <f t="shared" si="76"/>
        <v>1238228.5275123101</v>
      </c>
      <c r="AS80" s="653">
        <f t="shared" si="76"/>
        <v>1258044.9347763699</v>
      </c>
      <c r="AT80" s="672">
        <f t="shared" si="47"/>
        <v>1.6</v>
      </c>
    </row>
    <row r="81" spans="1:46" s="448" customFormat="1" ht="20.100000000000001" customHeight="1" x14ac:dyDescent="0.3">
      <c r="A81" s="581" t="s">
        <v>241</v>
      </c>
      <c r="B81" s="196"/>
      <c r="C81" s="438"/>
      <c r="D81" s="339"/>
      <c r="E81" s="196"/>
      <c r="F81" s="438"/>
      <c r="G81" s="339"/>
      <c r="H81" s="196"/>
      <c r="I81" s="438"/>
      <c r="J81" s="339"/>
      <c r="K81" s="196"/>
      <c r="L81" s="438"/>
      <c r="M81" s="339"/>
      <c r="N81" s="196"/>
      <c r="O81" s="438"/>
      <c r="P81" s="434"/>
      <c r="Q81" s="196"/>
      <c r="R81" s="438"/>
      <c r="S81" s="339"/>
      <c r="T81" s="196"/>
      <c r="U81" s="438"/>
      <c r="V81" s="339"/>
      <c r="W81" s="196"/>
      <c r="X81" s="438"/>
      <c r="Y81" s="339"/>
      <c r="Z81" s="196"/>
      <c r="AA81" s="438"/>
      <c r="AB81" s="339"/>
      <c r="AC81" s="196"/>
      <c r="AD81" s="438"/>
      <c r="AE81" s="339"/>
      <c r="AF81" s="196"/>
      <c r="AG81" s="438"/>
      <c r="AH81" s="339"/>
      <c r="AI81" s="196"/>
      <c r="AJ81" s="438"/>
      <c r="AK81" s="339"/>
      <c r="AL81" s="196"/>
      <c r="AM81" s="438"/>
      <c r="AN81" s="339"/>
      <c r="AO81" s="434"/>
      <c r="AP81" s="434"/>
      <c r="AQ81" s="339"/>
      <c r="AR81" s="653"/>
      <c r="AS81" s="653"/>
      <c r="AT81" s="672"/>
    </row>
    <row r="82" spans="1:46" s="448" customFormat="1" ht="20.100000000000001" customHeight="1" x14ac:dyDescent="0.3">
      <c r="A82" s="581" t="s">
        <v>382</v>
      </c>
      <c r="B82" s="196">
        <v>26687.618999999999</v>
      </c>
      <c r="C82" s="438">
        <v>26255.739000000001</v>
      </c>
      <c r="D82" s="339">
        <f>IF(B82=0, "    ---- ", IF(ABS(ROUND(100/B82*C82-100,1))&lt;999,ROUND(100/B82*C82-100,1),IF(ROUND(100/B82*C82-100,1)&gt;999,999,-999)))</f>
        <v>-1.6</v>
      </c>
      <c r="E82" s="196">
        <v>129429.83035328001</v>
      </c>
      <c r="F82" s="438">
        <v>129730.65386815</v>
      </c>
      <c r="G82" s="339">
        <f t="shared" si="41"/>
        <v>0.2</v>
      </c>
      <c r="H82" s="196"/>
      <c r="I82" s="438"/>
      <c r="J82" s="339" t="str">
        <f>IF(H82=0, "    ---- ", IF(ABS(ROUND(100/H82*I82-100,1))&lt;999,ROUND(100/H82*I82-100,1),IF(ROUND(100/H82*I82-100,1)&gt;999,999,-999)))</f>
        <v xml:space="preserve">    ---- </v>
      </c>
      <c r="K82" s="196"/>
      <c r="L82" s="438"/>
      <c r="M82" s="339" t="str">
        <f>IF(K82=0, "    ---- ", IF(ABS(ROUND(100/K82*L82-100,1))&lt;999,ROUND(100/K82*L82-100,1),IF(ROUND(100/K82*L82-100,1)&gt;999,999,-999)))</f>
        <v xml:space="preserve">    ---- </v>
      </c>
      <c r="N82" s="196">
        <v>38404</v>
      </c>
      <c r="O82" s="438">
        <v>40529</v>
      </c>
      <c r="P82" s="434">
        <f>IF(N82=0, "    ---- ", IF(ABS(ROUND(100/N82*O82-100,1))&lt;999,ROUND(100/N82*O82-100,1),IF(ROUND(100/N82*O82-100,1)&gt;999,999,-999)))</f>
        <v>5.5</v>
      </c>
      <c r="Q82" s="196"/>
      <c r="R82" s="438"/>
      <c r="S82" s="339"/>
      <c r="T82" s="196">
        <v>1544.6398348399998</v>
      </c>
      <c r="U82" s="438">
        <v>1994.4993780100001</v>
      </c>
      <c r="V82" s="339">
        <f t="shared" ref="V82:V93" si="78">IF(T82=0, "    ---- ", IF(ABS(ROUND(100/T82*U82-100,1))&lt;999,ROUND(100/T82*U82-100,1),IF(ROUND(100/T82*U82-100,1)&gt;999,999,-999)))</f>
        <v>29.1</v>
      </c>
      <c r="W82" s="196">
        <v>114051.5</v>
      </c>
      <c r="X82" s="438">
        <v>114500.28</v>
      </c>
      <c r="Y82" s="339">
        <f t="shared" si="48"/>
        <v>0.4</v>
      </c>
      <c r="Z82" s="196"/>
      <c r="AA82" s="438"/>
      <c r="AB82" s="339"/>
      <c r="AC82" s="196">
        <v>3229.1149632900001</v>
      </c>
      <c r="AD82" s="438">
        <v>2775.0301399999998</v>
      </c>
      <c r="AE82" s="339">
        <f>IF(AC82=0, "    ---- ", IF(ABS(ROUND(100/AC82*AD82-100,1))&lt;999,ROUND(100/AC82*AD82-100,1),IF(ROUND(100/AC82*AD82-100,1)&gt;999,999,-999)))</f>
        <v>-14.1</v>
      </c>
      <c r="AF82" s="196">
        <v>50255.305</v>
      </c>
      <c r="AG82" s="438">
        <v>51224.360999999997</v>
      </c>
      <c r="AH82" s="339">
        <f t="shared" si="43"/>
        <v>1.9</v>
      </c>
      <c r="AI82" s="196">
        <v>150736</v>
      </c>
      <c r="AJ82" s="438">
        <v>145891</v>
      </c>
      <c r="AK82" s="339">
        <f t="shared" si="49"/>
        <v>-3.2</v>
      </c>
      <c r="AL82" s="196"/>
      <c r="AM82" s="438"/>
      <c r="AN82" s="339" t="str">
        <f t="shared" ref="AN82:AN83" si="79">IF(AL82=0, "    ---- ", IF(ABS(ROUND(100/AL82*AM82-100,1))&lt;999,ROUND(100/AL82*AM82-100,1),IF(ROUND(100/AL82*AM82-100,1)&gt;999,999,-999)))</f>
        <v xml:space="preserve">    ---- </v>
      </c>
      <c r="AO82" s="525">
        <f t="shared" ref="AO82:AP84" si="80">B82+E82+H82+K82+N82+T82+W82+Z82+AF82+AI82</f>
        <v>511108.89418811997</v>
      </c>
      <c r="AP82" s="525">
        <f t="shared" si="80"/>
        <v>510125.53324615996</v>
      </c>
      <c r="AQ82" s="339">
        <f t="shared" si="45"/>
        <v>-0.2</v>
      </c>
      <c r="AR82" s="653">
        <f t="shared" ref="AR82:AS83" si="81">B82+E82+H82+K82+N82+Q82+T82+W82+Z82+AC82+AF82+AI82+AL82</f>
        <v>514338.00915140996</v>
      </c>
      <c r="AS82" s="653">
        <f t="shared" si="81"/>
        <v>512900.56338615995</v>
      </c>
      <c r="AT82" s="672">
        <f t="shared" si="47"/>
        <v>-0.3</v>
      </c>
    </row>
    <row r="83" spans="1:46" s="448" customFormat="1" ht="20.100000000000001" customHeight="1" x14ac:dyDescent="0.3">
      <c r="A83" s="581" t="s">
        <v>383</v>
      </c>
      <c r="B83" s="196"/>
      <c r="C83" s="438"/>
      <c r="D83" s="339"/>
      <c r="E83" s="196"/>
      <c r="F83" s="438"/>
      <c r="G83" s="339"/>
      <c r="H83" s="196"/>
      <c r="I83" s="438"/>
      <c r="J83" s="339"/>
      <c r="K83" s="196"/>
      <c r="L83" s="438"/>
      <c r="M83" s="339"/>
      <c r="N83" s="196"/>
      <c r="O83" s="438"/>
      <c r="P83" s="339"/>
      <c r="Q83" s="196"/>
      <c r="R83" s="438"/>
      <c r="S83" s="339"/>
      <c r="T83" s="196">
        <v>126.951956</v>
      </c>
      <c r="U83" s="438">
        <v>70.075652000000005</v>
      </c>
      <c r="V83" s="339"/>
      <c r="W83" s="196">
        <v>0</v>
      </c>
      <c r="X83" s="438">
        <v>0</v>
      </c>
      <c r="Y83" s="339" t="str">
        <f t="shared" si="48"/>
        <v xml:space="preserve">    ---- </v>
      </c>
      <c r="Z83" s="196"/>
      <c r="AA83" s="438"/>
      <c r="AB83" s="339"/>
      <c r="AC83" s="196"/>
      <c r="AD83" s="438"/>
      <c r="AE83" s="339"/>
      <c r="AF83" s="196">
        <v>0</v>
      </c>
      <c r="AG83" s="438">
        <v>0</v>
      </c>
      <c r="AH83" s="339" t="str">
        <f t="shared" si="43"/>
        <v xml:space="preserve">    ---- </v>
      </c>
      <c r="AI83" s="196"/>
      <c r="AJ83" s="438"/>
      <c r="AK83" s="339" t="str">
        <f t="shared" si="49"/>
        <v xml:space="preserve">    ---- </v>
      </c>
      <c r="AL83" s="196"/>
      <c r="AM83" s="438"/>
      <c r="AN83" s="339" t="str">
        <f t="shared" si="79"/>
        <v xml:space="preserve">    ---- </v>
      </c>
      <c r="AO83" s="525">
        <f t="shared" si="80"/>
        <v>126.951956</v>
      </c>
      <c r="AP83" s="525">
        <f t="shared" si="80"/>
        <v>70.075652000000005</v>
      </c>
      <c r="AQ83" s="339">
        <f t="shared" si="45"/>
        <v>-44.8</v>
      </c>
      <c r="AR83" s="653">
        <f t="shared" si="81"/>
        <v>126.951956</v>
      </c>
      <c r="AS83" s="653">
        <f t="shared" si="81"/>
        <v>70.075652000000005</v>
      </c>
      <c r="AT83" s="672">
        <f t="shared" si="47"/>
        <v>-44.8</v>
      </c>
    </row>
    <row r="84" spans="1:46" s="448" customFormat="1" ht="20.100000000000001" customHeight="1" x14ac:dyDescent="0.3">
      <c r="A84" s="581" t="s">
        <v>430</v>
      </c>
      <c r="B84" s="196"/>
      <c r="C84" s="438"/>
      <c r="D84" s="339"/>
      <c r="E84" s="196"/>
      <c r="F84" s="438"/>
      <c r="G84" s="339"/>
      <c r="H84" s="196"/>
      <c r="I84" s="438"/>
      <c r="J84" s="339"/>
      <c r="K84" s="196"/>
      <c r="L84" s="438"/>
      <c r="M84" s="339"/>
      <c r="N84" s="196"/>
      <c r="O84" s="438"/>
      <c r="P84" s="339"/>
      <c r="Q84" s="196"/>
      <c r="R84" s="438"/>
      <c r="S84" s="339"/>
      <c r="T84" s="196"/>
      <c r="U84" s="438">
        <v>591.19997191999994</v>
      </c>
      <c r="V84" s="339"/>
      <c r="W84" s="196"/>
      <c r="X84" s="438">
        <v>0</v>
      </c>
      <c r="Y84" s="339"/>
      <c r="Z84" s="196"/>
      <c r="AA84" s="438"/>
      <c r="AB84" s="339"/>
      <c r="AC84" s="196"/>
      <c r="AD84" s="438"/>
      <c r="AE84" s="339"/>
      <c r="AF84" s="196"/>
      <c r="AG84" s="438"/>
      <c r="AH84" s="339"/>
      <c r="AI84" s="196"/>
      <c r="AJ84" s="438"/>
      <c r="AK84" s="339"/>
      <c r="AL84" s="196"/>
      <c r="AM84" s="438"/>
      <c r="AN84" s="339"/>
      <c r="AO84" s="525">
        <f t="shared" si="80"/>
        <v>0</v>
      </c>
      <c r="AP84" s="525">
        <f t="shared" si="80"/>
        <v>591.19997191999994</v>
      </c>
      <c r="AQ84" s="339"/>
      <c r="AR84" s="653">
        <f t="shared" ref="AR84" si="82">B84+E84+H84+K84+N84+Q84+T84+W84+Z84+AC84+AF84+AI84+AL84</f>
        <v>0</v>
      </c>
      <c r="AS84" s="653">
        <f t="shared" ref="AS84" si="83">C84+F84+I84+L84+O84+R84+U84+X84+AA84+AD84+AG84+AJ84+AM84</f>
        <v>591.19997191999994</v>
      </c>
      <c r="AT84" s="672"/>
    </row>
    <row r="85" spans="1:46" s="448" customFormat="1" ht="20.100000000000001" customHeight="1" x14ac:dyDescent="0.3">
      <c r="A85" s="581" t="s">
        <v>431</v>
      </c>
      <c r="B85" s="593">
        <v>76.320999999999998</v>
      </c>
      <c r="C85" s="339">
        <v>65.968999999999994</v>
      </c>
      <c r="D85" s="339">
        <f>IF(B85=0, "    ---- ", IF(ABS(ROUND(100/B85*C85-100,1))&lt;999,ROUND(100/B85*C85-100,1),IF(ROUND(100/B85*C85-100,1)&gt;999,999,-999)))</f>
        <v>-13.6</v>
      </c>
      <c r="E85" s="593">
        <v>536.35696285999995</v>
      </c>
      <c r="F85" s="339">
        <v>529.56064960000003</v>
      </c>
      <c r="G85" s="339">
        <f t="shared" si="41"/>
        <v>-1.3</v>
      </c>
      <c r="H85" s="593"/>
      <c r="I85" s="339"/>
      <c r="J85" s="339"/>
      <c r="K85" s="593"/>
      <c r="L85" s="339"/>
      <c r="M85" s="339"/>
      <c r="N85" s="593">
        <v>248</v>
      </c>
      <c r="O85" s="339">
        <v>249</v>
      </c>
      <c r="P85" s="339">
        <f>IF(N85=0, "    ---- ", IF(ABS(ROUND(100/N85*O85-100,1))&lt;999,ROUND(100/N85*O85-100,1),IF(ROUND(100/N85*O85-100,1)&gt;999,999,-999)))</f>
        <v>0.4</v>
      </c>
      <c r="Q85" s="593"/>
      <c r="R85" s="339"/>
      <c r="S85" s="339"/>
      <c r="T85" s="593">
        <v>481.22296992000003</v>
      </c>
      <c r="U85" s="339">
        <v>3.5070000000000001</v>
      </c>
      <c r="V85" s="339">
        <f t="shared" si="78"/>
        <v>-99.3</v>
      </c>
      <c r="W85" s="593">
        <v>0</v>
      </c>
      <c r="X85" s="339">
        <v>0</v>
      </c>
      <c r="Y85" s="339"/>
      <c r="Z85" s="593"/>
      <c r="AA85" s="339"/>
      <c r="AB85" s="339"/>
      <c r="AC85" s="593"/>
      <c r="AD85" s="438"/>
      <c r="AE85" s="339"/>
      <c r="AF85" s="593">
        <v>693.14800000000002</v>
      </c>
      <c r="AG85" s="438">
        <v>617.72799999999995</v>
      </c>
      <c r="AH85" s="339">
        <f t="shared" si="43"/>
        <v>-10.9</v>
      </c>
      <c r="AI85" s="593"/>
      <c r="AJ85" s="339"/>
      <c r="AK85" s="339" t="str">
        <f t="shared" si="49"/>
        <v xml:space="preserve">    ---- </v>
      </c>
      <c r="AL85" s="593"/>
      <c r="AM85" s="339"/>
      <c r="AN85" s="339" t="str">
        <f t="shared" ref="AN85" si="84">IF(AL85=0, "    ---- ", IF(ABS(ROUND(100/AL85*AM85-100,1))&lt;999,ROUND(100/AL85*AM85-100,1),IF(ROUND(100/AL85*AM85-100,1)&gt;999,999,-999)))</f>
        <v xml:space="preserve">    ---- </v>
      </c>
      <c r="AO85" s="525">
        <f t="shared" ref="AO85:AP91" si="85">B85+E85+H85+K85+N85+T85+W85+Z85+AF85+AI85</f>
        <v>2035.0489327800001</v>
      </c>
      <c r="AP85" s="525">
        <f t="shared" si="85"/>
        <v>1465.7646496</v>
      </c>
      <c r="AQ85" s="339">
        <f t="shared" si="45"/>
        <v>-28</v>
      </c>
      <c r="AR85" s="653">
        <f t="shared" ref="AR85:AS91" si="86">B85+E85+H85+K85+N85+Q85+T85+W85+Z85+AC85+AF85+AI85+AL85</f>
        <v>2035.0489327800001</v>
      </c>
      <c r="AS85" s="653">
        <f t="shared" si="86"/>
        <v>1465.7646496</v>
      </c>
      <c r="AT85" s="672">
        <f t="shared" si="47"/>
        <v>-28</v>
      </c>
    </row>
    <row r="86" spans="1:46" s="448" customFormat="1" ht="20.100000000000001" customHeight="1" x14ac:dyDescent="0.3">
      <c r="A86" s="581" t="s">
        <v>239</v>
      </c>
      <c r="B86" s="196"/>
      <c r="C86" s="438"/>
      <c r="D86" s="438"/>
      <c r="E86" s="196"/>
      <c r="F86" s="438"/>
      <c r="G86" s="438"/>
      <c r="H86" s="196"/>
      <c r="I86" s="438"/>
      <c r="J86" s="438"/>
      <c r="K86" s="196"/>
      <c r="L86" s="438"/>
      <c r="M86" s="438"/>
      <c r="N86" s="196"/>
      <c r="O86" s="438"/>
      <c r="P86" s="434"/>
      <c r="Q86" s="196"/>
      <c r="R86" s="438"/>
      <c r="S86" s="339"/>
      <c r="T86" s="196">
        <v>79.998251999999994</v>
      </c>
      <c r="U86" s="438"/>
      <c r="V86" s="339"/>
      <c r="W86" s="196">
        <v>0</v>
      </c>
      <c r="X86" s="438">
        <v>0</v>
      </c>
      <c r="Y86" s="339"/>
      <c r="Z86" s="196"/>
      <c r="AA86" s="438"/>
      <c r="AB86" s="339"/>
      <c r="AC86" s="196"/>
      <c r="AD86" s="438"/>
      <c r="AE86" s="438"/>
      <c r="AF86" s="196"/>
      <c r="AG86" s="438"/>
      <c r="AH86" s="339"/>
      <c r="AI86" s="196"/>
      <c r="AJ86" s="438"/>
      <c r="AK86" s="339"/>
      <c r="AL86" s="196"/>
      <c r="AM86" s="438"/>
      <c r="AN86" s="339"/>
      <c r="AO86" s="525">
        <f t="shared" si="85"/>
        <v>79.998251999999994</v>
      </c>
      <c r="AP86" s="525">
        <f t="shared" si="85"/>
        <v>0</v>
      </c>
      <c r="AQ86" s="339">
        <f t="shared" si="45"/>
        <v>-100</v>
      </c>
      <c r="AR86" s="653">
        <f t="shared" si="86"/>
        <v>79.998251999999994</v>
      </c>
      <c r="AS86" s="653">
        <f t="shared" si="86"/>
        <v>0</v>
      </c>
      <c r="AT86" s="672">
        <f t="shared" si="47"/>
        <v>-100</v>
      </c>
    </row>
    <row r="87" spans="1:46" s="448" customFormat="1" ht="20.100000000000001" customHeight="1" x14ac:dyDescent="0.3">
      <c r="A87" s="632" t="s">
        <v>242</v>
      </c>
      <c r="B87" s="196">
        <v>26763.94</v>
      </c>
      <c r="C87" s="438">
        <f>SUM(C82:C86)</f>
        <v>26321.708000000002</v>
      </c>
      <c r="D87" s="438">
        <f>IF(B87=0, "    ---- ", IF(ABS(ROUND(100/B87*C87-100,1))&lt;999,ROUND(100/B87*C87-100,1),IF(ROUND(100/B87*C87-100,1)&gt;999,999,-999)))</f>
        <v>-1.7</v>
      </c>
      <c r="E87" s="196">
        <v>129966.18731614</v>
      </c>
      <c r="F87" s="438">
        <f>SUM(F82:F86)</f>
        <v>130260.21451774999</v>
      </c>
      <c r="G87" s="438">
        <f t="shared" si="41"/>
        <v>0.2</v>
      </c>
      <c r="H87" s="196"/>
      <c r="I87" s="438">
        <f>SUM(I82:I86)</f>
        <v>0</v>
      </c>
      <c r="J87" s="438" t="str">
        <f>IF(H87=0, "    ---- ", IF(ABS(ROUND(100/H87*I87-100,1))&lt;999,ROUND(100/H87*I87-100,1),IF(ROUND(100/H87*I87-100,1)&gt;999,999,-999)))</f>
        <v xml:space="preserve">    ---- </v>
      </c>
      <c r="K87" s="196">
        <f>SUM(K82:K86)</f>
        <v>0</v>
      </c>
      <c r="L87" s="438">
        <f>SUM(L82:L86)</f>
        <v>0</v>
      </c>
      <c r="M87" s="438" t="str">
        <f>IF(K87=0, "    ---- ", IF(ABS(ROUND(100/K87*L87-100,1))&lt;999,ROUND(100/K87*L87-100,1),IF(ROUND(100/K87*L87-100,1)&gt;999,999,-999)))</f>
        <v xml:space="preserve">    ---- </v>
      </c>
      <c r="N87" s="196">
        <f>SUM(N82:N86)</f>
        <v>38652</v>
      </c>
      <c r="O87" s="438">
        <f>SUM(O82:O86)</f>
        <v>40778</v>
      </c>
      <c r="P87" s="434">
        <f>IF(N87=0, "    ---- ", IF(ABS(ROUND(100/N87*O87-100,1))&lt;999,ROUND(100/N87*O87-100,1),IF(ROUND(100/N87*O87-100,1)&gt;999,999,-999)))</f>
        <v>5.5</v>
      </c>
      <c r="Q87" s="196"/>
      <c r="R87" s="438">
        <f>SUM(R82:R86)</f>
        <v>0</v>
      </c>
      <c r="S87" s="339"/>
      <c r="T87" s="196">
        <v>2232.8130127599998</v>
      </c>
      <c r="U87" s="438">
        <v>2659.2820019300002</v>
      </c>
      <c r="V87" s="339">
        <f t="shared" si="78"/>
        <v>19.100000000000001</v>
      </c>
      <c r="W87" s="196">
        <f>SUM(W82:W86)</f>
        <v>114051.5</v>
      </c>
      <c r="X87" s="438">
        <f>SUM(X82:X86)</f>
        <v>114500.28</v>
      </c>
      <c r="Y87" s="339">
        <f t="shared" si="48"/>
        <v>0.4</v>
      </c>
      <c r="Z87" s="196"/>
      <c r="AA87" s="438">
        <f>SUM(AA82:AA86)</f>
        <v>0</v>
      </c>
      <c r="AB87" s="339"/>
      <c r="AC87" s="196">
        <f>SUM(AC82:AC86)</f>
        <v>3229.1149632900001</v>
      </c>
      <c r="AD87" s="438">
        <f>SUM(AD82:AD86)</f>
        <v>2775.0301399999998</v>
      </c>
      <c r="AE87" s="438">
        <f>IF(AC87=0, "    ---- ", IF(ABS(ROUND(100/AC87*AD87-100,1))&lt;999,ROUND(100/AC87*AD87-100,1),IF(ROUND(100/AC87*AD87-100,1)&gt;999,999,-999)))</f>
        <v>-14.1</v>
      </c>
      <c r="AF87" s="196">
        <f>SUM(AF82:AF86)</f>
        <v>50948.453000000001</v>
      </c>
      <c r="AG87" s="438">
        <f>SUM(AG82:AG86)</f>
        <v>51842.089</v>
      </c>
      <c r="AH87" s="339">
        <f t="shared" si="43"/>
        <v>1.8</v>
      </c>
      <c r="AI87" s="196">
        <f>SUM(AI82:AI86)</f>
        <v>150736</v>
      </c>
      <c r="AJ87" s="438">
        <f>SUM(AJ82:AJ86)</f>
        <v>145891</v>
      </c>
      <c r="AK87" s="339">
        <f t="shared" si="49"/>
        <v>-3.2</v>
      </c>
      <c r="AL87" s="196"/>
      <c r="AM87" s="438">
        <f>SUM(AM82:AM86)</f>
        <v>0</v>
      </c>
      <c r="AN87" s="339" t="str">
        <f t="shared" ref="AN87:AN88" si="87">IF(AL87=0, "    ---- ", IF(ABS(ROUND(100/AL87*AM87-100,1))&lt;999,ROUND(100/AL87*AM87-100,1),IF(ROUND(100/AL87*AM87-100,1)&gt;999,999,-999)))</f>
        <v xml:space="preserve">    ---- </v>
      </c>
      <c r="AO87" s="525">
        <f t="shared" si="85"/>
        <v>513350.89332889998</v>
      </c>
      <c r="AP87" s="525">
        <f t="shared" si="85"/>
        <v>512252.57351968001</v>
      </c>
      <c r="AQ87" s="339">
        <f t="shared" si="45"/>
        <v>-0.2</v>
      </c>
      <c r="AR87" s="653">
        <f t="shared" si="86"/>
        <v>516580.00829218997</v>
      </c>
      <c r="AS87" s="653">
        <f t="shared" si="86"/>
        <v>515027.60365968</v>
      </c>
      <c r="AT87" s="672">
        <f t="shared" si="47"/>
        <v>-0.3</v>
      </c>
    </row>
    <row r="88" spans="1:46" s="448" customFormat="1" ht="20.100000000000001" customHeight="1" x14ac:dyDescent="0.3">
      <c r="A88" s="581" t="s">
        <v>243</v>
      </c>
      <c r="B88" s="196">
        <v>28.721</v>
      </c>
      <c r="C88" s="438">
        <v>32.86</v>
      </c>
      <c r="D88" s="339">
        <f>IF(B88=0, "    ---- ", IF(ABS(ROUND(100/B88*C88-100,1))&lt;999,ROUND(100/B88*C88-100,1),IF(ROUND(100/B88*C88-100,1)&gt;999,999,-999)))</f>
        <v>14.4</v>
      </c>
      <c r="E88" s="196">
        <v>1887.4520761499998</v>
      </c>
      <c r="F88" s="438">
        <v>602.98934815000007</v>
      </c>
      <c r="G88" s="339">
        <f t="shared" si="41"/>
        <v>-68.099999999999994</v>
      </c>
      <c r="H88" s="196">
        <v>186.70778716999999</v>
      </c>
      <c r="I88" s="438">
        <v>262.66917516000007</v>
      </c>
      <c r="J88" s="339">
        <f>IF(H88=0, "    ---- ", IF(ABS(ROUND(100/H88*I88-100,1))&lt;999,ROUND(100/H88*I88-100,1),IF(ROUND(100/H88*I88-100,1)&gt;999,999,-999)))</f>
        <v>40.700000000000003</v>
      </c>
      <c r="K88" s="196">
        <v>102.422</v>
      </c>
      <c r="L88" s="438">
        <v>56.359405000000002</v>
      </c>
      <c r="M88" s="339">
        <f>IF(K88=0, "    ---- ", IF(ABS(ROUND(100/K88*L88-100,1))&lt;999,ROUND(100/K88*L88-100,1),IF(ROUND(100/K88*L88-100,1)&gt;999,999,-999)))</f>
        <v>-45</v>
      </c>
      <c r="N88" s="196">
        <v>51</v>
      </c>
      <c r="O88" s="438">
        <v>57</v>
      </c>
      <c r="P88" s="339">
        <f>IF(N88=0, "    ---- ", IF(ABS(ROUND(100/N88*O88-100,1))&lt;999,ROUND(100/N88*O88-100,1),IF(ROUND(100/N88*O88-100,1)&gt;999,999,-999)))</f>
        <v>11.8</v>
      </c>
      <c r="Q88" s="196"/>
      <c r="R88" s="438"/>
      <c r="S88" s="339" t="str">
        <f>IF(Q88=0, "    ---- ", IF(ABS(ROUND(100/Q88*R88-100,1))&lt;999,ROUND(100/Q88*R88-100,1),IF(ROUND(100/Q88*R88-100,1)&gt;999,999,-999)))</f>
        <v xml:space="preserve">    ---- </v>
      </c>
      <c r="T88" s="196">
        <v>1505.2630290299999</v>
      </c>
      <c r="U88" s="438">
        <v>1022.24297589</v>
      </c>
      <c r="V88" s="339">
        <f t="shared" si="78"/>
        <v>-32.1</v>
      </c>
      <c r="W88" s="196">
        <v>474.19</v>
      </c>
      <c r="X88" s="438">
        <v>347.57</v>
      </c>
      <c r="Y88" s="339">
        <f t="shared" si="48"/>
        <v>-26.7</v>
      </c>
      <c r="Z88" s="196"/>
      <c r="AA88" s="438"/>
      <c r="AB88" s="339" t="str">
        <f>IF(Z88=0, "    ---- ", IF(ABS(ROUND(100/Z88*AA88-100,1))&lt;999,ROUND(100/Z88*AA88-100,1),IF(ROUND(100/Z88*AA88-100,1)&gt;999,999,-999)))</f>
        <v xml:space="preserve">    ---- </v>
      </c>
      <c r="AC88" s="196"/>
      <c r="AD88" s="438"/>
      <c r="AE88" s="339"/>
      <c r="AF88" s="196">
        <v>414.62700000000001</v>
      </c>
      <c r="AG88" s="438">
        <v>594.07299999999998</v>
      </c>
      <c r="AH88" s="339">
        <f t="shared" si="43"/>
        <v>43.3</v>
      </c>
      <c r="AI88" s="196">
        <v>7</v>
      </c>
      <c r="AJ88" s="438">
        <v>2</v>
      </c>
      <c r="AK88" s="339">
        <f t="shared" si="49"/>
        <v>-71.400000000000006</v>
      </c>
      <c r="AL88" s="196"/>
      <c r="AM88" s="438"/>
      <c r="AN88" s="339" t="str">
        <f t="shared" si="87"/>
        <v xml:space="preserve">    ---- </v>
      </c>
      <c r="AO88" s="525">
        <f t="shared" si="85"/>
        <v>4657.3828923499996</v>
      </c>
      <c r="AP88" s="525">
        <f t="shared" si="85"/>
        <v>2977.7639042000001</v>
      </c>
      <c r="AQ88" s="339">
        <f t="shared" si="45"/>
        <v>-36.1</v>
      </c>
      <c r="AR88" s="653">
        <f t="shared" si="86"/>
        <v>4657.3828923499996</v>
      </c>
      <c r="AS88" s="653">
        <f t="shared" si="86"/>
        <v>2977.7639042000001</v>
      </c>
      <c r="AT88" s="672">
        <f t="shared" si="47"/>
        <v>-36.1</v>
      </c>
    </row>
    <row r="89" spans="1:46" s="448" customFormat="1" ht="20.100000000000001" customHeight="1" x14ac:dyDescent="0.3">
      <c r="A89" s="581" t="s">
        <v>244</v>
      </c>
      <c r="B89" s="196"/>
      <c r="C89" s="438"/>
      <c r="D89" s="339"/>
      <c r="E89" s="196"/>
      <c r="F89" s="438"/>
      <c r="G89" s="339"/>
      <c r="H89" s="196">
        <v>364.02835593000003</v>
      </c>
      <c r="I89" s="438">
        <v>366.18995527000004</v>
      </c>
      <c r="J89" s="339"/>
      <c r="K89" s="196"/>
      <c r="L89" s="438"/>
      <c r="M89" s="339"/>
      <c r="N89" s="196"/>
      <c r="O89" s="438"/>
      <c r="P89" s="339"/>
      <c r="Q89" s="196"/>
      <c r="R89" s="438"/>
      <c r="S89" s="339"/>
      <c r="T89" s="196">
        <v>0</v>
      </c>
      <c r="U89" s="438">
        <v>0</v>
      </c>
      <c r="V89" s="339"/>
      <c r="W89" s="196">
        <v>0</v>
      </c>
      <c r="X89" s="438">
        <v>0</v>
      </c>
      <c r="Y89" s="339"/>
      <c r="Z89" s="196"/>
      <c r="AA89" s="438"/>
      <c r="AB89" s="339"/>
      <c r="AC89" s="196"/>
      <c r="AD89" s="438"/>
      <c r="AE89" s="339"/>
      <c r="AF89" s="196">
        <v>4.0069999999999997</v>
      </c>
      <c r="AG89" s="438">
        <v>8.15</v>
      </c>
      <c r="AH89" s="339">
        <f t="shared" si="43"/>
        <v>103.4</v>
      </c>
      <c r="AI89" s="196"/>
      <c r="AJ89" s="438"/>
      <c r="AK89" s="339"/>
      <c r="AL89" s="196"/>
      <c r="AM89" s="438"/>
      <c r="AN89" s="339"/>
      <c r="AO89" s="525">
        <f t="shared" si="85"/>
        <v>368.03535593000004</v>
      </c>
      <c r="AP89" s="525">
        <f t="shared" si="85"/>
        <v>374.33995527000002</v>
      </c>
      <c r="AQ89" s="339">
        <f t="shared" si="45"/>
        <v>1.7</v>
      </c>
      <c r="AR89" s="653">
        <f t="shared" si="86"/>
        <v>368.03535593000004</v>
      </c>
      <c r="AS89" s="653">
        <f t="shared" si="86"/>
        <v>374.33995527000002</v>
      </c>
      <c r="AT89" s="672">
        <f t="shared" si="47"/>
        <v>1.7</v>
      </c>
    </row>
    <row r="90" spans="1:46" s="448" customFormat="1" ht="20.100000000000001" customHeight="1" x14ac:dyDescent="0.3">
      <c r="A90" s="581" t="s">
        <v>245</v>
      </c>
      <c r="B90" s="196">
        <v>119.15900000000001</v>
      </c>
      <c r="C90" s="438">
        <v>246.59100000000001</v>
      </c>
      <c r="D90" s="438">
        <f>IF(B90=0, "    ---- ", IF(ABS(ROUND(100/B90*C90-100,1))&lt;999,ROUND(100/B90*C90-100,1),IF(ROUND(100/B90*C90-100,1)&gt;999,999,-999)))</f>
        <v>106.9</v>
      </c>
      <c r="E90" s="196">
        <v>1846.8153584199933</v>
      </c>
      <c r="F90" s="438">
        <v>3639.7131711100037</v>
      </c>
      <c r="G90" s="438">
        <f t="shared" si="41"/>
        <v>97.1</v>
      </c>
      <c r="H90" s="196">
        <v>178.21455343999997</v>
      </c>
      <c r="I90" s="438">
        <v>81.041037750000001</v>
      </c>
      <c r="J90" s="438"/>
      <c r="K90" s="196"/>
      <c r="L90" s="438"/>
      <c r="M90" s="438"/>
      <c r="N90" s="196">
        <v>168</v>
      </c>
      <c r="O90" s="438">
        <v>159</v>
      </c>
      <c r="P90" s="434">
        <f>IF(N90=0, "    ---- ", IF(ABS(ROUND(100/N90*O90-100,1))&lt;999,ROUND(100/N90*O90-100,1),IF(ROUND(100/N90*O90-100,1)&gt;999,999,-999)))</f>
        <v>-5.4</v>
      </c>
      <c r="Q90" s="196">
        <v>5.9670474000000002</v>
      </c>
      <c r="R90" s="652">
        <f>(1555606.71+723330)/1000000</f>
        <v>2.27893671</v>
      </c>
      <c r="S90" s="339">
        <f>IF(Q90=0, "    ---- ", IF(ABS(ROUND(100/Q90*R90-100,1))&lt;999,ROUND(100/Q90*R90-100,1),IF(ROUND(100/Q90*R90-100,1)&gt;999,999,-999)))</f>
        <v>-61.8</v>
      </c>
      <c r="T90" s="196">
        <v>12926.19952072</v>
      </c>
      <c r="U90" s="438">
        <v>26244.252414890001</v>
      </c>
      <c r="V90" s="339">
        <f t="shared" si="78"/>
        <v>103</v>
      </c>
      <c r="W90" s="196">
        <v>557.30999999999995</v>
      </c>
      <c r="X90" s="438">
        <v>1081.1500000000001</v>
      </c>
      <c r="Y90" s="339">
        <f t="shared" si="48"/>
        <v>94</v>
      </c>
      <c r="Z90" s="196">
        <f>810+258+85-1</f>
        <v>1152</v>
      </c>
      <c r="AA90" s="438">
        <f>574+875+70</f>
        <v>1519</v>
      </c>
      <c r="AB90" s="339">
        <f>IF(Z90=0, "    ---- ", IF(ABS(ROUND(100/Z90*AA90-100,1))&lt;999,ROUND(100/Z90*AA90-100,1),IF(ROUND(100/Z90*AA90-100,1)&gt;999,999,-999)))</f>
        <v>31.9</v>
      </c>
      <c r="AC90" s="196">
        <v>21.15887743</v>
      </c>
      <c r="AD90" s="438">
        <v>10.968911090000001</v>
      </c>
      <c r="AE90" s="339">
        <f>IF(AC90=0, "    ---- ", IF(ABS(ROUND(100/AC90*AD90-100,1))&lt;999,ROUND(100/AC90*AD90-100,1),IF(ROUND(100/AC90*AD90-100,1)&gt;999,999,-999)))</f>
        <v>-48.2</v>
      </c>
      <c r="AF90" s="196">
        <v>644.89099999999996</v>
      </c>
      <c r="AG90" s="438">
        <v>1954.2819999999999</v>
      </c>
      <c r="AH90" s="339">
        <f t="shared" si="43"/>
        <v>203</v>
      </c>
      <c r="AI90" s="196">
        <v>7071</v>
      </c>
      <c r="AJ90" s="438">
        <v>11298</v>
      </c>
      <c r="AK90" s="339">
        <f t="shared" si="49"/>
        <v>59.8</v>
      </c>
      <c r="AL90" s="196"/>
      <c r="AM90" s="438">
        <v>5</v>
      </c>
      <c r="AN90" s="339" t="str">
        <f t="shared" ref="AN90:AN91" si="88">IF(AL90=0, "    ---- ", IF(ABS(ROUND(100/AL90*AM90-100,1))&lt;999,ROUND(100/AL90*AM90-100,1),IF(ROUND(100/AL90*AM90-100,1)&gt;999,999,-999)))</f>
        <v xml:space="preserve">    ---- </v>
      </c>
      <c r="AO90" s="525">
        <f t="shared" si="85"/>
        <v>24663.589432579993</v>
      </c>
      <c r="AP90" s="525">
        <f t="shared" si="85"/>
        <v>46223.029623750008</v>
      </c>
      <c r="AQ90" s="339">
        <f t="shared" si="45"/>
        <v>87.4</v>
      </c>
      <c r="AR90" s="653">
        <f t="shared" si="86"/>
        <v>24690.715357409994</v>
      </c>
      <c r="AS90" s="653">
        <f t="shared" si="86"/>
        <v>46241.277471550005</v>
      </c>
      <c r="AT90" s="672">
        <f t="shared" si="47"/>
        <v>87.3</v>
      </c>
    </row>
    <row r="91" spans="1:46" s="448" customFormat="1" ht="20.100000000000001" customHeight="1" x14ac:dyDescent="0.3">
      <c r="A91" s="581" t="s">
        <v>246</v>
      </c>
      <c r="B91" s="196">
        <v>38.466999999999999</v>
      </c>
      <c r="C91" s="438">
        <v>26.280999999999999</v>
      </c>
      <c r="D91" s="438">
        <f>IF(B91=0, "    ---- ", IF(ABS(ROUND(100/B91*C91-100,1))&lt;999,ROUND(100/B91*C91-100,1),IF(ROUND(100/B91*C91-100,1)&gt;999,999,-999)))</f>
        <v>-31.7</v>
      </c>
      <c r="E91" s="196">
        <v>265.94378303999997</v>
      </c>
      <c r="F91" s="438">
        <v>111.7764021</v>
      </c>
      <c r="G91" s="438">
        <f t="shared" si="41"/>
        <v>-58</v>
      </c>
      <c r="H91" s="196">
        <v>-1.9410602400000003</v>
      </c>
      <c r="I91" s="438"/>
      <c r="J91" s="438">
        <f>IF(H91=0, "    ---- ", IF(ABS(ROUND(100/H91*I91-100,1))&lt;999,ROUND(100/H91*I91-100,1),IF(ROUND(100/H91*I91-100,1)&gt;999,999,-999)))</f>
        <v>-100</v>
      </c>
      <c r="K91" s="196">
        <v>17.295000000000002</v>
      </c>
      <c r="L91" s="438">
        <v>21.72907</v>
      </c>
      <c r="M91" s="438">
        <f>IF(K91=0, "    ---- ", IF(ABS(ROUND(100/K91*L91-100,1))&lt;999,ROUND(100/K91*L91-100,1),IF(ROUND(100/K91*L91-100,1)&gt;999,999,-999)))</f>
        <v>25.6</v>
      </c>
      <c r="N91" s="196">
        <v>23</v>
      </c>
      <c r="O91" s="438">
        <v>24</v>
      </c>
      <c r="P91" s="339">
        <f>IF(N91=0, "    ---- ", IF(ABS(ROUND(100/N91*O91-100,1))&lt;999,ROUND(100/N91*O91-100,1),IF(ROUND(100/N91*O91-100,1)&gt;999,999,-999)))</f>
        <v>4.3</v>
      </c>
      <c r="Q91" s="196">
        <v>0.97914009000000002</v>
      </c>
      <c r="R91" s="652">
        <f>4944099.94/1000000</f>
        <v>4.9440999400000001</v>
      </c>
      <c r="S91" s="339">
        <f>IF(Q91=0, "    ---- ", IF(ABS(ROUND(100/Q91*R91-100,1))&lt;999,ROUND(100/Q91*R91-100,1),IF(ROUND(100/Q91*R91-100,1)&gt;999,999,-999)))</f>
        <v>404.9</v>
      </c>
      <c r="T91" s="196">
        <v>111.97813714</v>
      </c>
      <c r="U91" s="438">
        <v>120.72434677</v>
      </c>
      <c r="V91" s="339">
        <f t="shared" si="78"/>
        <v>7.8</v>
      </c>
      <c r="W91" s="196">
        <v>39.35</v>
      </c>
      <c r="X91" s="438">
        <v>51.41</v>
      </c>
      <c r="Y91" s="339">
        <f t="shared" si="48"/>
        <v>30.6</v>
      </c>
      <c r="Z91" s="196"/>
      <c r="AA91" s="438"/>
      <c r="AB91" s="339" t="str">
        <f>IF(Z91=0, "    ---- ", IF(ABS(ROUND(100/Z91*AA91-100,1))&lt;999,ROUND(100/Z91*AA91-100,1),IF(ROUND(100/Z91*AA91-100,1)&gt;999,999,-999)))</f>
        <v xml:space="preserve">    ---- </v>
      </c>
      <c r="AC91" s="196">
        <v>0.39406423000000002</v>
      </c>
      <c r="AD91" s="438">
        <v>0.22768679999999999</v>
      </c>
      <c r="AE91" s="339"/>
      <c r="AF91" s="196">
        <v>33.29</v>
      </c>
      <c r="AG91" s="438">
        <v>34.345999999999997</v>
      </c>
      <c r="AH91" s="339">
        <f t="shared" si="43"/>
        <v>3.2</v>
      </c>
      <c r="AI91" s="196">
        <v>171</v>
      </c>
      <c r="AJ91" s="438">
        <v>550</v>
      </c>
      <c r="AK91" s="339">
        <f t="shared" si="49"/>
        <v>221.6</v>
      </c>
      <c r="AL91" s="196"/>
      <c r="AM91" s="438"/>
      <c r="AN91" s="339" t="str">
        <f t="shared" si="88"/>
        <v xml:space="preserve">    ---- </v>
      </c>
      <c r="AO91" s="525">
        <f t="shared" si="85"/>
        <v>698.38285994</v>
      </c>
      <c r="AP91" s="525">
        <f t="shared" si="85"/>
        <v>940.26681886999995</v>
      </c>
      <c r="AQ91" s="339">
        <f t="shared" si="45"/>
        <v>34.6</v>
      </c>
      <c r="AR91" s="653">
        <f t="shared" si="86"/>
        <v>699.75606426000002</v>
      </c>
      <c r="AS91" s="653">
        <f t="shared" si="86"/>
        <v>945.43860560999997</v>
      </c>
      <c r="AT91" s="672">
        <f t="shared" si="47"/>
        <v>35.1</v>
      </c>
    </row>
    <row r="92" spans="1:46" s="448" customFormat="1" ht="20.100000000000001" customHeight="1" x14ac:dyDescent="0.3">
      <c r="A92" s="581"/>
      <c r="B92" s="196"/>
      <c r="C92" s="438"/>
      <c r="D92" s="339"/>
      <c r="E92" s="196"/>
      <c r="F92" s="438"/>
      <c r="G92" s="339"/>
      <c r="H92" s="196"/>
      <c r="I92" s="438"/>
      <c r="J92" s="339"/>
      <c r="K92" s="196"/>
      <c r="L92" s="438"/>
      <c r="M92" s="339"/>
      <c r="N92" s="196"/>
      <c r="O92" s="438"/>
      <c r="P92" s="339"/>
      <c r="Q92" s="196"/>
      <c r="R92" s="438"/>
      <c r="S92" s="339"/>
      <c r="T92" s="196"/>
      <c r="U92" s="438"/>
      <c r="V92" s="339"/>
      <c r="W92" s="196"/>
      <c r="X92" s="438"/>
      <c r="Y92" s="339"/>
      <c r="Z92" s="196"/>
      <c r="AA92" s="438"/>
      <c r="AB92" s="339"/>
      <c r="AC92" s="196"/>
      <c r="AD92" s="438"/>
      <c r="AE92" s="339"/>
      <c r="AF92" s="196"/>
      <c r="AG92" s="438"/>
      <c r="AH92" s="339"/>
      <c r="AI92" s="196"/>
      <c r="AJ92" s="438"/>
      <c r="AK92" s="339"/>
      <c r="AL92" s="196"/>
      <c r="AM92" s="438"/>
      <c r="AN92" s="339"/>
      <c r="AO92" s="434"/>
      <c r="AP92" s="434"/>
      <c r="AQ92" s="339"/>
      <c r="AR92" s="653"/>
      <c r="AS92" s="653"/>
      <c r="AT92" s="672"/>
    </row>
    <row r="93" spans="1:46" s="469" customFormat="1" ht="20.100000000000001" customHeight="1" x14ac:dyDescent="0.3">
      <c r="A93" s="603" t="s">
        <v>247</v>
      </c>
      <c r="B93" s="199">
        <v>29356.39</v>
      </c>
      <c r="C93" s="440">
        <f>SUM(C68+C69+C71+C80+C87+C88+C89+C90+C91)</f>
        <v>29169.803000000004</v>
      </c>
      <c r="D93" s="441">
        <f>IF(B93=0, "    ---- ", IF(ABS(ROUND(100/B93*C93-100,1))&lt;999,ROUND(100/B93*C93-100,1),IF(ROUND(100/B93*C93-100,1)&gt;999,999,-999)))</f>
        <v>-0.6</v>
      </c>
      <c r="E93" s="199">
        <v>366026.43079642998</v>
      </c>
      <c r="F93" s="440">
        <f>SUM(F68+F69+F71+F80+F87+F88+F89+F90+F91)</f>
        <v>360163.64558914996</v>
      </c>
      <c r="G93" s="441">
        <f t="shared" si="41"/>
        <v>-1.6</v>
      </c>
      <c r="H93" s="199">
        <f>SUM(H68+H69+H71+H80+H87+H88+H89+H90+H91)</f>
        <v>11427.810554970001</v>
      </c>
      <c r="I93" s="440">
        <f>SUM(I68+I69+I71+I80+I87+I88+I89+I90+I91)</f>
        <v>11619.608074779997</v>
      </c>
      <c r="J93" s="441">
        <f>IF(H93=0, "    ---- ", IF(ABS(ROUND(100/H93*I93-100,1))&lt;999,ROUND(100/H93*I93-100,1),IF(ROUND(100/H93*I93-100,1)&gt;999,999,-999)))</f>
        <v>1.7</v>
      </c>
      <c r="K93" s="199">
        <f>SUM(K68+K69+K71+K80+K87+K88+K89+K90+K91)</f>
        <v>2050.2359999999999</v>
      </c>
      <c r="L93" s="440">
        <f>SUM(L68+L69+L71+L80+L87+L88+L89+L90+L91)</f>
        <v>2224.5276520000002</v>
      </c>
      <c r="M93" s="441">
        <f>IF(K93=0, "    ---- ", IF(ABS(ROUND(100/K93*L93-100,1))&lt;999,ROUND(100/K93*L93-100,1),IF(ROUND(100/K93*L93-100,1)&gt;999,999,-999)))</f>
        <v>8.5</v>
      </c>
      <c r="N93" s="199">
        <f>SUM(N68+N69+N71+N80+N87+N88+N89+N90+N91)</f>
        <v>48295</v>
      </c>
      <c r="O93" s="440">
        <f>SUM(O68+O69+O71+O80+O87+O88+O89+O90+O91)</f>
        <v>51028</v>
      </c>
      <c r="P93" s="441">
        <f>IF(N93=0, "    ---- ", IF(ABS(ROUND(100/N93*O93-100,1))&lt;999,ROUND(100/N93*O93-100,1),IF(ROUND(100/N93*O93-100,1)&gt;999,999,-999)))</f>
        <v>5.7</v>
      </c>
      <c r="Q93" s="199">
        <f>SUM(Q68+Q69+Q71+Q80+Q87+Q88+Q89+Q90+Q91)</f>
        <v>161.024126</v>
      </c>
      <c r="R93" s="655">
        <f>SUM(R68+R69+R71+R80+R87+R88+R89+R90+R91)</f>
        <v>167.01825651000001</v>
      </c>
      <c r="S93" s="441">
        <f>IF(Q93=0, "    ---- ", IF(ABS(ROUND(100/Q93*R93-100,1))&lt;999,ROUND(100/Q93*R93-100,1),IF(ROUND(100/Q93*R93-100,1)&gt;999,999,-999)))</f>
        <v>3.7</v>
      </c>
      <c r="T93" s="199">
        <v>692854.36526852997</v>
      </c>
      <c r="U93" s="440">
        <v>727598.43955665012</v>
      </c>
      <c r="V93" s="441">
        <f t="shared" si="78"/>
        <v>5</v>
      </c>
      <c r="W93" s="199">
        <f>SUM(W68+W69+W71+W80+W87+W88+W89+W90+W91)</f>
        <v>181652.12</v>
      </c>
      <c r="X93" s="440">
        <f>SUM(X68+X69+X71+X80+X87+X88+X89+X90+X91)</f>
        <v>183110.28</v>
      </c>
      <c r="Y93" s="441">
        <f t="shared" si="48"/>
        <v>0.8</v>
      </c>
      <c r="Z93" s="199">
        <f>SUM(Z68+Z69+Z71+Z80+Z87+Z88+Z89+Z90+Z91)</f>
        <v>119508</v>
      </c>
      <c r="AA93" s="440">
        <f>SUM(AA68+AA69+AA71+AA80+AA87+AA88+AA89+AA90+AA91)</f>
        <v>124287</v>
      </c>
      <c r="AB93" s="441">
        <f>IF(Z93=0, "    ---- ", IF(ABS(ROUND(100/Z93*AA93-100,1))&lt;999,ROUND(100/Z93*AA93-100,1),IF(ROUND(100/Z93*AA93-100,1)&gt;999,999,-999)))</f>
        <v>4</v>
      </c>
      <c r="AC93" s="199">
        <f>SUM(AC68+AC69+AC71+AC80+AC87+AC88+AC89+AC90+AC91)</f>
        <v>3334.1590813500002</v>
      </c>
      <c r="AD93" s="440">
        <f>SUM(AD68+AD69+AD71+AD80+AD87+AD88+AD89+AD90+AD91)</f>
        <v>2879.9121635499996</v>
      </c>
      <c r="AE93" s="441">
        <f>IF(AC93=0, "    ---- ", IF(ABS(ROUND(100/AC93*AD93-100,1))&lt;999,ROUND(100/AC93*AD93-100,1),IF(ROUND(100/AC93*AD93-100,1)&gt;999,999,-999)))</f>
        <v>-13.6</v>
      </c>
      <c r="AF93" s="199">
        <f>SUM(AF68+AF69+AF71+AF80+AF87+AF88+AF89+AF90+AF91)</f>
        <v>81282.601556549984</v>
      </c>
      <c r="AG93" s="440">
        <f>SUM(AG68+AG69+AG71+AG80+AG87+AG88+AG89+AG90+AG91)</f>
        <v>83037.96654155002</v>
      </c>
      <c r="AH93" s="441">
        <f t="shared" si="43"/>
        <v>2.2000000000000002</v>
      </c>
      <c r="AI93" s="199">
        <f>SUM(AI68+AI69+AI71+AI80+AI87+AI88+AI89+AI90+AI91)</f>
        <v>401431.6</v>
      </c>
      <c r="AJ93" s="440">
        <f>SUM(AJ68+AJ69+AJ71+AJ80+AJ87+AJ88+AJ89+AJ90+AJ91)</f>
        <v>399313</v>
      </c>
      <c r="AK93" s="441">
        <f t="shared" si="49"/>
        <v>-0.5</v>
      </c>
      <c r="AL93" s="199"/>
      <c r="AM93" s="440">
        <f>SUM(AM68+AM69+AM71+AM80+AM87+AM88+AM89+AM90+AM91)</f>
        <v>7</v>
      </c>
      <c r="AN93" s="441" t="str">
        <f t="shared" ref="AN93" si="89">IF(AL93=0, "    ---- ", IF(ABS(ROUND(100/AL93*AM93-100,1))&lt;999,ROUND(100/AL93*AM93-100,1),IF(ROUND(100/AL93*AM93-100,1)&gt;999,999,-999)))</f>
        <v xml:space="preserve">    ---- </v>
      </c>
      <c r="AO93" s="676">
        <f t="shared" ref="AO93:AP93" si="90">B93+E93+H93+K93+N93+T93+W93+Z93+AF93+AI93</f>
        <v>1933884.55417648</v>
      </c>
      <c r="AP93" s="676">
        <f t="shared" si="90"/>
        <v>1971552.2704141303</v>
      </c>
      <c r="AQ93" s="441">
        <f t="shared" si="45"/>
        <v>1.9</v>
      </c>
      <c r="AR93" s="677">
        <f t="shared" ref="AR93:AS93" si="91">B93+E93+H93+K93+N93+Q93+T93+W93+Z93+AC93+AF93+AI93+AL93</f>
        <v>1937379.7373838299</v>
      </c>
      <c r="AS93" s="677">
        <f t="shared" si="91"/>
        <v>1974606.2008341902</v>
      </c>
      <c r="AT93" s="675">
        <f t="shared" si="47"/>
        <v>1.9</v>
      </c>
    </row>
    <row r="94" spans="1:46" ht="18.75" customHeight="1" x14ac:dyDescent="0.3">
      <c r="A94" s="446" t="s">
        <v>248</v>
      </c>
      <c r="B94" s="446"/>
      <c r="T94" s="446"/>
      <c r="X94" s="635"/>
      <c r="Y94" s="635"/>
      <c r="Z94" s="635"/>
      <c r="AA94" s="635"/>
      <c r="AB94" s="635"/>
      <c r="AC94" s="635"/>
      <c r="AD94" s="635"/>
      <c r="AE94" s="635"/>
      <c r="AF94" s="446"/>
      <c r="AI94" s="446"/>
      <c r="AL94" s="446"/>
    </row>
    <row r="95" spans="1:46" ht="18.75" customHeight="1" x14ac:dyDescent="0.3">
      <c r="A95" s="446" t="s">
        <v>249</v>
      </c>
      <c r="T95" s="446"/>
      <c r="X95" s="635"/>
      <c r="Y95" s="635"/>
      <c r="Z95" s="635"/>
      <c r="AA95" s="635"/>
      <c r="AB95" s="635"/>
      <c r="AC95" s="635"/>
      <c r="AD95" s="635"/>
      <c r="AE95" s="635"/>
      <c r="AF95" s="446"/>
      <c r="AI95" s="446"/>
      <c r="AL95" s="446"/>
    </row>
    <row r="96" spans="1:46" s="449" customFormat="1" ht="18.75" customHeight="1" x14ac:dyDescent="0.3">
      <c r="A96" s="446" t="s">
        <v>250</v>
      </c>
      <c r="Y96" s="636"/>
      <c r="Z96" s="636"/>
      <c r="AA96" s="636"/>
      <c r="AB96" s="636"/>
      <c r="AC96" s="636"/>
      <c r="AD96" s="636"/>
      <c r="AE96" s="636"/>
    </row>
    <row r="97" spans="20:21" s="449" customFormat="1" ht="18.75" x14ac:dyDescent="0.3"/>
    <row r="98" spans="20:21" s="449" customFormat="1" ht="18.75" x14ac:dyDescent="0.3"/>
    <row r="99" spans="20:21" s="449" customFormat="1" ht="18.75" x14ac:dyDescent="0.3"/>
    <row r="100" spans="20:21" s="449" customFormat="1" ht="18.75" x14ac:dyDescent="0.3"/>
    <row r="101" spans="20:21" s="449" customFormat="1" ht="18.75" x14ac:dyDescent="0.3"/>
    <row r="102" spans="20:21" s="449" customFormat="1" ht="18.75" x14ac:dyDescent="0.3"/>
    <row r="103" spans="20:21" s="449" customFormat="1" ht="18.75" x14ac:dyDescent="0.3"/>
    <row r="104" spans="20:21" s="449" customFormat="1" ht="18.75" x14ac:dyDescent="0.3">
      <c r="T104" s="446"/>
      <c r="U104" s="446"/>
    </row>
    <row r="105" spans="20:21" s="449" customFormat="1" ht="18.75" x14ac:dyDescent="0.3">
      <c r="T105" s="446"/>
      <c r="U105" s="446"/>
    </row>
    <row r="106" spans="20:21" s="449" customFormat="1" ht="18.75" x14ac:dyDescent="0.3">
      <c r="T106" s="446"/>
      <c r="U106" s="446"/>
    </row>
    <row r="107" spans="20:21" s="449" customFormat="1" ht="18.75" x14ac:dyDescent="0.3">
      <c r="T107" s="446"/>
      <c r="U107" s="446"/>
    </row>
    <row r="108" spans="20:21" s="449" customFormat="1" ht="18.75" x14ac:dyDescent="0.3">
      <c r="T108" s="446"/>
      <c r="U108" s="446"/>
    </row>
    <row r="109" spans="20:21" s="449" customFormat="1" ht="18.75" x14ac:dyDescent="0.3">
      <c r="T109" s="446"/>
      <c r="U109" s="446"/>
    </row>
    <row r="110" spans="20:21" s="449" customFormat="1" ht="18.75" x14ac:dyDescent="0.3">
      <c r="T110" s="446"/>
      <c r="U110" s="446"/>
    </row>
    <row r="111" spans="20:21" s="471" customFormat="1" ht="15.75" x14ac:dyDescent="0.25">
      <c r="T111" s="470"/>
      <c r="U111" s="470"/>
    </row>
    <row r="112" spans="20:21" s="471" customFormat="1" ht="15.75" x14ac:dyDescent="0.25">
      <c r="T112" s="470"/>
      <c r="U112" s="470"/>
    </row>
    <row r="113" spans="20:21" x14ac:dyDescent="0.2">
      <c r="T113" s="448"/>
      <c r="U113" s="448"/>
    </row>
    <row r="114" spans="20:21" x14ac:dyDescent="0.2">
      <c r="T114" s="448"/>
      <c r="U114" s="448"/>
    </row>
    <row r="115" spans="20:21" x14ac:dyDescent="0.2">
      <c r="T115" s="448"/>
      <c r="U115" s="448"/>
    </row>
    <row r="116" spans="20:21" x14ac:dyDescent="0.2">
      <c r="T116" s="448"/>
      <c r="U116" s="448"/>
    </row>
    <row r="117" spans="20:21" x14ac:dyDescent="0.2">
      <c r="T117" s="448"/>
      <c r="U117" s="448"/>
    </row>
    <row r="118" spans="20:21" x14ac:dyDescent="0.2">
      <c r="T118" s="448"/>
      <c r="U118" s="448"/>
    </row>
    <row r="119" spans="20:21" x14ac:dyDescent="0.2">
      <c r="T119" s="448"/>
      <c r="U119" s="448"/>
    </row>
    <row r="120" spans="20:21" x14ac:dyDescent="0.2">
      <c r="T120" s="448"/>
      <c r="U120" s="448"/>
    </row>
    <row r="121" spans="20:21" x14ac:dyDescent="0.2">
      <c r="T121" s="448"/>
      <c r="U121" s="448"/>
    </row>
    <row r="122" spans="20:21" x14ac:dyDescent="0.2">
      <c r="T122" s="448"/>
      <c r="U122" s="448"/>
    </row>
    <row r="123" spans="20:21" x14ac:dyDescent="0.2">
      <c r="T123" s="448"/>
      <c r="U123" s="448"/>
    </row>
    <row r="124" spans="20:21" x14ac:dyDescent="0.2">
      <c r="T124" s="448"/>
      <c r="U124" s="448"/>
    </row>
    <row r="125" spans="20:21" x14ac:dyDescent="0.2">
      <c r="T125" s="448"/>
      <c r="U125" s="448"/>
    </row>
    <row r="126" spans="20:21" x14ac:dyDescent="0.2">
      <c r="T126" s="448"/>
      <c r="U126" s="448"/>
    </row>
    <row r="127" spans="20:21" x14ac:dyDescent="0.2">
      <c r="T127" s="448"/>
      <c r="U127" s="448"/>
    </row>
    <row r="128" spans="20:21" x14ac:dyDescent="0.2">
      <c r="T128" s="448"/>
      <c r="U128" s="448"/>
    </row>
    <row r="129" spans="20:21" x14ac:dyDescent="0.2">
      <c r="T129" s="448"/>
      <c r="U129" s="448"/>
    </row>
    <row r="130" spans="20:21" x14ac:dyDescent="0.2">
      <c r="T130" s="448"/>
      <c r="U130" s="448"/>
    </row>
  </sheetData>
  <mergeCells count="32">
    <mergeCell ref="B5:D5"/>
    <mergeCell ref="E5:G5"/>
    <mergeCell ref="AW5:AY5"/>
    <mergeCell ref="AZ5:BB5"/>
    <mergeCell ref="Q6:S6"/>
    <mergeCell ref="T6:V6"/>
    <mergeCell ref="W6:Y6"/>
    <mergeCell ref="Z6:AB6"/>
    <mergeCell ref="AC6:AE6"/>
    <mergeCell ref="AW6:AY6"/>
    <mergeCell ref="AZ6:BB6"/>
    <mergeCell ref="B6:D6"/>
    <mergeCell ref="E6:G6"/>
    <mergeCell ref="AL5:AN5"/>
    <mergeCell ref="AL6:AN6"/>
    <mergeCell ref="H6:J6"/>
    <mergeCell ref="K6:M6"/>
    <mergeCell ref="N6:P6"/>
    <mergeCell ref="H5:J5"/>
    <mergeCell ref="K5:M5"/>
    <mergeCell ref="N5:P5"/>
    <mergeCell ref="AR5:AT5"/>
    <mergeCell ref="AR6:AT6"/>
    <mergeCell ref="BC5:BE5"/>
    <mergeCell ref="Z5:AB5"/>
    <mergeCell ref="AI5:AK5"/>
    <mergeCell ref="AO5:AQ5"/>
    <mergeCell ref="BC6:BE6"/>
    <mergeCell ref="AF5:AH5"/>
    <mergeCell ref="AI6:AK6"/>
    <mergeCell ref="AO6:AQ6"/>
    <mergeCell ref="AF6:AH6"/>
  </mergeCells>
  <conditionalFormatting sqref="AI35">
    <cfRule type="expression" dxfId="167" priority="289">
      <formula>#REF! ="35≠36+38"</formula>
    </cfRule>
  </conditionalFormatting>
  <conditionalFormatting sqref="AI39">
    <cfRule type="expression" dxfId="166" priority="290">
      <formula>#REF! ="39≠40+41+42+43+44"</formula>
    </cfRule>
  </conditionalFormatting>
  <conditionalFormatting sqref="AI45">
    <cfRule type="expression" dxfId="165" priority="291">
      <formula>#REF! ="45≠33+34+35+39"</formula>
    </cfRule>
  </conditionalFormatting>
  <conditionalFormatting sqref="AI50">
    <cfRule type="expression" dxfId="164" priority="292">
      <formula>#REF! ="50≠51+53"</formula>
    </cfRule>
  </conditionalFormatting>
  <conditionalFormatting sqref="AI54">
    <cfRule type="expression" dxfId="163" priority="293">
      <formula>#REF! ="54≠55+56+57+58+59"</formula>
    </cfRule>
  </conditionalFormatting>
  <conditionalFormatting sqref="AI60">
    <cfRule type="expression" dxfId="162" priority="294">
      <formula>#REF! ="60≠48+49+50+54"</formula>
    </cfRule>
  </conditionalFormatting>
  <conditionalFormatting sqref="AI62">
    <cfRule type="expression" dxfId="161" priority="295">
      <formula>#REF! ="62≠45+46+60+61"</formula>
    </cfRule>
  </conditionalFormatting>
  <conditionalFormatting sqref="AI64">
    <cfRule type="expression" dxfId="160" priority="296">
      <formula>#REF! ="64≠29+62"</formula>
    </cfRule>
  </conditionalFormatting>
  <conditionalFormatting sqref="AI80">
    <cfRule type="expression" dxfId="159" priority="297">
      <formula>#REF! ="80≠73+74+75+76+77+78+79"</formula>
    </cfRule>
  </conditionalFormatting>
  <conditionalFormatting sqref="AI87">
    <cfRule type="expression" dxfId="158" priority="298">
      <formula>#REF! ="88≠82+83+84+85+86+87"</formula>
    </cfRule>
  </conditionalFormatting>
  <conditionalFormatting sqref="AI93">
    <cfRule type="expression" dxfId="157" priority="299">
      <formula>#REF! = "64≠94"</formula>
    </cfRule>
  </conditionalFormatting>
  <conditionalFormatting sqref="AI93">
    <cfRule type="expression" dxfId="156" priority="300">
      <formula>#REF! = "94≠68+69+71+80+88+89+90+91+92"</formula>
    </cfRule>
  </conditionalFormatting>
  <conditionalFormatting sqref="N35">
    <cfRule type="expression" dxfId="155" priority="265">
      <formula>#REF! ="35≠36+38"</formula>
    </cfRule>
  </conditionalFormatting>
  <conditionalFormatting sqref="N39">
    <cfRule type="expression" dxfId="154" priority="266">
      <formula>#REF! ="39≠40+41+42+43+44"</formula>
    </cfRule>
  </conditionalFormatting>
  <conditionalFormatting sqref="N45">
    <cfRule type="expression" dxfId="153" priority="267">
      <formula>#REF! ="45≠33+34+35+39"</formula>
    </cfRule>
  </conditionalFormatting>
  <conditionalFormatting sqref="N50">
    <cfRule type="expression" dxfId="152" priority="268">
      <formula>#REF! ="50≠51+53"</formula>
    </cfRule>
  </conditionalFormatting>
  <conditionalFormatting sqref="N54">
    <cfRule type="expression" dxfId="151" priority="269">
      <formula>#REF! ="54≠55+56+57+58+59"</formula>
    </cfRule>
  </conditionalFormatting>
  <conditionalFormatting sqref="N60">
    <cfRule type="expression" dxfId="150" priority="270">
      <formula>#REF! ="60≠48+49+50+54"</formula>
    </cfRule>
  </conditionalFormatting>
  <conditionalFormatting sqref="N62">
    <cfRule type="expression" dxfId="149" priority="271">
      <formula>#REF! ="62≠45+46+60+61"</formula>
    </cfRule>
  </conditionalFormatting>
  <conditionalFormatting sqref="N64">
    <cfRule type="expression" dxfId="148" priority="272">
      <formula>#REF! ="64≠29+62"</formula>
    </cfRule>
  </conditionalFormatting>
  <conditionalFormatting sqref="N80">
    <cfRule type="expression" dxfId="147" priority="273">
      <formula>#REF! ="80≠73+74+75+76+77+78+79"</formula>
    </cfRule>
  </conditionalFormatting>
  <conditionalFormatting sqref="N87">
    <cfRule type="expression" dxfId="146" priority="274">
      <formula>#REF! ="88≠82+83+84+85+86+87"</formula>
    </cfRule>
  </conditionalFormatting>
  <conditionalFormatting sqref="N93">
    <cfRule type="expression" dxfId="145" priority="275">
      <formula>#REF! = "64≠94"</formula>
    </cfRule>
  </conditionalFormatting>
  <conditionalFormatting sqref="N93">
    <cfRule type="expression" dxfId="144" priority="276">
      <formula>#REF! = "94≠68+69+71+80+88+89+90+91+92"</formula>
    </cfRule>
  </conditionalFormatting>
  <conditionalFormatting sqref="AL64">
    <cfRule type="expression" dxfId="143" priority="241">
      <formula>#REF! ="64≠29+62"</formula>
    </cfRule>
  </conditionalFormatting>
  <conditionalFormatting sqref="AL93">
    <cfRule type="expression" dxfId="142" priority="242">
      <formula>#REF! = "64≠94"</formula>
    </cfRule>
  </conditionalFormatting>
  <conditionalFormatting sqref="AL93">
    <cfRule type="expression" dxfId="141" priority="243">
      <formula>#REF! = "94≠68+69+71+80+88+89+90+91+92"</formula>
    </cfRule>
  </conditionalFormatting>
  <conditionalFormatting sqref="AL35">
    <cfRule type="expression" dxfId="140" priority="244">
      <formula>#REF! ="35≠36+38"</formula>
    </cfRule>
  </conditionalFormatting>
  <conditionalFormatting sqref="AL39">
    <cfRule type="expression" dxfId="139" priority="245">
      <formula>#REF! ="39≠40+41+42+43+44"</formula>
    </cfRule>
  </conditionalFormatting>
  <conditionalFormatting sqref="AL45">
    <cfRule type="expression" dxfId="138" priority="246">
      <formula>#REF! ="45≠33+34+35+39"</formula>
    </cfRule>
  </conditionalFormatting>
  <conditionalFormatting sqref="AL50">
    <cfRule type="expression" dxfId="137" priority="247">
      <formula>#REF! ="50≠51+53"</formula>
    </cfRule>
  </conditionalFormatting>
  <conditionalFormatting sqref="AL54">
    <cfRule type="expression" dxfId="136" priority="248">
      <formula>#REF! ="54≠55+56+57+58+59"</formula>
    </cfRule>
  </conditionalFormatting>
  <conditionalFormatting sqref="AL60">
    <cfRule type="expression" dxfId="135" priority="249">
      <formula>#REF! ="60≠48+49+50+54"</formula>
    </cfRule>
  </conditionalFormatting>
  <conditionalFormatting sqref="AL62">
    <cfRule type="expression" dxfId="134" priority="250">
      <formula>#REF! ="62≠45+46+60+61"</formula>
    </cfRule>
  </conditionalFormatting>
  <conditionalFormatting sqref="AL80">
    <cfRule type="expression" dxfId="133" priority="251">
      <formula>#REF! ="80≠73+74+75+76+77+78+79"</formula>
    </cfRule>
  </conditionalFormatting>
  <conditionalFormatting sqref="AL87">
    <cfRule type="expression" dxfId="132" priority="252">
      <formula>#REF! ="88≠82+83+84+85+86+87"</formula>
    </cfRule>
  </conditionalFormatting>
  <conditionalFormatting sqref="W35">
    <cfRule type="expression" dxfId="131" priority="217">
      <formula>#REF! ="35≠36+38"</formula>
    </cfRule>
  </conditionalFormatting>
  <conditionalFormatting sqref="W39">
    <cfRule type="expression" dxfId="130" priority="218">
      <formula>#REF! ="39≠40+41+42+43+44"</formula>
    </cfRule>
  </conditionalFormatting>
  <conditionalFormatting sqref="W45">
    <cfRule type="expression" dxfId="129" priority="219">
      <formula>#REF! ="45≠33+34+35+39"</formula>
    </cfRule>
  </conditionalFormatting>
  <conditionalFormatting sqref="W50">
    <cfRule type="expression" dxfId="128" priority="220">
      <formula>#REF! ="50≠51+53"</formula>
    </cfRule>
  </conditionalFormatting>
  <conditionalFormatting sqref="W54">
    <cfRule type="expression" dxfId="127" priority="221">
      <formula>#REF! ="54≠55+56+57+58+59"</formula>
    </cfRule>
  </conditionalFormatting>
  <conditionalFormatting sqref="W60">
    <cfRule type="expression" dxfId="126" priority="222">
      <formula>#REF! ="60≠48+49+50+54"</formula>
    </cfRule>
  </conditionalFormatting>
  <conditionalFormatting sqref="W62">
    <cfRule type="expression" dxfId="125" priority="223">
      <formula>#REF! ="62≠45+46+60+61"</formula>
    </cfRule>
  </conditionalFormatting>
  <conditionalFormatting sqref="W64">
    <cfRule type="expression" dxfId="124" priority="224">
      <formula>#REF! ="64≠29+62"</formula>
    </cfRule>
  </conditionalFormatting>
  <conditionalFormatting sqref="W80">
    <cfRule type="expression" dxfId="123" priority="225">
      <formula>#REF! ="80≠73+74+75+76+77+78+79"</formula>
    </cfRule>
  </conditionalFormatting>
  <conditionalFormatting sqref="W87">
    <cfRule type="expression" dxfId="122" priority="226">
      <formula>#REF! ="88≠82+83+84+85+86+87"</formula>
    </cfRule>
  </conditionalFormatting>
  <conditionalFormatting sqref="W93">
    <cfRule type="expression" dxfId="121" priority="227">
      <formula>#REF! = "64≠94"</formula>
    </cfRule>
  </conditionalFormatting>
  <conditionalFormatting sqref="W93">
    <cfRule type="expression" dxfId="120" priority="228">
      <formula>#REF! = "94≠68+69+71+80+88+89+90+91+92"</formula>
    </cfRule>
  </conditionalFormatting>
  <conditionalFormatting sqref="H35">
    <cfRule type="expression" dxfId="119" priority="193">
      <formula>#REF! ="35≠36+38"</formula>
    </cfRule>
  </conditionalFormatting>
  <conditionalFormatting sqref="H39">
    <cfRule type="expression" dxfId="118" priority="194">
      <formula>#REF! ="39≠40+41+42+43+44"</formula>
    </cfRule>
  </conditionalFormatting>
  <conditionalFormatting sqref="H45">
    <cfRule type="expression" dxfId="117" priority="195">
      <formula>#REF! ="45≠33+34+35+39"</formula>
    </cfRule>
  </conditionalFormatting>
  <conditionalFormatting sqref="H50">
    <cfRule type="expression" dxfId="116" priority="196">
      <formula>#REF! ="50≠51+53"</formula>
    </cfRule>
  </conditionalFormatting>
  <conditionalFormatting sqref="H54">
    <cfRule type="expression" dxfId="115" priority="197">
      <formula>#REF! ="54≠55+56+57+58+59"</formula>
    </cfRule>
  </conditionalFormatting>
  <conditionalFormatting sqref="H60">
    <cfRule type="expression" dxfId="114" priority="198">
      <formula>#REF! ="60≠48+49+50+54"</formula>
    </cfRule>
  </conditionalFormatting>
  <conditionalFormatting sqref="H62">
    <cfRule type="expression" dxfId="113" priority="199">
      <formula>#REF! ="62≠45+46+60+61"</formula>
    </cfRule>
  </conditionalFormatting>
  <conditionalFormatting sqref="H64">
    <cfRule type="expression" dxfId="112" priority="200">
      <formula>#REF! ="64≠29+62"</formula>
    </cfRule>
  </conditionalFormatting>
  <conditionalFormatting sqref="H80">
    <cfRule type="expression" dxfId="111" priority="201">
      <formula>#REF! ="80≠73+74+75+76+77+78+79"</formula>
    </cfRule>
  </conditionalFormatting>
  <conditionalFormatting sqref="H87">
    <cfRule type="expression" dxfId="110" priority="202">
      <formula>#REF! ="88≠82+83+84+85+86+87"</formula>
    </cfRule>
  </conditionalFormatting>
  <conditionalFormatting sqref="H93">
    <cfRule type="expression" dxfId="109" priority="203">
      <formula>#REF! = "64≠94"</formula>
    </cfRule>
  </conditionalFormatting>
  <conditionalFormatting sqref="H93">
    <cfRule type="expression" dxfId="108" priority="204">
      <formula>#REF! = "94≠68+69+71+80+88+89+90+91+92"</formula>
    </cfRule>
  </conditionalFormatting>
  <conditionalFormatting sqref="AF35">
    <cfRule type="expression" dxfId="107" priority="169">
      <formula>#REF! ="35≠36+38"</formula>
    </cfRule>
  </conditionalFormatting>
  <conditionalFormatting sqref="AF39">
    <cfRule type="expression" dxfId="106" priority="170">
      <formula>#REF! ="39≠40+41+42+43+44"</formula>
    </cfRule>
  </conditionalFormatting>
  <conditionalFormatting sqref="AF45">
    <cfRule type="expression" dxfId="105" priority="171">
      <formula>#REF! ="45≠33+34+35+39"</formula>
    </cfRule>
  </conditionalFormatting>
  <conditionalFormatting sqref="AF50">
    <cfRule type="expression" dxfId="104" priority="172">
      <formula>#REF! ="50≠51+53"</formula>
    </cfRule>
  </conditionalFormatting>
  <conditionalFormatting sqref="AF54">
    <cfRule type="expression" dxfId="103" priority="173">
      <formula>#REF! ="54≠55+56+57+58+59"</formula>
    </cfRule>
  </conditionalFormatting>
  <conditionalFormatting sqref="AF60">
    <cfRule type="expression" dxfId="102" priority="174">
      <formula>#REF! ="60≠48+49+50+54"</formula>
    </cfRule>
  </conditionalFormatting>
  <conditionalFormatting sqref="AF62">
    <cfRule type="expression" dxfId="101" priority="175">
      <formula>#REF! ="62≠45+46+60+61"</formula>
    </cfRule>
  </conditionalFormatting>
  <conditionalFormatting sqref="AF64">
    <cfRule type="expression" dxfId="100" priority="176">
      <formula>#REF! ="64≠29+62"</formula>
    </cfRule>
  </conditionalFormatting>
  <conditionalFormatting sqref="AF80">
    <cfRule type="expression" dxfId="99" priority="177">
      <formula>#REF! ="80≠73+74+75+76+77+78+79"</formula>
    </cfRule>
  </conditionalFormatting>
  <conditionalFormatting sqref="AF87">
    <cfRule type="expression" dxfId="98" priority="178">
      <formula>#REF! ="88≠82+83+84+85+86+87"</formula>
    </cfRule>
  </conditionalFormatting>
  <conditionalFormatting sqref="AF93">
    <cfRule type="expression" dxfId="97" priority="179">
      <formula>#REF! = "64≠94"</formula>
    </cfRule>
  </conditionalFormatting>
  <conditionalFormatting sqref="AF93">
    <cfRule type="expression" dxfId="96" priority="180">
      <formula>#REF! = "94≠68+69+71+80+88+89+90+91+92"</formula>
    </cfRule>
  </conditionalFormatting>
  <conditionalFormatting sqref="B35">
    <cfRule type="expression" dxfId="95" priority="145">
      <formula>#REF! ="35≠36+38"</formula>
    </cfRule>
  </conditionalFormatting>
  <conditionalFormatting sqref="B39">
    <cfRule type="expression" dxfId="94" priority="146">
      <formula>#REF! ="39≠40+41+42+43+44"</formula>
    </cfRule>
  </conditionalFormatting>
  <conditionalFormatting sqref="B45">
    <cfRule type="expression" dxfId="93" priority="147">
      <formula>#REF! ="45≠33+34+35+39"</formula>
    </cfRule>
  </conditionalFormatting>
  <conditionalFormatting sqref="B50">
    <cfRule type="expression" dxfId="92" priority="148">
      <formula>#REF! ="50≠51+53"</formula>
    </cfRule>
  </conditionalFormatting>
  <conditionalFormatting sqref="B54">
    <cfRule type="expression" dxfId="91" priority="149">
      <formula>#REF! ="54≠55+56+57+58+59"</formula>
    </cfRule>
  </conditionalFormatting>
  <conditionalFormatting sqref="B60">
    <cfRule type="expression" dxfId="90" priority="150">
      <formula>#REF! ="60≠48+49+50+54"</formula>
    </cfRule>
  </conditionalFormatting>
  <conditionalFormatting sqref="B62">
    <cfRule type="expression" dxfId="89" priority="151">
      <formula>#REF! ="62≠45+46+60+61"</formula>
    </cfRule>
  </conditionalFormatting>
  <conditionalFormatting sqref="B64">
    <cfRule type="expression" dxfId="88" priority="152">
      <formula>#REF! ="64≠29+62"</formula>
    </cfRule>
  </conditionalFormatting>
  <conditionalFormatting sqref="B80">
    <cfRule type="expression" dxfId="87" priority="153">
      <formula>#REF! ="80≠73+74+75+76+77+78+79"</formula>
    </cfRule>
  </conditionalFormatting>
  <conditionalFormatting sqref="B87">
    <cfRule type="expression" dxfId="86" priority="154">
      <formula>#REF! ="88≠82+83+84+85+86+87"</formula>
    </cfRule>
  </conditionalFormatting>
  <conditionalFormatting sqref="B93">
    <cfRule type="expression" dxfId="85" priority="155">
      <formula>#REF! = "64≠94"</formula>
    </cfRule>
  </conditionalFormatting>
  <conditionalFormatting sqref="B93">
    <cfRule type="expression" dxfId="84" priority="156">
      <formula>#REF! = "94≠68+69+71+80+88+89+90+91+92"</formula>
    </cfRule>
  </conditionalFormatting>
  <conditionalFormatting sqref="K35">
    <cfRule type="expression" dxfId="83" priority="121">
      <formula>#REF! ="35≠36+38"</formula>
    </cfRule>
  </conditionalFormatting>
  <conditionalFormatting sqref="K39">
    <cfRule type="expression" dxfId="82" priority="122">
      <formula>#REF! ="39≠40+41+42+43+44"</formula>
    </cfRule>
  </conditionalFormatting>
  <conditionalFormatting sqref="K45">
    <cfRule type="expression" dxfId="81" priority="123">
      <formula>#REF! ="45≠33+34+35+39"</formula>
    </cfRule>
  </conditionalFormatting>
  <conditionalFormatting sqref="K50">
    <cfRule type="expression" dxfId="80" priority="124">
      <formula>#REF! ="50≠51+53"</formula>
    </cfRule>
  </conditionalFormatting>
  <conditionalFormatting sqref="K54">
    <cfRule type="expression" dxfId="79" priority="125">
      <formula>#REF! ="54≠55+56+57+58+59"</formula>
    </cfRule>
  </conditionalFormatting>
  <conditionalFormatting sqref="K60">
    <cfRule type="expression" dxfId="78" priority="126">
      <formula>#REF! ="60≠48+49+50+54"</formula>
    </cfRule>
  </conditionalFormatting>
  <conditionalFormatting sqref="K62">
    <cfRule type="expression" dxfId="77" priority="127">
      <formula>#REF! ="62≠45+46+60+61"</formula>
    </cfRule>
  </conditionalFormatting>
  <conditionalFormatting sqref="K64">
    <cfRule type="expression" dxfId="76" priority="128">
      <formula>#REF! ="64≠29+62"</formula>
    </cfRule>
  </conditionalFormatting>
  <conditionalFormatting sqref="K80">
    <cfRule type="expression" dxfId="75" priority="129">
      <formula>#REF! ="80≠73+74+75+76+77+78+79"</formula>
    </cfRule>
  </conditionalFormatting>
  <conditionalFormatting sqref="K87">
    <cfRule type="expression" dxfId="74" priority="130">
      <formula>#REF! ="88≠82+83+84+85+86+87"</formula>
    </cfRule>
  </conditionalFormatting>
  <conditionalFormatting sqref="K93">
    <cfRule type="expression" dxfId="73" priority="131">
      <formula>#REF! = "64≠94"</formula>
    </cfRule>
  </conditionalFormatting>
  <conditionalFormatting sqref="K93">
    <cfRule type="expression" dxfId="72" priority="132">
      <formula>#REF! = "94≠68+69+71+80+88+89+90+91+92"</formula>
    </cfRule>
  </conditionalFormatting>
  <conditionalFormatting sqref="Z35">
    <cfRule type="expression" dxfId="71" priority="97">
      <formula>#REF! ="35≠36+38"</formula>
    </cfRule>
  </conditionalFormatting>
  <conditionalFormatting sqref="Z39">
    <cfRule type="expression" dxfId="70" priority="98">
      <formula>#REF! ="39≠40+41+42+43+44"</formula>
    </cfRule>
  </conditionalFormatting>
  <conditionalFormatting sqref="Z45">
    <cfRule type="expression" dxfId="69" priority="99">
      <formula>#REF! ="45≠33+34+35+39"</formula>
    </cfRule>
  </conditionalFormatting>
  <conditionalFormatting sqref="Z50">
    <cfRule type="expression" dxfId="68" priority="100">
      <formula>#REF! ="50≠51+53"</formula>
    </cfRule>
  </conditionalFormatting>
  <conditionalFormatting sqref="Z54">
    <cfRule type="expression" dxfId="67" priority="101">
      <formula>#REF! ="54≠55+56+57+58+59"</formula>
    </cfRule>
  </conditionalFormatting>
  <conditionalFormatting sqref="Z60">
    <cfRule type="expression" dxfId="66" priority="102">
      <formula>#REF! ="60≠48+49+50+54"</formula>
    </cfRule>
  </conditionalFormatting>
  <conditionalFormatting sqref="Z62">
    <cfRule type="expression" dxfId="65" priority="103">
      <formula>#REF! ="62≠45+46+60+61"</formula>
    </cfRule>
  </conditionalFormatting>
  <conditionalFormatting sqref="Z64">
    <cfRule type="expression" dxfId="64" priority="104">
      <formula>#REF! ="64≠29+62"</formula>
    </cfRule>
  </conditionalFormatting>
  <conditionalFormatting sqref="Z80">
    <cfRule type="expression" dxfId="63" priority="105">
      <formula>#REF! ="80≠73+74+75+76+77+78+79"</formula>
    </cfRule>
  </conditionalFormatting>
  <conditionalFormatting sqref="Z87">
    <cfRule type="expression" dxfId="62" priority="106">
      <formula>#REF! ="88≠82+83+84+85+86+87"</formula>
    </cfRule>
  </conditionalFormatting>
  <conditionalFormatting sqref="Z93">
    <cfRule type="expression" dxfId="61" priority="107">
      <formula>#REF! = "64≠94"</formula>
    </cfRule>
  </conditionalFormatting>
  <conditionalFormatting sqref="Z93">
    <cfRule type="expression" dxfId="60" priority="108">
      <formula>#REF! = "94≠68+69+71+80+88+89+90+91+92"</formula>
    </cfRule>
  </conditionalFormatting>
  <conditionalFormatting sqref="E64">
    <cfRule type="expression" dxfId="59" priority="73">
      <formula>#REF! ="64≠29+62"</formula>
    </cfRule>
  </conditionalFormatting>
  <conditionalFormatting sqref="E93">
    <cfRule type="expression" dxfId="58" priority="74">
      <formula>#REF! = "64≠94"</formula>
    </cfRule>
  </conditionalFormatting>
  <conditionalFormatting sqref="E93">
    <cfRule type="expression" dxfId="57" priority="75">
      <formula>#REF! = "94≠68+69+71+80+88+89+90+91+92"</formula>
    </cfRule>
  </conditionalFormatting>
  <conditionalFormatting sqref="E35">
    <cfRule type="expression" dxfId="56" priority="76">
      <formula>#REF! ="35≠36+38"</formula>
    </cfRule>
  </conditionalFormatting>
  <conditionalFormatting sqref="E39">
    <cfRule type="expression" dxfId="55" priority="77">
      <formula>#REF! ="39≠40+41+42+43+44"</formula>
    </cfRule>
  </conditionalFormatting>
  <conditionalFormatting sqref="E45">
    <cfRule type="expression" dxfId="54" priority="78">
      <formula>#REF! ="45≠33+34+35+39"</formula>
    </cfRule>
  </conditionalFormatting>
  <conditionalFormatting sqref="E50">
    <cfRule type="expression" dxfId="53" priority="79">
      <formula>#REF! ="50≠51+53"</formula>
    </cfRule>
  </conditionalFormatting>
  <conditionalFormatting sqref="E54">
    <cfRule type="expression" dxfId="52" priority="80">
      <formula>#REF! ="54≠55+56+57+58+59"</formula>
    </cfRule>
  </conditionalFormatting>
  <conditionalFormatting sqref="E60">
    <cfRule type="expression" dxfId="51" priority="81">
      <formula>#REF! ="60≠48+49+50+54"</formula>
    </cfRule>
  </conditionalFormatting>
  <conditionalFormatting sqref="E62">
    <cfRule type="expression" dxfId="50" priority="82">
      <formula>#REF! ="62≠45+46+60+61"</formula>
    </cfRule>
  </conditionalFormatting>
  <conditionalFormatting sqref="E80">
    <cfRule type="expression" dxfId="49" priority="83">
      <formula>#REF! ="80≠73+74+75+76+77+78+79"</formula>
    </cfRule>
  </conditionalFormatting>
  <conditionalFormatting sqref="E87">
    <cfRule type="expression" dxfId="48" priority="84">
      <formula>#REF! ="88≠82+83+84+85+86+87"</formula>
    </cfRule>
  </conditionalFormatting>
  <conditionalFormatting sqref="Q35">
    <cfRule type="expression" dxfId="47" priority="49">
      <formula>#REF! ="35≠36+38"</formula>
    </cfRule>
  </conditionalFormatting>
  <conditionalFormatting sqref="Q39">
    <cfRule type="expression" dxfId="46" priority="50">
      <formula>#REF! ="39≠40+41+42+43+44"</formula>
    </cfRule>
  </conditionalFormatting>
  <conditionalFormatting sqref="Q45">
    <cfRule type="expression" dxfId="45" priority="51">
      <formula>#REF! ="45≠33+34+35+39"</formula>
    </cfRule>
  </conditionalFormatting>
  <conditionalFormatting sqref="Q50">
    <cfRule type="expression" dxfId="44" priority="52">
      <formula>#REF! ="50≠51+53"</formula>
    </cfRule>
  </conditionalFormatting>
  <conditionalFormatting sqref="Q54">
    <cfRule type="expression" dxfId="43" priority="53">
      <formula>#REF! ="54≠55+56+57+58+59"</formula>
    </cfRule>
  </conditionalFormatting>
  <conditionalFormatting sqref="Q60">
    <cfRule type="expression" dxfId="42" priority="54">
      <formula>#REF! ="60≠48+49+50+54"</formula>
    </cfRule>
  </conditionalFormatting>
  <conditionalFormatting sqref="Q62">
    <cfRule type="expression" dxfId="41" priority="55">
      <formula>#REF! ="62≠45+46+60+61"</formula>
    </cfRule>
  </conditionalFormatting>
  <conditionalFormatting sqref="Q64">
    <cfRule type="expression" dxfId="40" priority="56">
      <formula>#REF! ="64≠29+62"</formula>
    </cfRule>
  </conditionalFormatting>
  <conditionalFormatting sqref="Q80">
    <cfRule type="expression" dxfId="39" priority="57">
      <formula>#REF! ="80≠73+74+75+76+77+78+79"</formula>
    </cfRule>
  </conditionalFormatting>
  <conditionalFormatting sqref="Q87">
    <cfRule type="expression" dxfId="38" priority="58">
      <formula>#REF! ="88≠82+83+84+85+86+87"</formula>
    </cfRule>
  </conditionalFormatting>
  <conditionalFormatting sqref="Q93">
    <cfRule type="expression" dxfId="37" priority="59">
      <formula>#REF! = "64≠94"</formula>
    </cfRule>
  </conditionalFormatting>
  <conditionalFormatting sqref="Q93">
    <cfRule type="expression" dxfId="36" priority="60">
      <formula>#REF! = "94≠68+69+71+80+88+89+90+91+92"</formula>
    </cfRule>
  </conditionalFormatting>
  <conditionalFormatting sqref="AC35">
    <cfRule type="expression" dxfId="35" priority="25">
      <formula>#REF! ="35≠36+38"</formula>
    </cfRule>
  </conditionalFormatting>
  <conditionalFormatting sqref="AC39">
    <cfRule type="expression" dxfId="34" priority="26">
      <formula>#REF! ="39≠40+41+42+43+44"</formula>
    </cfRule>
  </conditionalFormatting>
  <conditionalFormatting sqref="AC45">
    <cfRule type="expression" dxfId="33" priority="27">
      <formula>#REF! ="45≠33+34+35+39"</formula>
    </cfRule>
  </conditionalFormatting>
  <conditionalFormatting sqref="AC50">
    <cfRule type="expression" dxfId="32" priority="28">
      <formula>#REF! ="50≠51+53"</formula>
    </cfRule>
  </conditionalFormatting>
  <conditionalFormatting sqref="AC54">
    <cfRule type="expression" dxfId="31" priority="29">
      <formula>#REF! ="54≠55+56+57+58+59"</formula>
    </cfRule>
  </conditionalFormatting>
  <conditionalFormatting sqref="AC60">
    <cfRule type="expression" dxfId="30" priority="30">
      <formula>#REF! ="60≠48+49+50+54"</formula>
    </cfRule>
  </conditionalFormatting>
  <conditionalFormatting sqref="AC62">
    <cfRule type="expression" dxfId="29" priority="31">
      <formula>#REF! ="62≠45+46+60+61"</formula>
    </cfRule>
  </conditionalFormatting>
  <conditionalFormatting sqref="AC64">
    <cfRule type="expression" dxfId="28" priority="32">
      <formula>#REF! ="64≠29+62"</formula>
    </cfRule>
  </conditionalFormatting>
  <conditionalFormatting sqref="AC80">
    <cfRule type="expression" dxfId="27" priority="33">
      <formula>#REF! ="80≠73+74+75+76+77+78+79"</formula>
    </cfRule>
  </conditionalFormatting>
  <conditionalFormatting sqref="AC87">
    <cfRule type="expression" dxfId="26" priority="34">
      <formula>#REF! ="88≠82+83+84+85+86+87"</formula>
    </cfRule>
  </conditionalFormatting>
  <conditionalFormatting sqref="AC93">
    <cfRule type="expression" dxfId="25" priority="35">
      <formula>#REF! = "64≠94"</formula>
    </cfRule>
  </conditionalFormatting>
  <conditionalFormatting sqref="AC93">
    <cfRule type="expression" dxfId="24" priority="36">
      <formula>#REF! = "94≠68+69+71+80+88+89+90+91+92"</formula>
    </cfRule>
  </conditionalFormatting>
  <conditionalFormatting sqref="T35">
    <cfRule type="expression" dxfId="23" priority="1">
      <formula>#REF! ="35≠36+38"</formula>
    </cfRule>
  </conditionalFormatting>
  <conditionalFormatting sqref="T39">
    <cfRule type="expression" dxfId="22" priority="2">
      <formula>#REF! ="39≠40+41+42+43+44"</formula>
    </cfRule>
  </conditionalFormatting>
  <conditionalFormatting sqref="T45">
    <cfRule type="expression" dxfId="21" priority="3">
      <formula>#REF! ="45≠33+34+35+39"</formula>
    </cfRule>
  </conditionalFormatting>
  <conditionalFormatting sqref="T50">
    <cfRule type="expression" dxfId="20" priority="4">
      <formula>#REF! ="50≠51+53"</formula>
    </cfRule>
  </conditionalFormatting>
  <conditionalFormatting sqref="T54">
    <cfRule type="expression" dxfId="19" priority="5">
      <formula>#REF! ="54≠55+56+57+58+59"</formula>
    </cfRule>
  </conditionalFormatting>
  <conditionalFormatting sqref="T60">
    <cfRule type="expression" dxfId="18" priority="6">
      <formula>#REF! ="60≠48+49+50+54"</formula>
    </cfRule>
  </conditionalFormatting>
  <conditionalFormatting sqref="T62">
    <cfRule type="expression" dxfId="17" priority="7">
      <formula>#REF! ="62≠45+46+60+61"</formula>
    </cfRule>
  </conditionalFormatting>
  <conditionalFormatting sqref="T64">
    <cfRule type="expression" dxfId="16" priority="8">
      <formula>#REF! ="64≠29+62"</formula>
    </cfRule>
  </conditionalFormatting>
  <conditionalFormatting sqref="T80">
    <cfRule type="expression" dxfId="15" priority="9">
      <formula>#REF! ="80≠73+74+75+76+77+78+79"</formula>
    </cfRule>
  </conditionalFormatting>
  <conditionalFormatting sqref="T87">
    <cfRule type="expression" dxfId="14" priority="10">
      <formula>#REF! ="88≠82+83+84+85+86+87"</formula>
    </cfRule>
  </conditionalFormatting>
  <conditionalFormatting sqref="T93">
    <cfRule type="expression" dxfId="13" priority="11">
      <formula>#REF! = "64≠94"</formula>
    </cfRule>
  </conditionalFormatting>
  <conditionalFormatting sqref="T93">
    <cfRule type="expression" dxfId="12" priority="12">
      <formula>#REF! = "94≠68+69+71+80+88+89+90+91+92"</formula>
    </cfRule>
  </conditionalFormatting>
  <conditionalFormatting sqref="AJ35 O35 AM35 X35 I35 AG35 C35 L35 AA35 F35 R35 AD35 U35">
    <cfRule type="expression" dxfId="11" priority="313">
      <formula>#REF! ="35≠36+38"</formula>
    </cfRule>
  </conditionalFormatting>
  <conditionalFormatting sqref="AJ39 O39 AM39 X39 I39 AG39 C39 L39 AA39 F39 R39 AD39 U39">
    <cfRule type="expression" dxfId="10" priority="314">
      <formula>#REF! ="39≠40+41+42+43+44"</formula>
    </cfRule>
  </conditionalFormatting>
  <conditionalFormatting sqref="AJ45 O45 AM45 X45 I45 AG45 C45 L45 AA45 F45 R45 AD45 U45">
    <cfRule type="expression" dxfId="9" priority="315">
      <formula>#REF! ="45≠33+34+35+39"</formula>
    </cfRule>
  </conditionalFormatting>
  <conditionalFormatting sqref="AJ50 O50 AM50 X50 I50 AG50 C50 L50 AA50 F50 R50 AD50 U50">
    <cfRule type="expression" dxfId="8" priority="316">
      <formula>#REF! ="50≠51+53"</formula>
    </cfRule>
  </conditionalFormatting>
  <conditionalFormatting sqref="AJ54 O54 AM54 X54 I54 AG54 C54 L54 AA54 F54 R54 AD54 U54">
    <cfRule type="expression" dxfId="7" priority="317">
      <formula>#REF! ="54≠55+56+57+58+59"</formula>
    </cfRule>
  </conditionalFormatting>
  <conditionalFormatting sqref="AJ60 O60 AM60 X60 I60 AG60 C60 L60 AA60 F60 R60 AD60 U60">
    <cfRule type="expression" dxfId="6" priority="318">
      <formula>#REF! ="60≠48+49+50+54"</formula>
    </cfRule>
  </conditionalFormatting>
  <conditionalFormatting sqref="AJ62 O62 AM62 X62 I62 AG62 C62 L62 AA62 F62 R62 AD62 U62">
    <cfRule type="expression" dxfId="5" priority="319">
      <formula>#REF! ="62≠45+46+60+61"</formula>
    </cfRule>
  </conditionalFormatting>
  <conditionalFormatting sqref="AJ64 O64 AM64 X64 I64 AG64 C64 L64 AA64 F64 R64 AD64 U64">
    <cfRule type="expression" dxfId="4" priority="320">
      <formula>#REF! ="64≠29+62"</formula>
    </cfRule>
  </conditionalFormatting>
  <conditionalFormatting sqref="AJ80 O80 AM80 X80 I80 AG80 C80 L80 AA80 F80 R80 AD80 U80">
    <cfRule type="expression" dxfId="3" priority="321">
      <formula>#REF! ="80≠73+74+75+76+77+78+79"</formula>
    </cfRule>
  </conditionalFormatting>
  <conditionalFormatting sqref="AJ87 O87 AM87 X87 I87 AG87 C87 L87 AA87 F87 R87 AD87 U87">
    <cfRule type="expression" dxfId="2" priority="322">
      <formula>#REF! ="88≠82+83+84+85+86+87"</formula>
    </cfRule>
  </conditionalFormatting>
  <conditionalFormatting sqref="AJ93 O93 AM93 X93 I93 AG93 C93 L93 AA93 F93 R93 AD93 U93">
    <cfRule type="expression" dxfId="1" priority="323">
      <formula>#REF! = "64≠94"</formula>
    </cfRule>
  </conditionalFormatting>
  <conditionalFormatting sqref="AJ93 O93 AM93 X93 I93 AG93 C93 L93 AA93 F93 R93 AD93 U93">
    <cfRule type="expression" dxfId="0" priority="324">
      <formula>#REF! = "94≠68+69+71+80+88+89+90+91+92"</formula>
    </cfRule>
  </conditionalFormatting>
  <hyperlinks>
    <hyperlink ref="B1" location="Innhold!A1" display="Tilbake" xr:uid="{00000000-0004-0000-2200-000000000000}"/>
  </hyperlinks>
  <pageMargins left="0.7" right="0.7" top="0.75" bottom="0.75" header="0.3" footer="0.3"/>
  <pageSetup paperSize="9" orientation="portrait"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V20"/>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528" customWidth="1"/>
    <col min="2" max="34" width="11.7109375" style="528" customWidth="1"/>
    <col min="35" max="250" width="11.42578125" style="528"/>
    <col min="251" max="251" width="62" style="528" customWidth="1"/>
    <col min="252" max="287" width="11.7109375" style="528" customWidth="1"/>
    <col min="288" max="506" width="11.42578125" style="528"/>
    <col min="507" max="507" width="62" style="528" customWidth="1"/>
    <col min="508" max="543" width="11.7109375" style="528" customWidth="1"/>
    <col min="544" max="762" width="11.42578125" style="528"/>
    <col min="763" max="763" width="62" style="528" customWidth="1"/>
    <col min="764" max="799" width="11.7109375" style="528" customWidth="1"/>
    <col min="800" max="1018" width="11.42578125" style="528"/>
    <col min="1019" max="1019" width="62" style="528" customWidth="1"/>
    <col min="1020" max="1055" width="11.7109375" style="528" customWidth="1"/>
    <col min="1056" max="1274" width="11.42578125" style="528"/>
    <col min="1275" max="1275" width="62" style="528" customWidth="1"/>
    <col min="1276" max="1311" width="11.7109375" style="528" customWidth="1"/>
    <col min="1312" max="1530" width="11.42578125" style="528"/>
    <col min="1531" max="1531" width="62" style="528" customWidth="1"/>
    <col min="1532" max="1567" width="11.7109375" style="528" customWidth="1"/>
    <col min="1568" max="1786" width="11.42578125" style="528"/>
    <col min="1787" max="1787" width="62" style="528" customWidth="1"/>
    <col min="1788" max="1823" width="11.7109375" style="528" customWidth="1"/>
    <col min="1824" max="2042" width="11.42578125" style="528"/>
    <col min="2043" max="2043" width="62" style="528" customWidth="1"/>
    <col min="2044" max="2079" width="11.7109375" style="528" customWidth="1"/>
    <col min="2080" max="2298" width="11.42578125" style="528"/>
    <col min="2299" max="2299" width="62" style="528" customWidth="1"/>
    <col min="2300" max="2335" width="11.7109375" style="528" customWidth="1"/>
    <col min="2336" max="2554" width="11.42578125" style="528"/>
    <col min="2555" max="2555" width="62" style="528" customWidth="1"/>
    <col min="2556" max="2591" width="11.7109375" style="528" customWidth="1"/>
    <col min="2592" max="2810" width="11.42578125" style="528"/>
    <col min="2811" max="2811" width="62" style="528" customWidth="1"/>
    <col min="2812" max="2847" width="11.7109375" style="528" customWidth="1"/>
    <col min="2848" max="3066" width="11.42578125" style="528"/>
    <col min="3067" max="3067" width="62" style="528" customWidth="1"/>
    <col min="3068" max="3103" width="11.7109375" style="528" customWidth="1"/>
    <col min="3104" max="3322" width="11.42578125" style="528"/>
    <col min="3323" max="3323" width="62" style="528" customWidth="1"/>
    <col min="3324" max="3359" width="11.7109375" style="528" customWidth="1"/>
    <col min="3360" max="3578" width="11.42578125" style="528"/>
    <col min="3579" max="3579" width="62" style="528" customWidth="1"/>
    <col min="3580" max="3615" width="11.7109375" style="528" customWidth="1"/>
    <col min="3616" max="3834" width="11.42578125" style="528"/>
    <col min="3835" max="3835" width="62" style="528" customWidth="1"/>
    <col min="3836" max="3871" width="11.7109375" style="528" customWidth="1"/>
    <col min="3872" max="4090" width="11.42578125" style="528"/>
    <col min="4091" max="4091" width="62" style="528" customWidth="1"/>
    <col min="4092" max="4127" width="11.7109375" style="528" customWidth="1"/>
    <col min="4128" max="4346" width="11.42578125" style="528"/>
    <col min="4347" max="4347" width="62" style="528" customWidth="1"/>
    <col min="4348" max="4383" width="11.7109375" style="528" customWidth="1"/>
    <col min="4384" max="4602" width="11.42578125" style="528"/>
    <col min="4603" max="4603" width="62" style="528" customWidth="1"/>
    <col min="4604" max="4639" width="11.7109375" style="528" customWidth="1"/>
    <col min="4640" max="4858" width="11.42578125" style="528"/>
    <col min="4859" max="4859" width="62" style="528" customWidth="1"/>
    <col min="4860" max="4895" width="11.7109375" style="528" customWidth="1"/>
    <col min="4896" max="5114" width="11.42578125" style="528"/>
    <col min="5115" max="5115" width="62" style="528" customWidth="1"/>
    <col min="5116" max="5151" width="11.7109375" style="528" customWidth="1"/>
    <col min="5152" max="5370" width="11.42578125" style="528"/>
    <col min="5371" max="5371" width="62" style="528" customWidth="1"/>
    <col min="5372" max="5407" width="11.7109375" style="528" customWidth="1"/>
    <col min="5408" max="5626" width="11.42578125" style="528"/>
    <col min="5627" max="5627" width="62" style="528" customWidth="1"/>
    <col min="5628" max="5663" width="11.7109375" style="528" customWidth="1"/>
    <col min="5664" max="5882" width="11.42578125" style="528"/>
    <col min="5883" max="5883" width="62" style="528" customWidth="1"/>
    <col min="5884" max="5919" width="11.7109375" style="528" customWidth="1"/>
    <col min="5920" max="6138" width="11.42578125" style="528"/>
    <col min="6139" max="6139" width="62" style="528" customWidth="1"/>
    <col min="6140" max="6175" width="11.7109375" style="528" customWidth="1"/>
    <col min="6176" max="6394" width="11.42578125" style="528"/>
    <col min="6395" max="6395" width="62" style="528" customWidth="1"/>
    <col min="6396" max="6431" width="11.7109375" style="528" customWidth="1"/>
    <col min="6432" max="6650" width="11.42578125" style="528"/>
    <col min="6651" max="6651" width="62" style="528" customWidth="1"/>
    <col min="6652" max="6687" width="11.7109375" style="528" customWidth="1"/>
    <col min="6688" max="6906" width="11.42578125" style="528"/>
    <col min="6907" max="6907" width="62" style="528" customWidth="1"/>
    <col min="6908" max="6943" width="11.7109375" style="528" customWidth="1"/>
    <col min="6944" max="7162" width="11.42578125" style="528"/>
    <col min="7163" max="7163" width="62" style="528" customWidth="1"/>
    <col min="7164" max="7199" width="11.7109375" style="528" customWidth="1"/>
    <col min="7200" max="7418" width="11.42578125" style="528"/>
    <col min="7419" max="7419" width="62" style="528" customWidth="1"/>
    <col min="7420" max="7455" width="11.7109375" style="528" customWidth="1"/>
    <col min="7456" max="7674" width="11.42578125" style="528"/>
    <col min="7675" max="7675" width="62" style="528" customWidth="1"/>
    <col min="7676" max="7711" width="11.7109375" style="528" customWidth="1"/>
    <col min="7712" max="7930" width="11.42578125" style="528"/>
    <col min="7931" max="7931" width="62" style="528" customWidth="1"/>
    <col min="7932" max="7967" width="11.7109375" style="528" customWidth="1"/>
    <col min="7968" max="8186" width="11.42578125" style="528"/>
    <col min="8187" max="8187" width="62" style="528" customWidth="1"/>
    <col min="8188" max="8223" width="11.7109375" style="528" customWidth="1"/>
    <col min="8224" max="8442" width="11.42578125" style="528"/>
    <col min="8443" max="8443" width="62" style="528" customWidth="1"/>
    <col min="8444" max="8479" width="11.7109375" style="528" customWidth="1"/>
    <col min="8480" max="8698" width="11.42578125" style="528"/>
    <col min="8699" max="8699" width="62" style="528" customWidth="1"/>
    <col min="8700" max="8735" width="11.7109375" style="528" customWidth="1"/>
    <col min="8736" max="8954" width="11.42578125" style="528"/>
    <col min="8955" max="8955" width="62" style="528" customWidth="1"/>
    <col min="8956" max="8991" width="11.7109375" style="528" customWidth="1"/>
    <col min="8992" max="9210" width="11.42578125" style="528"/>
    <col min="9211" max="9211" width="62" style="528" customWidth="1"/>
    <col min="9212" max="9247" width="11.7109375" style="528" customWidth="1"/>
    <col min="9248" max="9466" width="11.42578125" style="528"/>
    <col min="9467" max="9467" width="62" style="528" customWidth="1"/>
    <col min="9468" max="9503" width="11.7109375" style="528" customWidth="1"/>
    <col min="9504" max="9722" width="11.42578125" style="528"/>
    <col min="9723" max="9723" width="62" style="528" customWidth="1"/>
    <col min="9724" max="9759" width="11.7109375" style="528" customWidth="1"/>
    <col min="9760" max="9978" width="11.42578125" style="528"/>
    <col min="9979" max="9979" width="62" style="528" customWidth="1"/>
    <col min="9980" max="10015" width="11.7109375" style="528" customWidth="1"/>
    <col min="10016" max="10234" width="11.42578125" style="528"/>
    <col min="10235" max="10235" width="62" style="528" customWidth="1"/>
    <col min="10236" max="10271" width="11.7109375" style="528" customWidth="1"/>
    <col min="10272" max="10490" width="11.42578125" style="528"/>
    <col min="10491" max="10491" width="62" style="528" customWidth="1"/>
    <col min="10492" max="10527" width="11.7109375" style="528" customWidth="1"/>
    <col min="10528" max="10746" width="11.42578125" style="528"/>
    <col min="10747" max="10747" width="62" style="528" customWidth="1"/>
    <col min="10748" max="10783" width="11.7109375" style="528" customWidth="1"/>
    <col min="10784" max="11002" width="11.42578125" style="528"/>
    <col min="11003" max="11003" width="62" style="528" customWidth="1"/>
    <col min="11004" max="11039" width="11.7109375" style="528" customWidth="1"/>
    <col min="11040" max="11258" width="11.42578125" style="528"/>
    <col min="11259" max="11259" width="62" style="528" customWidth="1"/>
    <col min="11260" max="11295" width="11.7109375" style="528" customWidth="1"/>
    <col min="11296" max="11514" width="11.42578125" style="528"/>
    <col min="11515" max="11515" width="62" style="528" customWidth="1"/>
    <col min="11516" max="11551" width="11.7109375" style="528" customWidth="1"/>
    <col min="11552" max="11770" width="11.42578125" style="528"/>
    <col min="11771" max="11771" width="62" style="528" customWidth="1"/>
    <col min="11772" max="11807" width="11.7109375" style="528" customWidth="1"/>
    <col min="11808" max="12026" width="11.42578125" style="528"/>
    <col min="12027" max="12027" width="62" style="528" customWidth="1"/>
    <col min="12028" max="12063" width="11.7109375" style="528" customWidth="1"/>
    <col min="12064" max="12282" width="11.42578125" style="528"/>
    <col min="12283" max="12283" width="62" style="528" customWidth="1"/>
    <col min="12284" max="12319" width="11.7109375" style="528" customWidth="1"/>
    <col min="12320" max="12538" width="11.42578125" style="528"/>
    <col min="12539" max="12539" width="62" style="528" customWidth="1"/>
    <col min="12540" max="12575" width="11.7109375" style="528" customWidth="1"/>
    <col min="12576" max="12794" width="11.42578125" style="528"/>
    <col min="12795" max="12795" width="62" style="528" customWidth="1"/>
    <col min="12796" max="12831" width="11.7109375" style="528" customWidth="1"/>
    <col min="12832" max="13050" width="11.42578125" style="528"/>
    <col min="13051" max="13051" width="62" style="528" customWidth="1"/>
    <col min="13052" max="13087" width="11.7109375" style="528" customWidth="1"/>
    <col min="13088" max="13306" width="11.42578125" style="528"/>
    <col min="13307" max="13307" width="62" style="528" customWidth="1"/>
    <col min="13308" max="13343" width="11.7109375" style="528" customWidth="1"/>
    <col min="13344" max="13562" width="11.42578125" style="528"/>
    <col min="13563" max="13563" width="62" style="528" customWidth="1"/>
    <col min="13564" max="13599" width="11.7109375" style="528" customWidth="1"/>
    <col min="13600" max="13818" width="11.42578125" style="528"/>
    <col min="13819" max="13819" width="62" style="528" customWidth="1"/>
    <col min="13820" max="13855" width="11.7109375" style="528" customWidth="1"/>
    <col min="13856" max="14074" width="11.42578125" style="528"/>
    <col min="14075" max="14075" width="62" style="528" customWidth="1"/>
    <col min="14076" max="14111" width="11.7109375" style="528" customWidth="1"/>
    <col min="14112" max="14330" width="11.42578125" style="528"/>
    <col min="14331" max="14331" width="62" style="528" customWidth="1"/>
    <col min="14332" max="14367" width="11.7109375" style="528" customWidth="1"/>
    <col min="14368" max="14586" width="11.42578125" style="528"/>
    <col min="14587" max="14587" width="62" style="528" customWidth="1"/>
    <col min="14588" max="14623" width="11.7109375" style="528" customWidth="1"/>
    <col min="14624" max="14842" width="11.42578125" style="528"/>
    <col min="14843" max="14843" width="62" style="528" customWidth="1"/>
    <col min="14844" max="14879" width="11.7109375" style="528" customWidth="1"/>
    <col min="14880" max="15098" width="11.42578125" style="528"/>
    <col min="15099" max="15099" width="62" style="528" customWidth="1"/>
    <col min="15100" max="15135" width="11.7109375" style="528" customWidth="1"/>
    <col min="15136" max="15354" width="11.42578125" style="528"/>
    <col min="15355" max="15355" width="62" style="528" customWidth="1"/>
    <col min="15356" max="15391" width="11.7109375" style="528" customWidth="1"/>
    <col min="15392" max="15610" width="11.42578125" style="528"/>
    <col min="15611" max="15611" width="62" style="528" customWidth="1"/>
    <col min="15612" max="15647" width="11.7109375" style="528" customWidth="1"/>
    <col min="15648" max="15866" width="11.42578125" style="528"/>
    <col min="15867" max="15867" width="62" style="528" customWidth="1"/>
    <col min="15868" max="15903" width="11.7109375" style="528" customWidth="1"/>
    <col min="15904" max="16122" width="11.42578125" style="528"/>
    <col min="16123" max="16123" width="62" style="528" customWidth="1"/>
    <col min="16124" max="16159" width="11.7109375" style="528" customWidth="1"/>
    <col min="16160" max="16384" width="11.42578125" style="528"/>
  </cols>
  <sheetData>
    <row r="1" spans="1:48" ht="20.25" x14ac:dyDescent="0.3">
      <c r="A1" s="526" t="s">
        <v>170</v>
      </c>
      <c r="B1" s="527" t="s">
        <v>52</v>
      </c>
    </row>
    <row r="2" spans="1:48" ht="20.25" x14ac:dyDescent="0.3">
      <c r="A2" s="526" t="s">
        <v>265</v>
      </c>
    </row>
    <row r="3" spans="1:48" ht="18.75" x14ac:dyDescent="0.3">
      <c r="A3" s="529" t="s">
        <v>325</v>
      </c>
    </row>
    <row r="4" spans="1:48" ht="18.75" x14ac:dyDescent="0.3">
      <c r="A4" s="530" t="s">
        <v>398</v>
      </c>
      <c r="B4" s="531"/>
      <c r="C4" s="532"/>
      <c r="D4" s="533"/>
      <c r="E4" s="531"/>
      <c r="F4" s="532"/>
      <c r="G4" s="533"/>
      <c r="H4" s="532"/>
      <c r="I4" s="532"/>
      <c r="J4" s="533"/>
      <c r="K4" s="532"/>
      <c r="L4" s="532"/>
      <c r="M4" s="533"/>
      <c r="N4" s="531"/>
      <c r="O4" s="532"/>
      <c r="P4" s="533"/>
      <c r="Q4" s="531"/>
      <c r="R4" s="532"/>
      <c r="S4" s="533"/>
      <c r="T4" s="531"/>
      <c r="U4" s="532"/>
      <c r="V4" s="533"/>
      <c r="W4" s="531"/>
      <c r="X4" s="532"/>
      <c r="Y4" s="533"/>
      <c r="Z4" s="531"/>
      <c r="AA4" s="532"/>
      <c r="AB4" s="533"/>
      <c r="AC4" s="531"/>
      <c r="AD4" s="532"/>
      <c r="AE4" s="533"/>
      <c r="AF4" s="531"/>
      <c r="AG4" s="534"/>
      <c r="AH4" s="533"/>
      <c r="AI4" s="535"/>
      <c r="AJ4" s="535"/>
      <c r="AK4" s="535"/>
      <c r="AL4" s="535"/>
      <c r="AM4" s="535"/>
      <c r="AN4" s="535"/>
      <c r="AO4" s="535"/>
      <c r="AP4" s="535"/>
      <c r="AQ4" s="535"/>
      <c r="AR4" s="535"/>
      <c r="AS4" s="535"/>
      <c r="AT4" s="535"/>
      <c r="AU4" s="535"/>
      <c r="AV4" s="535"/>
    </row>
    <row r="5" spans="1:48" ht="18.75" x14ac:dyDescent="0.3">
      <c r="A5" s="536"/>
      <c r="B5" s="739" t="s">
        <v>173</v>
      </c>
      <c r="C5" s="740"/>
      <c r="D5" s="741"/>
      <c r="E5" s="739" t="s">
        <v>174</v>
      </c>
      <c r="F5" s="740"/>
      <c r="G5" s="741"/>
      <c r="H5" s="648"/>
      <c r="I5" s="648"/>
      <c r="J5" s="649"/>
      <c r="K5" s="739" t="s">
        <v>175</v>
      </c>
      <c r="L5" s="740"/>
      <c r="M5" s="741"/>
      <c r="N5" s="739" t="s">
        <v>176</v>
      </c>
      <c r="O5" s="740"/>
      <c r="P5" s="741"/>
      <c r="Q5" s="647" t="s">
        <v>177</v>
      </c>
      <c r="R5" s="648"/>
      <c r="S5" s="649"/>
      <c r="T5" s="647"/>
      <c r="U5" s="648"/>
      <c r="V5" s="649"/>
      <c r="W5" s="739" t="s">
        <v>178</v>
      </c>
      <c r="X5" s="740"/>
      <c r="Y5" s="741"/>
      <c r="Z5" s="727" t="s">
        <v>67</v>
      </c>
      <c r="AA5" s="728"/>
      <c r="AB5" s="729"/>
      <c r="AC5" s="739" t="s">
        <v>72</v>
      </c>
      <c r="AD5" s="740"/>
      <c r="AE5" s="741"/>
      <c r="AF5" s="749" t="s">
        <v>283</v>
      </c>
      <c r="AG5" s="750"/>
      <c r="AH5" s="751"/>
      <c r="AI5" s="565"/>
      <c r="AJ5" s="565"/>
      <c r="AK5" s="745"/>
      <c r="AL5" s="745"/>
      <c r="AM5" s="745"/>
      <c r="AN5" s="745"/>
      <c r="AO5" s="745"/>
      <c r="AP5" s="745"/>
      <c r="AQ5" s="745"/>
      <c r="AR5" s="745"/>
      <c r="AS5" s="745"/>
      <c r="AT5" s="745"/>
      <c r="AU5" s="745"/>
      <c r="AV5" s="745"/>
    </row>
    <row r="6" spans="1:48" ht="18.75" x14ac:dyDescent="0.3">
      <c r="A6" s="538"/>
      <c r="B6" s="742" t="s">
        <v>179</v>
      </c>
      <c r="C6" s="743"/>
      <c r="D6" s="744"/>
      <c r="E6" s="742" t="s">
        <v>180</v>
      </c>
      <c r="F6" s="743"/>
      <c r="G6" s="744"/>
      <c r="H6" s="742" t="s">
        <v>389</v>
      </c>
      <c r="I6" s="743"/>
      <c r="J6" s="744"/>
      <c r="K6" s="742" t="s">
        <v>180</v>
      </c>
      <c r="L6" s="743"/>
      <c r="M6" s="744"/>
      <c r="N6" s="742" t="s">
        <v>181</v>
      </c>
      <c r="O6" s="743"/>
      <c r="P6" s="744"/>
      <c r="Q6" s="742" t="s">
        <v>63</v>
      </c>
      <c r="R6" s="743"/>
      <c r="S6" s="744"/>
      <c r="T6" s="742" t="s">
        <v>65</v>
      </c>
      <c r="U6" s="743"/>
      <c r="V6" s="744"/>
      <c r="W6" s="742" t="s">
        <v>179</v>
      </c>
      <c r="X6" s="743"/>
      <c r="Y6" s="744"/>
      <c r="Z6" s="730" t="s">
        <v>404</v>
      </c>
      <c r="AA6" s="731"/>
      <c r="AB6" s="732"/>
      <c r="AC6" s="742" t="s">
        <v>180</v>
      </c>
      <c r="AD6" s="743"/>
      <c r="AE6" s="744"/>
      <c r="AF6" s="746" t="s">
        <v>284</v>
      </c>
      <c r="AG6" s="747"/>
      <c r="AH6" s="748"/>
      <c r="AI6" s="565"/>
      <c r="AJ6" s="565"/>
      <c r="AK6" s="745"/>
      <c r="AL6" s="745"/>
      <c r="AM6" s="745"/>
      <c r="AN6" s="745"/>
      <c r="AO6" s="745"/>
      <c r="AP6" s="745"/>
      <c r="AQ6" s="745"/>
      <c r="AR6" s="745"/>
      <c r="AS6" s="745"/>
      <c r="AT6" s="745"/>
      <c r="AU6" s="745"/>
      <c r="AV6" s="745"/>
    </row>
    <row r="7" spans="1:48" ht="18.75" x14ac:dyDescent="0.3">
      <c r="A7" s="538"/>
      <c r="B7" s="539"/>
      <c r="C7" s="539"/>
      <c r="D7" s="540" t="s">
        <v>80</v>
      </c>
      <c r="E7" s="539"/>
      <c r="F7" s="539"/>
      <c r="G7" s="540" t="s">
        <v>80</v>
      </c>
      <c r="H7" s="539"/>
      <c r="I7" s="539"/>
      <c r="J7" s="540" t="s">
        <v>80</v>
      </c>
      <c r="K7" s="539"/>
      <c r="L7" s="539"/>
      <c r="M7" s="540" t="s">
        <v>80</v>
      </c>
      <c r="N7" s="539"/>
      <c r="O7" s="539"/>
      <c r="P7" s="540" t="s">
        <v>80</v>
      </c>
      <c r="Q7" s="539"/>
      <c r="R7" s="539"/>
      <c r="S7" s="540" t="s">
        <v>80</v>
      </c>
      <c r="T7" s="539"/>
      <c r="U7" s="539"/>
      <c r="V7" s="540" t="s">
        <v>80</v>
      </c>
      <c r="W7" s="539"/>
      <c r="X7" s="539"/>
      <c r="Y7" s="540" t="s">
        <v>80</v>
      </c>
      <c r="Z7" s="539"/>
      <c r="AA7" s="539"/>
      <c r="AB7" s="540" t="s">
        <v>80</v>
      </c>
      <c r="AC7" s="539"/>
      <c r="AD7" s="539"/>
      <c r="AE7" s="540" t="s">
        <v>80</v>
      </c>
      <c r="AF7" s="539"/>
      <c r="AG7" s="539"/>
      <c r="AH7" s="540" t="s">
        <v>80</v>
      </c>
      <c r="AI7" s="565"/>
      <c r="AJ7" s="565"/>
      <c r="AK7" s="537"/>
      <c r="AL7" s="537"/>
      <c r="AM7" s="537"/>
      <c r="AN7" s="537"/>
      <c r="AO7" s="537"/>
      <c r="AP7" s="537"/>
      <c r="AQ7" s="537"/>
      <c r="AR7" s="537"/>
      <c r="AS7" s="537"/>
      <c r="AT7" s="537"/>
      <c r="AU7" s="537"/>
      <c r="AV7" s="537"/>
    </row>
    <row r="8" spans="1:48" ht="15.75" x14ac:dyDescent="0.25">
      <c r="A8" s="541" t="s">
        <v>286</v>
      </c>
      <c r="B8" s="542">
        <v>2021</v>
      </c>
      <c r="C8" s="542">
        <v>2022</v>
      </c>
      <c r="D8" s="543" t="s">
        <v>82</v>
      </c>
      <c r="E8" s="542">
        <f t="shared" ref="E8" si="0">$B$8</f>
        <v>2021</v>
      </c>
      <c r="F8" s="542">
        <f t="shared" ref="F8" si="1">$C$8</f>
        <v>2022</v>
      </c>
      <c r="G8" s="543" t="s">
        <v>82</v>
      </c>
      <c r="H8" s="542">
        <f t="shared" ref="H8" si="2">$B$8</f>
        <v>2021</v>
      </c>
      <c r="I8" s="542">
        <f t="shared" ref="I8" si="3">$C$8</f>
        <v>2022</v>
      </c>
      <c r="J8" s="543" t="s">
        <v>82</v>
      </c>
      <c r="K8" s="542">
        <f t="shared" ref="K8" si="4">$B$8</f>
        <v>2021</v>
      </c>
      <c r="L8" s="542">
        <f t="shared" ref="L8" si="5">$C$8</f>
        <v>2022</v>
      </c>
      <c r="M8" s="543" t="s">
        <v>82</v>
      </c>
      <c r="N8" s="542">
        <f t="shared" ref="N8" si="6">$B$8</f>
        <v>2021</v>
      </c>
      <c r="O8" s="542">
        <f t="shared" ref="O8" si="7">$C$8</f>
        <v>2022</v>
      </c>
      <c r="P8" s="543" t="s">
        <v>82</v>
      </c>
      <c r="Q8" s="542">
        <f t="shared" ref="Q8" si="8">$B$8</f>
        <v>2021</v>
      </c>
      <c r="R8" s="542">
        <f t="shared" ref="R8" si="9">$C$8</f>
        <v>2022</v>
      </c>
      <c r="S8" s="543" t="s">
        <v>82</v>
      </c>
      <c r="T8" s="542">
        <f t="shared" ref="T8" si="10">$B$8</f>
        <v>2021</v>
      </c>
      <c r="U8" s="542">
        <f t="shared" ref="U8" si="11">$C$8</f>
        <v>2022</v>
      </c>
      <c r="V8" s="543" t="s">
        <v>82</v>
      </c>
      <c r="W8" s="542">
        <f t="shared" ref="W8" si="12">$B$8</f>
        <v>2021</v>
      </c>
      <c r="X8" s="542">
        <f t="shared" ref="X8" si="13">$C$8</f>
        <v>2022</v>
      </c>
      <c r="Y8" s="543" t="s">
        <v>82</v>
      </c>
      <c r="Z8" s="542">
        <f t="shared" ref="Z8" si="14">$B$8</f>
        <v>2021</v>
      </c>
      <c r="AA8" s="542">
        <f t="shared" ref="AA8" si="15">$C$8</f>
        <v>2022</v>
      </c>
      <c r="AB8" s="543" t="s">
        <v>82</v>
      </c>
      <c r="AC8" s="542">
        <f t="shared" ref="AC8" si="16">$B$8</f>
        <v>2021</v>
      </c>
      <c r="AD8" s="542">
        <f t="shared" ref="AD8" si="17">$C$8</f>
        <v>2022</v>
      </c>
      <c r="AE8" s="543" t="s">
        <v>82</v>
      </c>
      <c r="AF8" s="542">
        <f t="shared" ref="AF8" si="18">$B$8</f>
        <v>2021</v>
      </c>
      <c r="AG8" s="542">
        <f t="shared" ref="AG8" si="19">$C$8</f>
        <v>2022</v>
      </c>
      <c r="AH8" s="543" t="s">
        <v>82</v>
      </c>
      <c r="AI8" s="545"/>
      <c r="AJ8" s="544"/>
      <c r="AK8" s="545"/>
      <c r="AL8" s="545"/>
      <c r="AM8" s="544"/>
      <c r="AN8" s="545"/>
      <c r="AO8" s="545"/>
      <c r="AP8" s="544"/>
      <c r="AQ8" s="545"/>
      <c r="AR8" s="545"/>
      <c r="AS8" s="544"/>
      <c r="AT8" s="545"/>
      <c r="AU8" s="545"/>
      <c r="AV8" s="544"/>
    </row>
    <row r="9" spans="1:48" s="514" customFormat="1" ht="18.75" x14ac:dyDescent="0.3">
      <c r="A9" s="546"/>
      <c r="B9" s="547"/>
      <c r="C9" s="547"/>
      <c r="D9" s="547"/>
      <c r="E9" s="553"/>
      <c r="F9" s="553"/>
      <c r="G9" s="553"/>
      <c r="H9" s="553"/>
      <c r="I9" s="553"/>
      <c r="J9" s="553"/>
      <c r="K9" s="553"/>
      <c r="L9" s="553"/>
      <c r="M9" s="553"/>
      <c r="N9" s="553"/>
      <c r="O9" s="553"/>
      <c r="P9" s="553"/>
      <c r="Q9" s="553"/>
      <c r="R9" s="553"/>
      <c r="S9" s="553"/>
      <c r="T9" s="515"/>
      <c r="U9" s="515"/>
      <c r="V9" s="553"/>
      <c r="W9" s="553"/>
      <c r="X9" s="553"/>
      <c r="Y9" s="553"/>
      <c r="Z9" s="553"/>
      <c r="AA9" s="553"/>
      <c r="AB9" s="553"/>
      <c r="AC9" s="553"/>
      <c r="AD9" s="553"/>
      <c r="AE9" s="553"/>
      <c r="AF9" s="547"/>
      <c r="AG9" s="547"/>
      <c r="AH9" s="547"/>
    </row>
    <row r="10" spans="1:48" s="514" customFormat="1" ht="18.75" x14ac:dyDescent="0.3">
      <c r="A10" s="548" t="s">
        <v>390</v>
      </c>
      <c r="B10" s="553"/>
      <c r="C10" s="553"/>
      <c r="D10" s="553"/>
      <c r="E10" s="553"/>
      <c r="F10" s="553"/>
      <c r="G10" s="553"/>
      <c r="H10" s="553"/>
      <c r="I10" s="553"/>
      <c r="J10" s="553"/>
      <c r="K10" s="553"/>
      <c r="L10" s="553"/>
      <c r="M10" s="553"/>
      <c r="N10" s="553"/>
      <c r="O10" s="553"/>
      <c r="P10" s="553"/>
      <c r="Q10" s="553"/>
      <c r="R10" s="553"/>
      <c r="S10" s="553"/>
      <c r="T10" s="515"/>
      <c r="U10" s="515"/>
      <c r="V10" s="553"/>
      <c r="W10" s="515"/>
      <c r="X10" s="515"/>
      <c r="Y10" s="553"/>
      <c r="Z10" s="515"/>
      <c r="AA10" s="515"/>
      <c r="AB10" s="553"/>
      <c r="AC10" s="515"/>
      <c r="AD10" s="515"/>
      <c r="AE10" s="553"/>
      <c r="AF10" s="553"/>
      <c r="AG10" s="553"/>
      <c r="AH10" s="554"/>
    </row>
    <row r="11" spans="1:48" ht="22.5" x14ac:dyDescent="0.3">
      <c r="A11" s="548" t="s">
        <v>391</v>
      </c>
      <c r="B11" s="553">
        <v>1.05</v>
      </c>
      <c r="C11" s="553">
        <v>-1.47</v>
      </c>
      <c r="D11" s="554">
        <f>IF(B11=0, "    ---- ", IF(ABS(ROUND(100/B11*C11-100,1))&lt;999,ROUND(100/B11*C11-100,1),IF(ROUND(100/B11*C11-100,1)&gt;999,999,-999)))</f>
        <v>-240</v>
      </c>
      <c r="E11" s="515">
        <v>2.78</v>
      </c>
      <c r="F11" s="553">
        <v>0.89</v>
      </c>
      <c r="G11" s="554">
        <f>IF(E11=0, "    ---- ", IF(ABS(ROUND(100/E11*F11-100,1))&lt;999,ROUND(100/E11*F11-100,1),IF(ROUND(100/E11*F11-100,1)&gt;999,999,-999)))</f>
        <v>-68</v>
      </c>
      <c r="H11" s="553">
        <v>1.92</v>
      </c>
      <c r="I11" s="553">
        <v>-0.25</v>
      </c>
      <c r="J11" s="553"/>
      <c r="K11" s="553"/>
      <c r="L11" s="553"/>
      <c r="M11" s="553"/>
      <c r="N11" s="553">
        <v>1.486</v>
      </c>
      <c r="O11" s="553">
        <v>1.32</v>
      </c>
      <c r="P11" s="553"/>
      <c r="Q11" s="553">
        <v>2.5569194039700704</v>
      </c>
      <c r="R11" s="553">
        <v>-0.7</v>
      </c>
      <c r="S11" s="553"/>
      <c r="T11" s="515">
        <v>4</v>
      </c>
      <c r="U11" s="515">
        <v>2.6</v>
      </c>
      <c r="V11" s="553"/>
      <c r="W11" s="515">
        <v>6.67</v>
      </c>
      <c r="X11" s="515"/>
      <c r="Y11" s="553"/>
      <c r="Z11" s="515">
        <v>3.46420779854131</v>
      </c>
      <c r="AA11" s="515">
        <v>1.6260890678387401</v>
      </c>
      <c r="AB11" s="553"/>
      <c r="AC11" s="515">
        <v>2.11</v>
      </c>
      <c r="AD11" s="515">
        <v>0.14000000000000001</v>
      </c>
      <c r="AE11" s="553"/>
      <c r="AF11" s="554"/>
      <c r="AG11" s="554"/>
      <c r="AH11" s="554" t="str">
        <f>IF(AF11=0, "    ---- ", IF(ABS(ROUND(100/AF11*AG11-100,1))&lt;999,ROUND(100/AF11*AG11-100,1),IF(ROUND(100/AF11*AG11-100,1)&gt;999,999,-999)))</f>
        <v xml:space="preserve">    ---- </v>
      </c>
    </row>
    <row r="12" spans="1:48" ht="18.75" x14ac:dyDescent="0.3">
      <c r="A12" s="548" t="s">
        <v>392</v>
      </c>
      <c r="B12" s="553">
        <v>0.8</v>
      </c>
      <c r="C12" s="553">
        <v>-5.52</v>
      </c>
      <c r="D12" s="554">
        <f>IF(B12=0, "    ---- ", IF(ABS(ROUND(100/B12*C12-100,1))&lt;999,ROUND(100/B12*C12-100,1),IF(ROUND(100/B12*C12-100,1)&gt;999,999,-999)))</f>
        <v>-790</v>
      </c>
      <c r="E12" s="515">
        <v>2.16</v>
      </c>
      <c r="F12" s="553">
        <v>-0.72</v>
      </c>
      <c r="G12" s="554">
        <f>IF(E12=0, "    ---- ", IF(ABS(ROUND(100/E12*F12-100,1))&lt;999,ROUND(100/E12*F12-100,1),IF(ROUND(100/E12*F12-100,1)&gt;999,999,-999)))</f>
        <v>-133.30000000000001</v>
      </c>
      <c r="H12" s="553">
        <v>0.7</v>
      </c>
      <c r="I12" s="553">
        <v>-2.15</v>
      </c>
      <c r="J12" s="553"/>
      <c r="K12" s="553"/>
      <c r="L12" s="553"/>
      <c r="M12" s="553"/>
      <c r="N12" s="553">
        <v>1.4910000000000001</v>
      </c>
      <c r="O12" s="553">
        <v>1.1599999999999999</v>
      </c>
      <c r="P12" s="553"/>
      <c r="Q12" s="553">
        <v>4.4482260012825181</v>
      </c>
      <c r="R12" s="553">
        <v>-1.69</v>
      </c>
      <c r="S12" s="553"/>
      <c r="T12" s="515">
        <v>4.3</v>
      </c>
      <c r="U12" s="515">
        <v>-0.4</v>
      </c>
      <c r="V12" s="553"/>
      <c r="W12" s="515">
        <v>6.24</v>
      </c>
      <c r="X12" s="515">
        <v>-2.52</v>
      </c>
      <c r="Y12" s="553"/>
      <c r="Z12" s="515">
        <v>4.0434299924899904</v>
      </c>
      <c r="AA12" s="515">
        <v>3.2786197922429299</v>
      </c>
      <c r="AB12" s="553"/>
      <c r="AC12" s="515">
        <v>1.87</v>
      </c>
      <c r="AD12" s="515">
        <v>-2.25</v>
      </c>
      <c r="AE12" s="553"/>
      <c r="AF12" s="554"/>
      <c r="AG12" s="554"/>
      <c r="AH12" s="554" t="str">
        <f>IF(AF12=0, "    ---- ", IF(ABS(ROUND(100/AF12*AG12-100,1))&lt;999,ROUND(100/AF12*AG12-100,1),IF(ROUND(100/AF12*AG12-100,1)&gt;999,999,-999)))</f>
        <v xml:space="preserve">    ---- </v>
      </c>
    </row>
    <row r="13" spans="1:48" ht="18.75" x14ac:dyDescent="0.3">
      <c r="A13" s="548"/>
      <c r="B13" s="553"/>
      <c r="C13" s="553"/>
      <c r="D13" s="553"/>
      <c r="E13" s="553"/>
      <c r="F13" s="553"/>
      <c r="G13" s="553"/>
      <c r="H13" s="553"/>
      <c r="I13" s="553"/>
      <c r="J13" s="553"/>
      <c r="K13" s="553"/>
      <c r="L13" s="553"/>
      <c r="M13" s="553"/>
      <c r="N13" s="553"/>
      <c r="O13" s="553"/>
      <c r="P13" s="553"/>
      <c r="Q13" s="553"/>
      <c r="R13" s="553"/>
      <c r="S13" s="553"/>
      <c r="T13" s="515"/>
      <c r="U13" s="515"/>
      <c r="V13" s="553"/>
      <c r="W13" s="515"/>
      <c r="X13" s="515"/>
      <c r="Y13" s="553"/>
      <c r="Z13" s="515"/>
      <c r="AA13" s="515"/>
      <c r="AB13" s="553"/>
      <c r="AC13" s="515"/>
      <c r="AD13" s="515"/>
      <c r="AE13" s="553"/>
      <c r="AF13" s="553"/>
      <c r="AG13" s="553"/>
      <c r="AH13" s="553"/>
    </row>
    <row r="14" spans="1:48" ht="18.75" x14ac:dyDescent="0.3">
      <c r="A14" s="548" t="s">
        <v>393</v>
      </c>
      <c r="B14" s="553"/>
      <c r="C14" s="553"/>
      <c r="D14" s="554"/>
      <c r="E14" s="553">
        <f>0.254575480824042*100</f>
        <v>25.457548082404202</v>
      </c>
      <c r="F14" s="553">
        <v>17.41</v>
      </c>
      <c r="G14" s="554">
        <f>IF(E14=0, "    ---- ", IF(ABS(ROUND(100/E14*F14-100,1))&lt;999,ROUND(100/E14*F14-100,1),IF(ROUND(100/E14*F14-100,1)&gt;999,999,-999)))</f>
        <v>-31.6</v>
      </c>
      <c r="H14" s="553">
        <v>45.97</v>
      </c>
      <c r="I14" s="553">
        <v>38.89</v>
      </c>
      <c r="J14" s="554">
        <f>IF(H14=0, "    ---- ", IF(ABS(ROUND(100/H14*I14-100,1))&lt;999,ROUND(100/H14*I14-100,1),IF(ROUND(100/H14*I14-100,1)&gt;999,999,-999)))</f>
        <v>-15.4</v>
      </c>
      <c r="K14" s="553">
        <v>39.799999999999997</v>
      </c>
      <c r="L14" s="553">
        <v>34.799999999999997</v>
      </c>
      <c r="M14" s="554">
        <f>IF(K14=0, "    ---- ", IF(ABS(ROUND(100/K14*L14-100,1))&lt;999,ROUND(100/K14*L14-100,1),IF(ROUND(100/K14*L14-100,1)&gt;999,999,-999)))</f>
        <v>-12.6</v>
      </c>
      <c r="N14" s="553">
        <v>20.8</v>
      </c>
      <c r="O14" s="553">
        <v>10.54</v>
      </c>
      <c r="P14" s="554">
        <f>IF(N14=0, "    ---- ", IF(ABS(ROUND(100/N14*O14-100,1))&lt;999,ROUND(100/N14*O14-100,1),IF(ROUND(100/N14*O14-100,1)&gt;999,999,-999)))</f>
        <v>-49.3</v>
      </c>
      <c r="Q14" s="553">
        <v>27.591844733227262</v>
      </c>
      <c r="R14" s="553">
        <v>0.214</v>
      </c>
      <c r="S14" s="554">
        <f>IF(Q14=0, "    ---- ", IF(ABS(ROUND(100/Q14*R14-100,1))&lt;999,ROUND(100/Q14*R14-100,1),IF(ROUND(100/Q14*R14-100,1)&gt;999,999,-999)))</f>
        <v>-99.2</v>
      </c>
      <c r="T14" s="515">
        <v>38</v>
      </c>
      <c r="U14" s="515">
        <v>31.5</v>
      </c>
      <c r="V14" s="554">
        <f>IF(T14=0, "    ---- ", IF(ABS(ROUND(100/T14*U14-100,1))&lt;999,ROUND(100/T14*U14-100,1),IF(ROUND(100/T14*U14-100,1)&gt;999,999,-999)))</f>
        <v>-17.100000000000001</v>
      </c>
      <c r="W14" s="553">
        <f>(1430+9595+1240+7899+18370+952)/(67900+7081)*100</f>
        <v>52.661340873021167</v>
      </c>
      <c r="X14" s="553">
        <f>(1430+9586+1240+26061-1700)/(76208+7377)*100</f>
        <v>43.808099539391037</v>
      </c>
      <c r="Y14" s="554">
        <f>IF(W14=0, "    ---- ", IF(ABS(ROUND(100/W14*X14-100,1))&lt;999,ROUND(100/W14*X14-100,1),IF(ROUND(100/W14*X14-100,1)&gt;999,999,-999)))</f>
        <v>-16.8</v>
      </c>
      <c r="Z14" s="515">
        <v>44.956813697016834</v>
      </c>
      <c r="AA14" s="515">
        <f>('[2]Tabell 6'!AG68+'[2]Tabell 6'!AG71+'[2]Tabell 6'!AG74+'[2]Tabell 6'!AG75+'[2]Tabell 6'!AG78-385.784)/('[2]Tabell 6'!AG80)*100</f>
        <v>34.422489103731607</v>
      </c>
      <c r="AB14" s="554">
        <f>IF(Z14=0, "    ---- ", IF(ABS(ROUND(100/Z14*AA14-100,1))&lt;999,ROUND(100/Z14*AA14-100,1),IF(ROUND(100/Z14*AA14-100,1)&gt;999,999,-999)))</f>
        <v>-23.4</v>
      </c>
      <c r="AC14" s="515">
        <v>27.4</v>
      </c>
      <c r="AD14" s="515">
        <v>20.399999999999999</v>
      </c>
      <c r="AE14" s="554">
        <f>IF(AC14=0, "    ---- ", IF(ABS(ROUND(100/AC14*AD14-100,1))&lt;999,ROUND(100/AC14*AD14-100,1),IF(ROUND(100/AC14*AD14-100,1)&gt;999,999,-999)))</f>
        <v>-25.5</v>
      </c>
      <c r="AF14" s="554"/>
      <c r="AG14" s="554"/>
      <c r="AH14" s="554" t="str">
        <f>IF(AF14=0, "    ---- ", IF(ABS(ROUND(100/AF14*AG14-100,1))&lt;999,ROUND(100/AF14*AG14-100,1),IF(ROUND(100/AF14*AG14-100,1)&gt;999,999,-999)))</f>
        <v xml:space="preserve">    ---- </v>
      </c>
    </row>
    <row r="15" spans="1:48" ht="18.75" x14ac:dyDescent="0.3">
      <c r="A15" s="548"/>
      <c r="B15" s="553"/>
      <c r="C15" s="553"/>
      <c r="D15" s="553"/>
      <c r="E15" s="553"/>
      <c r="F15" s="553"/>
      <c r="G15" s="553"/>
      <c r="H15" s="553"/>
      <c r="I15" s="553"/>
      <c r="J15" s="553"/>
      <c r="K15" s="553"/>
      <c r="L15" s="553"/>
      <c r="M15" s="553"/>
      <c r="N15" s="553"/>
      <c r="O15" s="553"/>
      <c r="P15" s="553"/>
      <c r="Q15" s="553"/>
      <c r="R15" s="553"/>
      <c r="S15" s="553"/>
      <c r="T15" s="515"/>
      <c r="U15" s="515"/>
      <c r="V15" s="553"/>
      <c r="W15" s="515"/>
      <c r="X15" s="515"/>
      <c r="Y15" s="553"/>
      <c r="Z15" s="515"/>
      <c r="AA15" s="515"/>
      <c r="AB15" s="553"/>
      <c r="AC15" s="515"/>
      <c r="AD15" s="515"/>
      <c r="AE15" s="553"/>
      <c r="AF15" s="553"/>
      <c r="AG15" s="553"/>
      <c r="AH15" s="553"/>
    </row>
    <row r="16" spans="1:48" ht="18.75" x14ac:dyDescent="0.3">
      <c r="A16" s="548" t="s">
        <v>334</v>
      </c>
      <c r="B16" s="554">
        <v>64.567999999999998</v>
      </c>
      <c r="C16" s="554">
        <v>0</v>
      </c>
      <c r="D16" s="554">
        <f>IF(B16=0, "    ---- ", IF(ABS(ROUND(100/B16*C16-100,1))&lt;999,ROUND(100/B16*C16-100,1),IF(ROUND(100/B16*C16-100,1)&gt;999,999,-999)))</f>
        <v>-100</v>
      </c>
      <c r="E16" s="554">
        <v>1981.1110000000001</v>
      </c>
      <c r="F16" s="554">
        <v>0</v>
      </c>
      <c r="G16" s="554">
        <f>IF(E16=0, "    ---- ", IF(ABS(ROUND(100/E16*F16-100,1))&lt;999,ROUND(100/E16*F16-100,1),IF(ROUND(100/E16*F16-100,1)&gt;999,999,-999)))</f>
        <v>-100</v>
      </c>
      <c r="H16" s="554">
        <v>0</v>
      </c>
      <c r="I16" s="554"/>
      <c r="J16" s="554"/>
      <c r="K16" s="554"/>
      <c r="L16" s="554"/>
      <c r="M16" s="554"/>
      <c r="N16" s="554">
        <v>10.3</v>
      </c>
      <c r="O16" s="554">
        <v>0</v>
      </c>
      <c r="P16" s="554"/>
      <c r="Q16" s="554">
        <v>67708.994693510002</v>
      </c>
      <c r="R16" s="554">
        <v>104970.16739892001</v>
      </c>
      <c r="S16" s="554"/>
      <c r="T16" s="516">
        <v>2603</v>
      </c>
      <c r="U16" s="516">
        <v>2234</v>
      </c>
      <c r="V16" s="554"/>
      <c r="W16" s="516">
        <v>18370</v>
      </c>
      <c r="X16" s="516">
        <v>0</v>
      </c>
      <c r="Y16" s="554"/>
      <c r="Z16" s="438">
        <v>2933.1210000000001</v>
      </c>
      <c r="AA16" s="438">
        <v>1807.595</v>
      </c>
      <c r="AB16" s="554"/>
      <c r="AC16" s="516">
        <v>6820</v>
      </c>
      <c r="AD16" s="516">
        <v>863</v>
      </c>
      <c r="AE16" s="554"/>
      <c r="AF16" s="554">
        <f>B16+E16+H16+K16+N16+Q16+T16+W16+Z16+AC16</f>
        <v>100491.09469351001</v>
      </c>
      <c r="AG16" s="554">
        <f>C16+F16+I16+L16+O16+R16+U16+X16+AA16+AD16</f>
        <v>109874.76239892001</v>
      </c>
      <c r="AH16" s="554">
        <f>IF(AF16=0, "    ---- ", IF(ABS(ROUND(100/AF16*AG16-100,1))&lt;999,ROUND(100/AF16*AG16-100,1),IF(ROUND(100/AF16*AG16-100,1)&gt;999,999,-999)))</f>
        <v>9.3000000000000007</v>
      </c>
    </row>
    <row r="17" spans="1:34" ht="18.75" x14ac:dyDescent="0.3">
      <c r="A17" s="548"/>
      <c r="B17" s="554"/>
      <c r="C17" s="554"/>
      <c r="D17" s="554"/>
      <c r="E17" s="554"/>
      <c r="F17" s="554"/>
      <c r="G17" s="554"/>
      <c r="H17" s="554"/>
      <c r="I17" s="554"/>
      <c r="J17" s="554"/>
      <c r="K17" s="554"/>
      <c r="L17" s="554"/>
      <c r="M17" s="554"/>
      <c r="N17" s="554"/>
      <c r="O17" s="554"/>
      <c r="P17" s="554"/>
      <c r="Q17" s="554"/>
      <c r="R17" s="554"/>
      <c r="S17" s="554"/>
      <c r="T17" s="516"/>
      <c r="U17" s="516"/>
      <c r="V17" s="554"/>
      <c r="W17" s="516"/>
      <c r="X17" s="516"/>
      <c r="Y17" s="554"/>
      <c r="Z17" s="525"/>
      <c r="AA17" s="525"/>
      <c r="AB17" s="554"/>
      <c r="AC17" s="516"/>
      <c r="AD17" s="516"/>
      <c r="AE17" s="554"/>
      <c r="AF17" s="554"/>
      <c r="AG17" s="554"/>
      <c r="AH17" s="554"/>
    </row>
    <row r="18" spans="1:34" ht="18.75" x14ac:dyDescent="0.3">
      <c r="A18" s="548" t="s">
        <v>432</v>
      </c>
      <c r="B18" s="554"/>
      <c r="C18" s="554"/>
      <c r="D18" s="554"/>
      <c r="E18" s="554"/>
      <c r="F18" s="554"/>
      <c r="G18" s="554"/>
      <c r="H18" s="554"/>
      <c r="I18" s="554"/>
      <c r="J18" s="554"/>
      <c r="K18" s="554"/>
      <c r="L18" s="554"/>
      <c r="M18" s="554"/>
      <c r="N18" s="554"/>
      <c r="O18" s="554"/>
      <c r="P18" s="554"/>
      <c r="Q18" s="554"/>
      <c r="R18" s="554"/>
      <c r="S18" s="554"/>
      <c r="T18" s="516"/>
      <c r="U18" s="516"/>
      <c r="V18" s="554"/>
      <c r="W18" s="516"/>
      <c r="X18" s="516">
        <v>26061</v>
      </c>
      <c r="Y18" s="554"/>
      <c r="Z18" s="525"/>
      <c r="AA18" s="516"/>
      <c r="AB18" s="554"/>
      <c r="AC18" s="516"/>
      <c r="AD18" s="516">
        <v>1164</v>
      </c>
      <c r="AE18" s="554"/>
      <c r="AF18" s="554">
        <f>B18+E18+H18+K18+N18+Q18+T18+W18+Z18+AC18</f>
        <v>0</v>
      </c>
      <c r="AG18" s="554">
        <f>C18+F18+I18+L18+O18+R18+U18+X18+AA18+AD18</f>
        <v>27225</v>
      </c>
      <c r="AH18" s="554" t="str">
        <f>IF(AF18=0, "    ---- ", IF(ABS(ROUND(100/AF18*AG18-100,1))&lt;999,ROUND(100/AF18*AG18-100,1),IF(ROUND(100/AF18*AG18-100,1)&gt;999,999,-999)))</f>
        <v xml:space="preserve">    ---- </v>
      </c>
    </row>
    <row r="19" spans="1:34" ht="18.75" x14ac:dyDescent="0.3">
      <c r="A19" s="548"/>
      <c r="B19" s="554"/>
      <c r="C19" s="554"/>
      <c r="D19" s="554"/>
      <c r="E19" s="554"/>
      <c r="F19" s="554"/>
      <c r="G19" s="554"/>
      <c r="H19" s="554"/>
      <c r="I19" s="554"/>
      <c r="J19" s="554"/>
      <c r="K19" s="554"/>
      <c r="L19" s="554"/>
      <c r="M19" s="554"/>
      <c r="N19" s="554"/>
      <c r="O19" s="554"/>
      <c r="P19" s="554"/>
      <c r="Q19" s="554"/>
      <c r="R19" s="554"/>
      <c r="S19" s="554"/>
      <c r="T19" s="516"/>
      <c r="U19" s="516"/>
      <c r="V19" s="554"/>
      <c r="W19" s="516"/>
      <c r="X19" s="516"/>
      <c r="Y19" s="554"/>
      <c r="Z19" s="516"/>
      <c r="AA19" s="516"/>
      <c r="AB19" s="554"/>
      <c r="AC19" s="516"/>
      <c r="AD19" s="516"/>
      <c r="AE19" s="554"/>
      <c r="AF19" s="554"/>
      <c r="AG19" s="554"/>
      <c r="AH19" s="554"/>
    </row>
    <row r="20" spans="1:34" ht="18.75" x14ac:dyDescent="0.3">
      <c r="A20" s="549" t="s">
        <v>394</v>
      </c>
      <c r="B20" s="555"/>
      <c r="C20" s="555"/>
      <c r="D20" s="555"/>
      <c r="E20" s="555">
        <v>5668.5888447899997</v>
      </c>
      <c r="F20" s="555">
        <v>-5424.8689999999997</v>
      </c>
      <c r="G20" s="555">
        <f>IF(E20=0, "    ---- ", IF(ABS(ROUND(100/E20*F20-100,1))&lt;999,ROUND(100/E20*F20-100,1),IF(ROUND(100/E20*F20-100,1)&gt;999,999,-999)))</f>
        <v>-195.7</v>
      </c>
      <c r="H20" s="557">
        <v>-1.4E-2</v>
      </c>
      <c r="I20" s="557">
        <v>-20</v>
      </c>
      <c r="J20" s="555"/>
      <c r="K20" s="555"/>
      <c r="L20" s="555"/>
      <c r="M20" s="555"/>
      <c r="N20" s="555">
        <v>4.7</v>
      </c>
      <c r="O20" s="555">
        <v>-23</v>
      </c>
      <c r="P20" s="555"/>
      <c r="Q20" s="555">
        <v>925</v>
      </c>
      <c r="R20" s="555">
        <v>-916</v>
      </c>
      <c r="S20" s="555"/>
      <c r="T20" s="517">
        <v>1895</v>
      </c>
      <c r="U20" s="517">
        <v>-2261</v>
      </c>
      <c r="V20" s="555"/>
      <c r="W20" s="517">
        <v>952</v>
      </c>
      <c r="X20" s="517">
        <v>-1699.8589999999999</v>
      </c>
      <c r="Y20" s="555"/>
      <c r="Z20" s="517">
        <v>59.939</v>
      </c>
      <c r="AA20" s="517">
        <v>-64.072000000000003</v>
      </c>
      <c r="AB20" s="555"/>
      <c r="AC20" s="517">
        <v>6418</v>
      </c>
      <c r="AD20" s="517">
        <v>-9613</v>
      </c>
      <c r="AE20" s="555"/>
      <c r="AF20" s="555">
        <f>B20+E20+H20+K20+N20+Q20+T20+W20+Z20+AC20</f>
        <v>15923.21384479</v>
      </c>
      <c r="AG20" s="555">
        <f>C20+F20+I20+L20+O20+R20+U20+X20+AA20+AD20</f>
        <v>-20021.8</v>
      </c>
      <c r="AH20" s="555">
        <f>IF(AF20=0, "    ---- ", IF(ABS(ROUND(100/AF20*AG20-100,1))&lt;999,ROUND(100/AF20*AG20-100,1),IF(ROUND(100/AF20*AG20-100,1)&gt;999,999,-999)))</f>
        <v>-225.7</v>
      </c>
    </row>
  </sheetData>
  <protectedRanges>
    <protectedRange sqref="AD9:AD10" name="Område1_10_1_1_1"/>
    <protectedRange sqref="AD11:AD20" name="Område1_8_1_1_1_1"/>
    <protectedRange sqref="AC9:AC10" name="Område1_10_1_1_1_1_2"/>
    <protectedRange sqref="AC11:AC20" name="Område1_8_1_1_1_1_1_2"/>
    <protectedRange sqref="O9:O13 O15:O20" name="Område1_9_6_1"/>
    <protectedRange sqref="O14" name="Område1_4_2_6_1"/>
    <protectedRange sqref="N9:N13 N15:N20" name="Område1_9_6_1_1_1_1"/>
    <protectedRange sqref="N14" name="Område1_4_2_6_1_1_1_1"/>
    <protectedRange sqref="U9:U10" name="Område1_13_3_1_1_2"/>
    <protectedRange sqref="U11:U20" name="Område1_5_1_2_1_2"/>
    <protectedRange sqref="T9:T10" name="Område1_13_3_1_1_1_1"/>
    <protectedRange sqref="T11:T20" name="Område1_5_1_2_1_1_1"/>
    <protectedRange sqref="I9:I10" name="Område1_13_5_2_2"/>
    <protectedRange sqref="I11:I20" name="Område1_2_1_2_2_2"/>
    <protectedRange sqref="H9:H10" name="Område1_13_5_2_1_1"/>
    <protectedRange sqref="H11:H20" name="Område1_2_1_2_2_1_1"/>
    <protectedRange sqref="AA9:AA20" name="Område1_11_1_1_1_2"/>
    <protectedRange sqref="Z9:Z20" name="Område1_11_1_1_1_1_1"/>
    <protectedRange sqref="C9:C10 C18:C20" name="Område1_12_1_1_1_2"/>
    <protectedRange sqref="C11:C17" name="Område1_1_1_1_1_1_2"/>
    <protectedRange sqref="B9:B10 B19:B20" name="Område1_12_1_1_1_1_1"/>
    <protectedRange sqref="B11:B18" name="Område1_1_1_1_1_1_1_1"/>
    <protectedRange sqref="L9:L13 L15:L20" name="Område1_13_1_1_1_2"/>
    <protectedRange sqref="L14" name="Område1_4_1_2_1_2"/>
    <protectedRange sqref="K9:K13 K15:K20" name="Område1_13_1_1_1_1_1"/>
    <protectedRange sqref="K14" name="Område1_4_1_2_1_1_1"/>
    <protectedRange sqref="X9:X10" name="Område1_13_4_1_1_2"/>
    <protectedRange sqref="X15:X20 X11:X13" name="Område1_6_1_2_1_2"/>
    <protectedRange sqref="W9:W10" name="Område1_13_4_1_1_1_1"/>
    <protectedRange sqref="W11:W13 W15:W20" name="Område1_6_1_2_1_1_1"/>
    <protectedRange sqref="W14:X14" name="Område1_4_2_2_1"/>
    <protectedRange sqref="F9:F10" name="Område1_13_5_1_1_2"/>
    <protectedRange sqref="F11:F20" name="Område1_2_1_2_1_1_2"/>
    <protectedRange sqref="E9:E10" name="Område1_13_5_1_1_1_1"/>
    <protectedRange sqref="E13:E20" name="Område1_2_1_2_1_1_1_1"/>
    <protectedRange sqref="R9:R10" name="Område1_13_2_1_1_2"/>
    <protectedRange sqref="R11:R20" name="Område1_3_1_2_1_2"/>
    <protectedRange sqref="Q9:Q10" name="Område1_13_2_1_1_1_1"/>
    <protectedRange sqref="Q11:Q20" name="Område1_3_1_2_1_1_1"/>
  </protectedRanges>
  <mergeCells count="27">
    <mergeCell ref="N5:P5"/>
    <mergeCell ref="T6:V6"/>
    <mergeCell ref="W6:Y6"/>
    <mergeCell ref="Z6:AB6"/>
    <mergeCell ref="Q6:S6"/>
    <mergeCell ref="W5:Y5"/>
    <mergeCell ref="Z5:AB5"/>
    <mergeCell ref="N6:P6"/>
    <mergeCell ref="AN5:AP5"/>
    <mergeCell ref="AQ5:AS5"/>
    <mergeCell ref="AT5:AV5"/>
    <mergeCell ref="AK5:AM5"/>
    <mergeCell ref="AC6:AE6"/>
    <mergeCell ref="AF6:AH6"/>
    <mergeCell ref="AC5:AE5"/>
    <mergeCell ref="AF5:AH5"/>
    <mergeCell ref="AK6:AM6"/>
    <mergeCell ref="AN6:AP6"/>
    <mergeCell ref="AQ6:AS6"/>
    <mergeCell ref="AT6:AV6"/>
    <mergeCell ref="B5:D5"/>
    <mergeCell ref="E5:G5"/>
    <mergeCell ref="K5:M5"/>
    <mergeCell ref="B6:D6"/>
    <mergeCell ref="E6:G6"/>
    <mergeCell ref="H6:J6"/>
    <mergeCell ref="K6:M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1"/>
      <c r="D2" s="331"/>
      <c r="E2" s="331"/>
    </row>
    <row r="3" spans="1:17" x14ac:dyDescent="0.2">
      <c r="A3" s="43" t="s">
        <v>51</v>
      </c>
    </row>
    <row r="4" spans="1:17" x14ac:dyDescent="0.2">
      <c r="C4" s="331"/>
      <c r="D4" s="331"/>
      <c r="E4" s="331"/>
      <c r="F4" s="331"/>
      <c r="G4" s="331"/>
      <c r="H4" s="331"/>
      <c r="I4" s="331"/>
      <c r="J4" s="331"/>
      <c r="K4" s="331"/>
    </row>
    <row r="6" spans="1:17" ht="15.75" x14ac:dyDescent="0.25">
      <c r="C6" s="338" t="s">
        <v>16</v>
      </c>
      <c r="D6" s="3"/>
      <c r="E6" s="338"/>
    </row>
    <row r="7" spans="1:17" ht="18.75" customHeight="1" x14ac:dyDescent="0.2">
      <c r="C7" s="3"/>
      <c r="D7" s="3"/>
      <c r="E7" s="50"/>
    </row>
    <row r="8" spans="1:17" ht="15.75" x14ac:dyDescent="0.25">
      <c r="B8" s="332">
        <v>1</v>
      </c>
      <c r="C8" s="333" t="s">
        <v>339</v>
      </c>
      <c r="E8" s="342"/>
    </row>
    <row r="9" spans="1:17" ht="31.5" x14ac:dyDescent="0.2">
      <c r="B9" s="332">
        <v>2</v>
      </c>
      <c r="C9" s="335" t="s">
        <v>273</v>
      </c>
      <c r="E9" s="8"/>
      <c r="Q9" s="3"/>
    </row>
    <row r="10" spans="1:17" ht="47.25" x14ac:dyDescent="0.2">
      <c r="B10" s="332">
        <v>3</v>
      </c>
      <c r="C10" s="333" t="s">
        <v>274</v>
      </c>
      <c r="E10" s="8"/>
    </row>
    <row r="11" spans="1:17" ht="47.25" x14ac:dyDescent="0.2">
      <c r="B11" s="332">
        <v>4</v>
      </c>
      <c r="C11" s="335" t="s">
        <v>275</v>
      </c>
      <c r="E11" s="8"/>
    </row>
    <row r="12" spans="1:17" ht="31.5" x14ac:dyDescent="0.2">
      <c r="B12" s="332">
        <v>5</v>
      </c>
      <c r="C12" s="333" t="s">
        <v>21</v>
      </c>
      <c r="E12" s="3"/>
    </row>
    <row r="13" spans="1:17" ht="15.75" x14ac:dyDescent="0.2">
      <c r="B13" s="332">
        <v>6</v>
      </c>
      <c r="C13" s="333" t="s">
        <v>340</v>
      </c>
      <c r="E13" s="3"/>
    </row>
    <row r="14" spans="1:17" ht="15.75" x14ac:dyDescent="0.2">
      <c r="B14" s="332">
        <v>7</v>
      </c>
      <c r="C14" s="333" t="s">
        <v>17</v>
      </c>
    </row>
    <row r="15" spans="1:17" ht="18.75" customHeight="1" x14ac:dyDescent="0.2">
      <c r="B15" s="332">
        <v>8</v>
      </c>
      <c r="C15" s="333" t="s">
        <v>18</v>
      </c>
    </row>
    <row r="16" spans="1:17" ht="18.75" customHeight="1" x14ac:dyDescent="0.2">
      <c r="B16" s="332">
        <v>9</v>
      </c>
      <c r="C16" s="333" t="s">
        <v>22</v>
      </c>
    </row>
    <row r="17" spans="2:9" ht="63" x14ac:dyDescent="0.25">
      <c r="B17" s="332">
        <v>10</v>
      </c>
      <c r="C17" s="333" t="s">
        <v>349</v>
      </c>
      <c r="E17" s="338"/>
    </row>
    <row r="18" spans="2:9" ht="15.75" x14ac:dyDescent="0.2">
      <c r="B18" s="332">
        <v>11</v>
      </c>
      <c r="C18" s="333" t="s">
        <v>19</v>
      </c>
      <c r="E18" s="8"/>
    </row>
    <row r="19" spans="2:9" ht="15.75" x14ac:dyDescent="0.2">
      <c r="B19" s="332">
        <v>12</v>
      </c>
      <c r="C19" s="333" t="s">
        <v>277</v>
      </c>
      <c r="E19" s="8"/>
    </row>
    <row r="20" spans="2:9" ht="15.75" x14ac:dyDescent="0.2">
      <c r="B20" s="332">
        <v>13</v>
      </c>
      <c r="C20" s="333" t="s">
        <v>20</v>
      </c>
      <c r="E20" s="3"/>
    </row>
    <row r="21" spans="2:9" ht="47.25" x14ac:dyDescent="0.2">
      <c r="B21" s="332">
        <v>14</v>
      </c>
      <c r="C21" s="333" t="s">
        <v>278</v>
      </c>
      <c r="E21" s="343"/>
    </row>
    <row r="22" spans="2:9" ht="31.5" x14ac:dyDescent="0.2">
      <c r="B22" s="332">
        <v>15</v>
      </c>
      <c r="C22" s="335" t="s">
        <v>328</v>
      </c>
      <c r="E22" s="3"/>
    </row>
    <row r="23" spans="2:9" ht="15.75" x14ac:dyDescent="0.25">
      <c r="B23" s="332">
        <v>16</v>
      </c>
      <c r="C23" s="337" t="s">
        <v>276</v>
      </c>
      <c r="D23" s="336"/>
      <c r="E23" s="331"/>
      <c r="F23" s="336"/>
      <c r="G23" s="2"/>
      <c r="H23" s="2"/>
      <c r="I23" s="2"/>
    </row>
    <row r="24" spans="2:9" ht="18.75" customHeight="1" x14ac:dyDescent="0.25">
      <c r="B24" s="334">
        <v>17</v>
      </c>
      <c r="C24" s="337" t="s">
        <v>279</v>
      </c>
    </row>
    <row r="25" spans="2:9" ht="18.75" customHeight="1" x14ac:dyDescent="0.2">
      <c r="B25" s="579">
        <v>18</v>
      </c>
      <c r="C25" s="752" t="s">
        <v>416</v>
      </c>
    </row>
    <row r="26" spans="2:9" ht="18.75" customHeight="1" x14ac:dyDescent="0.25">
      <c r="B26" s="580"/>
      <c r="C26" s="752"/>
    </row>
    <row r="27" spans="2:9" ht="18.75" customHeight="1" x14ac:dyDescent="0.2">
      <c r="C27" s="340"/>
    </row>
    <row r="28" spans="2:9" ht="18.75" customHeight="1" x14ac:dyDescent="0.2">
      <c r="C28" s="340"/>
    </row>
    <row r="29" spans="2:9" ht="18.75" customHeight="1" x14ac:dyDescent="0.2">
      <c r="C29" s="340"/>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1"/>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1"/>
      <c r="E50" s="331"/>
      <c r="F50" s="331"/>
      <c r="G50" s="331"/>
      <c r="H50" s="331"/>
      <c r="I50" s="331"/>
      <c r="J50" s="331"/>
      <c r="K50" s="331"/>
      <c r="L50" s="331"/>
      <c r="M50" s="331"/>
      <c r="N50" s="331"/>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2020-123998358-356</_dlc_DocId>
    <_dlc_DocIdUrl xmlns="6edf9311-6556-4af2-85ff-d57844cfe120">
      <Url>https://finansnorge.sharepoint.com/sites/intranett/arkiv/_layouts/15/DocIdRedir.aspx?ID=2020-123998358-356</Url>
      <Description>2020-123998358-356</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24EBDBB4-6B7D-4D50-A425-EE6913F75354}"/>
</file>

<file path=customXml/itemProps3.xml><?xml version="1.0" encoding="utf-8"?>
<ds:datastoreItem xmlns:ds="http://schemas.openxmlformats.org/officeDocument/2006/customXml" ds:itemID="{CA68C5F9-C646-4FCA-B87C-A4B4BC90E875}"/>
</file>

<file path=customXml/itemProps4.xml><?xml version="1.0" encoding="utf-8"?>
<ds:datastoreItem xmlns:ds="http://schemas.openxmlformats.org/officeDocument/2006/customXml" ds:itemID="{2A74224B-7686-4ACD-A9C3-300AD6039780}"/>
</file>

<file path=customXml/itemProps5.xml><?xml version="1.0" encoding="utf-8"?>
<ds:datastoreItem xmlns:ds="http://schemas.openxmlformats.org/officeDocument/2006/customXml" ds:itemID="{75AC2E50-D1FE-4EB6-8A59-FD797CA67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3</vt:i4>
      </vt:variant>
    </vt:vector>
  </HeadingPairs>
  <TitlesOfParts>
    <vt:vector size="40" baseType="lpstr">
      <vt:lpstr>Forside</vt:lpstr>
      <vt:lpstr>Innhold</vt:lpstr>
      <vt:lpstr>Figurer</vt:lpstr>
      <vt:lpstr>Tabel 1.1</vt:lpstr>
      <vt:lpstr>Tabell 1.2</vt:lpstr>
      <vt:lpstr>Tabell 1.3</vt:lpstr>
      <vt:lpstr>Skjema total MA</vt:lpstr>
      <vt:lpstr>Codan Forsikring</vt:lpstr>
      <vt:lpstr>Danica Pensjonsforsikring</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KLP</vt:lpstr>
      <vt:lpstr>KLP Skadeforsikring AS</vt:lpstr>
      <vt:lpstr>Landkreditt Forsikring</vt:lpstr>
      <vt:lpstr>Ly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2022-10-31T12:11:06Z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0af682d9-1c94-437c-97b8-4c36f7a5150c</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